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S:\DNG_ADM\AcctPayable\Food Truck Program\Food Truck Program - Lorraine\"/>
    </mc:Choice>
  </mc:AlternateContent>
  <xr:revisionPtr revIDLastSave="0" documentId="13_ncr:1_{FB05F6CF-3B2C-4572-8440-052D218E82FD}" xr6:coauthVersionLast="36" xr6:coauthVersionMax="36" xr10:uidLastSave="{00000000-0000-0000-0000-000000000000}"/>
  <bookViews>
    <workbookView xWindow="0" yWindow="0" windowWidth="28800" windowHeight="11625" tabRatio="895" firstSheet="373" activeTab="379" xr2:uid="{3D8B9BD7-A5BD-4372-AC41-54E9F4CE5279}"/>
  </bookViews>
  <sheets>
    <sheet name="6.16.22" sheetId="188" state="hidden" r:id="rId1"/>
    <sheet name="6.15.22" sheetId="187" state="hidden" r:id="rId2"/>
    <sheet name="6.14.22" sheetId="186" state="hidden" r:id="rId3"/>
    <sheet name="6.13.22" sheetId="185" state="hidden" r:id="rId4"/>
    <sheet name="6.12.22" sheetId="184" state="hidden" r:id="rId5"/>
    <sheet name="6.11.22" sheetId="183" state="hidden" r:id="rId6"/>
    <sheet name="6.10.22" sheetId="182" state="hidden" r:id="rId7"/>
    <sheet name="6.09.22" sheetId="181" state="hidden" r:id="rId8"/>
    <sheet name="6.08.22" sheetId="179" state="hidden" r:id="rId9"/>
    <sheet name="6.07.22" sheetId="178" state="hidden" r:id="rId10"/>
    <sheet name="6.06.22" sheetId="177" state="hidden" r:id="rId11"/>
    <sheet name="6.05.22" sheetId="176" state="hidden" r:id="rId12"/>
    <sheet name="6.04.22" sheetId="175" state="hidden" r:id="rId13"/>
    <sheet name="6.03.02" sheetId="174" state="hidden" r:id="rId14"/>
    <sheet name="6.02.22" sheetId="173" state="hidden" r:id="rId15"/>
    <sheet name="6.01.22" sheetId="172" state="hidden" r:id="rId16"/>
    <sheet name="5.31.22" sheetId="171" state="hidden" r:id="rId17"/>
    <sheet name="5.30.22" sheetId="169" state="hidden" r:id="rId18"/>
    <sheet name="5.27.22" sheetId="168" state="hidden" r:id="rId19"/>
    <sheet name="5.26.22" sheetId="167" state="hidden" r:id="rId20"/>
    <sheet name="5.25.22" sheetId="166" state="hidden" r:id="rId21"/>
    <sheet name="5.24.22" sheetId="165" state="hidden" r:id="rId22"/>
    <sheet name="5.23.22" sheetId="164" state="hidden" r:id="rId23"/>
    <sheet name="5.22.22" sheetId="163" state="hidden" r:id="rId24"/>
    <sheet name="5.21.22" sheetId="162" state="hidden" r:id="rId25"/>
    <sheet name="5.20.22" sheetId="161" state="hidden" r:id="rId26"/>
    <sheet name="5.19.22" sheetId="160" state="hidden" r:id="rId27"/>
    <sheet name="5.18.22" sheetId="159" state="hidden" r:id="rId28"/>
    <sheet name="5.17.22" sheetId="158" state="hidden" r:id="rId29"/>
    <sheet name="5.16.22" sheetId="157" state="hidden" r:id="rId30"/>
    <sheet name="5.15.22" sheetId="156" state="hidden" r:id="rId31"/>
    <sheet name="5.14.22" sheetId="155" state="hidden" r:id="rId32"/>
    <sheet name="5.13.22" sheetId="154" state="hidden" r:id="rId33"/>
    <sheet name="5.12.22" sheetId="153" state="hidden" r:id="rId34"/>
    <sheet name="5.11.22" sheetId="152" state="hidden" r:id="rId35"/>
    <sheet name="5.10.22" sheetId="151" state="hidden" r:id="rId36"/>
    <sheet name="5.9.22" sheetId="150" state="hidden" r:id="rId37"/>
    <sheet name="5.6.22" sheetId="149" state="hidden" r:id="rId38"/>
    <sheet name="5.5.22" sheetId="145" state="hidden" r:id="rId39"/>
    <sheet name="5.4.22" sheetId="144" state="hidden" r:id="rId40"/>
    <sheet name="5.3.22" sheetId="143" state="hidden" r:id="rId41"/>
    <sheet name="5.2.22" sheetId="142" state="hidden" r:id="rId42"/>
    <sheet name="5.1.22" sheetId="140" state="hidden" r:id="rId43"/>
    <sheet name="4.30.22" sheetId="139" state="hidden" r:id="rId44"/>
    <sheet name="4.29.22" sheetId="138" state="hidden" r:id="rId45"/>
    <sheet name="4.28.22" sheetId="137" state="hidden" r:id="rId46"/>
    <sheet name="4.27.22" sheetId="136" state="hidden" r:id="rId47"/>
    <sheet name="4.26.22" sheetId="135" state="hidden" r:id="rId48"/>
    <sheet name="4.25.22" sheetId="134" state="hidden" r:id="rId49"/>
    <sheet name="4.24.22" sheetId="133" state="hidden" r:id="rId50"/>
    <sheet name="4.23.22" sheetId="132" state="hidden" r:id="rId51"/>
    <sheet name="4.22.22" sheetId="131" state="hidden" r:id="rId52"/>
    <sheet name="4.21.22" sheetId="130" state="hidden" r:id="rId53"/>
    <sheet name="4.20.22" sheetId="129" state="hidden" r:id="rId54"/>
    <sheet name="4.19.22" sheetId="128" state="hidden" r:id="rId55"/>
    <sheet name="4.18.22" sheetId="127" state="hidden" r:id="rId56"/>
    <sheet name="4.17.22" sheetId="126" state="hidden" r:id="rId57"/>
    <sheet name="4.16.22" sheetId="125" state="hidden" r:id="rId58"/>
    <sheet name="4.15.22" sheetId="124" state="hidden" r:id="rId59"/>
    <sheet name="4.14.22" sheetId="123" state="hidden" r:id="rId60"/>
    <sheet name="4.13.22" sheetId="122" state="hidden" r:id="rId61"/>
    <sheet name="4.12.22" sheetId="121" state="hidden" r:id="rId62"/>
    <sheet name="4.11.22" sheetId="120" state="hidden" r:id="rId63"/>
    <sheet name="4.10.22" sheetId="119" state="hidden" r:id="rId64"/>
    <sheet name="4.9.22" sheetId="118" state="hidden" r:id="rId65"/>
    <sheet name="4.8.22" sheetId="117" state="hidden" r:id="rId66"/>
    <sheet name="4.7.22" sheetId="116" state="hidden" r:id="rId67"/>
    <sheet name="9.16.22" sheetId="197" r:id="rId68"/>
    <sheet name="9.17.22" sheetId="198" r:id="rId69"/>
    <sheet name="9.18.22" sheetId="199" r:id="rId70"/>
    <sheet name="4.6.22" sheetId="115" state="hidden" r:id="rId71"/>
    <sheet name="4.5.22" sheetId="114" state="hidden" r:id="rId72"/>
    <sheet name="4.4.22" sheetId="113" state="hidden" r:id="rId73"/>
    <sheet name="4.3.22" sheetId="111" state="hidden" r:id="rId74"/>
    <sheet name="4.2.22" sheetId="110" state="hidden" r:id="rId75"/>
    <sheet name="4.1.22" sheetId="109" state="hidden" r:id="rId76"/>
    <sheet name="3.31.22" sheetId="108" state="hidden" r:id="rId77"/>
    <sheet name="3.30.22" sheetId="107" state="hidden" r:id="rId78"/>
    <sheet name="3.29.22" sheetId="106" state="hidden" r:id="rId79"/>
    <sheet name="3.28.22" sheetId="105" state="hidden" r:id="rId80"/>
    <sheet name="3.27.22" sheetId="104" state="hidden" r:id="rId81"/>
    <sheet name="12.10.21" sheetId="101" state="hidden" r:id="rId82"/>
    <sheet name="12.08.21" sheetId="99" state="hidden" r:id="rId83"/>
    <sheet name="12.07.21" sheetId="98" state="hidden" r:id="rId84"/>
    <sheet name="12.06.21" sheetId="97" state="hidden" r:id="rId85"/>
    <sheet name="12.05.21" sheetId="96" state="hidden" r:id="rId86"/>
    <sheet name="12.04.21" sheetId="95" state="hidden" r:id="rId87"/>
    <sheet name="12.03.21" sheetId="94" state="hidden" r:id="rId88"/>
    <sheet name="12.02.21" sheetId="93" state="hidden" r:id="rId89"/>
    <sheet name="12.01.21" sheetId="92" state="hidden" r:id="rId90"/>
    <sheet name="11.30.21" sheetId="90" state="hidden" r:id="rId91"/>
    <sheet name="11.29.21" sheetId="89" state="hidden" r:id="rId92"/>
    <sheet name="11.28.21" sheetId="88" state="hidden" r:id="rId93"/>
    <sheet name="11.24.21" sheetId="87" state="hidden" r:id="rId94"/>
    <sheet name="11.23.21" sheetId="86" state="hidden" r:id="rId95"/>
    <sheet name="11.22.21" sheetId="85" state="hidden" r:id="rId96"/>
    <sheet name="11.21.21" sheetId="82" state="hidden" r:id="rId97"/>
    <sheet name="11.20.21" sheetId="81" state="hidden" r:id="rId98"/>
    <sheet name="11.19.21" sheetId="83" state="hidden" r:id="rId99"/>
    <sheet name="11.18.21" sheetId="80" state="hidden" r:id="rId100"/>
    <sheet name="11.17.21" sheetId="79" state="hidden" r:id="rId101"/>
    <sheet name="11.16.21" sheetId="78" state="hidden" r:id="rId102"/>
    <sheet name="11.15.21" sheetId="76" state="hidden" r:id="rId103"/>
    <sheet name="11.14.21" sheetId="72" state="hidden" r:id="rId104"/>
    <sheet name="11.13.21" sheetId="73" state="hidden" r:id="rId105"/>
    <sheet name="11.12.21" sheetId="74" state="hidden" r:id="rId106"/>
    <sheet name="11.11.21" sheetId="70" state="hidden" r:id="rId107"/>
    <sheet name="11.10.21" sheetId="69" state="hidden" r:id="rId108"/>
    <sheet name="11.9.21" sheetId="68" state="hidden" r:id="rId109"/>
    <sheet name="11.8.21" sheetId="67" state="hidden" r:id="rId110"/>
    <sheet name="11.7.21" sheetId="66" state="hidden" r:id="rId111"/>
    <sheet name="11.6.21" sheetId="65" state="hidden" r:id="rId112"/>
    <sheet name="11.5.21" sheetId="64" state="hidden" r:id="rId113"/>
    <sheet name="11.4.21" sheetId="63" state="hidden" r:id="rId114"/>
    <sheet name="11.3.21" sheetId="62" state="hidden" r:id="rId115"/>
    <sheet name="11.2.21" sheetId="61" state="hidden" r:id="rId116"/>
    <sheet name="11.1.21" sheetId="60" state="hidden" r:id="rId117"/>
    <sheet name="10.31.21" sheetId="57" state="hidden" r:id="rId118"/>
    <sheet name="10.30.21" sheetId="56" state="hidden" r:id="rId119"/>
    <sheet name="10.29.21" sheetId="55" state="hidden" r:id="rId120"/>
    <sheet name="10.28.21" sheetId="54" state="hidden" r:id="rId121"/>
    <sheet name="10.27.21" sheetId="52" state="hidden" r:id="rId122"/>
    <sheet name="10.26.21" sheetId="51" state="hidden" r:id="rId123"/>
    <sheet name="10.25.21" sheetId="50" state="hidden" r:id="rId124"/>
    <sheet name="10.24.21" sheetId="48" state="hidden" r:id="rId125"/>
    <sheet name="10.23.21" sheetId="47" state="hidden" r:id="rId126"/>
    <sheet name="10.22.21" sheetId="44" state="hidden" r:id="rId127"/>
    <sheet name="10.21.21" sheetId="42" state="hidden" r:id="rId128"/>
    <sheet name="10.20.21" sheetId="41" state="hidden" r:id="rId129"/>
    <sheet name="10.19.21" sheetId="40" state="hidden" r:id="rId130"/>
    <sheet name="10.18.21" sheetId="39" state="hidden" r:id="rId131"/>
    <sheet name="10.17.21" sheetId="38" state="hidden" r:id="rId132"/>
    <sheet name="10.16.21" sheetId="37" state="hidden" r:id="rId133"/>
    <sheet name="10.15.21" sheetId="36" state="hidden" r:id="rId134"/>
    <sheet name="10.14.21" sheetId="35" state="hidden" r:id="rId135"/>
    <sheet name="10.13.21" sheetId="34" state="hidden" r:id="rId136"/>
    <sheet name="10.12.21" sheetId="33" state="hidden" r:id="rId137"/>
    <sheet name="10.11.21" sheetId="32" state="hidden" r:id="rId138"/>
    <sheet name="10.10.21" sheetId="30" state="hidden" r:id="rId139"/>
    <sheet name="10.9.21" sheetId="31" state="hidden" r:id="rId140"/>
    <sheet name="10.8.21" sheetId="29" state="hidden" r:id="rId141"/>
    <sheet name="10.7.21" sheetId="28" state="hidden" r:id="rId142"/>
    <sheet name="10.6.21" sheetId="27" state="hidden" r:id="rId143"/>
    <sheet name="10.5.21" sheetId="26" state="hidden" r:id="rId144"/>
    <sheet name="10.4.21" sheetId="24" state="hidden" r:id="rId145"/>
    <sheet name="10.3.21" sheetId="23" state="hidden" r:id="rId146"/>
    <sheet name="10.2.21" sheetId="22" state="hidden" r:id="rId147"/>
    <sheet name="10.1.21" sheetId="19" state="hidden" r:id="rId148"/>
    <sheet name="9.30.21" sheetId="18" state="hidden" r:id="rId149"/>
    <sheet name="9.29.21" sheetId="17" state="hidden" r:id="rId150"/>
    <sheet name="9.28.21" sheetId="13" state="hidden" r:id="rId151"/>
    <sheet name="9.27.21" sheetId="12" state="hidden" r:id="rId152"/>
    <sheet name="9.26.21" sheetId="11" state="hidden" r:id="rId153"/>
    <sheet name="9.25.21" sheetId="10" state="hidden" r:id="rId154"/>
    <sheet name="9.24.21" sheetId="9" state="hidden" r:id="rId155"/>
    <sheet name="9.23.21" sheetId="8" state="hidden" r:id="rId156"/>
    <sheet name="9.22.21" sheetId="7" state="hidden" r:id="rId157"/>
    <sheet name="9.21.21" sheetId="6" state="hidden" r:id="rId158"/>
    <sheet name="9.20.21" sheetId="1" state="hidden" r:id="rId159"/>
    <sheet name="9.19.22" sheetId="200" r:id="rId160"/>
    <sheet name="9.20.22" sheetId="201" r:id="rId161"/>
    <sheet name="9.21.22" sheetId="202" r:id="rId162"/>
    <sheet name="9.22.22" sheetId="203" r:id="rId163"/>
    <sheet name="9.23.22" sheetId="204" r:id="rId164"/>
    <sheet name="9.24.22" sheetId="205" r:id="rId165"/>
    <sheet name="9.25.22" sheetId="206" r:id="rId166"/>
    <sheet name="9.26.22" sheetId="207" r:id="rId167"/>
    <sheet name="9.27.22" sheetId="208" r:id="rId168"/>
    <sheet name="9.28.22" sheetId="209" r:id="rId169"/>
    <sheet name="9.29.22" sheetId="210" r:id="rId170"/>
    <sheet name="9.30.22" sheetId="212" r:id="rId171"/>
    <sheet name="10.01.22" sheetId="211" r:id="rId172"/>
    <sheet name="10.02.22" sheetId="213" r:id="rId173"/>
    <sheet name="10.03.22" sheetId="214" r:id="rId174"/>
    <sheet name="10.04.22" sheetId="216" r:id="rId175"/>
    <sheet name="10.05.22" sheetId="217" r:id="rId176"/>
    <sheet name="10.06.22" sheetId="218" r:id="rId177"/>
    <sheet name="10.07.22" sheetId="220" r:id="rId178"/>
    <sheet name="10.08.22" sheetId="221" r:id="rId179"/>
    <sheet name="10.09.22" sheetId="222" r:id="rId180"/>
    <sheet name="10.10.22" sheetId="223" r:id="rId181"/>
    <sheet name="10.11.22" sheetId="224" r:id="rId182"/>
    <sheet name="10.12.22" sheetId="225" r:id="rId183"/>
    <sheet name="10.13.22" sheetId="226" r:id="rId184"/>
    <sheet name="10.14.22" sheetId="227" r:id="rId185"/>
    <sheet name="10.15.22" sheetId="228" r:id="rId186"/>
    <sheet name="10.16.22" sheetId="229" r:id="rId187"/>
    <sheet name="10.17.22" sheetId="230" r:id="rId188"/>
    <sheet name="10.18.22" sheetId="231" r:id="rId189"/>
    <sheet name="10.19.22" sheetId="232" r:id="rId190"/>
    <sheet name="10.20.22" sheetId="233" r:id="rId191"/>
    <sheet name="10.21.22" sheetId="234" r:id="rId192"/>
    <sheet name="10.22.22" sheetId="235" r:id="rId193"/>
    <sheet name="10.23.22" sheetId="236" r:id="rId194"/>
    <sheet name="10.24.22" sheetId="237" r:id="rId195"/>
    <sheet name="10.25.22" sheetId="238" r:id="rId196"/>
    <sheet name="10.26.22" sheetId="239" r:id="rId197"/>
    <sheet name="10.27.22" sheetId="240" r:id="rId198"/>
    <sheet name="10.28.22" sheetId="241" r:id="rId199"/>
    <sheet name="10.29.22" sheetId="242" r:id="rId200"/>
    <sheet name="10.30.22" sheetId="243" r:id="rId201"/>
    <sheet name="10.31.22" sheetId="244" r:id="rId202"/>
    <sheet name="11.01.22" sheetId="247" r:id="rId203"/>
    <sheet name="11.02.22" sheetId="248" r:id="rId204"/>
    <sheet name="11.03.22" sheetId="249" r:id="rId205"/>
    <sheet name="11.04.22" sheetId="250" r:id="rId206"/>
    <sheet name="11.05.22" sheetId="251" r:id="rId207"/>
    <sheet name="11.06.22" sheetId="252" r:id="rId208"/>
    <sheet name="11.07.22" sheetId="253" r:id="rId209"/>
    <sheet name="11.08.22" sheetId="254" r:id="rId210"/>
    <sheet name="11.09.22" sheetId="255" r:id="rId211"/>
    <sheet name="11.10.22" sheetId="256" r:id="rId212"/>
    <sheet name="11.11.22" sheetId="257" r:id="rId213"/>
    <sheet name="11.12.22" sheetId="258" r:id="rId214"/>
    <sheet name="11.13.22" sheetId="259" r:id="rId215"/>
    <sheet name="11.14.22" sheetId="260" r:id="rId216"/>
    <sheet name="11.15.22" sheetId="261" r:id="rId217"/>
    <sheet name="11.16.22" sheetId="262" r:id="rId218"/>
    <sheet name="11.17.22" sheetId="263" r:id="rId219"/>
    <sheet name="11.18.22" sheetId="264" r:id="rId220"/>
    <sheet name="11.19.22" sheetId="265" r:id="rId221"/>
    <sheet name="11.20.22" sheetId="266" r:id="rId222"/>
    <sheet name="11.21.22" sheetId="267" r:id="rId223"/>
    <sheet name="11.22.22" sheetId="268" r:id="rId224"/>
    <sheet name="11.27.22" sheetId="269" r:id="rId225"/>
    <sheet name="11.28.22" sheetId="270" r:id="rId226"/>
    <sheet name="11.29.22" sheetId="271" r:id="rId227"/>
    <sheet name="11.30.22" sheetId="272" r:id="rId228"/>
    <sheet name="12.01.22" sheetId="274" r:id="rId229"/>
    <sheet name="12.02.22" sheetId="275" r:id="rId230"/>
    <sheet name="12.03.22" sheetId="276" r:id="rId231"/>
    <sheet name="12.04.22" sheetId="277" r:id="rId232"/>
    <sheet name="12.05.22" sheetId="278" r:id="rId233"/>
    <sheet name="12.06.22" sheetId="279" r:id="rId234"/>
    <sheet name="12.07.22" sheetId="280" r:id="rId235"/>
    <sheet name="12.08.22" sheetId="281" r:id="rId236"/>
    <sheet name="12.13.22" sheetId="282" r:id="rId237"/>
    <sheet name="1.08.23" sheetId="284" r:id="rId238"/>
    <sheet name="1.09.23" sheetId="285" r:id="rId239"/>
    <sheet name="1.10.23" sheetId="286" r:id="rId240"/>
    <sheet name="1.11.23" sheetId="287" r:id="rId241"/>
    <sheet name="1.12.23" sheetId="288" r:id="rId242"/>
    <sheet name="1.13.23" sheetId="289" r:id="rId243"/>
    <sheet name="1.16.23" sheetId="290" r:id="rId244"/>
    <sheet name="1.17.23" sheetId="291" r:id="rId245"/>
    <sheet name="1.18.23" sheetId="292" r:id="rId246"/>
    <sheet name="1.19.23" sheetId="293" r:id="rId247"/>
    <sheet name="1.20.23" sheetId="294" r:id="rId248"/>
    <sheet name="1.21.23" sheetId="295" r:id="rId249"/>
    <sheet name="1.22.23" sheetId="296" r:id="rId250"/>
    <sheet name="1.23.23" sheetId="297" r:id="rId251"/>
    <sheet name="1.24.23" sheetId="298" r:id="rId252"/>
    <sheet name="1.25.23" sheetId="299" r:id="rId253"/>
    <sheet name="1.26.23" sheetId="300" r:id="rId254"/>
    <sheet name="1.27.23" sheetId="301" r:id="rId255"/>
    <sheet name="1.28.23" sheetId="302" r:id="rId256"/>
    <sheet name="1.29.23" sheetId="303" r:id="rId257"/>
    <sheet name="1.30.23" sheetId="304" r:id="rId258"/>
    <sheet name="1.31.23" sheetId="306" r:id="rId259"/>
    <sheet name="2.01.23" sheetId="307" r:id="rId260"/>
    <sheet name="2.02.23" sheetId="309" r:id="rId261"/>
    <sheet name="2.03.23" sheetId="310" r:id="rId262"/>
    <sheet name="2.04.23" sheetId="311" r:id="rId263"/>
    <sheet name="2.05.23" sheetId="312" r:id="rId264"/>
    <sheet name="2.06.23" sheetId="313" r:id="rId265"/>
    <sheet name="2.07.23" sheetId="314" r:id="rId266"/>
    <sheet name="2.08.23" sheetId="315" r:id="rId267"/>
    <sheet name="2.09.23" sheetId="316" r:id="rId268"/>
    <sheet name="2.10.23" sheetId="317" r:id="rId269"/>
    <sheet name="2.11.23" sheetId="318" r:id="rId270"/>
    <sheet name="2.12.23" sheetId="319" r:id="rId271"/>
    <sheet name="2.13.23" sheetId="320" r:id="rId272"/>
    <sheet name="2.14.23" sheetId="321" r:id="rId273"/>
    <sheet name="2.15.23" sheetId="322" r:id="rId274"/>
    <sheet name="2.16.23" sheetId="324" r:id="rId275"/>
    <sheet name="2.17.23" sheetId="325" r:id="rId276"/>
    <sheet name="2.20.23" sheetId="327" r:id="rId277"/>
    <sheet name="2.21.23" sheetId="328" r:id="rId278"/>
    <sheet name="2.22.23" sheetId="329" r:id="rId279"/>
    <sheet name="2.23.23" sheetId="330" r:id="rId280"/>
    <sheet name="2.24.23" sheetId="334" r:id="rId281"/>
    <sheet name="2.25.23" sheetId="335" r:id="rId282"/>
    <sheet name="2.26.23" sheetId="336" r:id="rId283"/>
    <sheet name="2.27.23" sheetId="337" r:id="rId284"/>
    <sheet name="2.28.23" sheetId="338" r:id="rId285"/>
    <sheet name="3.1.23" sheetId="351" r:id="rId286"/>
    <sheet name="3.2.23" sheetId="352" r:id="rId287"/>
    <sheet name="3.3.23" sheetId="353" r:id="rId288"/>
    <sheet name="3.4.23" sheetId="354" r:id="rId289"/>
    <sheet name="3.5.23" sheetId="355" r:id="rId290"/>
    <sheet name="3.6.23" sheetId="356" r:id="rId291"/>
    <sheet name="3.7.23" sheetId="357" r:id="rId292"/>
    <sheet name="3.8.23" sheetId="358" r:id="rId293"/>
    <sheet name="3.9.23" sheetId="359" r:id="rId294"/>
    <sheet name="3.10.23" sheetId="360" r:id="rId295"/>
    <sheet name="3.11.23" sheetId="361" r:id="rId296"/>
    <sheet name="3.12.23" sheetId="362" r:id="rId297"/>
    <sheet name="3.13.23" sheetId="363" r:id="rId298"/>
    <sheet name="3.14.23" sheetId="364" r:id="rId299"/>
    <sheet name="3.15.23" sheetId="365" r:id="rId300"/>
    <sheet name="3.16.23" sheetId="366" r:id="rId301"/>
    <sheet name="3.17.23" sheetId="367" r:id="rId302"/>
    <sheet name="3.18.23" sheetId="368" r:id="rId303"/>
    <sheet name="3.19.23" sheetId="369" r:id="rId304"/>
    <sheet name="3.20.23" sheetId="370" r:id="rId305"/>
    <sheet name="3.21.23" sheetId="371" r:id="rId306"/>
    <sheet name="3.22.23" sheetId="372" r:id="rId307"/>
    <sheet name="3.23.23" sheetId="373" r:id="rId308"/>
    <sheet name="4.2.23" sheetId="375" r:id="rId309"/>
    <sheet name="4.3.23" sheetId="376" r:id="rId310"/>
    <sheet name="4.4.23" sheetId="377" r:id="rId311"/>
    <sheet name="4.5.23" sheetId="379" r:id="rId312"/>
    <sheet name="4.6.23" sheetId="380" r:id="rId313"/>
    <sheet name="4.7.23" sheetId="385" r:id="rId314"/>
    <sheet name="4.8.23" sheetId="386" r:id="rId315"/>
    <sheet name="4.9.23" sheetId="387" r:id="rId316"/>
    <sheet name="4.10.23" sheetId="388" r:id="rId317"/>
    <sheet name="4.11.23" sheetId="389" r:id="rId318"/>
    <sheet name="4.12.23" sheetId="390" r:id="rId319"/>
    <sheet name="4.13.23" sheetId="391" r:id="rId320"/>
    <sheet name="4.14.23" sheetId="392" r:id="rId321"/>
    <sheet name="4.15.23" sheetId="393" r:id="rId322"/>
    <sheet name="4.16.23" sheetId="394" r:id="rId323"/>
    <sheet name="4.17.23" sheetId="395" r:id="rId324"/>
    <sheet name="4.18.23" sheetId="396" r:id="rId325"/>
    <sheet name="4.19.23" sheetId="397" r:id="rId326"/>
    <sheet name="4.20.23" sheetId="398" r:id="rId327"/>
    <sheet name="4.21.23" sheetId="399" r:id="rId328"/>
    <sheet name="4.22.23" sheetId="400" r:id="rId329"/>
    <sheet name="4.23.23" sheetId="401" r:id="rId330"/>
    <sheet name="4.24.23" sheetId="402" r:id="rId331"/>
    <sheet name="4.25.23" sheetId="403" r:id="rId332"/>
    <sheet name="4.26.23" sheetId="404" r:id="rId333"/>
    <sheet name="4.27.23" sheetId="405" r:id="rId334"/>
    <sheet name="4.28.23" sheetId="406" r:id="rId335"/>
    <sheet name="4.29.23" sheetId="407" r:id="rId336"/>
    <sheet name="4.30.23" sheetId="408" r:id="rId337"/>
    <sheet name="5.01.23" sheetId="410" r:id="rId338"/>
    <sheet name="5.02.23" sheetId="411" r:id="rId339"/>
    <sheet name="5.03.23" sheetId="412" r:id="rId340"/>
    <sheet name="5.04.23" sheetId="413" r:id="rId341"/>
    <sheet name="5.05.23" sheetId="414" r:id="rId342"/>
    <sheet name="5.06.23" sheetId="415" r:id="rId343"/>
    <sheet name="5.07.23" sheetId="416" r:id="rId344"/>
    <sheet name="5.08.23" sheetId="417" r:id="rId345"/>
    <sheet name="5.09.23" sheetId="418" r:id="rId346"/>
    <sheet name="5.10.23" sheetId="419" r:id="rId347"/>
    <sheet name="5.11.23" sheetId="420" r:id="rId348"/>
    <sheet name="5.12.23" sheetId="421" r:id="rId349"/>
    <sheet name="5.13.23" sheetId="422" r:id="rId350"/>
    <sheet name="5.14.23" sheetId="423" r:id="rId351"/>
    <sheet name="5.15.23" sheetId="424" r:id="rId352"/>
    <sheet name="5.16.23" sheetId="425" r:id="rId353"/>
    <sheet name="5.17.23" sheetId="426" r:id="rId354"/>
    <sheet name="5.18.23" sheetId="427" r:id="rId355"/>
    <sheet name="5.19.23" sheetId="428" r:id="rId356"/>
    <sheet name="5.20.23" sheetId="429" r:id="rId357"/>
    <sheet name="5.21.23" sheetId="430" r:id="rId358"/>
    <sheet name="5.22.23" sheetId="431" r:id="rId359"/>
    <sheet name="5.23.23" sheetId="432" r:id="rId360"/>
    <sheet name="5.24.23" sheetId="433" r:id="rId361"/>
    <sheet name="5.25.23" sheetId="434" r:id="rId362"/>
    <sheet name="5.26.23" sheetId="435" r:id="rId363"/>
    <sheet name="5.27.23" sheetId="436" r:id="rId364"/>
    <sheet name="5.28.23" sheetId="437" r:id="rId365"/>
    <sheet name="5.29.23" sheetId="438" r:id="rId366"/>
    <sheet name="5.30.23" sheetId="439" r:id="rId367"/>
    <sheet name="5.31.23" sheetId="440" r:id="rId368"/>
    <sheet name="6.01.23" sheetId="442" r:id="rId369"/>
    <sheet name="6.02.23" sheetId="443" r:id="rId370"/>
    <sheet name="6.03.23" sheetId="444" r:id="rId371"/>
    <sheet name="6.04.23" sheetId="445" r:id="rId372"/>
    <sheet name="6.5.23" sheetId="446" r:id="rId373"/>
    <sheet name="6.6.23" sheetId="447" r:id="rId374"/>
    <sheet name="6.7.23" sheetId="448" r:id="rId375"/>
    <sheet name="6.8.23" sheetId="450" r:id="rId376"/>
    <sheet name="6.9.23" sheetId="451" r:id="rId377"/>
    <sheet name="6.10.23" sheetId="452" r:id="rId378"/>
    <sheet name="6.11.23" sheetId="453" r:id="rId379"/>
    <sheet name="6.12.23" sheetId="454" r:id="rId380"/>
    <sheet name="UCLA Master Vendor List 22.23" sheetId="194" r:id="rId381"/>
    <sheet name="UCLA Master Vendor List" sheetId="103" state="hidden" r:id="rId382"/>
    <sheet name="UCLA Master Vendor June 2022" sheetId="190" state="hidden" r:id="rId383"/>
    <sheet name="UCLA Master Vendor May 2022" sheetId="170" state="hidden" r:id="rId384"/>
    <sheet name="UCLA Master Vendor April 2022" sheetId="141" state="hidden" r:id="rId385"/>
    <sheet name="UCLA Master Vendor March 2022" sheetId="112" state="hidden" r:id="rId386"/>
    <sheet name="Patron Counts v Swipes" sheetId="43" state="hidden" r:id="rId387"/>
    <sheet name="Blackboard Daily Counts" sheetId="191" r:id="rId388"/>
    <sheet name="UCLA Master Vendor May 2023" sheetId="441" r:id="rId389"/>
    <sheet name="UCLA Master Vendor Apr 2023" sheetId="409" r:id="rId390"/>
    <sheet name="UCLA Master Vendor Mar 2023" sheetId="374" r:id="rId391"/>
    <sheet name="UCLA Master Vendor Feb 2023" sheetId="349" r:id="rId392"/>
    <sheet name="UCLA Master Vendor Jan 2023" sheetId="308" r:id="rId393"/>
    <sheet name="UCLA Master Vendor Dec 2022" sheetId="283" r:id="rId394"/>
    <sheet name="UCLA Master Vendor Nov 2022" sheetId="273" r:id="rId395"/>
    <sheet name="UCLA Master Vendor Oct 2022" sheetId="246" r:id="rId396"/>
    <sheet name="UCLA Master Vendor Sep 2022" sheetId="215" r:id="rId397"/>
    <sheet name="Monthly Allocated Patron Counts" sheetId="71" state="hidden" r:id="rId398"/>
    <sheet name="Meal Ticket Totals 2022.23" sheetId="192" r:id="rId399"/>
    <sheet name="Meal Ticket Totals" sheetId="77" state="hidden" r:id="rId400"/>
    <sheet name="Meal Ticket Totals 2022.23 (2)" sheetId="383" r:id="rId401"/>
    <sheet name="Vendor Info" sheetId="196" r:id="rId402"/>
    <sheet name="Vendor Listing UCOP 11.1.22" sheetId="245" r:id="rId403"/>
    <sheet name="Thank you Thursday Ticket Count" sheetId="333" r:id="rId404"/>
    <sheet name="Ranking" sheetId="384" r:id="rId405"/>
    <sheet name="ASUCLA" sheetId="449" r:id="rId406"/>
    <sheet name="Meal Ticket Totals (2)" sheetId="148" state="hidden" r:id="rId407"/>
    <sheet name="Patron Counts" sheetId="16" state="hidden" r:id="rId408"/>
    <sheet name="Meal Coupon Log - For ASUCLA" sheetId="15" state="hidden" r:id="rId409"/>
    <sheet name="Master Vendor List (2)" sheetId="25" state="hidden" r:id="rId410"/>
  </sheets>
  <definedNames>
    <definedName name="_xlnm._FilterDatabase" localSheetId="409" hidden="1">'Master Vendor List (2)'!$A$1:$B$2</definedName>
    <definedName name="_xlnm._FilterDatabase" localSheetId="389" hidden="1">'UCLA Master Vendor Apr 2023'!#REF!</definedName>
    <definedName name="_xlnm._FilterDatabase" localSheetId="384" hidden="1">'UCLA Master Vendor April 2022'!$BY$5:$BY$50</definedName>
    <definedName name="_xlnm._FilterDatabase" localSheetId="393" hidden="1">'UCLA Master Vendor Dec 2022'!#REF!</definedName>
    <definedName name="_xlnm._FilterDatabase" localSheetId="391" hidden="1">'UCLA Master Vendor Feb 2023'!#REF!</definedName>
    <definedName name="_xlnm._FilterDatabase" localSheetId="392" hidden="1">'UCLA Master Vendor Jan 2023'!#REF!</definedName>
    <definedName name="_xlnm._FilterDatabase" localSheetId="382" hidden="1">'UCLA Master Vendor June 2022'!$V$5:$V$50</definedName>
    <definedName name="_xlnm._FilterDatabase" localSheetId="381" hidden="1">'UCLA Master Vendor List'!$CJ$5:$CJ$50</definedName>
    <definedName name="_xlnm._FilterDatabase" localSheetId="380" hidden="1">'UCLA Master Vendor List 22.23'!#REF!</definedName>
    <definedName name="_xlnm._FilterDatabase" localSheetId="390" hidden="1">'UCLA Master Vendor Mar 2023'!#REF!</definedName>
    <definedName name="_xlnm._FilterDatabase" localSheetId="385" hidden="1">'UCLA Master Vendor March 2022'!$BR$5:$BR$49</definedName>
    <definedName name="_xlnm._FilterDatabase" localSheetId="383" hidden="1">'UCLA Master Vendor May 2022'!$AO$5:$AO$50</definedName>
    <definedName name="_xlnm._FilterDatabase" localSheetId="388" hidden="1">'UCLA Master Vendor May 2023'!#REF!</definedName>
    <definedName name="_xlnm._FilterDatabase" localSheetId="394" hidden="1">'UCLA Master Vendor Nov 2022'!#REF!</definedName>
    <definedName name="_xlnm._FilterDatabase" localSheetId="395" hidden="1">'UCLA Master Vendor Oct 2022'!#REF!</definedName>
    <definedName name="_xlnm._FilterDatabase" localSheetId="396" hidden="1">'UCLA Master Vendor Sep 2022'!$R$6:$R$59</definedName>
    <definedName name="_xlnm._FilterDatabase" localSheetId="401" hidden="1">'Vendor Info'!$A$1:$M$69</definedName>
    <definedName name="_xlnm.Print_Area" localSheetId="409">'Master Vendor List (2)'!$B$3:$B$30</definedName>
    <definedName name="_xlnm.Print_Area" localSheetId="399">'Meal Ticket Totals'!$A$1:$O$14</definedName>
    <definedName name="_xlnm.Print_Area" localSheetId="406">'Meal Ticket Totals (2)'!$A$1:$O$12</definedName>
    <definedName name="_xlnm.Print_Area" localSheetId="398">'Meal Ticket Totals 2022.23'!$A$1:$O$39</definedName>
    <definedName name="_xlnm.Print_Area" localSheetId="400">'Meal Ticket Totals 2022.23 (2)'!$A$29:$I$36</definedName>
    <definedName name="_xlnm.Print_Area" localSheetId="386">'Patron Counts v Swipes'!#REF!</definedName>
    <definedName name="_xlnm.Print_Area" localSheetId="404">Ranking!$A$1:$D$128</definedName>
    <definedName name="_xlnm.Print_Area" localSheetId="389">'UCLA Master Vendor Apr 2023'!$AP$2:$AS$64</definedName>
    <definedName name="_xlnm.Print_Area" localSheetId="384">'UCLA Master Vendor April 2022'!$A$1:$BY$51</definedName>
    <definedName name="_xlnm.Print_Area" localSheetId="393">'UCLA Master Vendor Dec 2022'!$FK$2:$FN$62</definedName>
    <definedName name="_xlnm.Print_Area" localSheetId="391">'UCLA Master Vendor Feb 2023'!$AN$2:$AQ$64</definedName>
    <definedName name="_xlnm.Print_Area" localSheetId="392">'UCLA Master Vendor Jan 2023'!$AJ$2:$AM$64</definedName>
    <definedName name="_xlnm.Print_Area" localSheetId="382">'UCLA Master Vendor June 2022'!$AB$2:$AE$51</definedName>
    <definedName name="_xlnm.Print_Area" localSheetId="381">'UCLA Master Vendor List'!$CP$2:$CS$51</definedName>
    <definedName name="_xlnm.Print_Area" localSheetId="380">'UCLA Master Vendor List 22.23'!$IV$2:$IY$64</definedName>
    <definedName name="_xlnm.Print_Area" localSheetId="390">'UCLA Master Vendor Mar 2023'!$AR$2:$AU$64</definedName>
    <definedName name="_xlnm.Print_Area" localSheetId="385">'UCLA Master Vendor March 2022'!$A$1:$BR$50</definedName>
    <definedName name="_xlnm.Print_Area" localSheetId="383">'UCLA Master Vendor May 2022'!$A$1:$AO$51</definedName>
    <definedName name="_xlnm.Print_Area" localSheetId="388">'UCLA Master Vendor May 2023'!$AQ$2:$AT$64</definedName>
    <definedName name="_xlnm.Print_Area" localSheetId="394">'UCLA Master Vendor Nov 2022'!$AP$2:$AS$61</definedName>
    <definedName name="_xlnm.Print_Area" localSheetId="395">'UCLA Master Vendor Oct 2022'!$AQ$2:$AT$61</definedName>
    <definedName name="_xlnm.Print_Area" localSheetId="396">'UCLA Master Vendor Sep 2022'!$W$2:$Z$60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2" i="454" l="1"/>
  <c r="E35" i="454" s="1"/>
  <c r="E31" i="454"/>
  <c r="E30" i="454"/>
  <c r="E29" i="454"/>
  <c r="E28" i="454"/>
  <c r="E27" i="454"/>
  <c r="D22" i="454"/>
  <c r="E22" i="454" s="1"/>
  <c r="E21" i="454"/>
  <c r="E20" i="454"/>
  <c r="E19" i="454"/>
  <c r="E18" i="454"/>
  <c r="E17" i="454"/>
  <c r="D12" i="454"/>
  <c r="C35" i="454" s="1"/>
  <c r="E11" i="454"/>
  <c r="E10" i="454"/>
  <c r="E9" i="454"/>
  <c r="E8" i="454"/>
  <c r="E7" i="454"/>
  <c r="E32" i="454" l="1"/>
  <c r="E36" i="454" s="1"/>
  <c r="E12" i="454"/>
  <c r="C36" i="454"/>
  <c r="D35" i="454"/>
  <c r="D36" i="454" s="1"/>
  <c r="IH66" i="194"/>
  <c r="IJ66" i="194"/>
  <c r="IH64" i="194"/>
  <c r="II64" i="194"/>
  <c r="II66" i="194" s="1"/>
  <c r="IJ64" i="194"/>
  <c r="E27" i="451"/>
  <c r="IE26" i="194" s="1"/>
  <c r="E38" i="454" l="1"/>
  <c r="C38" i="454"/>
  <c r="C39" i="454" s="1"/>
  <c r="E39" i="454" s="1"/>
  <c r="D32" i="453"/>
  <c r="E35" i="453" s="1"/>
  <c r="E31" i="453"/>
  <c r="E30" i="453"/>
  <c r="E29" i="453"/>
  <c r="E28" i="453"/>
  <c r="IG15" i="194" s="1"/>
  <c r="E27" i="453"/>
  <c r="D22" i="453"/>
  <c r="E22" i="453" s="1"/>
  <c r="E21" i="453"/>
  <c r="E20" i="453"/>
  <c r="E19" i="453"/>
  <c r="E18" i="453"/>
  <c r="E17" i="453"/>
  <c r="IG13" i="194" s="1"/>
  <c r="D12" i="453"/>
  <c r="C35" i="453" s="1"/>
  <c r="E11" i="453"/>
  <c r="E10" i="453"/>
  <c r="E9" i="453"/>
  <c r="E8" i="453"/>
  <c r="IG10" i="194" s="1"/>
  <c r="E7" i="453"/>
  <c r="IG54" i="194" s="1"/>
  <c r="D32" i="452"/>
  <c r="E35" i="452" s="1"/>
  <c r="E31" i="452"/>
  <c r="E30" i="452"/>
  <c r="E29" i="452"/>
  <c r="E28" i="452"/>
  <c r="IF9" i="194" s="1"/>
  <c r="E27" i="452"/>
  <c r="IF37" i="194" s="1"/>
  <c r="D22" i="452"/>
  <c r="E22" i="452" s="1"/>
  <c r="E21" i="452"/>
  <c r="E20" i="452"/>
  <c r="E19" i="452"/>
  <c r="E18" i="452"/>
  <c r="IF44" i="194" s="1"/>
  <c r="E17" i="452"/>
  <c r="IF3" i="194" s="1"/>
  <c r="D12" i="452"/>
  <c r="C35" i="452" s="1"/>
  <c r="E11" i="452"/>
  <c r="E10" i="452"/>
  <c r="E9" i="452"/>
  <c r="E8" i="452"/>
  <c r="IF20" i="194" s="1"/>
  <c r="E7" i="452"/>
  <c r="IF21" i="194" s="1"/>
  <c r="D32" i="451"/>
  <c r="E35" i="451" s="1"/>
  <c r="E31" i="451"/>
  <c r="E30" i="451"/>
  <c r="E29" i="451"/>
  <c r="E28" i="451"/>
  <c r="IE15" i="194" s="1"/>
  <c r="D22" i="451"/>
  <c r="E22" i="451" s="1"/>
  <c r="E21" i="451"/>
  <c r="E20" i="451"/>
  <c r="E19" i="451"/>
  <c r="E18" i="451"/>
  <c r="IE59" i="194" s="1"/>
  <c r="E17" i="451"/>
  <c r="IE48" i="194" s="1"/>
  <c r="D12" i="451"/>
  <c r="C35" i="451" s="1"/>
  <c r="E11" i="451"/>
  <c r="E10" i="451"/>
  <c r="E9" i="451"/>
  <c r="E8" i="451"/>
  <c r="IE54" i="194" s="1"/>
  <c r="E7" i="451"/>
  <c r="IE24" i="194" s="1"/>
  <c r="E40" i="454" l="1"/>
  <c r="E32" i="453"/>
  <c r="E36" i="453" s="1"/>
  <c r="IG5" i="194"/>
  <c r="IG64" i="194" s="1"/>
  <c r="E12" i="453"/>
  <c r="E32" i="452"/>
  <c r="E36" i="452" s="1"/>
  <c r="C36" i="453"/>
  <c r="D35" i="453"/>
  <c r="D36" i="453" s="1"/>
  <c r="E32" i="451"/>
  <c r="E36" i="451" s="1"/>
  <c r="E12" i="452"/>
  <c r="C36" i="452"/>
  <c r="D35" i="452"/>
  <c r="D36" i="452" s="1"/>
  <c r="E12" i="451"/>
  <c r="C36" i="451"/>
  <c r="D35" i="451"/>
  <c r="D36" i="451" s="1"/>
  <c r="F259" i="191"/>
  <c r="IG66" i="194" l="1"/>
  <c r="E38" i="453"/>
  <c r="IG65" i="194" s="1"/>
  <c r="C38" i="453"/>
  <c r="C39" i="453" s="1"/>
  <c r="E39" i="453" s="1"/>
  <c r="E38" i="452"/>
  <c r="IF65" i="194" s="1"/>
  <c r="C38" i="452"/>
  <c r="C39" i="452" s="1"/>
  <c r="E39" i="452" s="1"/>
  <c r="E38" i="451"/>
  <c r="IE65" i="194" s="1"/>
  <c r="C38" i="451"/>
  <c r="C39" i="451" s="1"/>
  <c r="E39" i="451" s="1"/>
  <c r="D32" i="450"/>
  <c r="E35" i="450" s="1"/>
  <c r="E31" i="450"/>
  <c r="E30" i="450"/>
  <c r="E29" i="450"/>
  <c r="E28" i="450"/>
  <c r="ID49" i="194" s="1"/>
  <c r="E27" i="450"/>
  <c r="ID4" i="194" s="1"/>
  <c r="D22" i="450"/>
  <c r="E22" i="450" s="1"/>
  <c r="E21" i="450"/>
  <c r="E20" i="450"/>
  <c r="E19" i="450"/>
  <c r="E18" i="450"/>
  <c r="ID40" i="194" s="1"/>
  <c r="E17" i="450"/>
  <c r="ID3" i="194" s="1"/>
  <c r="D12" i="450"/>
  <c r="C35" i="450" s="1"/>
  <c r="E11" i="450"/>
  <c r="E10" i="450"/>
  <c r="E9" i="450"/>
  <c r="E8" i="450"/>
  <c r="ID60" i="194" s="1"/>
  <c r="E7" i="450"/>
  <c r="ID39" i="194" s="1"/>
  <c r="E40" i="453" l="1"/>
  <c r="E40" i="452"/>
  <c r="E40" i="451"/>
  <c r="E32" i="450"/>
  <c r="E36" i="450" s="1"/>
  <c r="E12" i="450"/>
  <c r="C36" i="450"/>
  <c r="D35" i="450"/>
  <c r="D36" i="450" s="1"/>
  <c r="IL22" i="194"/>
  <c r="IL28" i="194"/>
  <c r="IL29" i="194"/>
  <c r="IL30" i="194"/>
  <c r="IL31" i="194"/>
  <c r="IL32" i="194"/>
  <c r="IL33" i="194"/>
  <c r="IL41" i="194"/>
  <c r="IL45" i="194"/>
  <c r="IL47" i="194"/>
  <c r="IL50" i="194"/>
  <c r="IL53" i="194"/>
  <c r="IL55" i="194"/>
  <c r="IL58" i="194"/>
  <c r="IL61" i="194"/>
  <c r="IL62" i="194"/>
  <c r="ID64" i="194"/>
  <c r="IE64" i="194"/>
  <c r="IE66" i="194" s="1"/>
  <c r="IF64" i="194"/>
  <c r="IF66" i="194" s="1"/>
  <c r="E38" i="450" l="1"/>
  <c r="ID65" i="194" s="1"/>
  <c r="ID66" i="194" s="1"/>
  <c r="C38" i="450"/>
  <c r="C39" i="450" s="1"/>
  <c r="E39" i="450" s="1"/>
  <c r="D32" i="448"/>
  <c r="E35" i="448" s="1"/>
  <c r="E31" i="448"/>
  <c r="E30" i="448"/>
  <c r="E29" i="448"/>
  <c r="E28" i="448"/>
  <c r="IC15" i="194" s="1"/>
  <c r="E27" i="448"/>
  <c r="D22" i="448"/>
  <c r="E22" i="448" s="1"/>
  <c r="E21" i="448"/>
  <c r="E20" i="448"/>
  <c r="E19" i="448"/>
  <c r="E18" i="448"/>
  <c r="E17" i="448"/>
  <c r="IC37" i="194" s="1"/>
  <c r="D12" i="448"/>
  <c r="C35" i="448" s="1"/>
  <c r="E11" i="448"/>
  <c r="E10" i="448"/>
  <c r="E9" i="448"/>
  <c r="E8" i="448"/>
  <c r="IC23" i="194" s="1"/>
  <c r="E7" i="448"/>
  <c r="IC17" i="194" s="1"/>
  <c r="IC8" i="194" l="1"/>
  <c r="E40" i="450"/>
  <c r="IC64" i="194"/>
  <c r="E32" i="448"/>
  <c r="E36" i="448" s="1"/>
  <c r="E12" i="448"/>
  <c r="C36" i="448"/>
  <c r="D35" i="448"/>
  <c r="D36" i="448" s="1"/>
  <c r="D32" i="447"/>
  <c r="E35" i="447" s="1"/>
  <c r="E31" i="447"/>
  <c r="E30" i="447"/>
  <c r="E29" i="447"/>
  <c r="E28" i="447"/>
  <c r="IB18" i="194" s="1"/>
  <c r="E27" i="447"/>
  <c r="IB39" i="194" s="1"/>
  <c r="D22" i="447"/>
  <c r="E22" i="447" s="1"/>
  <c r="E21" i="447"/>
  <c r="E20" i="447"/>
  <c r="E19" i="447"/>
  <c r="E18" i="447"/>
  <c r="IB3" i="194" s="1"/>
  <c r="E17" i="447"/>
  <c r="IB44" i="194" s="1"/>
  <c r="D12" i="447"/>
  <c r="C35" i="447" s="1"/>
  <c r="E11" i="447"/>
  <c r="E10" i="447"/>
  <c r="E9" i="447"/>
  <c r="E8" i="447"/>
  <c r="IB8" i="194" s="1"/>
  <c r="E7" i="447"/>
  <c r="IB4" i="194" s="1"/>
  <c r="IB64" i="194" l="1"/>
  <c r="E38" i="448"/>
  <c r="IC65" i="194" s="1"/>
  <c r="IC66" i="194" s="1"/>
  <c r="C38" i="448"/>
  <c r="C39" i="448" s="1"/>
  <c r="E39" i="448" s="1"/>
  <c r="E32" i="447"/>
  <c r="E36" i="447" s="1"/>
  <c r="E12" i="447"/>
  <c r="C36" i="447"/>
  <c r="D35" i="447"/>
  <c r="D36" i="447" s="1"/>
  <c r="D32" i="446"/>
  <c r="E35" i="446" s="1"/>
  <c r="E31" i="446"/>
  <c r="E30" i="446"/>
  <c r="E29" i="446"/>
  <c r="E28" i="446"/>
  <c r="IA36" i="194" s="1"/>
  <c r="E27" i="446"/>
  <c r="D22" i="446"/>
  <c r="E22" i="446" s="1"/>
  <c r="E21" i="446"/>
  <c r="E20" i="446"/>
  <c r="E19" i="446"/>
  <c r="E18" i="446"/>
  <c r="IA34" i="194" s="1"/>
  <c r="E17" i="446"/>
  <c r="IA52" i="194" s="1"/>
  <c r="D12" i="446"/>
  <c r="C35" i="446" s="1"/>
  <c r="E11" i="446"/>
  <c r="E10" i="446"/>
  <c r="E9" i="446"/>
  <c r="E8" i="446"/>
  <c r="IA14" i="194" s="1"/>
  <c r="E7" i="446"/>
  <c r="IA27" i="194" s="1"/>
  <c r="E40" i="448" l="1"/>
  <c r="E38" i="447"/>
  <c r="IB65" i="194" s="1"/>
  <c r="IB66" i="194" s="1"/>
  <c r="C38" i="447"/>
  <c r="C39" i="447" s="1"/>
  <c r="E39" i="447" s="1"/>
  <c r="E32" i="446"/>
  <c r="E36" i="446" s="1"/>
  <c r="E12" i="446"/>
  <c r="C36" i="446"/>
  <c r="D35" i="446"/>
  <c r="D36" i="446" s="1"/>
  <c r="C105" i="333"/>
  <c r="C106" i="333"/>
  <c r="C107" i="333"/>
  <c r="C108" i="333"/>
  <c r="C109" i="333"/>
  <c r="C110" i="333"/>
  <c r="C111" i="333"/>
  <c r="C112" i="333"/>
  <c r="C113" i="333"/>
  <c r="C114" i="333"/>
  <c r="C115" i="333"/>
  <c r="C116" i="333"/>
  <c r="C117" i="333"/>
  <c r="C118" i="333"/>
  <c r="C119" i="333"/>
  <c r="C120" i="333"/>
  <c r="C104" i="333"/>
  <c r="E38" i="446" l="1"/>
  <c r="IA65" i="194" s="1"/>
  <c r="E40" i="447"/>
  <c r="C38" i="446"/>
  <c r="C39" i="446" s="1"/>
  <c r="E39" i="446" s="1"/>
  <c r="E40" i="446" s="1"/>
  <c r="D32" i="445"/>
  <c r="E35" i="445" s="1"/>
  <c r="E31" i="445"/>
  <c r="E30" i="445"/>
  <c r="E29" i="445"/>
  <c r="E28" i="445"/>
  <c r="HZ42" i="194" s="1"/>
  <c r="E27" i="445"/>
  <c r="HZ10" i="194" s="1"/>
  <c r="D22" i="445"/>
  <c r="E22" i="445" s="1"/>
  <c r="E21" i="445"/>
  <c r="E20" i="445"/>
  <c r="E19" i="445"/>
  <c r="E18" i="445"/>
  <c r="E17" i="445"/>
  <c r="HZ39" i="194" s="1"/>
  <c r="D12" i="445"/>
  <c r="C35" i="445" s="1"/>
  <c r="E11" i="445"/>
  <c r="E10" i="445"/>
  <c r="E9" i="445"/>
  <c r="E8" i="445"/>
  <c r="HZ5" i="194" s="1"/>
  <c r="E7" i="445"/>
  <c r="D32" i="444"/>
  <c r="E35" i="444" s="1"/>
  <c r="E31" i="444"/>
  <c r="E30" i="444"/>
  <c r="E29" i="444"/>
  <c r="E28" i="444"/>
  <c r="HY15" i="194" s="1"/>
  <c r="E27" i="444"/>
  <c r="HY8" i="194" s="1"/>
  <c r="D22" i="444"/>
  <c r="E22" i="444" s="1"/>
  <c r="E21" i="444"/>
  <c r="E20" i="444"/>
  <c r="E19" i="444"/>
  <c r="E18" i="444"/>
  <c r="HY51" i="194" s="1"/>
  <c r="E17" i="444"/>
  <c r="HY17" i="194" s="1"/>
  <c r="D12" i="444"/>
  <c r="C35" i="444" s="1"/>
  <c r="E11" i="444"/>
  <c r="E10" i="444"/>
  <c r="E9" i="444"/>
  <c r="E8" i="444"/>
  <c r="HY10" i="194" s="1"/>
  <c r="E7" i="444"/>
  <c r="HY44" i="194" s="1"/>
  <c r="D32" i="443"/>
  <c r="E35" i="443" s="1"/>
  <c r="E31" i="443"/>
  <c r="E30" i="443"/>
  <c r="E29" i="443"/>
  <c r="E28" i="443"/>
  <c r="HX15" i="194" s="1"/>
  <c r="E27" i="443"/>
  <c r="HX23" i="194" s="1"/>
  <c r="D22" i="443"/>
  <c r="E22" i="443" s="1"/>
  <c r="E21" i="443"/>
  <c r="E20" i="443"/>
  <c r="E19" i="443"/>
  <c r="E18" i="443"/>
  <c r="HX21" i="194" s="1"/>
  <c r="E17" i="443"/>
  <c r="HX37" i="194" s="1"/>
  <c r="D12" i="443"/>
  <c r="C35" i="443" s="1"/>
  <c r="E11" i="443"/>
  <c r="E10" i="443"/>
  <c r="E9" i="443"/>
  <c r="E8" i="443"/>
  <c r="HX4" i="194" s="1"/>
  <c r="E7" i="443"/>
  <c r="HX13" i="194" s="1"/>
  <c r="HZ46" i="194" l="1"/>
  <c r="E32" i="444"/>
  <c r="E36" i="444" s="1"/>
  <c r="E32" i="445"/>
  <c r="E36" i="445" s="1"/>
  <c r="E12" i="445"/>
  <c r="C36" i="445"/>
  <c r="D35" i="445"/>
  <c r="D36" i="445" s="1"/>
  <c r="E32" i="443"/>
  <c r="E36" i="443" s="1"/>
  <c r="E12" i="444"/>
  <c r="C36" i="444"/>
  <c r="D35" i="444"/>
  <c r="D36" i="444" s="1"/>
  <c r="E12" i="443"/>
  <c r="C36" i="443"/>
  <c r="D35" i="443"/>
  <c r="D36" i="443" s="1"/>
  <c r="G37" i="383"/>
  <c r="E38" i="444" l="1"/>
  <c r="HY65" i="194" s="1"/>
  <c r="E38" i="445"/>
  <c r="HZ65" i="194" s="1"/>
  <c r="C38" i="445"/>
  <c r="C39" i="445" s="1"/>
  <c r="E39" i="445" s="1"/>
  <c r="C38" i="444"/>
  <c r="C39" i="444" s="1"/>
  <c r="E39" i="444" s="1"/>
  <c r="E38" i="443"/>
  <c r="HX65" i="194" s="1"/>
  <c r="C38" i="443"/>
  <c r="C39" i="443" s="1"/>
  <c r="E39" i="443" s="1"/>
  <c r="D32" i="442"/>
  <c r="E35" i="442" s="1"/>
  <c r="E31" i="442"/>
  <c r="E30" i="442"/>
  <c r="E29" i="442"/>
  <c r="E28" i="442"/>
  <c r="HW42" i="194" s="1"/>
  <c r="E27" i="442"/>
  <c r="D22" i="442"/>
  <c r="E22" i="442" s="1"/>
  <c r="E21" i="442"/>
  <c r="E20" i="442"/>
  <c r="E19" i="442"/>
  <c r="E18" i="442"/>
  <c r="HW52" i="194" s="1"/>
  <c r="E17" i="442"/>
  <c r="HW14" i="194" s="1"/>
  <c r="D12" i="442"/>
  <c r="C35" i="442" s="1"/>
  <c r="E11" i="442"/>
  <c r="E10" i="442"/>
  <c r="E9" i="442"/>
  <c r="E8" i="442"/>
  <c r="HW60" i="194" s="1"/>
  <c r="E7" i="442"/>
  <c r="HW20" i="194" s="1"/>
  <c r="E40" i="444" l="1"/>
  <c r="E40" i="443"/>
  <c r="E40" i="445"/>
  <c r="E32" i="442"/>
  <c r="E36" i="442" s="1"/>
  <c r="E12" i="442"/>
  <c r="C36" i="442"/>
  <c r="D35" i="442"/>
  <c r="D36" i="442" s="1"/>
  <c r="B36" i="383"/>
  <c r="F36" i="383" s="1"/>
  <c r="E38" i="442" l="1"/>
  <c r="HW65" i="194" s="1"/>
  <c r="C38" i="442"/>
  <c r="C39" i="442" s="1"/>
  <c r="E39" i="442" s="1"/>
  <c r="I36" i="383"/>
  <c r="E10" i="192"/>
  <c r="C24" i="192"/>
  <c r="C273" i="191"/>
  <c r="AG6" i="441"/>
  <c r="AG7" i="441"/>
  <c r="AG11" i="441"/>
  <c r="AG12" i="441"/>
  <c r="AG16" i="441"/>
  <c r="AG22" i="441"/>
  <c r="AK22" i="441" s="1"/>
  <c r="AS22" i="441" s="1"/>
  <c r="AR22" i="441" s="1"/>
  <c r="AG25" i="441"/>
  <c r="AK25" i="441" s="1"/>
  <c r="AS25" i="441" s="1"/>
  <c r="AR25" i="441" s="1"/>
  <c r="AG28" i="441"/>
  <c r="AK28" i="441" s="1"/>
  <c r="AS28" i="441" s="1"/>
  <c r="AR28" i="441" s="1"/>
  <c r="AG29" i="441"/>
  <c r="AK29" i="441" s="1"/>
  <c r="AS29" i="441" s="1"/>
  <c r="AR29" i="441" s="1"/>
  <c r="AG30" i="441"/>
  <c r="AK30" i="441" s="1"/>
  <c r="AS30" i="441" s="1"/>
  <c r="AR30" i="441" s="1"/>
  <c r="AG31" i="441"/>
  <c r="AK31" i="441" s="1"/>
  <c r="AS31" i="441" s="1"/>
  <c r="AR31" i="441" s="1"/>
  <c r="AG32" i="441"/>
  <c r="AK32" i="441" s="1"/>
  <c r="AS32" i="441" s="1"/>
  <c r="AR32" i="441" s="1"/>
  <c r="AG33" i="441"/>
  <c r="AG35" i="441"/>
  <c r="AG38" i="441"/>
  <c r="AG41" i="441"/>
  <c r="AK41" i="441" s="1"/>
  <c r="AS41" i="441" s="1"/>
  <c r="AG43" i="441"/>
  <c r="AG45" i="441"/>
  <c r="AK45" i="441" s="1"/>
  <c r="AS45" i="441" s="1"/>
  <c r="AR45" i="441" s="1"/>
  <c r="AG47" i="441"/>
  <c r="AK47" i="441" s="1"/>
  <c r="AS47" i="441" s="1"/>
  <c r="AR47" i="441" s="1"/>
  <c r="AG50" i="441"/>
  <c r="AK50" i="441" s="1"/>
  <c r="AS50" i="441" s="1"/>
  <c r="AR50" i="441" s="1"/>
  <c r="AG53" i="441"/>
  <c r="AG55" i="441"/>
  <c r="AG56" i="441"/>
  <c r="AG58" i="441"/>
  <c r="AO64" i="441"/>
  <c r="AT63" i="441"/>
  <c r="AG63" i="441"/>
  <c r="AK63" i="441" s="1"/>
  <c r="AS63" i="441" s="1"/>
  <c r="AR63" i="441" s="1"/>
  <c r="AT62" i="441"/>
  <c r="AG62" i="441"/>
  <c r="AK62" i="441" s="1"/>
  <c r="AS62" i="441" s="1"/>
  <c r="AR62" i="441" s="1"/>
  <c r="AT61" i="441"/>
  <c r="AG61" i="441"/>
  <c r="AK61" i="441" s="1"/>
  <c r="AS61" i="441" s="1"/>
  <c r="AR61" i="441" s="1"/>
  <c r="AI60" i="441"/>
  <c r="AT60" i="441" s="1"/>
  <c r="AI59" i="441"/>
  <c r="AT59" i="441" s="1"/>
  <c r="AL59" i="441"/>
  <c r="AL58" i="441"/>
  <c r="AI58" i="441"/>
  <c r="AT58" i="441" s="1"/>
  <c r="AI57" i="441"/>
  <c r="AT57" i="441" s="1"/>
  <c r="AL57" i="441"/>
  <c r="AI56" i="441"/>
  <c r="AT56" i="441" s="1"/>
  <c r="AL56" i="441"/>
  <c r="AL55" i="441"/>
  <c r="AI55" i="441"/>
  <c r="AT55" i="441" s="1"/>
  <c r="AI54" i="441"/>
  <c r="AT54" i="441" s="1"/>
  <c r="AL54" i="441"/>
  <c r="AL53" i="441"/>
  <c r="AI53" i="441"/>
  <c r="AT53" i="441" s="1"/>
  <c r="AI52" i="441"/>
  <c r="AT52" i="441" s="1"/>
  <c r="AL52" i="441"/>
  <c r="AI51" i="441"/>
  <c r="AT51" i="441" s="1"/>
  <c r="AL51" i="441"/>
  <c r="AL50" i="441"/>
  <c r="AI50" i="441"/>
  <c r="AT50" i="441" s="1"/>
  <c r="AI49" i="441"/>
  <c r="AT49" i="441" s="1"/>
  <c r="AL49" i="441"/>
  <c r="AI48" i="441"/>
  <c r="AT48" i="441" s="1"/>
  <c r="AL48" i="441"/>
  <c r="AL47" i="441"/>
  <c r="AI47" i="441"/>
  <c r="AT47" i="441" s="1"/>
  <c r="AI46" i="441"/>
  <c r="AT46" i="441" s="1"/>
  <c r="AL46" i="441"/>
  <c r="AL45" i="441"/>
  <c r="AI45" i="441"/>
  <c r="AT45" i="441" s="1"/>
  <c r="AI44" i="441"/>
  <c r="AT44" i="441" s="1"/>
  <c r="AL44" i="441"/>
  <c r="AI43" i="441"/>
  <c r="AT43" i="441" s="1"/>
  <c r="AI42" i="441"/>
  <c r="AT42" i="441" s="1"/>
  <c r="AL42" i="441"/>
  <c r="AL41" i="441"/>
  <c r="AI41" i="441"/>
  <c r="AT41" i="441" s="1"/>
  <c r="AI40" i="441"/>
  <c r="AT40" i="441" s="1"/>
  <c r="AL40" i="441"/>
  <c r="AI39" i="441"/>
  <c r="AT39" i="441" s="1"/>
  <c r="AI38" i="441"/>
  <c r="AT38" i="441" s="1"/>
  <c r="AL38" i="441"/>
  <c r="AI37" i="441"/>
  <c r="AT37" i="441" s="1"/>
  <c r="AI36" i="441"/>
  <c r="AT36" i="441" s="1"/>
  <c r="AL36" i="441"/>
  <c r="AI35" i="441"/>
  <c r="AT35" i="441" s="1"/>
  <c r="AI34" i="441"/>
  <c r="AT34" i="441" s="1"/>
  <c r="AL34" i="441"/>
  <c r="AL33" i="441"/>
  <c r="AI33" i="441"/>
  <c r="AT33" i="441" s="1"/>
  <c r="AL32" i="441"/>
  <c r="AI32" i="441"/>
  <c r="AT32" i="441" s="1"/>
  <c r="AL31" i="441"/>
  <c r="AI31" i="441"/>
  <c r="AT31" i="441" s="1"/>
  <c r="AL30" i="441"/>
  <c r="AI30" i="441"/>
  <c r="AT30" i="441" s="1"/>
  <c r="AL29" i="441"/>
  <c r="AI29" i="441"/>
  <c r="AT29" i="441" s="1"/>
  <c r="AL28" i="441"/>
  <c r="AI28" i="441"/>
  <c r="AT28" i="441" s="1"/>
  <c r="AI27" i="441"/>
  <c r="AT27" i="441" s="1"/>
  <c r="AI26" i="441"/>
  <c r="AT26" i="441" s="1"/>
  <c r="AL26" i="441"/>
  <c r="AL25" i="441"/>
  <c r="AI25" i="441"/>
  <c r="AT25" i="441" s="1"/>
  <c r="AL24" i="441"/>
  <c r="AI24" i="441"/>
  <c r="AT24" i="441" s="1"/>
  <c r="AI23" i="441"/>
  <c r="AT23" i="441" s="1"/>
  <c r="AL23" i="441"/>
  <c r="AL22" i="441"/>
  <c r="AI22" i="441"/>
  <c r="AT22" i="441" s="1"/>
  <c r="AI21" i="441"/>
  <c r="AT21" i="441" s="1"/>
  <c r="AL21" i="441"/>
  <c r="AI20" i="441"/>
  <c r="AT20" i="441" s="1"/>
  <c r="AL20" i="441"/>
  <c r="AI19" i="441"/>
  <c r="AT19" i="441" s="1"/>
  <c r="AL19" i="441"/>
  <c r="AI18" i="441"/>
  <c r="AT18" i="441" s="1"/>
  <c r="AL18" i="441"/>
  <c r="AI17" i="441"/>
  <c r="AT17" i="441" s="1"/>
  <c r="AL17" i="441"/>
  <c r="AI16" i="441"/>
  <c r="AT16" i="441" s="1"/>
  <c r="AL16" i="441"/>
  <c r="AI15" i="441"/>
  <c r="AT15" i="441" s="1"/>
  <c r="AL15" i="441"/>
  <c r="AI14" i="441"/>
  <c r="AT14" i="441" s="1"/>
  <c r="AL14" i="441"/>
  <c r="AI13" i="441"/>
  <c r="AT13" i="441" s="1"/>
  <c r="AL13" i="441"/>
  <c r="AI12" i="441"/>
  <c r="AT12" i="441" s="1"/>
  <c r="AL12" i="441"/>
  <c r="AI11" i="441"/>
  <c r="AT11" i="441" s="1"/>
  <c r="AL11" i="441"/>
  <c r="AI10" i="441"/>
  <c r="AT10" i="441" s="1"/>
  <c r="AL10" i="441"/>
  <c r="AI9" i="441"/>
  <c r="AT9" i="441" s="1"/>
  <c r="AL9" i="441"/>
  <c r="AI8" i="441"/>
  <c r="AT8" i="441" s="1"/>
  <c r="AL8" i="441"/>
  <c r="AI7" i="441"/>
  <c r="AT7" i="441" s="1"/>
  <c r="AL7" i="441"/>
  <c r="AI6" i="441"/>
  <c r="AT6" i="441" s="1"/>
  <c r="AI5" i="441"/>
  <c r="AT5" i="441" s="1"/>
  <c r="AI4" i="441"/>
  <c r="AT4" i="441" s="1"/>
  <c r="AL4" i="441"/>
  <c r="AI3" i="441"/>
  <c r="AT3" i="441" s="1"/>
  <c r="AH47" i="441" l="1"/>
  <c r="E40" i="442"/>
  <c r="AH62" i="441"/>
  <c r="AH50" i="441"/>
  <c r="AH28" i="441"/>
  <c r="AH29" i="441"/>
  <c r="AH30" i="441"/>
  <c r="AH31" i="441"/>
  <c r="AH45" i="441"/>
  <c r="AH61" i="441"/>
  <c r="AH63" i="441"/>
  <c r="AL27" i="441"/>
  <c r="AK33" i="441"/>
  <c r="AS33" i="441" s="1"/>
  <c r="AR33" i="441" s="1"/>
  <c r="AH33" i="441"/>
  <c r="AL35" i="441"/>
  <c r="AL39" i="441"/>
  <c r="AL43" i="441"/>
  <c r="AK53" i="441"/>
  <c r="AS53" i="441" s="1"/>
  <c r="AR53" i="441" s="1"/>
  <c r="AH53" i="441"/>
  <c r="AK55" i="441"/>
  <c r="AS55" i="441" s="1"/>
  <c r="AR55" i="441" s="1"/>
  <c r="AH55" i="441"/>
  <c r="AK58" i="441"/>
  <c r="AS58" i="441" s="1"/>
  <c r="AR58" i="441" s="1"/>
  <c r="AH58" i="441"/>
  <c r="AL60" i="441"/>
  <c r="AL3" i="441"/>
  <c r="AL5" i="441"/>
  <c r="AL6" i="441"/>
  <c r="AH22" i="441"/>
  <c r="AL37" i="441"/>
  <c r="D32" i="440"/>
  <c r="E35" i="440" s="1"/>
  <c r="E31" i="440"/>
  <c r="E30" i="440"/>
  <c r="E29" i="440"/>
  <c r="E28" i="440"/>
  <c r="E27" i="440"/>
  <c r="AF13" i="441" s="1"/>
  <c r="D22" i="440"/>
  <c r="E22" i="440" s="1"/>
  <c r="E21" i="440"/>
  <c r="E20" i="440"/>
  <c r="E19" i="440"/>
  <c r="E18" i="440"/>
  <c r="E17" i="440"/>
  <c r="D12" i="440"/>
  <c r="C35" i="440" s="1"/>
  <c r="E11" i="440"/>
  <c r="E10" i="440"/>
  <c r="E9" i="440"/>
  <c r="E8" i="440"/>
  <c r="E7" i="440"/>
  <c r="HV48" i="194" l="1"/>
  <c r="AF48" i="441"/>
  <c r="HV24" i="194"/>
  <c r="AF24" i="441"/>
  <c r="HV46" i="194"/>
  <c r="AF46" i="441"/>
  <c r="HV57" i="194"/>
  <c r="AF57" i="441"/>
  <c r="HV18" i="194"/>
  <c r="AF18" i="441"/>
  <c r="AF64" i="441" s="1"/>
  <c r="AK56" i="441"/>
  <c r="AS56" i="441" s="1"/>
  <c r="AR56" i="441" s="1"/>
  <c r="AH56" i="441"/>
  <c r="AK43" i="441"/>
  <c r="AS43" i="441" s="1"/>
  <c r="AR43" i="441" s="1"/>
  <c r="AH43" i="441"/>
  <c r="AK35" i="441"/>
  <c r="AS35" i="441" s="1"/>
  <c r="AR35" i="441" s="1"/>
  <c r="AH35" i="441"/>
  <c r="AK12" i="441"/>
  <c r="AS12" i="441" s="1"/>
  <c r="AR12" i="441" s="1"/>
  <c r="AH12" i="441"/>
  <c r="AK11" i="441"/>
  <c r="AS11" i="441" s="1"/>
  <c r="AR11" i="441" s="1"/>
  <c r="AH11" i="441"/>
  <c r="AK7" i="441"/>
  <c r="AS7" i="441" s="1"/>
  <c r="AR7" i="441" s="1"/>
  <c r="AH7" i="441"/>
  <c r="AK6" i="441"/>
  <c r="AS6" i="441" s="1"/>
  <c r="AR6" i="441" s="1"/>
  <c r="AH6" i="441"/>
  <c r="AK38" i="441"/>
  <c r="AS38" i="441" s="1"/>
  <c r="AR38" i="441" s="1"/>
  <c r="AH38" i="441"/>
  <c r="AK16" i="441"/>
  <c r="AS16" i="441" s="1"/>
  <c r="AR16" i="441" s="1"/>
  <c r="AH16" i="441"/>
  <c r="E32" i="440"/>
  <c r="E36" i="440" s="1"/>
  <c r="HV13" i="194"/>
  <c r="E12" i="440"/>
  <c r="C36" i="440"/>
  <c r="D35" i="440"/>
  <c r="D36" i="440" s="1"/>
  <c r="D32" i="439"/>
  <c r="E35" i="439" s="1"/>
  <c r="E31" i="439"/>
  <c r="E30" i="439"/>
  <c r="E29" i="439"/>
  <c r="E28" i="439"/>
  <c r="E27" i="439"/>
  <c r="D22" i="439"/>
  <c r="E22" i="439" s="1"/>
  <c r="E21" i="439"/>
  <c r="E20" i="439"/>
  <c r="E19" i="439"/>
  <c r="E18" i="439"/>
  <c r="E17" i="439"/>
  <c r="D12" i="439"/>
  <c r="C35" i="439" s="1"/>
  <c r="E11" i="439"/>
  <c r="E10" i="439"/>
  <c r="E9" i="439"/>
  <c r="E8" i="439"/>
  <c r="E7" i="439"/>
  <c r="HU54" i="194" l="1"/>
  <c r="AE54" i="441"/>
  <c r="HU34" i="194"/>
  <c r="AE34" i="441"/>
  <c r="HU9" i="194"/>
  <c r="AE9" i="441"/>
  <c r="HU19" i="194"/>
  <c r="AE19" i="441"/>
  <c r="HU39" i="194"/>
  <c r="AE39" i="441"/>
  <c r="E38" i="440"/>
  <c r="C38" i="440"/>
  <c r="C39" i="440" s="1"/>
  <c r="E39" i="440" s="1"/>
  <c r="E32" i="439"/>
  <c r="E36" i="439" s="1"/>
  <c r="E12" i="439"/>
  <c r="C36" i="439"/>
  <c r="D35" i="439"/>
  <c r="D36" i="439" s="1"/>
  <c r="E8" i="435"/>
  <c r="AA26" i="441" s="1"/>
  <c r="AG26" i="441" s="1"/>
  <c r="AH26" i="441" l="1"/>
  <c r="AK26" i="441"/>
  <c r="AS26" i="441" s="1"/>
  <c r="AR26" i="441" s="1"/>
  <c r="HV65" i="194"/>
  <c r="AF65" i="441"/>
  <c r="AF66" i="441" s="1"/>
  <c r="AE64" i="441"/>
  <c r="E40" i="440"/>
  <c r="E38" i="439"/>
  <c r="C38" i="439"/>
  <c r="C39" i="439" s="1"/>
  <c r="E39" i="439" s="1"/>
  <c r="HQ26" i="194"/>
  <c r="HU65" i="194" l="1"/>
  <c r="AE65" i="441"/>
  <c r="AE66" i="441" s="1"/>
  <c r="E40" i="439"/>
  <c r="D32" i="438"/>
  <c r="E35" i="438" s="1"/>
  <c r="E31" i="438"/>
  <c r="E30" i="438"/>
  <c r="E29" i="438"/>
  <c r="E28" i="438"/>
  <c r="E27" i="438"/>
  <c r="D22" i="438"/>
  <c r="E22" i="438" s="1"/>
  <c r="E21" i="438"/>
  <c r="E20" i="438"/>
  <c r="E19" i="438"/>
  <c r="E18" i="438"/>
  <c r="E17" i="438"/>
  <c r="D12" i="438"/>
  <c r="C35" i="438" s="1"/>
  <c r="E11" i="438"/>
  <c r="E10" i="438"/>
  <c r="E9" i="438"/>
  <c r="E8" i="438"/>
  <c r="E7" i="438"/>
  <c r="D32" i="437"/>
  <c r="E35" i="437" s="1"/>
  <c r="E31" i="437"/>
  <c r="E30" i="437"/>
  <c r="E29" i="437"/>
  <c r="E28" i="437"/>
  <c r="E27" i="437"/>
  <c r="AC9" i="441" s="1"/>
  <c r="D22" i="437"/>
  <c r="E22" i="437" s="1"/>
  <c r="E21" i="437"/>
  <c r="E20" i="437"/>
  <c r="E19" i="437"/>
  <c r="E18" i="437"/>
  <c r="E17" i="437"/>
  <c r="D12" i="437"/>
  <c r="C35" i="437" s="1"/>
  <c r="E11" i="437"/>
  <c r="E10" i="437"/>
  <c r="E9" i="437"/>
  <c r="E8" i="437"/>
  <c r="E7" i="437"/>
  <c r="D32" i="436"/>
  <c r="E35" i="436" s="1"/>
  <c r="E31" i="436"/>
  <c r="E30" i="436"/>
  <c r="E29" i="436"/>
  <c r="E28" i="436"/>
  <c r="E27" i="436"/>
  <c r="D22" i="436"/>
  <c r="E22" i="436" s="1"/>
  <c r="E21" i="436"/>
  <c r="E20" i="436"/>
  <c r="E19" i="436"/>
  <c r="E18" i="436"/>
  <c r="E17" i="436"/>
  <c r="D12" i="436"/>
  <c r="C35" i="436" s="1"/>
  <c r="E11" i="436"/>
  <c r="E10" i="436"/>
  <c r="E9" i="436"/>
  <c r="E8" i="436"/>
  <c r="E7" i="436"/>
  <c r="D32" i="435"/>
  <c r="E35" i="435" s="1"/>
  <c r="E31" i="435"/>
  <c r="E30" i="435"/>
  <c r="E29" i="435"/>
  <c r="E28" i="435"/>
  <c r="E27" i="435"/>
  <c r="D22" i="435"/>
  <c r="E22" i="435" s="1"/>
  <c r="E21" i="435"/>
  <c r="E20" i="435"/>
  <c r="E19" i="435"/>
  <c r="E18" i="435"/>
  <c r="E17" i="435"/>
  <c r="D12" i="435"/>
  <c r="C35" i="435" s="1"/>
  <c r="E11" i="435"/>
  <c r="E10" i="435"/>
  <c r="E9" i="435"/>
  <c r="E7" i="435"/>
  <c r="AA4" i="441" s="1"/>
  <c r="B103" i="333"/>
  <c r="HQ60" i="194" l="1"/>
  <c r="AA60" i="441"/>
  <c r="HQ49" i="194"/>
  <c r="AA49" i="441"/>
  <c r="HR9" i="194"/>
  <c r="AB9" i="441"/>
  <c r="HT27" i="194"/>
  <c r="AD27" i="441"/>
  <c r="HT37" i="194"/>
  <c r="AD37" i="441"/>
  <c r="HQ52" i="194"/>
  <c r="AA52" i="441"/>
  <c r="HQ44" i="194"/>
  <c r="AA44" i="441"/>
  <c r="AA64" i="441" s="1"/>
  <c r="HR13" i="194"/>
  <c r="AB13" i="441"/>
  <c r="HS5" i="194"/>
  <c r="AC5" i="441"/>
  <c r="AC64" i="441" s="1"/>
  <c r="HT44" i="194"/>
  <c r="AD44" i="441"/>
  <c r="HT36" i="194"/>
  <c r="AD36" i="441"/>
  <c r="E12" i="435"/>
  <c r="C36" i="435"/>
  <c r="HQ4" i="194"/>
  <c r="E32" i="437"/>
  <c r="E36" i="437" s="1"/>
  <c r="HS9" i="194"/>
  <c r="E12" i="438"/>
  <c r="E32" i="438"/>
  <c r="E36" i="438" s="1"/>
  <c r="C36" i="438"/>
  <c r="D35" i="438"/>
  <c r="D36" i="438" s="1"/>
  <c r="E12" i="437"/>
  <c r="C36" i="437"/>
  <c r="D35" i="437"/>
  <c r="D36" i="437" s="1"/>
  <c r="E32" i="436"/>
  <c r="E36" i="436" s="1"/>
  <c r="E12" i="436"/>
  <c r="C36" i="436"/>
  <c r="D35" i="436"/>
  <c r="D36" i="436" s="1"/>
  <c r="E32" i="435"/>
  <c r="E36" i="435" s="1"/>
  <c r="D35" i="435"/>
  <c r="D36" i="435" s="1"/>
  <c r="D32" i="434"/>
  <c r="E35" i="434" s="1"/>
  <c r="E31" i="434"/>
  <c r="E30" i="434"/>
  <c r="E29" i="434"/>
  <c r="E28" i="434"/>
  <c r="E27" i="434"/>
  <c r="D22" i="434"/>
  <c r="E22" i="434" s="1"/>
  <c r="E21" i="434"/>
  <c r="E20" i="434"/>
  <c r="E19" i="434"/>
  <c r="E18" i="434"/>
  <c r="E17" i="434"/>
  <c r="D12" i="434"/>
  <c r="C35" i="434" s="1"/>
  <c r="E11" i="434"/>
  <c r="E10" i="434"/>
  <c r="E9" i="434"/>
  <c r="E8" i="434"/>
  <c r="E7" i="434"/>
  <c r="HP8" i="194" l="1"/>
  <c r="Z8" i="441"/>
  <c r="HP15" i="194"/>
  <c r="Z15" i="441"/>
  <c r="Z37" i="441"/>
  <c r="HP3" i="194"/>
  <c r="Z3" i="441"/>
  <c r="HP57" i="194"/>
  <c r="Z57" i="441"/>
  <c r="AD64" i="441"/>
  <c r="AB64" i="441"/>
  <c r="HP37" i="194"/>
  <c r="E38" i="438"/>
  <c r="C38" i="438"/>
  <c r="C39" i="438" s="1"/>
  <c r="E39" i="438" s="1"/>
  <c r="E38" i="437"/>
  <c r="C38" i="437"/>
  <c r="C39" i="437" s="1"/>
  <c r="E39" i="437" s="1"/>
  <c r="E38" i="436"/>
  <c r="C38" i="436"/>
  <c r="C39" i="436" s="1"/>
  <c r="E39" i="436" s="1"/>
  <c r="E38" i="435"/>
  <c r="C38" i="435"/>
  <c r="C39" i="435" s="1"/>
  <c r="E39" i="435" s="1"/>
  <c r="E32" i="434"/>
  <c r="E36" i="434" s="1"/>
  <c r="E12" i="434"/>
  <c r="C36" i="434"/>
  <c r="D35" i="434"/>
  <c r="D36" i="434" s="1"/>
  <c r="D32" i="433"/>
  <c r="E35" i="433" s="1"/>
  <c r="E31" i="433"/>
  <c r="E30" i="433"/>
  <c r="E29" i="433"/>
  <c r="E28" i="433"/>
  <c r="E27" i="433"/>
  <c r="D22" i="433"/>
  <c r="E22" i="433" s="1"/>
  <c r="E21" i="433"/>
  <c r="E20" i="433"/>
  <c r="E19" i="433"/>
  <c r="E18" i="433"/>
  <c r="E17" i="433"/>
  <c r="D12" i="433"/>
  <c r="C35" i="433" s="1"/>
  <c r="E11" i="433"/>
  <c r="E10" i="433"/>
  <c r="E9" i="433"/>
  <c r="E8" i="433"/>
  <c r="E7" i="433"/>
  <c r="HO14" i="194" l="1"/>
  <c r="Y14" i="441"/>
  <c r="HO54" i="194"/>
  <c r="Y54" i="441"/>
  <c r="HO39" i="194"/>
  <c r="Y39" i="441"/>
  <c r="HO24" i="194"/>
  <c r="Y24" i="441"/>
  <c r="HO4" i="194"/>
  <c r="Y4" i="441"/>
  <c r="HO9" i="194"/>
  <c r="Y9" i="441"/>
  <c r="E40" i="438"/>
  <c r="Z64" i="441"/>
  <c r="HQ65" i="194"/>
  <c r="AA65" i="441"/>
  <c r="AA66" i="441" s="1"/>
  <c r="HR65" i="194"/>
  <c r="AB65" i="441"/>
  <c r="AB66" i="441" s="1"/>
  <c r="HS65" i="194"/>
  <c r="AC65" i="441"/>
  <c r="AC66" i="441" s="1"/>
  <c r="HT65" i="194"/>
  <c r="AD65" i="441"/>
  <c r="AD66" i="441" s="1"/>
  <c r="E40" i="437"/>
  <c r="E40" i="436"/>
  <c r="E38" i="434"/>
  <c r="E40" i="435"/>
  <c r="C38" i="434"/>
  <c r="C39" i="434" s="1"/>
  <c r="E39" i="434" s="1"/>
  <c r="E40" i="434" s="1"/>
  <c r="E32" i="433"/>
  <c r="E36" i="433" s="1"/>
  <c r="E12" i="433"/>
  <c r="C36" i="433"/>
  <c r="D35" i="433"/>
  <c r="D36" i="433" s="1"/>
  <c r="G35" i="383"/>
  <c r="Y64" i="441" l="1"/>
  <c r="HP65" i="194"/>
  <c r="Z65" i="441"/>
  <c r="Z66" i="441" s="1"/>
  <c r="E38" i="433"/>
  <c r="C38" i="433"/>
  <c r="C39" i="433" s="1"/>
  <c r="E39" i="433" s="1"/>
  <c r="D32" i="432"/>
  <c r="E35" i="432" s="1"/>
  <c r="E31" i="432"/>
  <c r="E30" i="432"/>
  <c r="E29" i="432"/>
  <c r="E28" i="432"/>
  <c r="E27" i="432"/>
  <c r="D22" i="432"/>
  <c r="E22" i="432" s="1"/>
  <c r="E21" i="432"/>
  <c r="E20" i="432"/>
  <c r="E19" i="432"/>
  <c r="E18" i="432"/>
  <c r="E17" i="432"/>
  <c r="D12" i="432"/>
  <c r="C35" i="432" s="1"/>
  <c r="E11" i="432"/>
  <c r="E10" i="432"/>
  <c r="E9" i="432"/>
  <c r="E8" i="432"/>
  <c r="E7" i="432"/>
  <c r="HN3" i="194" l="1"/>
  <c r="X3" i="441"/>
  <c r="HN34" i="194"/>
  <c r="X34" i="441"/>
  <c r="HN48" i="194"/>
  <c r="X48" i="441"/>
  <c r="HN51" i="194"/>
  <c r="X51" i="441"/>
  <c r="HN18" i="194"/>
  <c r="X18" i="441"/>
  <c r="HN13" i="194"/>
  <c r="X13" i="441"/>
  <c r="HO65" i="194"/>
  <c r="B37" i="383" s="1"/>
  <c r="F37" i="383" s="1"/>
  <c r="I37" i="383" s="1"/>
  <c r="Y65" i="441"/>
  <c r="Y66" i="441" s="1"/>
  <c r="E40" i="433"/>
  <c r="E32" i="432"/>
  <c r="E36" i="432" s="1"/>
  <c r="E12" i="432"/>
  <c r="C36" i="432"/>
  <c r="D35" i="432"/>
  <c r="D36" i="432" s="1"/>
  <c r="G34" i="383"/>
  <c r="D33" i="383"/>
  <c r="D34" i="383"/>
  <c r="G33" i="383"/>
  <c r="X64" i="441" l="1"/>
  <c r="E38" i="432"/>
  <c r="C38" i="432"/>
  <c r="C39" i="432" s="1"/>
  <c r="E39" i="432" s="1"/>
  <c r="D32" i="431"/>
  <c r="E35" i="431" s="1"/>
  <c r="E31" i="431"/>
  <c r="E30" i="431"/>
  <c r="E29" i="431"/>
  <c r="E28" i="431"/>
  <c r="E27" i="431"/>
  <c r="D22" i="431"/>
  <c r="E22" i="431" s="1"/>
  <c r="E21" i="431"/>
  <c r="E20" i="431"/>
  <c r="E19" i="431"/>
  <c r="E18" i="431"/>
  <c r="E17" i="431"/>
  <c r="D12" i="431"/>
  <c r="C35" i="431" s="1"/>
  <c r="E11" i="431"/>
  <c r="E10" i="431"/>
  <c r="E9" i="431"/>
  <c r="E8" i="431"/>
  <c r="E7" i="431"/>
  <c r="HM39" i="194" l="1"/>
  <c r="W39" i="441"/>
  <c r="HM36" i="194"/>
  <c r="W36" i="441"/>
  <c r="HN65" i="194"/>
  <c r="X65" i="441"/>
  <c r="X66" i="441" s="1"/>
  <c r="HM44" i="194"/>
  <c r="W44" i="441"/>
  <c r="HM27" i="194"/>
  <c r="W27" i="441"/>
  <c r="HM59" i="194"/>
  <c r="W59" i="441"/>
  <c r="HM23" i="194"/>
  <c r="W23" i="441"/>
  <c r="E40" i="432"/>
  <c r="E32" i="431"/>
  <c r="E36" i="431" s="1"/>
  <c r="E12" i="431"/>
  <c r="C36" i="431"/>
  <c r="D35" i="431"/>
  <c r="D36" i="431" s="1"/>
  <c r="D32" i="430"/>
  <c r="E35" i="430" s="1"/>
  <c r="E31" i="430"/>
  <c r="E30" i="430"/>
  <c r="E29" i="430"/>
  <c r="E28" i="430"/>
  <c r="E27" i="430"/>
  <c r="D22" i="430"/>
  <c r="E22" i="430" s="1"/>
  <c r="E21" i="430"/>
  <c r="E20" i="430"/>
  <c r="E19" i="430"/>
  <c r="E18" i="430"/>
  <c r="E17" i="430"/>
  <c r="D12" i="430"/>
  <c r="C35" i="430" s="1"/>
  <c r="E11" i="430"/>
  <c r="E10" i="430"/>
  <c r="E9" i="430"/>
  <c r="E8" i="430"/>
  <c r="E7" i="430"/>
  <c r="D32" i="429"/>
  <c r="E35" i="429" s="1"/>
  <c r="E31" i="429"/>
  <c r="E30" i="429"/>
  <c r="E29" i="429"/>
  <c r="E28" i="429"/>
  <c r="E27" i="429"/>
  <c r="D22" i="429"/>
  <c r="E22" i="429" s="1"/>
  <c r="E21" i="429"/>
  <c r="E20" i="429"/>
  <c r="E19" i="429"/>
  <c r="E18" i="429"/>
  <c r="E17" i="429"/>
  <c r="D12" i="429"/>
  <c r="C35" i="429" s="1"/>
  <c r="E11" i="429"/>
  <c r="E10" i="429"/>
  <c r="E9" i="429"/>
  <c r="E8" i="429"/>
  <c r="E7" i="429"/>
  <c r="D32" i="428"/>
  <c r="E35" i="428" s="1"/>
  <c r="E31" i="428"/>
  <c r="E30" i="428"/>
  <c r="E29" i="428"/>
  <c r="E28" i="428"/>
  <c r="E27" i="428"/>
  <c r="D22" i="428"/>
  <c r="E22" i="428" s="1"/>
  <c r="E21" i="428"/>
  <c r="E20" i="428"/>
  <c r="E19" i="428"/>
  <c r="E18" i="428"/>
  <c r="E17" i="428"/>
  <c r="D12" i="428"/>
  <c r="C35" i="428" s="1"/>
  <c r="E11" i="428"/>
  <c r="E10" i="428"/>
  <c r="E9" i="428"/>
  <c r="E8" i="428"/>
  <c r="E7" i="428"/>
  <c r="W64" i="441" l="1"/>
  <c r="HJ24" i="194"/>
  <c r="T24" i="441"/>
  <c r="HJ48" i="194"/>
  <c r="T48" i="441"/>
  <c r="HJ15" i="194"/>
  <c r="T15" i="441"/>
  <c r="HK3" i="194"/>
  <c r="U3" i="441"/>
  <c r="HK37" i="194"/>
  <c r="U37" i="441"/>
  <c r="HK49" i="194"/>
  <c r="U49" i="441"/>
  <c r="HL14" i="194"/>
  <c r="V14" i="441"/>
  <c r="HL19" i="194"/>
  <c r="V19" i="441"/>
  <c r="HL27" i="194"/>
  <c r="V27" i="441"/>
  <c r="HJ20" i="194"/>
  <c r="T20" i="441"/>
  <c r="HJ44" i="194"/>
  <c r="T44" i="441"/>
  <c r="HK13" i="194"/>
  <c r="U13" i="441"/>
  <c r="HK27" i="194"/>
  <c r="U27" i="441"/>
  <c r="AG27" i="441" s="1"/>
  <c r="HL5" i="194"/>
  <c r="V5" i="441"/>
  <c r="HL54" i="194"/>
  <c r="V54" i="441"/>
  <c r="HL15" i="194"/>
  <c r="V15" i="441"/>
  <c r="E38" i="431"/>
  <c r="C38" i="431"/>
  <c r="C39" i="431" s="1"/>
  <c r="E39" i="431" s="1"/>
  <c r="E32" i="430"/>
  <c r="E36" i="430" s="1"/>
  <c r="E12" i="430"/>
  <c r="C36" i="430"/>
  <c r="D35" i="430"/>
  <c r="D36" i="430" s="1"/>
  <c r="E32" i="429"/>
  <c r="E36" i="429" s="1"/>
  <c r="E12" i="429"/>
  <c r="C36" i="429"/>
  <c r="D35" i="429"/>
  <c r="D36" i="429" s="1"/>
  <c r="E32" i="428"/>
  <c r="E36" i="428" s="1"/>
  <c r="E12" i="428"/>
  <c r="C36" i="428"/>
  <c r="D35" i="428"/>
  <c r="D36" i="428" s="1"/>
  <c r="D32" i="427"/>
  <c r="E35" i="427" s="1"/>
  <c r="E31" i="427"/>
  <c r="E30" i="427"/>
  <c r="E29" i="427"/>
  <c r="E28" i="427"/>
  <c r="E27" i="427"/>
  <c r="D22" i="427"/>
  <c r="E22" i="427" s="1"/>
  <c r="E21" i="427"/>
  <c r="E20" i="427"/>
  <c r="E19" i="427"/>
  <c r="E18" i="427"/>
  <c r="E17" i="427"/>
  <c r="D12" i="427"/>
  <c r="C35" i="427" s="1"/>
  <c r="E11" i="427"/>
  <c r="E10" i="427"/>
  <c r="E9" i="427"/>
  <c r="E8" i="427"/>
  <c r="E7" i="427"/>
  <c r="HI37" i="194" l="1"/>
  <c r="S37" i="441"/>
  <c r="HI3" i="194"/>
  <c r="S3" i="441"/>
  <c r="HI52" i="194"/>
  <c r="S52" i="441"/>
  <c r="HI54" i="194"/>
  <c r="S54" i="441"/>
  <c r="HM65" i="194"/>
  <c r="W65" i="441"/>
  <c r="W66" i="441" s="1"/>
  <c r="U64" i="441"/>
  <c r="T64" i="441"/>
  <c r="HI42" i="194"/>
  <c r="S42" i="441"/>
  <c r="V64" i="441"/>
  <c r="AH27" i="441"/>
  <c r="AK27" i="441"/>
  <c r="AS27" i="441" s="1"/>
  <c r="AR27" i="441" s="1"/>
  <c r="E40" i="431"/>
  <c r="E38" i="430"/>
  <c r="C38" i="430"/>
  <c r="C39" i="430" s="1"/>
  <c r="E39" i="430" s="1"/>
  <c r="E38" i="428"/>
  <c r="E38" i="429"/>
  <c r="C38" i="429"/>
  <c r="C39" i="429" s="1"/>
  <c r="E39" i="429" s="1"/>
  <c r="C38" i="428"/>
  <c r="C39" i="428" s="1"/>
  <c r="E39" i="428" s="1"/>
  <c r="E32" i="427"/>
  <c r="E36" i="427" s="1"/>
  <c r="E12" i="427"/>
  <c r="C36" i="427"/>
  <c r="D35" i="427"/>
  <c r="D36" i="427" s="1"/>
  <c r="D32" i="426"/>
  <c r="E35" i="426" s="1"/>
  <c r="E31" i="426"/>
  <c r="E30" i="426"/>
  <c r="E29" i="426"/>
  <c r="E28" i="426"/>
  <c r="E27" i="426"/>
  <c r="R18" i="441" s="1"/>
  <c r="D22" i="426"/>
  <c r="E22" i="426" s="1"/>
  <c r="E21" i="426"/>
  <c r="E20" i="426"/>
  <c r="E19" i="426"/>
  <c r="E18" i="426"/>
  <c r="E17" i="426"/>
  <c r="D12" i="426"/>
  <c r="C35" i="426" s="1"/>
  <c r="E11" i="426"/>
  <c r="E10" i="426"/>
  <c r="E9" i="426"/>
  <c r="E8" i="426"/>
  <c r="E7" i="426"/>
  <c r="HH13" i="194" l="1"/>
  <c r="R13" i="441"/>
  <c r="HH54" i="194"/>
  <c r="R54" i="441"/>
  <c r="HK65" i="194"/>
  <c r="U65" i="441"/>
  <c r="U66" i="441" s="1"/>
  <c r="S64" i="441"/>
  <c r="HH59" i="194"/>
  <c r="R59" i="441"/>
  <c r="HH39" i="194"/>
  <c r="R39" i="441"/>
  <c r="HH52" i="194"/>
  <c r="R52" i="441"/>
  <c r="HJ65" i="194"/>
  <c r="T65" i="441"/>
  <c r="T66" i="441" s="1"/>
  <c r="HL65" i="194"/>
  <c r="V65" i="441"/>
  <c r="V66" i="441" s="1"/>
  <c r="E40" i="428"/>
  <c r="E40" i="430"/>
  <c r="E40" i="429"/>
  <c r="E38" i="427"/>
  <c r="C38" i="427"/>
  <c r="C39" i="427" s="1"/>
  <c r="E39" i="427" s="1"/>
  <c r="E32" i="426"/>
  <c r="E36" i="426" s="1"/>
  <c r="HH18" i="194"/>
  <c r="E12" i="426"/>
  <c r="C36" i="426"/>
  <c r="D35" i="426"/>
  <c r="D36" i="426" s="1"/>
  <c r="D32" i="425"/>
  <c r="E35" i="425" s="1"/>
  <c r="E31" i="425"/>
  <c r="E30" i="425"/>
  <c r="E29" i="425"/>
  <c r="E28" i="425"/>
  <c r="E27" i="425"/>
  <c r="D22" i="425"/>
  <c r="E22" i="425" s="1"/>
  <c r="E21" i="425"/>
  <c r="E20" i="425"/>
  <c r="E19" i="425"/>
  <c r="E18" i="425"/>
  <c r="E17" i="425"/>
  <c r="D12" i="425"/>
  <c r="C35" i="425" s="1"/>
  <c r="E11" i="425"/>
  <c r="E10" i="425"/>
  <c r="E9" i="425"/>
  <c r="E8" i="425"/>
  <c r="E7" i="425"/>
  <c r="HG46" i="194" l="1"/>
  <c r="Q46" i="441"/>
  <c r="HG60" i="194"/>
  <c r="Q60" i="441"/>
  <c r="HG44" i="194"/>
  <c r="Q44" i="441"/>
  <c r="HG37" i="194"/>
  <c r="Q37" i="441"/>
  <c r="HG51" i="194"/>
  <c r="Q51" i="441"/>
  <c r="HG15" i="194"/>
  <c r="Q15" i="441"/>
  <c r="Q64" i="441" s="1"/>
  <c r="HI65" i="194"/>
  <c r="S65" i="441"/>
  <c r="S66" i="441" s="1"/>
  <c r="R64" i="441"/>
  <c r="E40" i="427"/>
  <c r="E38" i="426"/>
  <c r="C38" i="426"/>
  <c r="C39" i="426" s="1"/>
  <c r="E39" i="426" s="1"/>
  <c r="E32" i="425"/>
  <c r="E36" i="425" s="1"/>
  <c r="E12" i="425"/>
  <c r="C36" i="425"/>
  <c r="D35" i="425"/>
  <c r="D36" i="425" s="1"/>
  <c r="D32" i="424"/>
  <c r="E35" i="424" s="1"/>
  <c r="E31" i="424"/>
  <c r="E30" i="424"/>
  <c r="E29" i="424"/>
  <c r="E28" i="424"/>
  <c r="E27" i="424"/>
  <c r="D22" i="424"/>
  <c r="E22" i="424" s="1"/>
  <c r="E21" i="424"/>
  <c r="E20" i="424"/>
  <c r="E19" i="424"/>
  <c r="E18" i="424"/>
  <c r="E17" i="424"/>
  <c r="D12" i="424"/>
  <c r="C35" i="424" s="1"/>
  <c r="E11" i="424"/>
  <c r="E10" i="424"/>
  <c r="E9" i="424"/>
  <c r="E8" i="424"/>
  <c r="E7" i="424"/>
  <c r="HF40" i="194" l="1"/>
  <c r="P40" i="441"/>
  <c r="HF8" i="194"/>
  <c r="P8" i="441"/>
  <c r="HH65" i="194"/>
  <c r="R65" i="441"/>
  <c r="R66" i="441" s="1"/>
  <c r="HF39" i="194"/>
  <c r="P39" i="441"/>
  <c r="HF21" i="194"/>
  <c r="P21" i="441"/>
  <c r="HF14" i="194"/>
  <c r="P14" i="441"/>
  <c r="HF36" i="194"/>
  <c r="P36" i="441"/>
  <c r="E40" i="426"/>
  <c r="E38" i="425"/>
  <c r="C38" i="425"/>
  <c r="C39" i="425" s="1"/>
  <c r="E39" i="425" s="1"/>
  <c r="E12" i="424"/>
  <c r="E32" i="424"/>
  <c r="E36" i="424" s="1"/>
  <c r="C36" i="424"/>
  <c r="D35" i="424"/>
  <c r="D36" i="424" s="1"/>
  <c r="D32" i="423"/>
  <c r="E35" i="423" s="1"/>
  <c r="E31" i="423"/>
  <c r="E30" i="423"/>
  <c r="E29" i="423"/>
  <c r="E28" i="423"/>
  <c r="E27" i="423"/>
  <c r="D22" i="423"/>
  <c r="E22" i="423" s="1"/>
  <c r="E21" i="423"/>
  <c r="E20" i="423"/>
  <c r="E19" i="423"/>
  <c r="E18" i="423"/>
  <c r="E17" i="423"/>
  <c r="D12" i="423"/>
  <c r="C35" i="423" s="1"/>
  <c r="E11" i="423"/>
  <c r="E10" i="423"/>
  <c r="E9" i="423"/>
  <c r="E8" i="423"/>
  <c r="E7" i="423"/>
  <c r="D32" i="422"/>
  <c r="E35" i="422" s="1"/>
  <c r="E31" i="422"/>
  <c r="E30" i="422"/>
  <c r="E29" i="422"/>
  <c r="E28" i="422"/>
  <c r="E27" i="422"/>
  <c r="D22" i="422"/>
  <c r="E22" i="422" s="1"/>
  <c r="E21" i="422"/>
  <c r="E20" i="422"/>
  <c r="E19" i="422"/>
  <c r="E18" i="422"/>
  <c r="E17" i="422"/>
  <c r="D12" i="422"/>
  <c r="C35" i="422" s="1"/>
  <c r="E11" i="422"/>
  <c r="E10" i="422"/>
  <c r="E9" i="422"/>
  <c r="E8" i="422"/>
  <c r="E7" i="422"/>
  <c r="D32" i="421"/>
  <c r="E35" i="421" s="1"/>
  <c r="E31" i="421"/>
  <c r="E30" i="421"/>
  <c r="E29" i="421"/>
  <c r="E28" i="421"/>
  <c r="E27" i="421"/>
  <c r="D22" i="421"/>
  <c r="E22" i="421" s="1"/>
  <c r="E21" i="421"/>
  <c r="E20" i="421"/>
  <c r="E19" i="421"/>
  <c r="E18" i="421"/>
  <c r="E17" i="421"/>
  <c r="D12" i="421"/>
  <c r="C35" i="421" s="1"/>
  <c r="E11" i="421"/>
  <c r="E10" i="421"/>
  <c r="E9" i="421"/>
  <c r="E8" i="421"/>
  <c r="E7" i="421"/>
  <c r="HC54" i="194" l="1"/>
  <c r="M54" i="441"/>
  <c r="HC9" i="194"/>
  <c r="M9" i="441"/>
  <c r="HD48" i="194"/>
  <c r="N48" i="441"/>
  <c r="HD21" i="194"/>
  <c r="N21" i="441"/>
  <c r="AG21" i="441" s="1"/>
  <c r="HD49" i="194"/>
  <c r="N49" i="441"/>
  <c r="HE34" i="194"/>
  <c r="O34" i="441"/>
  <c r="HE19" i="194"/>
  <c r="O19" i="441"/>
  <c r="HG65" i="194"/>
  <c r="Q65" i="441"/>
  <c r="Q66" i="441" s="1"/>
  <c r="P64" i="441"/>
  <c r="HC44" i="194"/>
  <c r="M44" i="441"/>
  <c r="HC48" i="194"/>
  <c r="M48" i="441"/>
  <c r="HC10" i="194"/>
  <c r="M10" i="441"/>
  <c r="HD42" i="194"/>
  <c r="N42" i="441"/>
  <c r="HD37" i="194"/>
  <c r="N37" i="441"/>
  <c r="HD19" i="194"/>
  <c r="N19" i="441"/>
  <c r="HE5" i="194"/>
  <c r="O5" i="441"/>
  <c r="HE10" i="194"/>
  <c r="O10" i="441"/>
  <c r="HE9" i="194"/>
  <c r="O9" i="441"/>
  <c r="E40" i="425"/>
  <c r="E38" i="424"/>
  <c r="C38" i="424"/>
  <c r="C39" i="424" s="1"/>
  <c r="E39" i="424" s="1"/>
  <c r="E32" i="423"/>
  <c r="E36" i="423" s="1"/>
  <c r="E12" i="423"/>
  <c r="E32" i="422"/>
  <c r="E36" i="422" s="1"/>
  <c r="C36" i="423"/>
  <c r="D35" i="423"/>
  <c r="D36" i="423" s="1"/>
  <c r="E32" i="421"/>
  <c r="E36" i="421" s="1"/>
  <c r="E12" i="422"/>
  <c r="C36" i="422"/>
  <c r="D35" i="422"/>
  <c r="D36" i="422" s="1"/>
  <c r="E12" i="421"/>
  <c r="C36" i="421"/>
  <c r="D35" i="421"/>
  <c r="D36" i="421" s="1"/>
  <c r="D32" i="420"/>
  <c r="E35" i="420" s="1"/>
  <c r="E31" i="420"/>
  <c r="E30" i="420"/>
  <c r="E29" i="420"/>
  <c r="E28" i="420"/>
  <c r="E27" i="420"/>
  <c r="D22" i="420"/>
  <c r="E22" i="420" s="1"/>
  <c r="E21" i="420"/>
  <c r="E20" i="420"/>
  <c r="E19" i="420"/>
  <c r="E18" i="420"/>
  <c r="E17" i="420"/>
  <c r="D12" i="420"/>
  <c r="C35" i="420" s="1"/>
  <c r="E11" i="420"/>
  <c r="E10" i="420"/>
  <c r="E9" i="420"/>
  <c r="E8" i="420"/>
  <c r="E7" i="420"/>
  <c r="N64" i="441" l="1"/>
  <c r="HB8" i="194"/>
  <c r="L8" i="441"/>
  <c r="HB59" i="194"/>
  <c r="L59" i="441"/>
  <c r="AG59" i="441" s="1"/>
  <c r="HB37" i="194"/>
  <c r="L37" i="441"/>
  <c r="HB44" i="194"/>
  <c r="L44" i="441"/>
  <c r="AH21" i="441"/>
  <c r="AK21" i="441"/>
  <c r="AS21" i="441" s="1"/>
  <c r="AR21" i="441" s="1"/>
  <c r="M64" i="441"/>
  <c r="HB4" i="194"/>
  <c r="L4" i="441"/>
  <c r="HB15" i="194"/>
  <c r="L15" i="441"/>
  <c r="HF65" i="194"/>
  <c r="P65" i="441"/>
  <c r="P66" i="441" s="1"/>
  <c r="O64" i="441"/>
  <c r="E38" i="423"/>
  <c r="E40" i="424"/>
  <c r="C38" i="423"/>
  <c r="C39" i="423" s="1"/>
  <c r="E39" i="423" s="1"/>
  <c r="E38" i="422"/>
  <c r="C38" i="422"/>
  <c r="C39" i="422" s="1"/>
  <c r="E39" i="422" s="1"/>
  <c r="E38" i="421"/>
  <c r="C38" i="421"/>
  <c r="C39" i="421" s="1"/>
  <c r="E39" i="421" s="1"/>
  <c r="E32" i="420"/>
  <c r="E36" i="420" s="1"/>
  <c r="E12" i="420"/>
  <c r="C36" i="420"/>
  <c r="D35" i="420"/>
  <c r="D36" i="420" s="1"/>
  <c r="D32" i="419"/>
  <c r="E35" i="419" s="1"/>
  <c r="E31" i="419"/>
  <c r="E30" i="419"/>
  <c r="E29" i="419"/>
  <c r="E28" i="419"/>
  <c r="E27" i="419"/>
  <c r="D22" i="419"/>
  <c r="E22" i="419" s="1"/>
  <c r="E21" i="419"/>
  <c r="E20" i="419"/>
  <c r="E19" i="419"/>
  <c r="E18" i="419"/>
  <c r="E17" i="419"/>
  <c r="D12" i="419"/>
  <c r="C35" i="419" s="1"/>
  <c r="E11" i="419"/>
  <c r="E10" i="419"/>
  <c r="E9" i="419"/>
  <c r="E8" i="419"/>
  <c r="E7" i="419"/>
  <c r="E40" i="423" l="1"/>
  <c r="HA4" i="194"/>
  <c r="K4" i="441"/>
  <c r="HA57" i="194"/>
  <c r="K57" i="441"/>
  <c r="HA9" i="194"/>
  <c r="K9" i="441"/>
  <c r="HC65" i="194"/>
  <c r="M65" i="441"/>
  <c r="HA24" i="194"/>
  <c r="K24" i="441"/>
  <c r="HA39" i="194"/>
  <c r="K39" i="441"/>
  <c r="HA17" i="194"/>
  <c r="K17" i="441"/>
  <c r="HD65" i="194"/>
  <c r="N65" i="441"/>
  <c r="N66" i="441" s="1"/>
  <c r="AH59" i="441"/>
  <c r="AK59" i="441"/>
  <c r="AS59" i="441" s="1"/>
  <c r="AR59" i="441" s="1"/>
  <c r="HE65" i="194"/>
  <c r="O65" i="441"/>
  <c r="O66" i="441" s="1"/>
  <c r="L64" i="441"/>
  <c r="M66" i="441"/>
  <c r="E40" i="422"/>
  <c r="E40" i="421"/>
  <c r="E38" i="420"/>
  <c r="C38" i="420"/>
  <c r="C39" i="420" s="1"/>
  <c r="E39" i="420" s="1"/>
  <c r="E32" i="419"/>
  <c r="E36" i="419" s="1"/>
  <c r="E12" i="419"/>
  <c r="C36" i="419"/>
  <c r="D35" i="419"/>
  <c r="D36" i="419" s="1"/>
  <c r="D32" i="418"/>
  <c r="E35" i="418" s="1"/>
  <c r="E31" i="418"/>
  <c r="E30" i="418"/>
  <c r="E29" i="418"/>
  <c r="E28" i="418"/>
  <c r="E27" i="418"/>
  <c r="D22" i="418"/>
  <c r="E22" i="418" s="1"/>
  <c r="E21" i="418"/>
  <c r="E20" i="418"/>
  <c r="E19" i="418"/>
  <c r="E18" i="418"/>
  <c r="E17" i="418"/>
  <c r="D12" i="418"/>
  <c r="C35" i="418" s="1"/>
  <c r="E11" i="418"/>
  <c r="E10" i="418"/>
  <c r="E9" i="418"/>
  <c r="E8" i="418"/>
  <c r="E7" i="418"/>
  <c r="GZ36" i="194" l="1"/>
  <c r="J36" i="441"/>
  <c r="HB65" i="194"/>
  <c r="L65" i="441"/>
  <c r="L66" i="441" s="1"/>
  <c r="K64" i="441"/>
  <c r="GZ13" i="194"/>
  <c r="J13" i="441"/>
  <c r="GZ34" i="194"/>
  <c r="J34" i="441"/>
  <c r="AG34" i="441" s="1"/>
  <c r="GZ19" i="194"/>
  <c r="J19" i="441"/>
  <c r="GZ23" i="194"/>
  <c r="J23" i="441"/>
  <c r="E40" i="420"/>
  <c r="E38" i="419"/>
  <c r="C38" i="419"/>
  <c r="C39" i="419" s="1"/>
  <c r="E39" i="419" s="1"/>
  <c r="E32" i="418"/>
  <c r="E36" i="418" s="1"/>
  <c r="E12" i="418"/>
  <c r="C36" i="418"/>
  <c r="D35" i="418"/>
  <c r="D36" i="418" s="1"/>
  <c r="D32" i="417"/>
  <c r="E35" i="417" s="1"/>
  <c r="E31" i="417"/>
  <c r="E30" i="417"/>
  <c r="E29" i="417"/>
  <c r="E28" i="417"/>
  <c r="E27" i="417"/>
  <c r="D22" i="417"/>
  <c r="E22" i="417" s="1"/>
  <c r="E21" i="417"/>
  <c r="E20" i="417"/>
  <c r="E19" i="417"/>
  <c r="E18" i="417"/>
  <c r="E17" i="417"/>
  <c r="D12" i="417"/>
  <c r="C35" i="417" s="1"/>
  <c r="E11" i="417"/>
  <c r="E10" i="417"/>
  <c r="E9" i="417"/>
  <c r="E8" i="417"/>
  <c r="E7" i="417"/>
  <c r="GY42" i="194" l="1"/>
  <c r="I42" i="441"/>
  <c r="GY14" i="194"/>
  <c r="I14" i="441"/>
  <c r="GY18" i="194"/>
  <c r="I18" i="441"/>
  <c r="HA65" i="194"/>
  <c r="K65" i="441"/>
  <c r="AH34" i="441"/>
  <c r="AK34" i="441"/>
  <c r="AS34" i="441" s="1"/>
  <c r="AR34" i="441" s="1"/>
  <c r="J64" i="441"/>
  <c r="K66" i="441"/>
  <c r="GY39" i="194"/>
  <c r="I39" i="441"/>
  <c r="GY52" i="194"/>
  <c r="I52" i="441"/>
  <c r="E40" i="419"/>
  <c r="E38" i="418"/>
  <c r="C38" i="418"/>
  <c r="C39" i="418" s="1"/>
  <c r="E39" i="418" s="1"/>
  <c r="E32" i="417"/>
  <c r="E36" i="417" s="1"/>
  <c r="E12" i="417"/>
  <c r="C36" i="417"/>
  <c r="D35" i="417"/>
  <c r="D36" i="417" s="1"/>
  <c r="E27" i="410"/>
  <c r="B44" i="441" s="1"/>
  <c r="E27" i="411"/>
  <c r="C57" i="441" s="1"/>
  <c r="AG57" i="441" s="1"/>
  <c r="E27" i="412"/>
  <c r="E27" i="413"/>
  <c r="E52" i="441" s="1"/>
  <c r="E27" i="414"/>
  <c r="F44" i="441" s="1"/>
  <c r="E27" i="415"/>
  <c r="G13" i="441" s="1"/>
  <c r="AG13" i="441" s="1"/>
  <c r="E27" i="416"/>
  <c r="H5" i="441" s="1"/>
  <c r="AG52" i="441" l="1"/>
  <c r="AH52" i="441" s="1"/>
  <c r="AH13" i="441"/>
  <c r="AK13" i="441"/>
  <c r="AS13" i="441" s="1"/>
  <c r="AR13" i="441" s="1"/>
  <c r="AH57" i="441"/>
  <c r="AK57" i="441"/>
  <c r="AS57" i="441" s="1"/>
  <c r="AR57" i="441" s="1"/>
  <c r="AG5" i="441"/>
  <c r="GZ65" i="194"/>
  <c r="J65" i="441"/>
  <c r="J66" i="441" s="1"/>
  <c r="I64" i="441"/>
  <c r="AK52" i="441"/>
  <c r="AS52" i="441" s="1"/>
  <c r="AR52" i="441" s="1"/>
  <c r="E40" i="418"/>
  <c r="E38" i="417"/>
  <c r="C38" i="417"/>
  <c r="C39" i="417" s="1"/>
  <c r="E39" i="417" s="1"/>
  <c r="GX5" i="194"/>
  <c r="GW13" i="194"/>
  <c r="GV44" i="194"/>
  <c r="GY64" i="194"/>
  <c r="GY65" i="194" l="1"/>
  <c r="I65" i="441"/>
  <c r="I66" i="441" s="1"/>
  <c r="AH5" i="441"/>
  <c r="AK5" i="441"/>
  <c r="AS5" i="441" s="1"/>
  <c r="AR5" i="441" s="1"/>
  <c r="GY66" i="194"/>
  <c r="E40" i="417"/>
  <c r="D32" i="416"/>
  <c r="E35" i="416" s="1"/>
  <c r="E31" i="416"/>
  <c r="E30" i="416"/>
  <c r="E29" i="416"/>
  <c r="E28" i="416"/>
  <c r="D22" i="416"/>
  <c r="E22" i="416" s="1"/>
  <c r="E21" i="416"/>
  <c r="E20" i="416"/>
  <c r="E19" i="416"/>
  <c r="E18" i="416"/>
  <c r="E17" i="416"/>
  <c r="D12" i="416"/>
  <c r="C35" i="416" s="1"/>
  <c r="E11" i="416"/>
  <c r="E10" i="416"/>
  <c r="E9" i="416"/>
  <c r="E8" i="416"/>
  <c r="E7" i="416"/>
  <c r="D32" i="415"/>
  <c r="E35" i="415" s="1"/>
  <c r="E31" i="415"/>
  <c r="E30" i="415"/>
  <c r="E29" i="415"/>
  <c r="E28" i="415"/>
  <c r="D22" i="415"/>
  <c r="E22" i="415" s="1"/>
  <c r="E21" i="415"/>
  <c r="E20" i="415"/>
  <c r="E19" i="415"/>
  <c r="E18" i="415"/>
  <c r="E17" i="415"/>
  <c r="D12" i="415"/>
  <c r="C35" i="415" s="1"/>
  <c r="E11" i="415"/>
  <c r="E10" i="415"/>
  <c r="E9" i="415"/>
  <c r="E8" i="415"/>
  <c r="E7" i="415"/>
  <c r="D32" i="414"/>
  <c r="E35" i="414" s="1"/>
  <c r="E31" i="414"/>
  <c r="E30" i="414"/>
  <c r="E29" i="414"/>
  <c r="E28" i="414"/>
  <c r="D22" i="414"/>
  <c r="E22" i="414" s="1"/>
  <c r="E21" i="414"/>
  <c r="E20" i="414"/>
  <c r="E19" i="414"/>
  <c r="E18" i="414"/>
  <c r="E17" i="414"/>
  <c r="D12" i="414"/>
  <c r="C35" i="414" s="1"/>
  <c r="E11" i="414"/>
  <c r="E10" i="414"/>
  <c r="E9" i="414"/>
  <c r="E8" i="414"/>
  <c r="E7" i="414"/>
  <c r="GV23" i="194" l="1"/>
  <c r="F23" i="441"/>
  <c r="AG23" i="441" s="1"/>
  <c r="GV17" i="194"/>
  <c r="F17" i="441"/>
  <c r="GV15" i="194"/>
  <c r="F15" i="441"/>
  <c r="GW54" i="194"/>
  <c r="G54" i="441"/>
  <c r="AG54" i="441" s="1"/>
  <c r="GW46" i="194"/>
  <c r="G46" i="441"/>
  <c r="GX46" i="194"/>
  <c r="H46" i="441"/>
  <c r="GX14" i="194"/>
  <c r="H14" i="441"/>
  <c r="GX49" i="194"/>
  <c r="H49" i="441"/>
  <c r="AG49" i="441" s="1"/>
  <c r="AK49" i="441" s="1"/>
  <c r="AS49" i="441" s="1"/>
  <c r="AR49" i="441" s="1"/>
  <c r="GV4" i="194"/>
  <c r="F4" i="441"/>
  <c r="GV48" i="194"/>
  <c r="F48" i="441"/>
  <c r="AG48" i="441" s="1"/>
  <c r="GW37" i="194"/>
  <c r="G37" i="441"/>
  <c r="AG37" i="441" s="1"/>
  <c r="GW9" i="194"/>
  <c r="G9" i="441"/>
  <c r="G64" i="441" s="1"/>
  <c r="GX17" i="194"/>
  <c r="H17" i="441"/>
  <c r="GX64" i="194"/>
  <c r="E32" i="416"/>
  <c r="E36" i="416" s="1"/>
  <c r="E12" i="416"/>
  <c r="C36" i="416"/>
  <c r="D35" i="416"/>
  <c r="D36" i="416" s="1"/>
  <c r="E32" i="415"/>
  <c r="E36" i="415" s="1"/>
  <c r="E32" i="414"/>
  <c r="E36" i="414" s="1"/>
  <c r="E12" i="415"/>
  <c r="C36" i="415"/>
  <c r="D35" i="415"/>
  <c r="D36" i="415" s="1"/>
  <c r="E12" i="414"/>
  <c r="C36" i="414"/>
  <c r="D35" i="414"/>
  <c r="D36" i="414" s="1"/>
  <c r="E9" i="192"/>
  <c r="AH37" i="441" l="1"/>
  <c r="AK37" i="441"/>
  <c r="AS37" i="441" s="1"/>
  <c r="AR37" i="441" s="1"/>
  <c r="AH48" i="441"/>
  <c r="AK48" i="441"/>
  <c r="AS48" i="441" s="1"/>
  <c r="F64" i="441"/>
  <c r="H64" i="441"/>
  <c r="AG46" i="441"/>
  <c r="AH54" i="441"/>
  <c r="AK54" i="441"/>
  <c r="AS54" i="441" s="1"/>
  <c r="AR54" i="441" s="1"/>
  <c r="AG17" i="441"/>
  <c r="AH23" i="441"/>
  <c r="AK23" i="441"/>
  <c r="AS23" i="441" s="1"/>
  <c r="AR23" i="441" s="1"/>
  <c r="C38" i="416"/>
  <c r="C39" i="416" s="1"/>
  <c r="E39" i="416" s="1"/>
  <c r="E38" i="416"/>
  <c r="E38" i="415"/>
  <c r="E38" i="414"/>
  <c r="C38" i="415"/>
  <c r="C39" i="415" s="1"/>
  <c r="E39" i="415" s="1"/>
  <c r="C38" i="414"/>
  <c r="C39" i="414" s="1"/>
  <c r="E39" i="414" s="1"/>
  <c r="D32" i="413"/>
  <c r="E35" i="413" s="1"/>
  <c r="E31" i="413"/>
  <c r="E30" i="413"/>
  <c r="E29" i="413"/>
  <c r="E28" i="413"/>
  <c r="GU52" i="194"/>
  <c r="D22" i="413"/>
  <c r="E22" i="413" s="1"/>
  <c r="E21" i="413"/>
  <c r="E20" i="413"/>
  <c r="E19" i="413"/>
  <c r="E18" i="413"/>
  <c r="E17" i="413"/>
  <c r="D12" i="413"/>
  <c r="C35" i="413" s="1"/>
  <c r="E11" i="413"/>
  <c r="E10" i="413"/>
  <c r="E9" i="413"/>
  <c r="E8" i="413"/>
  <c r="E7" i="413"/>
  <c r="GU10" i="194" l="1"/>
  <c r="E10" i="441"/>
  <c r="AG10" i="441" s="1"/>
  <c r="GU14" i="194"/>
  <c r="E14" i="441"/>
  <c r="AG14" i="441" s="1"/>
  <c r="GU8" i="194"/>
  <c r="E8" i="441"/>
  <c r="AG8" i="441" s="1"/>
  <c r="GU3" i="194"/>
  <c r="E3" i="441"/>
  <c r="GU15" i="194"/>
  <c r="E15" i="441"/>
  <c r="AG15" i="441" s="1"/>
  <c r="GW65" i="194"/>
  <c r="G65" i="441"/>
  <c r="G66" i="441" s="1"/>
  <c r="AH46" i="441"/>
  <c r="AK46" i="441"/>
  <c r="AS46" i="441" s="1"/>
  <c r="AR46" i="441" s="1"/>
  <c r="GV65" i="194"/>
  <c r="F65" i="441"/>
  <c r="F66" i="441" s="1"/>
  <c r="GX65" i="194"/>
  <c r="GX66" i="194" s="1"/>
  <c r="H65" i="441"/>
  <c r="H66" i="441" s="1"/>
  <c r="AH17" i="441"/>
  <c r="AK17" i="441"/>
  <c r="AS17" i="441" s="1"/>
  <c r="AR17" i="441" s="1"/>
  <c r="E40" i="416"/>
  <c r="E40" i="415"/>
  <c r="E40" i="414"/>
  <c r="E32" i="413"/>
  <c r="E36" i="413" s="1"/>
  <c r="E12" i="413"/>
  <c r="C36" i="413"/>
  <c r="D35" i="413"/>
  <c r="D36" i="413" s="1"/>
  <c r="C9" i="192"/>
  <c r="AH15" i="441" l="1"/>
  <c r="AK15" i="441"/>
  <c r="AS15" i="441" s="1"/>
  <c r="AR15" i="441" s="1"/>
  <c r="E64" i="441"/>
  <c r="AK8" i="441"/>
  <c r="AS8" i="441" s="1"/>
  <c r="AR8" i="441" s="1"/>
  <c r="AH8" i="441"/>
  <c r="AH14" i="441"/>
  <c r="AK14" i="441"/>
  <c r="AS14" i="441" s="1"/>
  <c r="AR14" i="441" s="1"/>
  <c r="AH10" i="441"/>
  <c r="AK10" i="441"/>
  <c r="AS10" i="441" s="1"/>
  <c r="AR10" i="441" s="1"/>
  <c r="E38" i="413"/>
  <c r="C38" i="413"/>
  <c r="C39" i="413" s="1"/>
  <c r="E39" i="413" s="1"/>
  <c r="D32" i="412"/>
  <c r="E35" i="412" s="1"/>
  <c r="E31" i="412"/>
  <c r="E30" i="412"/>
  <c r="E29" i="412"/>
  <c r="E28" i="412"/>
  <c r="D22" i="412"/>
  <c r="E22" i="412" s="1"/>
  <c r="E21" i="412"/>
  <c r="E20" i="412"/>
  <c r="E19" i="412"/>
  <c r="E18" i="412"/>
  <c r="E17" i="412"/>
  <c r="D12" i="412"/>
  <c r="C35" i="412" s="1"/>
  <c r="E11" i="412"/>
  <c r="E10" i="412"/>
  <c r="E9" i="412"/>
  <c r="E8" i="412"/>
  <c r="E7" i="412"/>
  <c r="GT19" i="194" l="1"/>
  <c r="D19" i="441"/>
  <c r="AG19" i="441" s="1"/>
  <c r="GT51" i="194"/>
  <c r="D51" i="441"/>
  <c r="AG51" i="441" s="1"/>
  <c r="GT44" i="194"/>
  <c r="D44" i="441"/>
  <c r="AG44" i="441" s="1"/>
  <c r="GT3" i="194"/>
  <c r="D3" i="441"/>
  <c r="GT9" i="194"/>
  <c r="D9" i="441"/>
  <c r="AG9" i="441" s="1"/>
  <c r="AK9" i="441" s="1"/>
  <c r="AS9" i="441" s="1"/>
  <c r="AR9" i="441" s="1"/>
  <c r="GU65" i="194"/>
  <c r="E65" i="441"/>
  <c r="E66" i="441" s="1"/>
  <c r="E40" i="413"/>
  <c r="E12" i="412"/>
  <c r="E32" i="412"/>
  <c r="E36" i="412" s="1"/>
  <c r="C36" i="412"/>
  <c r="D35" i="412"/>
  <c r="D36" i="412" s="1"/>
  <c r="C73" i="333"/>
  <c r="C74" i="333"/>
  <c r="C75" i="333"/>
  <c r="C76" i="333"/>
  <c r="C77" i="333"/>
  <c r="C78" i="333"/>
  <c r="C79" i="333"/>
  <c r="C80" i="333"/>
  <c r="C81" i="333"/>
  <c r="C82" i="333"/>
  <c r="C83" i="333"/>
  <c r="C84" i="333"/>
  <c r="C85" i="333"/>
  <c r="C86" i="333"/>
  <c r="C87" i="333"/>
  <c r="C88" i="333"/>
  <c r="C89" i="333"/>
  <c r="C90" i="333"/>
  <c r="C91" i="333"/>
  <c r="C92" i="333"/>
  <c r="C93" i="333"/>
  <c r="C94" i="333"/>
  <c r="C95" i="333"/>
  <c r="C96" i="333"/>
  <c r="C97" i="333"/>
  <c r="C98" i="333"/>
  <c r="C99" i="333"/>
  <c r="C100" i="333"/>
  <c r="C101" i="333"/>
  <c r="C102" i="333"/>
  <c r="C72" i="333"/>
  <c r="D32" i="411"/>
  <c r="E35" i="411" s="1"/>
  <c r="E31" i="411"/>
  <c r="E30" i="411"/>
  <c r="E29" i="411"/>
  <c r="E28" i="411"/>
  <c r="GS57" i="194"/>
  <c r="D22" i="411"/>
  <c r="E22" i="411" s="1"/>
  <c r="E21" i="411"/>
  <c r="E20" i="411"/>
  <c r="E19" i="411"/>
  <c r="E18" i="411"/>
  <c r="E17" i="411"/>
  <c r="D12" i="411"/>
  <c r="C35" i="411" s="1"/>
  <c r="E11" i="411"/>
  <c r="E10" i="411"/>
  <c r="E9" i="411"/>
  <c r="E8" i="411"/>
  <c r="E7" i="411"/>
  <c r="GS39" i="194" l="1"/>
  <c r="C39" i="441"/>
  <c r="AG39" i="441" s="1"/>
  <c r="GS18" i="194"/>
  <c r="C18" i="441"/>
  <c r="D64" i="441"/>
  <c r="AG3" i="441"/>
  <c r="AH44" i="441"/>
  <c r="AK44" i="441"/>
  <c r="AS44" i="441" s="1"/>
  <c r="AR44" i="441" s="1"/>
  <c r="AH51" i="441"/>
  <c r="AK51" i="441"/>
  <c r="AS51" i="441" s="1"/>
  <c r="AR51" i="441" s="1"/>
  <c r="AH19" i="441"/>
  <c r="AK19" i="441"/>
  <c r="AS19" i="441" s="1"/>
  <c r="AR19" i="441" s="1"/>
  <c r="GS24" i="194"/>
  <c r="IL24" i="194" s="1"/>
  <c r="C24" i="441"/>
  <c r="AG24" i="441" s="1"/>
  <c r="AK24" i="441" s="1"/>
  <c r="AS24" i="441" s="1"/>
  <c r="AR24" i="441" s="1"/>
  <c r="GS20" i="194"/>
  <c r="C20" i="441"/>
  <c r="AG20" i="441" s="1"/>
  <c r="C103" i="333"/>
  <c r="E38" i="412"/>
  <c r="C38" i="412"/>
  <c r="C39" i="412" s="1"/>
  <c r="E39" i="412" s="1"/>
  <c r="E32" i="411"/>
  <c r="E36" i="411" s="1"/>
  <c r="E12" i="411"/>
  <c r="C36" i="411"/>
  <c r="D35" i="411"/>
  <c r="D36" i="411" s="1"/>
  <c r="D32" i="410"/>
  <c r="E35" i="410" s="1"/>
  <c r="E31" i="410"/>
  <c r="E30" i="410"/>
  <c r="E29" i="410"/>
  <c r="E28" i="410"/>
  <c r="D22" i="410"/>
  <c r="E22" i="410" s="1"/>
  <c r="E21" i="410"/>
  <c r="E20" i="410"/>
  <c r="E19" i="410"/>
  <c r="E18" i="410"/>
  <c r="E17" i="410"/>
  <c r="D12" i="410"/>
  <c r="C35" i="410" s="1"/>
  <c r="E11" i="410"/>
  <c r="E10" i="410"/>
  <c r="E9" i="410"/>
  <c r="E8" i="410"/>
  <c r="E7" i="410"/>
  <c r="GR4" i="194" l="1"/>
  <c r="B4" i="441"/>
  <c r="GR42" i="194"/>
  <c r="B42" i="441"/>
  <c r="AG42" i="441" s="1"/>
  <c r="GR60" i="194"/>
  <c r="B60" i="441"/>
  <c r="AG60" i="441" s="1"/>
  <c r="GR36" i="194"/>
  <c r="B36" i="441"/>
  <c r="AG36" i="441" s="1"/>
  <c r="GT65" i="194"/>
  <c r="D65" i="441"/>
  <c r="D66" i="441" s="1"/>
  <c r="AH20" i="441"/>
  <c r="AK20" i="441"/>
  <c r="AS20" i="441" s="1"/>
  <c r="AR20" i="441" s="1"/>
  <c r="AK3" i="441"/>
  <c r="AS3" i="441" s="1"/>
  <c r="AH3" i="441"/>
  <c r="AG18" i="441"/>
  <c r="AK18" i="441" s="1"/>
  <c r="AS18" i="441" s="1"/>
  <c r="AR18" i="441" s="1"/>
  <c r="C64" i="441"/>
  <c r="AH39" i="441"/>
  <c r="AK39" i="441"/>
  <c r="AS39" i="441" s="1"/>
  <c r="AR39" i="441" s="1"/>
  <c r="GR40" i="194"/>
  <c r="B40" i="441"/>
  <c r="AG40" i="441" s="1"/>
  <c r="E38" i="411"/>
  <c r="E40" i="412"/>
  <c r="C38" i="411"/>
  <c r="C39" i="411" s="1"/>
  <c r="E39" i="411" s="1"/>
  <c r="E40" i="411" s="1"/>
  <c r="E32" i="410"/>
  <c r="E36" i="410" s="1"/>
  <c r="GR44" i="194"/>
  <c r="E12" i="410"/>
  <c r="C36" i="410"/>
  <c r="D35" i="410"/>
  <c r="D36" i="410" s="1"/>
  <c r="C23" i="192"/>
  <c r="AN64" i="409"/>
  <c r="B64" i="409"/>
  <c r="B66" i="409" s="1"/>
  <c r="AS63" i="409"/>
  <c r="AF63" i="409"/>
  <c r="AG63" i="409" s="1"/>
  <c r="AS62" i="409"/>
  <c r="AF62" i="409"/>
  <c r="AG62" i="409" s="1"/>
  <c r="AS61" i="409"/>
  <c r="AF61" i="409"/>
  <c r="AG61" i="409" s="1"/>
  <c r="AH60" i="409"/>
  <c r="AS60" i="409" s="1"/>
  <c r="AH59" i="409"/>
  <c r="AS59" i="409" s="1"/>
  <c r="AK58" i="409"/>
  <c r="AH58" i="409"/>
  <c r="AS58" i="409" s="1"/>
  <c r="AF58" i="409"/>
  <c r="AJ58" i="409" s="1"/>
  <c r="AR58" i="409" s="1"/>
  <c r="AQ58" i="409" s="1"/>
  <c r="AH57" i="409"/>
  <c r="AS57" i="409" s="1"/>
  <c r="AH56" i="409"/>
  <c r="AS56" i="409" s="1"/>
  <c r="AK55" i="409"/>
  <c r="AH55" i="409"/>
  <c r="AS55" i="409" s="1"/>
  <c r="AF55" i="409"/>
  <c r="AJ55" i="409" s="1"/>
  <c r="AR55" i="409" s="1"/>
  <c r="AQ55" i="409" s="1"/>
  <c r="AH54" i="409"/>
  <c r="AS54" i="409" s="1"/>
  <c r="AK53" i="409"/>
  <c r="AH53" i="409"/>
  <c r="AS53" i="409" s="1"/>
  <c r="AF53" i="409"/>
  <c r="AH52" i="409"/>
  <c r="AS52" i="409" s="1"/>
  <c r="AH51" i="409"/>
  <c r="AS51" i="409" s="1"/>
  <c r="AK50" i="409"/>
  <c r="AH50" i="409"/>
  <c r="AS50" i="409" s="1"/>
  <c r="AF50" i="409"/>
  <c r="AJ50" i="409" s="1"/>
  <c r="AR50" i="409" s="1"/>
  <c r="AQ50" i="409" s="1"/>
  <c r="AH49" i="409"/>
  <c r="AS49" i="409" s="1"/>
  <c r="AH48" i="409"/>
  <c r="AS48" i="409" s="1"/>
  <c r="AK47" i="409"/>
  <c r="AH47" i="409"/>
  <c r="AS47" i="409" s="1"/>
  <c r="AF47" i="409"/>
  <c r="AJ47" i="409" s="1"/>
  <c r="AR47" i="409" s="1"/>
  <c r="AQ47" i="409" s="1"/>
  <c r="AH46" i="409"/>
  <c r="AS46" i="409" s="1"/>
  <c r="AK45" i="409"/>
  <c r="AH45" i="409"/>
  <c r="AS45" i="409" s="1"/>
  <c r="AF45" i="409"/>
  <c r="AJ45" i="409" s="1"/>
  <c r="AR45" i="409" s="1"/>
  <c r="AQ45" i="409" s="1"/>
  <c r="AH44" i="409"/>
  <c r="AS44" i="409" s="1"/>
  <c r="AH43" i="409"/>
  <c r="AS43" i="409" s="1"/>
  <c r="AK43" i="409"/>
  <c r="AH42" i="409"/>
  <c r="AS42" i="409" s="1"/>
  <c r="AK41" i="409"/>
  <c r="AH41" i="409"/>
  <c r="AS41" i="409" s="1"/>
  <c r="AF41" i="409"/>
  <c r="AJ41" i="409" s="1"/>
  <c r="AR41" i="409" s="1"/>
  <c r="AH40" i="409"/>
  <c r="AS40" i="409" s="1"/>
  <c r="AH39" i="409"/>
  <c r="AS39" i="409" s="1"/>
  <c r="AH38" i="409"/>
  <c r="AS38" i="409" s="1"/>
  <c r="AK38" i="409"/>
  <c r="AH37" i="409"/>
  <c r="AS37" i="409" s="1"/>
  <c r="AH36" i="409"/>
  <c r="AS36" i="409" s="1"/>
  <c r="AH35" i="409"/>
  <c r="AS35" i="409" s="1"/>
  <c r="AK35" i="409"/>
  <c r="AH34" i="409"/>
  <c r="AS34" i="409" s="1"/>
  <c r="AK33" i="409"/>
  <c r="AH33" i="409"/>
  <c r="AS33" i="409" s="1"/>
  <c r="AF33" i="409"/>
  <c r="AK32" i="409"/>
  <c r="AH32" i="409"/>
  <c r="AS32" i="409" s="1"/>
  <c r="AF32" i="409"/>
  <c r="AJ32" i="409" s="1"/>
  <c r="AR32" i="409" s="1"/>
  <c r="AQ32" i="409" s="1"/>
  <c r="AK31" i="409"/>
  <c r="AH31" i="409"/>
  <c r="AS31" i="409" s="1"/>
  <c r="AF31" i="409"/>
  <c r="AJ31" i="409" s="1"/>
  <c r="AR31" i="409" s="1"/>
  <c r="AQ31" i="409" s="1"/>
  <c r="AK30" i="409"/>
  <c r="AH30" i="409"/>
  <c r="AS30" i="409" s="1"/>
  <c r="AF30" i="409"/>
  <c r="AJ30" i="409" s="1"/>
  <c r="AR30" i="409" s="1"/>
  <c r="AQ30" i="409" s="1"/>
  <c r="AK29" i="409"/>
  <c r="AH29" i="409"/>
  <c r="AS29" i="409" s="1"/>
  <c r="AF29" i="409"/>
  <c r="AJ29" i="409" s="1"/>
  <c r="AR29" i="409" s="1"/>
  <c r="AQ29" i="409" s="1"/>
  <c r="AK28" i="409"/>
  <c r="AH28" i="409"/>
  <c r="AS28" i="409" s="1"/>
  <c r="AF28" i="409"/>
  <c r="AJ28" i="409" s="1"/>
  <c r="AR28" i="409" s="1"/>
  <c r="AQ28" i="409" s="1"/>
  <c r="AH27" i="409"/>
  <c r="AS27" i="409" s="1"/>
  <c r="AH26" i="409"/>
  <c r="AS26" i="409" s="1"/>
  <c r="AH25" i="409"/>
  <c r="AS25" i="409" s="1"/>
  <c r="AK24" i="409"/>
  <c r="AH24" i="409"/>
  <c r="AS24" i="409" s="1"/>
  <c r="AF24" i="409"/>
  <c r="AJ24" i="409" s="1"/>
  <c r="AR24" i="409" s="1"/>
  <c r="AQ24" i="409" s="1"/>
  <c r="AH23" i="409"/>
  <c r="AS23" i="409" s="1"/>
  <c r="AK22" i="409"/>
  <c r="AH22" i="409"/>
  <c r="AS22" i="409" s="1"/>
  <c r="AF22" i="409"/>
  <c r="AJ22" i="409" s="1"/>
  <c r="AR22" i="409" s="1"/>
  <c r="AQ22" i="409" s="1"/>
  <c r="AH21" i="409"/>
  <c r="AS21" i="409" s="1"/>
  <c r="AH20" i="409"/>
  <c r="AS20" i="409" s="1"/>
  <c r="AH19" i="409"/>
  <c r="AS19" i="409" s="1"/>
  <c r="AH18" i="409"/>
  <c r="AS18" i="409" s="1"/>
  <c r="AH17" i="409"/>
  <c r="AS17" i="409" s="1"/>
  <c r="AH16" i="409"/>
  <c r="AS16" i="409" s="1"/>
  <c r="AK16" i="409"/>
  <c r="AH15" i="409"/>
  <c r="AS15" i="409" s="1"/>
  <c r="AH14" i="409"/>
  <c r="AS14" i="409" s="1"/>
  <c r="AH13" i="409"/>
  <c r="AS13" i="409" s="1"/>
  <c r="AH12" i="409"/>
  <c r="AS12" i="409" s="1"/>
  <c r="AK12" i="409"/>
  <c r="AH11" i="409"/>
  <c r="AS11" i="409" s="1"/>
  <c r="AK11" i="409"/>
  <c r="AH10" i="409"/>
  <c r="AS10" i="409" s="1"/>
  <c r="AH9" i="409"/>
  <c r="AS9" i="409" s="1"/>
  <c r="AH8" i="409"/>
  <c r="AS8" i="409" s="1"/>
  <c r="AH7" i="409"/>
  <c r="AS7" i="409" s="1"/>
  <c r="AK7" i="409"/>
  <c r="AH6" i="409"/>
  <c r="AS6" i="409" s="1"/>
  <c r="AH5" i="409"/>
  <c r="AS5" i="409" s="1"/>
  <c r="AH4" i="409"/>
  <c r="AS4" i="409" s="1"/>
  <c r="AH3" i="409"/>
  <c r="AS3" i="409" s="1"/>
  <c r="E27" i="408"/>
  <c r="AE26" i="409" s="1"/>
  <c r="GS65" i="194" l="1"/>
  <c r="C65" i="441"/>
  <c r="C66" i="441" s="1"/>
  <c r="AH40" i="441"/>
  <c r="AK40" i="441"/>
  <c r="AS40" i="441" s="1"/>
  <c r="AR40" i="441" s="1"/>
  <c r="AH36" i="441"/>
  <c r="AK36" i="441"/>
  <c r="AS36" i="441" s="1"/>
  <c r="AR36" i="441" s="1"/>
  <c r="AH60" i="441"/>
  <c r="AK60" i="441"/>
  <c r="AS60" i="441" s="1"/>
  <c r="AR60" i="441" s="1"/>
  <c r="AH42" i="441"/>
  <c r="AK42" i="441"/>
  <c r="AS42" i="441" s="1"/>
  <c r="AR42" i="441" s="1"/>
  <c r="B64" i="441"/>
  <c r="AG4" i="441"/>
  <c r="AR3" i="441"/>
  <c r="AG50" i="409"/>
  <c r="E38" i="410"/>
  <c r="GQ26" i="194"/>
  <c r="C38" i="410"/>
  <c r="C39" i="410" s="1"/>
  <c r="E39" i="410" s="1"/>
  <c r="E40" i="410" s="1"/>
  <c r="AJ33" i="409"/>
  <c r="AR33" i="409" s="1"/>
  <c r="AQ33" i="409" s="1"/>
  <c r="AG33" i="409"/>
  <c r="AG47" i="409"/>
  <c r="AJ63" i="409"/>
  <c r="AR63" i="409" s="1"/>
  <c r="AQ63" i="409" s="1"/>
  <c r="AG45" i="409"/>
  <c r="AG55" i="409"/>
  <c r="AG58" i="409"/>
  <c r="AK4" i="409"/>
  <c r="AF6" i="409"/>
  <c r="AK6" i="409"/>
  <c r="AF7" i="409"/>
  <c r="AF11" i="409"/>
  <c r="AF12" i="409"/>
  <c r="AG22" i="409"/>
  <c r="AG28" i="409"/>
  <c r="AG29" i="409"/>
  <c r="AG30" i="409"/>
  <c r="AG31" i="409"/>
  <c r="AF43" i="409"/>
  <c r="AK5" i="409"/>
  <c r="AF16" i="409"/>
  <c r="AF35" i="409"/>
  <c r="AF38" i="409"/>
  <c r="AJ53" i="409"/>
  <c r="AR53" i="409" s="1"/>
  <c r="AQ53" i="409" s="1"/>
  <c r="AG53" i="409"/>
  <c r="AJ61" i="409"/>
  <c r="AR61" i="409" s="1"/>
  <c r="AQ61" i="409" s="1"/>
  <c r="AJ62" i="409"/>
  <c r="AR62" i="409" s="1"/>
  <c r="AQ62" i="409" s="1"/>
  <c r="C47" i="333"/>
  <c r="C48" i="333"/>
  <c r="C49" i="333"/>
  <c r="C50" i="333"/>
  <c r="C51" i="333"/>
  <c r="C52" i="333"/>
  <c r="C53" i="333"/>
  <c r="C54" i="333"/>
  <c r="C55" i="333"/>
  <c r="C56" i="333"/>
  <c r="C57" i="333"/>
  <c r="C58" i="333"/>
  <c r="C59" i="333"/>
  <c r="C60" i="333"/>
  <c r="C61" i="333"/>
  <c r="C62" i="333"/>
  <c r="C63" i="333"/>
  <c r="C64" i="333"/>
  <c r="C65" i="333"/>
  <c r="C66" i="333"/>
  <c r="C67" i="333"/>
  <c r="C68" i="333"/>
  <c r="C69" i="333"/>
  <c r="C70" i="333"/>
  <c r="C42" i="333"/>
  <c r="C43" i="333"/>
  <c r="C44" i="333"/>
  <c r="C45" i="333"/>
  <c r="C46" i="333"/>
  <c r="C41" i="333"/>
  <c r="B71" i="333"/>
  <c r="B40" i="333"/>
  <c r="AH64" i="441" l="1"/>
  <c r="GR65" i="194"/>
  <c r="B65" i="441"/>
  <c r="B66" i="441" s="1"/>
  <c r="AK4" i="441"/>
  <c r="AS4" i="441" s="1"/>
  <c r="AG64" i="441"/>
  <c r="K10" i="192" s="1"/>
  <c r="C71" i="333"/>
  <c r="AJ16" i="409"/>
  <c r="AR16" i="409" s="1"/>
  <c r="AQ16" i="409" s="1"/>
  <c r="AG16" i="409"/>
  <c r="AJ12" i="409"/>
  <c r="AR12" i="409" s="1"/>
  <c r="AQ12" i="409" s="1"/>
  <c r="AG12" i="409"/>
  <c r="AJ7" i="409"/>
  <c r="AR7" i="409" s="1"/>
  <c r="AQ7" i="409" s="1"/>
  <c r="AG7" i="409"/>
  <c r="AJ6" i="409"/>
  <c r="AR6" i="409" s="1"/>
  <c r="AQ6" i="409" s="1"/>
  <c r="AG6" i="409"/>
  <c r="AJ38" i="409"/>
  <c r="AR38" i="409" s="1"/>
  <c r="AQ38" i="409" s="1"/>
  <c r="AG38" i="409"/>
  <c r="AJ35" i="409"/>
  <c r="AR35" i="409" s="1"/>
  <c r="AQ35" i="409" s="1"/>
  <c r="AG35" i="409"/>
  <c r="AJ43" i="409"/>
  <c r="AR43" i="409" s="1"/>
  <c r="AQ43" i="409" s="1"/>
  <c r="AG43" i="409"/>
  <c r="AJ11" i="409"/>
  <c r="AR11" i="409" s="1"/>
  <c r="AQ11" i="409" s="1"/>
  <c r="AG11" i="409"/>
  <c r="D32" i="408"/>
  <c r="E35" i="408" s="1"/>
  <c r="E31" i="408"/>
  <c r="E30" i="408"/>
  <c r="E29" i="408"/>
  <c r="E28" i="408"/>
  <c r="D22" i="408"/>
  <c r="E22" i="408" s="1"/>
  <c r="E21" i="408"/>
  <c r="E20" i="408"/>
  <c r="E19" i="408"/>
  <c r="E18" i="408"/>
  <c r="E17" i="408"/>
  <c r="D12" i="408"/>
  <c r="C35" i="408" s="1"/>
  <c r="E11" i="408"/>
  <c r="E10" i="408"/>
  <c r="E9" i="408"/>
  <c r="E8" i="408"/>
  <c r="E7" i="408"/>
  <c r="D32" i="407"/>
  <c r="E35" i="407" s="1"/>
  <c r="E31" i="407"/>
  <c r="E30" i="407"/>
  <c r="E29" i="407"/>
  <c r="E28" i="407"/>
  <c r="E27" i="407"/>
  <c r="D22" i="407"/>
  <c r="E22" i="407" s="1"/>
  <c r="E21" i="407"/>
  <c r="E20" i="407"/>
  <c r="E19" i="407"/>
  <c r="E18" i="407"/>
  <c r="E17" i="407"/>
  <c r="D12" i="407"/>
  <c r="C35" i="407" s="1"/>
  <c r="E11" i="407"/>
  <c r="E10" i="407"/>
  <c r="E9" i="407"/>
  <c r="E8" i="407"/>
  <c r="E7" i="407"/>
  <c r="D32" i="406"/>
  <c r="E35" i="406" s="1"/>
  <c r="E31" i="406"/>
  <c r="E30" i="406"/>
  <c r="E29" i="406"/>
  <c r="E28" i="406"/>
  <c r="E27" i="406"/>
  <c r="D22" i="406"/>
  <c r="E22" i="406" s="1"/>
  <c r="E21" i="406"/>
  <c r="E20" i="406"/>
  <c r="E19" i="406"/>
  <c r="E18" i="406"/>
  <c r="E17" i="406"/>
  <c r="D12" i="406"/>
  <c r="C35" i="406" s="1"/>
  <c r="E11" i="406"/>
  <c r="E10" i="406"/>
  <c r="E9" i="406"/>
  <c r="E8" i="406"/>
  <c r="E7" i="406"/>
  <c r="AR4" i="441" l="1"/>
  <c r="AR64" i="441" s="1"/>
  <c r="AS64" i="441"/>
  <c r="E32" i="408"/>
  <c r="E36" i="408" s="1"/>
  <c r="GO37" i="194"/>
  <c r="AC37" i="409"/>
  <c r="GO4" i="194"/>
  <c r="AC4" i="409"/>
  <c r="GO60" i="194"/>
  <c r="AC60" i="409"/>
  <c r="GP48" i="194"/>
  <c r="AD48" i="409"/>
  <c r="GP44" i="194"/>
  <c r="AD44" i="409"/>
  <c r="GP19" i="194"/>
  <c r="AD19" i="409"/>
  <c r="GQ5" i="194"/>
  <c r="AE5" i="409"/>
  <c r="GQ27" i="194"/>
  <c r="AE27" i="409"/>
  <c r="GO27" i="194"/>
  <c r="AC27" i="409"/>
  <c r="GO23" i="194"/>
  <c r="AC23" i="409"/>
  <c r="GO15" i="194"/>
  <c r="AC15" i="409"/>
  <c r="GP3" i="194"/>
  <c r="AD3" i="409"/>
  <c r="GP17" i="194"/>
  <c r="AD17" i="409"/>
  <c r="GP49" i="194"/>
  <c r="AD49" i="409"/>
  <c r="GQ42" i="194"/>
  <c r="AE42" i="409"/>
  <c r="GQ34" i="194"/>
  <c r="AE34" i="409"/>
  <c r="GQ49" i="194"/>
  <c r="AE49" i="409"/>
  <c r="E12" i="408"/>
  <c r="C36" i="408"/>
  <c r="D35" i="408"/>
  <c r="D36" i="408" s="1"/>
  <c r="E32" i="407"/>
  <c r="E36" i="407" s="1"/>
  <c r="E12" i="407"/>
  <c r="C36" i="407"/>
  <c r="D35" i="407"/>
  <c r="D36" i="407" s="1"/>
  <c r="E32" i="406"/>
  <c r="E36" i="406" s="1"/>
  <c r="E12" i="406"/>
  <c r="C36" i="406"/>
  <c r="D35" i="406"/>
  <c r="D36" i="406" s="1"/>
  <c r="D32" i="405"/>
  <c r="E35" i="405" s="1"/>
  <c r="E31" i="405"/>
  <c r="E30" i="405"/>
  <c r="E29" i="405"/>
  <c r="E28" i="405"/>
  <c r="E27" i="405"/>
  <c r="D22" i="405"/>
  <c r="E22" i="405" s="1"/>
  <c r="E21" i="405"/>
  <c r="E20" i="405"/>
  <c r="E19" i="405"/>
  <c r="E18" i="405"/>
  <c r="E17" i="405"/>
  <c r="D12" i="405"/>
  <c r="C35" i="405" s="1"/>
  <c r="E11" i="405"/>
  <c r="E10" i="405"/>
  <c r="E9" i="405"/>
  <c r="E8" i="405"/>
  <c r="E7" i="405"/>
  <c r="E38" i="408" l="1"/>
  <c r="GQ65" i="194" s="1"/>
  <c r="GN10" i="194"/>
  <c r="AB10" i="409"/>
  <c r="GN57" i="194"/>
  <c r="AB57" i="409"/>
  <c r="GN3" i="194"/>
  <c r="AB3" i="409"/>
  <c r="AD64" i="409"/>
  <c r="AE64" i="409"/>
  <c r="AC64" i="409"/>
  <c r="GN42" i="194"/>
  <c r="AB42" i="409"/>
  <c r="GN8" i="194"/>
  <c r="AB8" i="409"/>
  <c r="GN9" i="194"/>
  <c r="AB9" i="409"/>
  <c r="C38" i="408"/>
  <c r="C39" i="408" s="1"/>
  <c r="E39" i="408" s="1"/>
  <c r="E38" i="407"/>
  <c r="C38" i="407"/>
  <c r="C39" i="407" s="1"/>
  <c r="E39" i="407" s="1"/>
  <c r="E38" i="406"/>
  <c r="C38" i="406"/>
  <c r="C39" i="406" s="1"/>
  <c r="E39" i="406" s="1"/>
  <c r="E32" i="405"/>
  <c r="E36" i="405" s="1"/>
  <c r="E12" i="405"/>
  <c r="C36" i="405"/>
  <c r="D35" i="405"/>
  <c r="D36" i="405" s="1"/>
  <c r="G32" i="383"/>
  <c r="E40" i="408" l="1"/>
  <c r="AE65" i="409"/>
  <c r="AE66" i="409" s="1"/>
  <c r="AB64" i="409"/>
  <c r="GO65" i="194"/>
  <c r="AC65" i="409"/>
  <c r="AC66" i="409" s="1"/>
  <c r="GP65" i="194"/>
  <c r="AD65" i="409"/>
  <c r="AD66" i="409" s="1"/>
  <c r="E38" i="405"/>
  <c r="E40" i="407"/>
  <c r="E40" i="406"/>
  <c r="C38" i="405"/>
  <c r="C39" i="405" s="1"/>
  <c r="E39" i="405" s="1"/>
  <c r="D32" i="404"/>
  <c r="E35" i="404" s="1"/>
  <c r="E31" i="404"/>
  <c r="E30" i="404"/>
  <c r="E29" i="404"/>
  <c r="E28" i="404"/>
  <c r="E27" i="404"/>
  <c r="D22" i="404"/>
  <c r="E22" i="404" s="1"/>
  <c r="E21" i="404"/>
  <c r="E20" i="404"/>
  <c r="E19" i="404"/>
  <c r="E18" i="404"/>
  <c r="E17" i="404"/>
  <c r="D12" i="404"/>
  <c r="C35" i="404" s="1"/>
  <c r="E11" i="404"/>
  <c r="E10" i="404"/>
  <c r="E9" i="404"/>
  <c r="E8" i="404"/>
  <c r="E7" i="404"/>
  <c r="GM27" i="194" l="1"/>
  <c r="AA27" i="409"/>
  <c r="GM54" i="194"/>
  <c r="AA54" i="409"/>
  <c r="GM44" i="194"/>
  <c r="AA44" i="409"/>
  <c r="GM48" i="194"/>
  <c r="AA48" i="409"/>
  <c r="GM19" i="194"/>
  <c r="AA19" i="409"/>
  <c r="GM36" i="194"/>
  <c r="AA36" i="409"/>
  <c r="GN65" i="194"/>
  <c r="AB65" i="409"/>
  <c r="AB66" i="409" s="1"/>
  <c r="E40" i="405"/>
  <c r="E32" i="404"/>
  <c r="E36" i="404" s="1"/>
  <c r="E12" i="404"/>
  <c r="C36" i="404"/>
  <c r="D35" i="404"/>
  <c r="D36" i="404" s="1"/>
  <c r="D32" i="403"/>
  <c r="E35" i="403" s="1"/>
  <c r="E31" i="403"/>
  <c r="E30" i="403"/>
  <c r="E29" i="403"/>
  <c r="E28" i="403"/>
  <c r="E27" i="403"/>
  <c r="D22" i="403"/>
  <c r="E22" i="403" s="1"/>
  <c r="E21" i="403"/>
  <c r="E20" i="403"/>
  <c r="E19" i="403"/>
  <c r="E18" i="403"/>
  <c r="E17" i="403"/>
  <c r="D12" i="403"/>
  <c r="C35" i="403" s="1"/>
  <c r="E11" i="403"/>
  <c r="E10" i="403"/>
  <c r="E9" i="403"/>
  <c r="E8" i="403"/>
  <c r="E7" i="403"/>
  <c r="GL54" i="194" l="1"/>
  <c r="Z54" i="409"/>
  <c r="GL37" i="194"/>
  <c r="Z37" i="409"/>
  <c r="GL39" i="194"/>
  <c r="Z39" i="409"/>
  <c r="GL8" i="194"/>
  <c r="Z8" i="409"/>
  <c r="GL15" i="194"/>
  <c r="Z15" i="409"/>
  <c r="AA64" i="409"/>
  <c r="E38" i="404"/>
  <c r="C38" i="404"/>
  <c r="C39" i="404" s="1"/>
  <c r="E39" i="404" s="1"/>
  <c r="E32" i="403"/>
  <c r="E36" i="403" s="1"/>
  <c r="E12" i="403"/>
  <c r="C36" i="403"/>
  <c r="D35" i="403"/>
  <c r="D36" i="403" s="1"/>
  <c r="D32" i="402"/>
  <c r="E35" i="402" s="1"/>
  <c r="E31" i="402"/>
  <c r="E30" i="402"/>
  <c r="E29" i="402"/>
  <c r="E28" i="402"/>
  <c r="E27" i="402"/>
  <c r="D22" i="402"/>
  <c r="E22" i="402" s="1"/>
  <c r="E21" i="402"/>
  <c r="E20" i="402"/>
  <c r="E19" i="402"/>
  <c r="E18" i="402"/>
  <c r="E17" i="402"/>
  <c r="D12" i="402"/>
  <c r="C35" i="402" s="1"/>
  <c r="E11" i="402"/>
  <c r="E10" i="402"/>
  <c r="E9" i="402"/>
  <c r="E8" i="402"/>
  <c r="E7" i="402"/>
  <c r="GK42" i="194" l="1"/>
  <c r="Y42" i="409"/>
  <c r="GK51" i="194"/>
  <c r="Y51" i="409"/>
  <c r="GK18" i="194"/>
  <c r="Y18" i="409"/>
  <c r="GM65" i="194"/>
  <c r="AA65" i="409"/>
  <c r="Z64" i="409"/>
  <c r="GK20" i="194"/>
  <c r="Y20" i="409"/>
  <c r="GK13" i="194"/>
  <c r="Y13" i="409"/>
  <c r="GK52" i="194"/>
  <c r="Y52" i="409"/>
  <c r="AA66" i="409"/>
  <c r="E40" i="404"/>
  <c r="E32" i="402"/>
  <c r="E36" i="402" s="1"/>
  <c r="E38" i="403"/>
  <c r="C38" i="403"/>
  <c r="C39" i="403" s="1"/>
  <c r="E39" i="403" s="1"/>
  <c r="E12" i="402"/>
  <c r="C36" i="402"/>
  <c r="D35" i="402"/>
  <c r="D36" i="402" s="1"/>
  <c r="C258" i="191"/>
  <c r="G10" i="192" s="1"/>
  <c r="C227" i="191"/>
  <c r="GL65" i="194" l="1"/>
  <c r="Z65" i="409"/>
  <c r="Y64" i="409"/>
  <c r="Z66" i="409"/>
  <c r="E40" i="403"/>
  <c r="E38" i="402"/>
  <c r="C38" i="402"/>
  <c r="C39" i="402" s="1"/>
  <c r="E39" i="402" s="1"/>
  <c r="D32" i="401"/>
  <c r="E35" i="401" s="1"/>
  <c r="E31" i="401"/>
  <c r="E30" i="401"/>
  <c r="E29" i="401"/>
  <c r="E28" i="401"/>
  <c r="E27" i="401"/>
  <c r="X19" i="409" s="1"/>
  <c r="D22" i="401"/>
  <c r="E22" i="401" s="1"/>
  <c r="E21" i="401"/>
  <c r="E20" i="401"/>
  <c r="E19" i="401"/>
  <c r="E18" i="401"/>
  <c r="E17" i="401"/>
  <c r="D12" i="401"/>
  <c r="C35" i="401" s="1"/>
  <c r="E11" i="401"/>
  <c r="E10" i="401"/>
  <c r="E9" i="401"/>
  <c r="E8" i="401"/>
  <c r="E7" i="401"/>
  <c r="D32" i="400"/>
  <c r="E35" i="400" s="1"/>
  <c r="E31" i="400"/>
  <c r="E30" i="400"/>
  <c r="E29" i="400"/>
  <c r="E28" i="400"/>
  <c r="E27" i="400"/>
  <c r="W57" i="409" s="1"/>
  <c r="D22" i="400"/>
  <c r="E22" i="400" s="1"/>
  <c r="E21" i="400"/>
  <c r="E20" i="400"/>
  <c r="E19" i="400"/>
  <c r="E18" i="400"/>
  <c r="E17" i="400"/>
  <c r="D12" i="400"/>
  <c r="C35" i="400" s="1"/>
  <c r="E11" i="400"/>
  <c r="E10" i="400"/>
  <c r="E9" i="400"/>
  <c r="E8" i="400"/>
  <c r="E7" i="400"/>
  <c r="D32" i="399"/>
  <c r="E35" i="399" s="1"/>
  <c r="E31" i="399"/>
  <c r="E30" i="399"/>
  <c r="E29" i="399"/>
  <c r="E28" i="399"/>
  <c r="E27" i="399"/>
  <c r="D22" i="399"/>
  <c r="E22" i="399" s="1"/>
  <c r="E21" i="399"/>
  <c r="E20" i="399"/>
  <c r="E19" i="399"/>
  <c r="E18" i="399"/>
  <c r="E17" i="399"/>
  <c r="D12" i="399"/>
  <c r="C35" i="399" s="1"/>
  <c r="E11" i="399"/>
  <c r="E10" i="399"/>
  <c r="E9" i="399"/>
  <c r="E8" i="399"/>
  <c r="E7" i="399"/>
  <c r="GH20" i="194" l="1"/>
  <c r="V20" i="409"/>
  <c r="GH21" i="194"/>
  <c r="V21" i="409"/>
  <c r="GH15" i="194"/>
  <c r="V15" i="409"/>
  <c r="GI37" i="194"/>
  <c r="W37" i="409"/>
  <c r="GI17" i="194"/>
  <c r="W17" i="409"/>
  <c r="GI9" i="194"/>
  <c r="W9" i="409"/>
  <c r="GJ17" i="194"/>
  <c r="X17" i="409"/>
  <c r="GJ9" i="194"/>
  <c r="X9" i="409"/>
  <c r="GK65" i="194"/>
  <c r="Y65" i="409"/>
  <c r="Y66" i="409" s="1"/>
  <c r="GH48" i="194"/>
  <c r="V48" i="409"/>
  <c r="GH13" i="194"/>
  <c r="V13" i="409"/>
  <c r="GH51" i="194"/>
  <c r="V51" i="409"/>
  <c r="GI42" i="194"/>
  <c r="W42" i="409"/>
  <c r="GI4" i="194"/>
  <c r="W4" i="409"/>
  <c r="GJ21" i="194"/>
  <c r="X21" i="409"/>
  <c r="GJ34" i="194"/>
  <c r="X34" i="409"/>
  <c r="E40" i="402"/>
  <c r="E32" i="400"/>
  <c r="E36" i="400" s="1"/>
  <c r="GI57" i="194"/>
  <c r="E32" i="401"/>
  <c r="E36" i="401" s="1"/>
  <c r="GJ19" i="194"/>
  <c r="E12" i="401"/>
  <c r="C36" i="401"/>
  <c r="D35" i="401"/>
  <c r="D36" i="401" s="1"/>
  <c r="E32" i="399"/>
  <c r="E36" i="399" s="1"/>
  <c r="E12" i="400"/>
  <c r="C36" i="400"/>
  <c r="D35" i="400"/>
  <c r="D36" i="400" s="1"/>
  <c r="E12" i="399"/>
  <c r="C36" i="399"/>
  <c r="D35" i="399"/>
  <c r="D36" i="399" s="1"/>
  <c r="D32" i="398"/>
  <c r="E35" i="398" s="1"/>
  <c r="E31" i="398"/>
  <c r="E30" i="398"/>
  <c r="E29" i="398"/>
  <c r="E28" i="398"/>
  <c r="E27" i="398"/>
  <c r="D22" i="398"/>
  <c r="E22" i="398" s="1"/>
  <c r="E21" i="398"/>
  <c r="E20" i="398"/>
  <c r="E19" i="398"/>
  <c r="E18" i="398"/>
  <c r="E17" i="398"/>
  <c r="D12" i="398"/>
  <c r="C35" i="398" s="1"/>
  <c r="E11" i="398"/>
  <c r="E10" i="398"/>
  <c r="E9" i="398"/>
  <c r="E8" i="398"/>
  <c r="E7" i="398"/>
  <c r="GG14" i="194" l="1"/>
  <c r="U14" i="409"/>
  <c r="GG59" i="194"/>
  <c r="U59" i="409"/>
  <c r="GG15" i="194"/>
  <c r="U15" i="409"/>
  <c r="GG44" i="194"/>
  <c r="U44" i="409"/>
  <c r="GG23" i="194"/>
  <c r="U23" i="409"/>
  <c r="GG54" i="194"/>
  <c r="U54" i="409"/>
  <c r="W64" i="409"/>
  <c r="AF4" i="409"/>
  <c r="AJ4" i="409" s="1"/>
  <c r="AR4" i="409" s="1"/>
  <c r="AQ4" i="409" s="1"/>
  <c r="V64" i="409"/>
  <c r="X64" i="409"/>
  <c r="E38" i="401"/>
  <c r="C38" i="401"/>
  <c r="C39" i="401" s="1"/>
  <c r="E39" i="401" s="1"/>
  <c r="E38" i="400"/>
  <c r="W65" i="409" s="1"/>
  <c r="C38" i="400"/>
  <c r="C39" i="400" s="1"/>
  <c r="E39" i="400" s="1"/>
  <c r="E38" i="399"/>
  <c r="C38" i="399"/>
  <c r="C39" i="399" s="1"/>
  <c r="E39" i="399" s="1"/>
  <c r="E32" i="398"/>
  <c r="E36" i="398" s="1"/>
  <c r="E12" i="398"/>
  <c r="C36" i="398"/>
  <c r="D35" i="398"/>
  <c r="D36" i="398" s="1"/>
  <c r="G31" i="383"/>
  <c r="U64" i="409" l="1"/>
  <c r="GH65" i="194"/>
  <c r="V65" i="409"/>
  <c r="V66" i="409" s="1"/>
  <c r="GJ65" i="194"/>
  <c r="X65" i="409"/>
  <c r="X66" i="409" s="1"/>
  <c r="W66" i="409"/>
  <c r="E40" i="401"/>
  <c r="E40" i="400"/>
  <c r="GI65" i="194"/>
  <c r="E40" i="399"/>
  <c r="E38" i="398"/>
  <c r="C38" i="398"/>
  <c r="C39" i="398" s="1"/>
  <c r="E39" i="398" s="1"/>
  <c r="D32" i="397"/>
  <c r="E35" i="397" s="1"/>
  <c r="E31" i="397"/>
  <c r="E30" i="397"/>
  <c r="E29" i="397"/>
  <c r="E28" i="397"/>
  <c r="E27" i="397"/>
  <c r="D22" i="397"/>
  <c r="E22" i="397" s="1"/>
  <c r="E21" i="397"/>
  <c r="E20" i="397"/>
  <c r="E19" i="397"/>
  <c r="E18" i="397"/>
  <c r="E17" i="397"/>
  <c r="D12" i="397"/>
  <c r="C35" i="397" s="1"/>
  <c r="E11" i="397"/>
  <c r="E10" i="397"/>
  <c r="E9" i="397"/>
  <c r="E8" i="397"/>
  <c r="E7" i="397"/>
  <c r="GF60" i="194" l="1"/>
  <c r="T60" i="409"/>
  <c r="GF52" i="194"/>
  <c r="T52" i="409"/>
  <c r="GF18" i="194"/>
  <c r="T18" i="409"/>
  <c r="GG65" i="194"/>
  <c r="U65" i="409"/>
  <c r="U66" i="409" s="1"/>
  <c r="GF40" i="194"/>
  <c r="T40" i="409"/>
  <c r="GF17" i="194"/>
  <c r="T17" i="409"/>
  <c r="GF8" i="194"/>
  <c r="T8" i="409"/>
  <c r="GF25" i="194"/>
  <c r="T25" i="409"/>
  <c r="GF44" i="194"/>
  <c r="T44" i="409"/>
  <c r="E40" i="398"/>
  <c r="E32" i="397"/>
  <c r="E36" i="397" s="1"/>
  <c r="E12" i="397"/>
  <c r="C36" i="397"/>
  <c r="D35" i="397"/>
  <c r="D36" i="397" s="1"/>
  <c r="D32" i="396"/>
  <c r="E35" i="396" s="1"/>
  <c r="E31" i="396"/>
  <c r="E30" i="396"/>
  <c r="E29" i="396"/>
  <c r="E28" i="396"/>
  <c r="E27" i="396"/>
  <c r="D22" i="396"/>
  <c r="E22" i="396" s="1"/>
  <c r="E21" i="396"/>
  <c r="E20" i="396"/>
  <c r="E19" i="396"/>
  <c r="E18" i="396"/>
  <c r="E17" i="396"/>
  <c r="D12" i="396"/>
  <c r="C35" i="396" s="1"/>
  <c r="E11" i="396"/>
  <c r="E10" i="396"/>
  <c r="E9" i="396"/>
  <c r="E8" i="396"/>
  <c r="E7" i="396"/>
  <c r="GE10" i="194" l="1"/>
  <c r="S10" i="409"/>
  <c r="GE57" i="194"/>
  <c r="S57" i="409"/>
  <c r="GE9" i="194"/>
  <c r="S9" i="409"/>
  <c r="GE37" i="194"/>
  <c r="S37" i="409"/>
  <c r="GE59" i="194"/>
  <c r="S59" i="409"/>
  <c r="GE34" i="194"/>
  <c r="S34" i="409"/>
  <c r="GE13" i="194"/>
  <c r="S13" i="409"/>
  <c r="GE52" i="194"/>
  <c r="S52" i="409"/>
  <c r="T64" i="409"/>
  <c r="E38" i="397"/>
  <c r="C38" i="397"/>
  <c r="C39" i="397" s="1"/>
  <c r="E39" i="397" s="1"/>
  <c r="E32" i="396"/>
  <c r="E36" i="396" s="1"/>
  <c r="E12" i="396"/>
  <c r="C36" i="396"/>
  <c r="D35" i="396"/>
  <c r="D36" i="396" s="1"/>
  <c r="D32" i="395"/>
  <c r="E35" i="395" s="1"/>
  <c r="E31" i="395"/>
  <c r="E30" i="395"/>
  <c r="E29" i="395"/>
  <c r="E28" i="395"/>
  <c r="E27" i="395"/>
  <c r="D22" i="395"/>
  <c r="E22" i="395" s="1"/>
  <c r="E21" i="395"/>
  <c r="E20" i="395"/>
  <c r="E19" i="395"/>
  <c r="E18" i="395"/>
  <c r="E17" i="395"/>
  <c r="D12" i="395"/>
  <c r="C35" i="395" s="1"/>
  <c r="E11" i="395"/>
  <c r="E10" i="395"/>
  <c r="E9" i="395"/>
  <c r="E8" i="395"/>
  <c r="E7" i="395"/>
  <c r="GD27" i="194" l="1"/>
  <c r="R27" i="409"/>
  <c r="GD19" i="194"/>
  <c r="R19" i="409"/>
  <c r="GD44" i="194"/>
  <c r="R44" i="409"/>
  <c r="GD48" i="194"/>
  <c r="R48" i="409"/>
  <c r="GD8" i="194"/>
  <c r="R8" i="409"/>
  <c r="GD36" i="194"/>
  <c r="R36" i="409"/>
  <c r="GF65" i="194"/>
  <c r="T65" i="409"/>
  <c r="S64" i="409"/>
  <c r="GD42" i="194"/>
  <c r="R42" i="409"/>
  <c r="T66" i="409"/>
  <c r="E40" i="397"/>
  <c r="E38" i="396"/>
  <c r="C38" i="396"/>
  <c r="C39" i="396" s="1"/>
  <c r="E39" i="396" s="1"/>
  <c r="E32" i="395"/>
  <c r="E36" i="395" s="1"/>
  <c r="E12" i="395"/>
  <c r="C36" i="395"/>
  <c r="D35" i="395"/>
  <c r="D36" i="395" s="1"/>
  <c r="D32" i="394"/>
  <c r="E35" i="394" s="1"/>
  <c r="E31" i="394"/>
  <c r="E30" i="394"/>
  <c r="E29" i="394"/>
  <c r="E28" i="394"/>
  <c r="E27" i="394"/>
  <c r="D22" i="394"/>
  <c r="E22" i="394" s="1"/>
  <c r="E21" i="394"/>
  <c r="E20" i="394"/>
  <c r="E19" i="394"/>
  <c r="E18" i="394"/>
  <c r="E17" i="394"/>
  <c r="D12" i="394"/>
  <c r="C35" i="394" s="1"/>
  <c r="E11" i="394"/>
  <c r="E10" i="394"/>
  <c r="E9" i="394"/>
  <c r="E8" i="394"/>
  <c r="E7" i="394"/>
  <c r="D32" i="393"/>
  <c r="E35" i="393" s="1"/>
  <c r="E31" i="393"/>
  <c r="E30" i="393"/>
  <c r="E29" i="393"/>
  <c r="E28" i="393"/>
  <c r="E27" i="393"/>
  <c r="D22" i="393"/>
  <c r="E22" i="393" s="1"/>
  <c r="E21" i="393"/>
  <c r="E20" i="393"/>
  <c r="E19" i="393"/>
  <c r="E18" i="393"/>
  <c r="E17" i="393"/>
  <c r="D12" i="393"/>
  <c r="C35" i="393" s="1"/>
  <c r="E11" i="393"/>
  <c r="E10" i="393"/>
  <c r="E9" i="393"/>
  <c r="E8" i="393"/>
  <c r="E7" i="393"/>
  <c r="GB37" i="194" l="1"/>
  <c r="P37" i="409"/>
  <c r="GC42" i="194"/>
  <c r="Q42" i="409"/>
  <c r="GC39" i="194"/>
  <c r="Q39" i="409"/>
  <c r="P3" i="409"/>
  <c r="GB44" i="194"/>
  <c r="P44" i="409"/>
  <c r="GB15" i="194"/>
  <c r="P15" i="409"/>
  <c r="GC19" i="194"/>
  <c r="Q19" i="409"/>
  <c r="GC5" i="194"/>
  <c r="Q5" i="409"/>
  <c r="GC49" i="194"/>
  <c r="Q49" i="409"/>
  <c r="GE65" i="194"/>
  <c r="S65" i="409"/>
  <c r="R64" i="409"/>
  <c r="GB27" i="194"/>
  <c r="P27" i="409"/>
  <c r="GB10" i="194"/>
  <c r="P10" i="409"/>
  <c r="GC14" i="194"/>
  <c r="Q14" i="409"/>
  <c r="GC17" i="194"/>
  <c r="Q17" i="409"/>
  <c r="GC23" i="194"/>
  <c r="Q23" i="409"/>
  <c r="S66" i="409"/>
  <c r="GB3" i="194"/>
  <c r="E40" i="396"/>
  <c r="E32" i="394"/>
  <c r="E36" i="394" s="1"/>
  <c r="E38" i="395"/>
  <c r="C38" i="395"/>
  <c r="C39" i="395" s="1"/>
  <c r="E39" i="395" s="1"/>
  <c r="E12" i="394"/>
  <c r="E32" i="393"/>
  <c r="E36" i="393" s="1"/>
  <c r="C36" i="394"/>
  <c r="D35" i="394"/>
  <c r="D36" i="394" s="1"/>
  <c r="E12" i="393"/>
  <c r="C36" i="393"/>
  <c r="D35" i="393"/>
  <c r="D36" i="393" s="1"/>
  <c r="D32" i="392"/>
  <c r="E35" i="392" s="1"/>
  <c r="E31" i="392"/>
  <c r="E30" i="392"/>
  <c r="E29" i="392"/>
  <c r="E28" i="392"/>
  <c r="E27" i="392"/>
  <c r="D22" i="392"/>
  <c r="E22" i="392" s="1"/>
  <c r="E21" i="392"/>
  <c r="E20" i="392"/>
  <c r="E19" i="392"/>
  <c r="E18" i="392"/>
  <c r="E17" i="392"/>
  <c r="D12" i="392"/>
  <c r="C35" i="392" s="1"/>
  <c r="E11" i="392"/>
  <c r="E10" i="392"/>
  <c r="E9" i="392"/>
  <c r="E8" i="392"/>
  <c r="E7" i="392"/>
  <c r="GA13" i="194" l="1"/>
  <c r="O13" i="409"/>
  <c r="GA27" i="194"/>
  <c r="O27" i="409"/>
  <c r="GA48" i="194"/>
  <c r="O48" i="409"/>
  <c r="GA10" i="194"/>
  <c r="O10" i="409"/>
  <c r="GA19" i="194"/>
  <c r="O19" i="409"/>
  <c r="P64" i="409"/>
  <c r="GA42" i="194"/>
  <c r="O42" i="409"/>
  <c r="GA17" i="194"/>
  <c r="O17" i="409"/>
  <c r="GA9" i="194"/>
  <c r="O9" i="409"/>
  <c r="GD65" i="194"/>
  <c r="R65" i="409"/>
  <c r="R66" i="409" s="1"/>
  <c r="Q64" i="409"/>
  <c r="AF5" i="409"/>
  <c r="E40" i="395"/>
  <c r="E38" i="394"/>
  <c r="E38" i="393"/>
  <c r="C38" i="394"/>
  <c r="C39" i="394" s="1"/>
  <c r="E39" i="394" s="1"/>
  <c r="C38" i="393"/>
  <c r="C39" i="393" s="1"/>
  <c r="E39" i="393" s="1"/>
  <c r="E32" i="392"/>
  <c r="E36" i="392" s="1"/>
  <c r="E12" i="392"/>
  <c r="C36" i="392"/>
  <c r="D35" i="392"/>
  <c r="D36" i="392" s="1"/>
  <c r="D32" i="391"/>
  <c r="E35" i="391" s="1"/>
  <c r="E31" i="391"/>
  <c r="E30" i="391"/>
  <c r="E29" i="391"/>
  <c r="E28" i="391"/>
  <c r="E27" i="391"/>
  <c r="D22" i="391"/>
  <c r="E22" i="391" s="1"/>
  <c r="E21" i="391"/>
  <c r="E20" i="391"/>
  <c r="E19" i="391"/>
  <c r="E18" i="391"/>
  <c r="E17" i="391"/>
  <c r="D12" i="391"/>
  <c r="C35" i="391" s="1"/>
  <c r="E11" i="391"/>
  <c r="E10" i="391"/>
  <c r="E9" i="391"/>
  <c r="E8" i="391"/>
  <c r="E7" i="391"/>
  <c r="O64" i="409" l="1"/>
  <c r="FZ54" i="194"/>
  <c r="N54" i="409"/>
  <c r="FZ34" i="194"/>
  <c r="N34" i="409"/>
  <c r="FZ60" i="194"/>
  <c r="N60" i="409"/>
  <c r="FZ51" i="194"/>
  <c r="N51" i="409"/>
  <c r="FZ23" i="194"/>
  <c r="N23" i="409"/>
  <c r="E40" i="393"/>
  <c r="FZ3" i="194"/>
  <c r="N3" i="409"/>
  <c r="N39" i="409"/>
  <c r="FZ49" i="194"/>
  <c r="N49" i="409"/>
  <c r="GC65" i="194"/>
  <c r="Q65" i="409"/>
  <c r="Q66" i="409" s="1"/>
  <c r="AG5" i="409"/>
  <c r="AJ5" i="409"/>
  <c r="AR5" i="409" s="1"/>
  <c r="AQ5" i="409" s="1"/>
  <c r="GB65" i="194"/>
  <c r="P65" i="409"/>
  <c r="P66" i="409" s="1"/>
  <c r="E40" i="394"/>
  <c r="FZ39" i="194"/>
  <c r="E38" i="392"/>
  <c r="C38" i="392"/>
  <c r="C39" i="392" s="1"/>
  <c r="E39" i="392" s="1"/>
  <c r="E32" i="391"/>
  <c r="E36" i="391" s="1"/>
  <c r="E12" i="391"/>
  <c r="C36" i="391"/>
  <c r="D35" i="391"/>
  <c r="D36" i="391" s="1"/>
  <c r="N64" i="409" l="1"/>
  <c r="GA65" i="194"/>
  <c r="O65" i="409"/>
  <c r="O66" i="409" s="1"/>
  <c r="AK34" i="409"/>
  <c r="AF34" i="409"/>
  <c r="E40" i="392"/>
  <c r="E38" i="391"/>
  <c r="C38" i="391"/>
  <c r="C39" i="391" s="1"/>
  <c r="E39" i="391" s="1"/>
  <c r="AG34" i="409" l="1"/>
  <c r="AJ34" i="409"/>
  <c r="AR34" i="409" s="1"/>
  <c r="AQ34" i="409" s="1"/>
  <c r="FZ65" i="194"/>
  <c r="N65" i="409"/>
  <c r="N66" i="409" s="1"/>
  <c r="E40" i="391"/>
  <c r="G30" i="383" l="1"/>
  <c r="E29" i="390" l="1"/>
  <c r="FY8" i="194" l="1"/>
  <c r="M8" i="409"/>
  <c r="M59" i="409"/>
  <c r="FY59" i="194"/>
  <c r="D32" i="390"/>
  <c r="E35" i="390" s="1"/>
  <c r="E31" i="390"/>
  <c r="E30" i="390"/>
  <c r="E28" i="390"/>
  <c r="E27" i="390"/>
  <c r="D22" i="390"/>
  <c r="E22" i="390" s="1"/>
  <c r="E21" i="390"/>
  <c r="E20" i="390"/>
  <c r="E19" i="390"/>
  <c r="E18" i="390"/>
  <c r="E17" i="390"/>
  <c r="D12" i="390"/>
  <c r="C35" i="390" s="1"/>
  <c r="E11" i="390"/>
  <c r="E10" i="390"/>
  <c r="E9" i="390"/>
  <c r="E8" i="390"/>
  <c r="E7" i="390"/>
  <c r="FY13" i="194" l="1"/>
  <c r="M13" i="409"/>
  <c r="FY17" i="194"/>
  <c r="M17" i="409"/>
  <c r="FY9" i="194"/>
  <c r="M9" i="409"/>
  <c r="FY27" i="194"/>
  <c r="M27" i="409"/>
  <c r="FY19" i="194"/>
  <c r="M19" i="409"/>
  <c r="FY54" i="194"/>
  <c r="M54" i="409"/>
  <c r="E32" i="390"/>
  <c r="E36" i="390" s="1"/>
  <c r="E12" i="390"/>
  <c r="C36" i="390"/>
  <c r="D35" i="390"/>
  <c r="D36" i="390" s="1"/>
  <c r="FY64" i="194"/>
  <c r="E29" i="389"/>
  <c r="M64" i="409" l="1"/>
  <c r="AK17" i="409"/>
  <c r="AF17" i="409"/>
  <c r="FX26" i="194"/>
  <c r="L26" i="409"/>
  <c r="E38" i="390"/>
  <c r="C38" i="390"/>
  <c r="C39" i="390" s="1"/>
  <c r="E39" i="390" s="1"/>
  <c r="D32" i="389"/>
  <c r="E35" i="389" s="1"/>
  <c r="E31" i="389"/>
  <c r="E30" i="389"/>
  <c r="E28" i="389"/>
  <c r="E27" i="389"/>
  <c r="D22" i="389"/>
  <c r="E22" i="389" s="1"/>
  <c r="E21" i="389"/>
  <c r="E20" i="389"/>
  <c r="E19" i="389"/>
  <c r="E18" i="389"/>
  <c r="E17" i="389"/>
  <c r="D12" i="389"/>
  <c r="C35" i="389" s="1"/>
  <c r="E11" i="389"/>
  <c r="E10" i="389"/>
  <c r="E9" i="389"/>
  <c r="E8" i="389"/>
  <c r="E7" i="389"/>
  <c r="FX20" i="194" l="1"/>
  <c r="L20" i="409"/>
  <c r="FX25" i="194"/>
  <c r="IL25" i="194" s="1"/>
  <c r="L25" i="409"/>
  <c r="FX52" i="194"/>
  <c r="L52" i="409"/>
  <c r="FX54" i="194"/>
  <c r="L54" i="409"/>
  <c r="FY65" i="194"/>
  <c r="FY66" i="194" s="1"/>
  <c r="M65" i="409"/>
  <c r="M66" i="409" s="1"/>
  <c r="FX48" i="194"/>
  <c r="L48" i="409"/>
  <c r="FX57" i="194"/>
  <c r="L57" i="409"/>
  <c r="FX18" i="194"/>
  <c r="FX64" i="194" s="1"/>
  <c r="L18" i="409"/>
  <c r="L64" i="409" s="1"/>
  <c r="AG17" i="409"/>
  <c r="AJ17" i="409"/>
  <c r="AR17" i="409" s="1"/>
  <c r="AQ17" i="409" s="1"/>
  <c r="E40" i="390"/>
  <c r="E32" i="389"/>
  <c r="E36" i="389" s="1"/>
  <c r="E12" i="389"/>
  <c r="C36" i="389"/>
  <c r="D35" i="389"/>
  <c r="D36" i="389" s="1"/>
  <c r="E29" i="377"/>
  <c r="E26" i="409" s="1"/>
  <c r="E27" i="375"/>
  <c r="C26" i="409" s="1"/>
  <c r="AK25" i="409" l="1"/>
  <c r="AF25" i="409"/>
  <c r="AJ25" i="409" s="1"/>
  <c r="AR25" i="409" s="1"/>
  <c r="AQ25" i="409" s="1"/>
  <c r="AK26" i="409"/>
  <c r="AF26" i="409"/>
  <c r="E38" i="389"/>
  <c r="C38" i="389"/>
  <c r="C39" i="333"/>
  <c r="C38" i="333"/>
  <c r="C37" i="333"/>
  <c r="C36" i="333"/>
  <c r="C35" i="333"/>
  <c r="C34" i="333"/>
  <c r="C33" i="333"/>
  <c r="C32" i="333"/>
  <c r="D32" i="388"/>
  <c r="E35" i="388" s="1"/>
  <c r="E36" i="388" s="1"/>
  <c r="E31" i="388"/>
  <c r="E30" i="388"/>
  <c r="E29" i="388"/>
  <c r="E28" i="388"/>
  <c r="E27" i="388"/>
  <c r="D22" i="388"/>
  <c r="E22" i="388" s="1"/>
  <c r="E21" i="388"/>
  <c r="E20" i="388"/>
  <c r="E19" i="388"/>
  <c r="E18" i="388"/>
  <c r="E17" i="388"/>
  <c r="D12" i="388"/>
  <c r="C35" i="388" s="1"/>
  <c r="E11" i="388"/>
  <c r="E10" i="388"/>
  <c r="E9" i="388"/>
  <c r="E8" i="388"/>
  <c r="E7" i="388"/>
  <c r="D32" i="387"/>
  <c r="E35" i="387" s="1"/>
  <c r="E36" i="387" s="1"/>
  <c r="E31" i="387"/>
  <c r="E30" i="387"/>
  <c r="E29" i="387"/>
  <c r="E28" i="387"/>
  <c r="E27" i="387"/>
  <c r="D22" i="387"/>
  <c r="E22" i="387" s="1"/>
  <c r="E21" i="387"/>
  <c r="E20" i="387"/>
  <c r="E19" i="387"/>
  <c r="E18" i="387"/>
  <c r="E17" i="387"/>
  <c r="D12" i="387"/>
  <c r="C35" i="387" s="1"/>
  <c r="E11" i="387"/>
  <c r="E10" i="387"/>
  <c r="E9" i="387"/>
  <c r="E8" i="387"/>
  <c r="E7" i="387"/>
  <c r="D32" i="386"/>
  <c r="E35" i="386" s="1"/>
  <c r="E36" i="386" s="1"/>
  <c r="E31" i="386"/>
  <c r="E30" i="386"/>
  <c r="E29" i="386"/>
  <c r="E28" i="386"/>
  <c r="E27" i="386"/>
  <c r="D22" i="386"/>
  <c r="E22" i="386" s="1"/>
  <c r="E21" i="386"/>
  <c r="E20" i="386"/>
  <c r="E19" i="386"/>
  <c r="E18" i="386"/>
  <c r="E17" i="386"/>
  <c r="D12" i="386"/>
  <c r="C35" i="386" s="1"/>
  <c r="E11" i="386"/>
  <c r="E10" i="386"/>
  <c r="E9" i="386"/>
  <c r="E8" i="386"/>
  <c r="E7" i="386"/>
  <c r="K46" i="409" l="1"/>
  <c r="FU48" i="194"/>
  <c r="I48" i="409"/>
  <c r="FU27" i="194"/>
  <c r="I27" i="409"/>
  <c r="FU15" i="194"/>
  <c r="I15" i="409"/>
  <c r="FV42" i="194"/>
  <c r="J42" i="409"/>
  <c r="FV8" i="194"/>
  <c r="J8" i="409"/>
  <c r="FV15" i="194"/>
  <c r="J15" i="409"/>
  <c r="FW39" i="194"/>
  <c r="K39" i="409"/>
  <c r="FW56" i="194"/>
  <c r="K56" i="409"/>
  <c r="FX65" i="194"/>
  <c r="FX66" i="194" s="1"/>
  <c r="L65" i="409"/>
  <c r="L66" i="409" s="1"/>
  <c r="FU42" i="194"/>
  <c r="I42" i="409"/>
  <c r="FU3" i="194"/>
  <c r="I3" i="409"/>
  <c r="FU37" i="194"/>
  <c r="I37" i="409"/>
  <c r="FU20" i="194"/>
  <c r="I20" i="409"/>
  <c r="FU44" i="194"/>
  <c r="I44" i="409"/>
  <c r="FV23" i="194"/>
  <c r="J23" i="409"/>
  <c r="FV54" i="194"/>
  <c r="J54" i="409"/>
  <c r="FV40" i="194"/>
  <c r="J40" i="409"/>
  <c r="FW44" i="194"/>
  <c r="K44" i="409"/>
  <c r="FW14" i="194"/>
  <c r="K14" i="409"/>
  <c r="FW52" i="194"/>
  <c r="K52" i="409"/>
  <c r="AG26" i="409"/>
  <c r="AJ26" i="409"/>
  <c r="AR26" i="409" s="1"/>
  <c r="AQ26" i="409" s="1"/>
  <c r="FW46" i="194"/>
  <c r="FW64" i="194" s="1"/>
  <c r="C39" i="389"/>
  <c r="E39" i="389" s="1"/>
  <c r="E40" i="389" s="1"/>
  <c r="E12" i="388"/>
  <c r="E32" i="388"/>
  <c r="C36" i="388"/>
  <c r="D35" i="388"/>
  <c r="D36" i="388" s="1"/>
  <c r="E12" i="387"/>
  <c r="E32" i="387"/>
  <c r="C36" i="387"/>
  <c r="D35" i="387"/>
  <c r="D36" i="387" s="1"/>
  <c r="E12" i="386"/>
  <c r="E32" i="386"/>
  <c r="C36" i="386"/>
  <c r="D35" i="386"/>
  <c r="D36" i="386" s="1"/>
  <c r="K64" i="409" l="1"/>
  <c r="I64" i="409"/>
  <c r="AK56" i="409"/>
  <c r="AF56" i="409"/>
  <c r="J64" i="409"/>
  <c r="AK8" i="409"/>
  <c r="AF8" i="409"/>
  <c r="C38" i="388"/>
  <c r="C38" i="387"/>
  <c r="C38" i="386"/>
  <c r="AG56" i="409" l="1"/>
  <c r="AJ56" i="409"/>
  <c r="AR56" i="409" s="1"/>
  <c r="AQ56" i="409" s="1"/>
  <c r="AG8" i="409"/>
  <c r="AJ8" i="409"/>
  <c r="AR8" i="409" s="1"/>
  <c r="AQ8" i="409" s="1"/>
  <c r="C39" i="388"/>
  <c r="E39" i="388" s="1"/>
  <c r="E38" i="388"/>
  <c r="C39" i="387"/>
  <c r="E39" i="387" s="1"/>
  <c r="E38" i="387"/>
  <c r="C39" i="386"/>
  <c r="E39" i="386" s="1"/>
  <c r="E38" i="386"/>
  <c r="FU65" i="194" l="1"/>
  <c r="I65" i="409"/>
  <c r="I66" i="409" s="1"/>
  <c r="FV65" i="194"/>
  <c r="J65" i="409"/>
  <c r="J66" i="409" s="1"/>
  <c r="FW65" i="194"/>
  <c r="FW66" i="194" s="1"/>
  <c r="K65" i="409"/>
  <c r="K66" i="409" s="1"/>
  <c r="E40" i="388"/>
  <c r="E40" i="387"/>
  <c r="E40" i="386"/>
  <c r="D32" i="385"/>
  <c r="E35" i="385" s="1"/>
  <c r="E36" i="385" s="1"/>
  <c r="E31" i="385"/>
  <c r="E30" i="385"/>
  <c r="E29" i="385"/>
  <c r="E28" i="385"/>
  <c r="E27" i="385"/>
  <c r="D22" i="385"/>
  <c r="E22" i="385" s="1"/>
  <c r="E21" i="385"/>
  <c r="E20" i="385"/>
  <c r="E19" i="385"/>
  <c r="E18" i="385"/>
  <c r="E17" i="385"/>
  <c r="D12" i="385"/>
  <c r="C35" i="385" s="1"/>
  <c r="E11" i="385"/>
  <c r="E10" i="385"/>
  <c r="E9" i="385"/>
  <c r="E8" i="385"/>
  <c r="E7" i="385"/>
  <c r="FT21" i="194" l="1"/>
  <c r="H21" i="409"/>
  <c r="FT54" i="194"/>
  <c r="H54" i="409"/>
  <c r="FT49" i="194"/>
  <c r="H49" i="409"/>
  <c r="FT19" i="194"/>
  <c r="H19" i="409"/>
  <c r="FT40" i="194"/>
  <c r="H40" i="409"/>
  <c r="FT13" i="194"/>
  <c r="H13" i="409"/>
  <c r="FT48" i="194"/>
  <c r="H48" i="409"/>
  <c r="FT10" i="194"/>
  <c r="H10" i="409"/>
  <c r="H64" i="409" s="1"/>
  <c r="E12" i="385"/>
  <c r="E32" i="385"/>
  <c r="C36" i="385"/>
  <c r="D35" i="385"/>
  <c r="D36" i="385" s="1"/>
  <c r="D93" i="384"/>
  <c r="D124" i="384"/>
  <c r="D108" i="384"/>
  <c r="D117" i="384"/>
  <c r="D128" i="384"/>
  <c r="D125" i="384"/>
  <c r="D114" i="384"/>
  <c r="D123" i="384"/>
  <c r="D101" i="384"/>
  <c r="D127" i="384"/>
  <c r="D118" i="384"/>
  <c r="D120" i="384"/>
  <c r="D109" i="384"/>
  <c r="D126" i="384"/>
  <c r="D105" i="384"/>
  <c r="D97" i="384"/>
  <c r="D113" i="384"/>
  <c r="D110" i="384"/>
  <c r="D122" i="384"/>
  <c r="D119" i="384"/>
  <c r="D111" i="384"/>
  <c r="D99" i="384"/>
  <c r="D121" i="384"/>
  <c r="D95" i="384"/>
  <c r="D90" i="384"/>
  <c r="D104" i="384"/>
  <c r="D94" i="384"/>
  <c r="D115" i="384"/>
  <c r="D116" i="384"/>
  <c r="D106" i="384"/>
  <c r="D102" i="384"/>
  <c r="D96" i="384"/>
  <c r="D112" i="384"/>
  <c r="D103" i="384"/>
  <c r="D92" i="384"/>
  <c r="D89" i="384"/>
  <c r="D107" i="384"/>
  <c r="D98" i="384"/>
  <c r="D91" i="384"/>
  <c r="D100" i="384"/>
  <c r="D7" i="384"/>
  <c r="D28" i="384"/>
  <c r="D36" i="384"/>
  <c r="D40" i="384"/>
  <c r="D21" i="384"/>
  <c r="D16" i="384"/>
  <c r="D26" i="384"/>
  <c r="D38" i="384"/>
  <c r="D15" i="384"/>
  <c r="D12" i="384"/>
  <c r="D8" i="384"/>
  <c r="D5" i="384"/>
  <c r="D22" i="384"/>
  <c r="D19" i="384"/>
  <c r="D24" i="384"/>
  <c r="D34" i="384"/>
  <c r="D27" i="384"/>
  <c r="D35" i="384"/>
  <c r="D14" i="384"/>
  <c r="D30" i="384"/>
  <c r="D25" i="384"/>
  <c r="D18" i="384"/>
  <c r="D4" i="384"/>
  <c r="D23" i="384"/>
  <c r="D6" i="384"/>
  <c r="D20" i="384"/>
  <c r="D3" i="384"/>
  <c r="D32" i="384"/>
  <c r="D9" i="384"/>
  <c r="D11" i="384"/>
  <c r="D31" i="384"/>
  <c r="D33" i="384"/>
  <c r="D39" i="384"/>
  <c r="D17" i="384"/>
  <c r="D29" i="384"/>
  <c r="D41" i="384"/>
  <c r="D13" i="384"/>
  <c r="D37" i="384"/>
  <c r="D10" i="384"/>
  <c r="D2" i="384"/>
  <c r="IQ22" i="194"/>
  <c r="IQ24" i="194"/>
  <c r="IQ25" i="194"/>
  <c r="IQ28" i="194"/>
  <c r="IQ29" i="194"/>
  <c r="IQ30" i="194"/>
  <c r="IQ31" i="194"/>
  <c r="IQ32" i="194"/>
  <c r="IQ33" i="194"/>
  <c r="IQ41" i="194"/>
  <c r="IQ45" i="194"/>
  <c r="IQ47" i="194"/>
  <c r="IQ50" i="194"/>
  <c r="IQ53" i="194"/>
  <c r="IQ55" i="194"/>
  <c r="IQ58" i="194"/>
  <c r="AK49" i="409" l="1"/>
  <c r="AF49" i="409"/>
  <c r="AJ49" i="409" s="1"/>
  <c r="AR49" i="409" s="1"/>
  <c r="AQ49" i="409" s="1"/>
  <c r="AF54" i="409"/>
  <c r="AK54" i="409"/>
  <c r="C38" i="385"/>
  <c r="L26" i="383"/>
  <c r="D26" i="383"/>
  <c r="C26" i="383"/>
  <c r="B26" i="383"/>
  <c r="N25" i="383"/>
  <c r="F25" i="383"/>
  <c r="I25" i="383" s="1"/>
  <c r="N24" i="383"/>
  <c r="E24" i="383"/>
  <c r="G24" i="383" s="1"/>
  <c r="N23" i="383"/>
  <c r="G23" i="383"/>
  <c r="F23" i="383"/>
  <c r="N22" i="383"/>
  <c r="G22" i="383"/>
  <c r="F22" i="383"/>
  <c r="N21" i="383"/>
  <c r="G21" i="383"/>
  <c r="F21" i="383"/>
  <c r="O21" i="383" s="1"/>
  <c r="M20" i="383"/>
  <c r="N20" i="383" s="1"/>
  <c r="G20" i="383"/>
  <c r="F20" i="383"/>
  <c r="N19" i="383"/>
  <c r="G19" i="383"/>
  <c r="F19" i="383"/>
  <c r="M18" i="383"/>
  <c r="N18" i="383" s="1"/>
  <c r="G18" i="383"/>
  <c r="F18" i="383"/>
  <c r="M17" i="383"/>
  <c r="N17" i="383" s="1"/>
  <c r="G17" i="383"/>
  <c r="F17" i="383"/>
  <c r="K16" i="383"/>
  <c r="N16" i="383" s="1"/>
  <c r="G16" i="383"/>
  <c r="F16" i="383"/>
  <c r="H12" i="383"/>
  <c r="M11" i="383"/>
  <c r="L11" i="383"/>
  <c r="B11" i="383"/>
  <c r="F11" i="383" s="1"/>
  <c r="I11" i="383" s="1"/>
  <c r="M10" i="383"/>
  <c r="L10" i="383"/>
  <c r="B10" i="383"/>
  <c r="F10" i="383" s="1"/>
  <c r="I10" i="383" s="1"/>
  <c r="M9" i="383"/>
  <c r="L9" i="383"/>
  <c r="B9" i="383"/>
  <c r="F9" i="383" s="1"/>
  <c r="I9" i="383" s="1"/>
  <c r="L8" i="383"/>
  <c r="E8" i="383"/>
  <c r="M8" i="383" s="1"/>
  <c r="B8" i="383"/>
  <c r="L7" i="383"/>
  <c r="E7" i="383"/>
  <c r="M7" i="383" s="1"/>
  <c r="B7" i="383"/>
  <c r="L6" i="383"/>
  <c r="E6" i="383"/>
  <c r="M5" i="383"/>
  <c r="L5" i="383"/>
  <c r="M4" i="383"/>
  <c r="L4" i="383"/>
  <c r="M3" i="383"/>
  <c r="K3" i="383"/>
  <c r="D3" i="383"/>
  <c r="C3" i="383"/>
  <c r="M2" i="383"/>
  <c r="D2" i="383"/>
  <c r="C2" i="383"/>
  <c r="AG54" i="409" l="1"/>
  <c r="AJ54" i="409"/>
  <c r="AR54" i="409" s="1"/>
  <c r="AQ54" i="409" s="1"/>
  <c r="C39" i="385"/>
  <c r="E39" i="385" s="1"/>
  <c r="E38" i="385"/>
  <c r="D12" i="383"/>
  <c r="O20" i="383"/>
  <c r="N7" i="383"/>
  <c r="O7" i="383" s="1"/>
  <c r="N9" i="383"/>
  <c r="O9" i="383" s="1"/>
  <c r="I16" i="383"/>
  <c r="I18" i="383"/>
  <c r="O17" i="383"/>
  <c r="O19" i="383"/>
  <c r="O22" i="383"/>
  <c r="E26" i="383"/>
  <c r="E12" i="383"/>
  <c r="F8" i="383"/>
  <c r="I8" i="383" s="1"/>
  <c r="N11" i="383"/>
  <c r="O11" i="383" s="1"/>
  <c r="I17" i="383"/>
  <c r="O18" i="383"/>
  <c r="I19" i="383"/>
  <c r="I20" i="383"/>
  <c r="I22" i="383"/>
  <c r="F24" i="383"/>
  <c r="F3" i="383"/>
  <c r="L3" i="383"/>
  <c r="N3" i="383" s="1"/>
  <c r="M6" i="383"/>
  <c r="M12" i="383" s="1"/>
  <c r="F7" i="383"/>
  <c r="I7" i="383" s="1"/>
  <c r="N8" i="383"/>
  <c r="N10" i="383"/>
  <c r="N26" i="383"/>
  <c r="O16" i="383"/>
  <c r="I21" i="383"/>
  <c r="I23" i="383"/>
  <c r="G26" i="383"/>
  <c r="K26" i="383"/>
  <c r="M26" i="383"/>
  <c r="L2" i="383"/>
  <c r="C12" i="383"/>
  <c r="FT65" i="194" l="1"/>
  <c r="H65" i="409"/>
  <c r="H66" i="409" s="1"/>
  <c r="E40" i="385"/>
  <c r="L12" i="383"/>
  <c r="O26" i="383"/>
  <c r="I24" i="383"/>
  <c r="I26" i="383" s="1"/>
  <c r="F26" i="383"/>
  <c r="O10" i="383"/>
  <c r="O8" i="383"/>
  <c r="O3" i="383"/>
  <c r="D32" i="380"/>
  <c r="E35" i="380" s="1"/>
  <c r="E36" i="380" s="1"/>
  <c r="E31" i="380"/>
  <c r="E30" i="380"/>
  <c r="E29" i="380"/>
  <c r="E28" i="380"/>
  <c r="E27" i="380"/>
  <c r="D22" i="380"/>
  <c r="E22" i="380" s="1"/>
  <c r="E21" i="380"/>
  <c r="E20" i="380"/>
  <c r="E19" i="380"/>
  <c r="E18" i="380"/>
  <c r="E17" i="380"/>
  <c r="D12" i="380"/>
  <c r="C35" i="380" s="1"/>
  <c r="E11" i="380"/>
  <c r="E10" i="380"/>
  <c r="E9" i="380"/>
  <c r="E8" i="380"/>
  <c r="E7" i="380"/>
  <c r="FS59" i="194" l="1"/>
  <c r="G59" i="409"/>
  <c r="FS46" i="194"/>
  <c r="G46" i="409"/>
  <c r="FS9" i="194"/>
  <c r="G9" i="409"/>
  <c r="FS3" i="194"/>
  <c r="G3" i="409"/>
  <c r="FS60" i="194"/>
  <c r="G60" i="409"/>
  <c r="FS44" i="194"/>
  <c r="G44" i="409"/>
  <c r="FS39" i="194"/>
  <c r="G39" i="409"/>
  <c r="E12" i="380"/>
  <c r="E32" i="380"/>
  <c r="C36" i="380"/>
  <c r="D35" i="380"/>
  <c r="D36" i="380" s="1"/>
  <c r="D32" i="379"/>
  <c r="E35" i="379" s="1"/>
  <c r="E36" i="379" s="1"/>
  <c r="E31" i="379"/>
  <c r="E30" i="379"/>
  <c r="E29" i="379"/>
  <c r="E28" i="379"/>
  <c r="E27" i="379"/>
  <c r="D22" i="379"/>
  <c r="E22" i="379" s="1"/>
  <c r="E21" i="379"/>
  <c r="E20" i="379"/>
  <c r="E19" i="379"/>
  <c r="E18" i="379"/>
  <c r="E17" i="379"/>
  <c r="D12" i="379"/>
  <c r="C35" i="379" s="1"/>
  <c r="E11" i="379"/>
  <c r="E10" i="379"/>
  <c r="E9" i="379"/>
  <c r="E8" i="379"/>
  <c r="E7" i="379"/>
  <c r="FR39" i="194" l="1"/>
  <c r="F39" i="409"/>
  <c r="FR15" i="194"/>
  <c r="F15" i="409"/>
  <c r="FR20" i="194"/>
  <c r="F20" i="409"/>
  <c r="FR51" i="194"/>
  <c r="F51" i="409"/>
  <c r="FR27" i="194"/>
  <c r="F27" i="409"/>
  <c r="FR46" i="194"/>
  <c r="F46" i="409"/>
  <c r="FR13" i="194"/>
  <c r="F13" i="409"/>
  <c r="AK44" i="409"/>
  <c r="AF44" i="409"/>
  <c r="G64" i="409"/>
  <c r="AK59" i="409"/>
  <c r="AF59" i="409"/>
  <c r="C38" i="380"/>
  <c r="E12" i="379"/>
  <c r="E32" i="379"/>
  <c r="C36" i="379"/>
  <c r="D35" i="379"/>
  <c r="D36" i="379" s="1"/>
  <c r="D32" i="377"/>
  <c r="E35" i="377" s="1"/>
  <c r="E31" i="377"/>
  <c r="E30" i="377"/>
  <c r="FQ26" i="194"/>
  <c r="E28" i="377"/>
  <c r="E27" i="377"/>
  <c r="E57" i="409" s="1"/>
  <c r="D22" i="377"/>
  <c r="E22" i="377" s="1"/>
  <c r="E21" i="377"/>
  <c r="E20" i="377"/>
  <c r="E19" i="377"/>
  <c r="E18" i="377"/>
  <c r="E17" i="377"/>
  <c r="D12" i="377"/>
  <c r="C35" i="377" s="1"/>
  <c r="E11" i="377"/>
  <c r="E10" i="377"/>
  <c r="E9" i="377"/>
  <c r="E8" i="377"/>
  <c r="E7" i="377"/>
  <c r="E23" i="409" l="1"/>
  <c r="AK23" i="409" s="1"/>
  <c r="FQ48" i="194"/>
  <c r="E48" i="409"/>
  <c r="FQ9" i="194"/>
  <c r="E9" i="409"/>
  <c r="FQ14" i="194"/>
  <c r="E14" i="409"/>
  <c r="FQ3" i="194"/>
  <c r="E3" i="409"/>
  <c r="AG44" i="409"/>
  <c r="AJ44" i="409"/>
  <c r="AR44" i="409" s="1"/>
  <c r="AQ44" i="409" s="1"/>
  <c r="AK13" i="409"/>
  <c r="F64" i="409"/>
  <c r="AF13" i="409"/>
  <c r="AK46" i="409"/>
  <c r="AF46" i="409"/>
  <c r="AK27" i="409"/>
  <c r="AF27" i="409"/>
  <c r="AK51" i="409"/>
  <c r="AF51" i="409"/>
  <c r="AK20" i="409"/>
  <c r="AF20" i="409"/>
  <c r="AK15" i="409"/>
  <c r="AF15" i="409"/>
  <c r="AK39" i="409"/>
  <c r="AF39" i="409"/>
  <c r="AG59" i="409"/>
  <c r="AJ59" i="409"/>
  <c r="AR59" i="409" s="1"/>
  <c r="AQ59" i="409" s="1"/>
  <c r="FQ57" i="194"/>
  <c r="E32" i="377"/>
  <c r="E36" i="377" s="1"/>
  <c r="C39" i="380"/>
  <c r="E39" i="380" s="1"/>
  <c r="E38" i="380"/>
  <c r="C38" i="379"/>
  <c r="FQ23" i="194"/>
  <c r="E12" i="377"/>
  <c r="C36" i="377"/>
  <c r="D35" i="377"/>
  <c r="D36" i="377" s="1"/>
  <c r="D32" i="376"/>
  <c r="E35" i="376" s="1"/>
  <c r="E36" i="376" s="1"/>
  <c r="E31" i="376"/>
  <c r="E30" i="376"/>
  <c r="E29" i="376"/>
  <c r="E28" i="376"/>
  <c r="E27" i="376"/>
  <c r="D22" i="376"/>
  <c r="E22" i="376" s="1"/>
  <c r="E21" i="376"/>
  <c r="E20" i="376"/>
  <c r="E19" i="376"/>
  <c r="E18" i="376"/>
  <c r="E17" i="376"/>
  <c r="D12" i="376"/>
  <c r="C35" i="376" s="1"/>
  <c r="E11" i="376"/>
  <c r="E10" i="376"/>
  <c r="E9" i="376"/>
  <c r="E8" i="376"/>
  <c r="E7" i="376"/>
  <c r="AF23" i="409" l="1"/>
  <c r="AJ23" i="409" s="1"/>
  <c r="AR23" i="409" s="1"/>
  <c r="AQ23" i="409" s="1"/>
  <c r="FP60" i="194"/>
  <c r="D60" i="409"/>
  <c r="FP37" i="194"/>
  <c r="D37" i="409"/>
  <c r="FP18" i="194"/>
  <c r="D18" i="409"/>
  <c r="FS65" i="194"/>
  <c r="G65" i="409"/>
  <c r="G66" i="409" s="1"/>
  <c r="E64" i="409"/>
  <c r="AK3" i="409"/>
  <c r="AF3" i="409"/>
  <c r="AF9" i="409"/>
  <c r="AJ9" i="409" s="1"/>
  <c r="AR9" i="409" s="1"/>
  <c r="AQ9" i="409" s="1"/>
  <c r="AK9" i="409"/>
  <c r="AF48" i="409"/>
  <c r="AK48" i="409"/>
  <c r="AG23" i="409"/>
  <c r="FP42" i="194"/>
  <c r="D42" i="409"/>
  <c r="FP21" i="194"/>
  <c r="D21" i="409"/>
  <c r="FP52" i="194"/>
  <c r="D52" i="409"/>
  <c r="FP40" i="194"/>
  <c r="D40" i="409"/>
  <c r="FP14" i="194"/>
  <c r="D14" i="409"/>
  <c r="AG39" i="409"/>
  <c r="AJ39" i="409"/>
  <c r="AR39" i="409" s="1"/>
  <c r="AQ39" i="409" s="1"/>
  <c r="AG15" i="409"/>
  <c r="AJ15" i="409"/>
  <c r="AR15" i="409" s="1"/>
  <c r="AQ15" i="409" s="1"/>
  <c r="AG20" i="409"/>
  <c r="AJ20" i="409"/>
  <c r="AR20" i="409" s="1"/>
  <c r="AQ20" i="409" s="1"/>
  <c r="AG51" i="409"/>
  <c r="AJ51" i="409"/>
  <c r="AR51" i="409" s="1"/>
  <c r="AQ51" i="409" s="1"/>
  <c r="AG27" i="409"/>
  <c r="AJ27" i="409"/>
  <c r="AR27" i="409" s="1"/>
  <c r="AQ27" i="409" s="1"/>
  <c r="AG46" i="409"/>
  <c r="AJ46" i="409"/>
  <c r="AR46" i="409" s="1"/>
  <c r="AQ46" i="409" s="1"/>
  <c r="AG13" i="409"/>
  <c r="AJ13" i="409"/>
  <c r="AR13" i="409" s="1"/>
  <c r="AQ13" i="409" s="1"/>
  <c r="E38" i="377"/>
  <c r="E65" i="409" s="1"/>
  <c r="E40" i="380"/>
  <c r="C39" i="379"/>
  <c r="E39" i="379" s="1"/>
  <c r="E38" i="379"/>
  <c r="C38" i="377"/>
  <c r="E12" i="376"/>
  <c r="E32" i="376"/>
  <c r="C36" i="376"/>
  <c r="D35" i="376"/>
  <c r="D36" i="376" s="1"/>
  <c r="D32" i="375"/>
  <c r="E35" i="375" s="1"/>
  <c r="E31" i="375"/>
  <c r="E30" i="375"/>
  <c r="E29" i="375"/>
  <c r="E28" i="375"/>
  <c r="C36" i="409" s="1"/>
  <c r="FO26" i="194"/>
  <c r="D22" i="375"/>
  <c r="E22" i="375" s="1"/>
  <c r="E21" i="375"/>
  <c r="E20" i="375"/>
  <c r="E19" i="375"/>
  <c r="E18" i="375"/>
  <c r="E17" i="375"/>
  <c r="D12" i="375"/>
  <c r="C35" i="375" s="1"/>
  <c r="E11" i="375"/>
  <c r="E10" i="375"/>
  <c r="E9" i="375"/>
  <c r="E8" i="375"/>
  <c r="E7" i="375"/>
  <c r="FO10" i="194" l="1"/>
  <c r="C10" i="409"/>
  <c r="FO57" i="194"/>
  <c r="C57" i="409"/>
  <c r="AK36" i="409"/>
  <c r="AF36" i="409"/>
  <c r="FR65" i="194"/>
  <c r="B31" i="383" s="1"/>
  <c r="F31" i="383" s="1"/>
  <c r="I31" i="383" s="1"/>
  <c r="F65" i="409"/>
  <c r="F66" i="409" s="1"/>
  <c r="AK14" i="409"/>
  <c r="D64" i="409"/>
  <c r="AF14" i="409"/>
  <c r="AK40" i="409"/>
  <c r="AF40" i="409"/>
  <c r="AK52" i="409"/>
  <c r="AF52" i="409"/>
  <c r="AK21" i="409"/>
  <c r="AF21" i="409"/>
  <c r="AK42" i="409"/>
  <c r="AF42" i="409"/>
  <c r="AJ3" i="409"/>
  <c r="AR3" i="409" s="1"/>
  <c r="AG3" i="409"/>
  <c r="E66" i="409"/>
  <c r="AK18" i="409"/>
  <c r="AF18" i="409"/>
  <c r="AJ18" i="409" s="1"/>
  <c r="AR18" i="409" s="1"/>
  <c r="AQ18" i="409" s="1"/>
  <c r="AK37" i="409"/>
  <c r="AF37" i="409"/>
  <c r="AK60" i="409"/>
  <c r="AF60" i="409"/>
  <c r="FO19" i="194"/>
  <c r="C19" i="409"/>
  <c r="AG48" i="409"/>
  <c r="AJ48" i="409"/>
  <c r="AR48" i="409" s="1"/>
  <c r="FO36" i="194"/>
  <c r="E32" i="375"/>
  <c r="E36" i="375" s="1"/>
  <c r="E40" i="379"/>
  <c r="C39" i="377"/>
  <c r="E39" i="377" s="1"/>
  <c r="FQ65" i="194"/>
  <c r="C38" i="376"/>
  <c r="E12" i="375"/>
  <c r="C36" i="375"/>
  <c r="D35" i="375"/>
  <c r="D36" i="375" s="1"/>
  <c r="C22" i="192"/>
  <c r="E8" i="192"/>
  <c r="AK19" i="409" l="1"/>
  <c r="AF19" i="409"/>
  <c r="AG60" i="409"/>
  <c r="AJ60" i="409"/>
  <c r="AR60" i="409" s="1"/>
  <c r="AQ60" i="409" s="1"/>
  <c r="AG42" i="409"/>
  <c r="AJ42" i="409"/>
  <c r="AR42" i="409" s="1"/>
  <c r="AQ42" i="409" s="1"/>
  <c r="AQ3" i="409"/>
  <c r="AG36" i="409"/>
  <c r="AJ36" i="409"/>
  <c r="AR36" i="409" s="1"/>
  <c r="AQ36" i="409" s="1"/>
  <c r="AF57" i="409"/>
  <c r="AK57" i="409"/>
  <c r="AK10" i="409"/>
  <c r="C64" i="409"/>
  <c r="AF10" i="409"/>
  <c r="AG37" i="409"/>
  <c r="AJ37" i="409"/>
  <c r="AR37" i="409" s="1"/>
  <c r="AQ37" i="409" s="1"/>
  <c r="AG21" i="409"/>
  <c r="AJ21" i="409"/>
  <c r="AR21" i="409" s="1"/>
  <c r="AQ21" i="409" s="1"/>
  <c r="AG52" i="409"/>
  <c r="AJ52" i="409"/>
  <c r="AR52" i="409" s="1"/>
  <c r="AQ52" i="409" s="1"/>
  <c r="AG40" i="409"/>
  <c r="AJ40" i="409"/>
  <c r="AR40" i="409" s="1"/>
  <c r="AQ40" i="409" s="1"/>
  <c r="AG14" i="409"/>
  <c r="AJ14" i="409"/>
  <c r="AR14" i="409" s="1"/>
  <c r="AQ14" i="409" s="1"/>
  <c r="E38" i="375"/>
  <c r="C65" i="409" s="1"/>
  <c r="E40" i="377"/>
  <c r="C39" i="376"/>
  <c r="E39" i="376" s="1"/>
  <c r="E38" i="376"/>
  <c r="C38" i="375"/>
  <c r="AH58" i="374"/>
  <c r="AH56" i="374"/>
  <c r="AH55" i="374"/>
  <c r="AL55" i="374" s="1"/>
  <c r="AT55" i="374" s="1"/>
  <c r="AS55" i="374" s="1"/>
  <c r="AH53" i="374"/>
  <c r="AH50" i="374"/>
  <c r="AL50" i="374" s="1"/>
  <c r="AT50" i="374" s="1"/>
  <c r="AS50" i="374" s="1"/>
  <c r="AH47" i="374"/>
  <c r="AH45" i="374"/>
  <c r="AH43" i="374"/>
  <c r="AH41" i="374"/>
  <c r="AL41" i="374" s="1"/>
  <c r="AT41" i="374" s="1"/>
  <c r="AH38" i="374"/>
  <c r="AH35" i="374"/>
  <c r="AH33" i="374"/>
  <c r="AL33" i="374" s="1"/>
  <c r="AT33" i="374" s="1"/>
  <c r="AS33" i="374" s="1"/>
  <c r="AH32" i="374"/>
  <c r="AL32" i="374" s="1"/>
  <c r="AT32" i="374" s="1"/>
  <c r="AS32" i="374" s="1"/>
  <c r="AH31" i="374"/>
  <c r="AL31" i="374" s="1"/>
  <c r="AT31" i="374" s="1"/>
  <c r="AS31" i="374" s="1"/>
  <c r="AH30" i="374"/>
  <c r="AL30" i="374" s="1"/>
  <c r="AT30" i="374" s="1"/>
  <c r="AS30" i="374" s="1"/>
  <c r="AH29" i="374"/>
  <c r="AL29" i="374" s="1"/>
  <c r="AT29" i="374" s="1"/>
  <c r="AS29" i="374" s="1"/>
  <c r="AH28" i="374"/>
  <c r="AH25" i="374"/>
  <c r="AL25" i="374" s="1"/>
  <c r="AT25" i="374" s="1"/>
  <c r="AS25" i="374" s="1"/>
  <c r="AH24" i="374"/>
  <c r="AL24" i="374" s="1"/>
  <c r="AT24" i="374" s="1"/>
  <c r="AS24" i="374" s="1"/>
  <c r="AH22" i="374"/>
  <c r="AL22" i="374" s="1"/>
  <c r="AT22" i="374" s="1"/>
  <c r="AS22" i="374" s="1"/>
  <c r="AH16" i="374"/>
  <c r="AH12" i="374"/>
  <c r="AH11" i="374"/>
  <c r="AH7" i="374"/>
  <c r="AH6" i="374"/>
  <c r="AP64" i="374"/>
  <c r="AG64" i="374"/>
  <c r="AG66" i="374" s="1"/>
  <c r="AF64" i="374"/>
  <c r="AF66" i="374" s="1"/>
  <c r="AE64" i="374"/>
  <c r="AE66" i="374" s="1"/>
  <c r="AD64" i="374"/>
  <c r="AD66" i="374" s="1"/>
  <c r="AC64" i="374"/>
  <c r="AC66" i="374" s="1"/>
  <c r="AB64" i="374"/>
  <c r="AB66" i="374" s="1"/>
  <c r="AA64" i="374"/>
  <c r="AA66" i="374" s="1"/>
  <c r="Z64" i="374"/>
  <c r="Z66" i="374" s="1"/>
  <c r="Y64" i="374"/>
  <c r="Y66" i="374" s="1"/>
  <c r="AU63" i="374"/>
  <c r="AH63" i="374"/>
  <c r="AU62" i="374"/>
  <c r="AH62" i="374"/>
  <c r="AL62" i="374" s="1"/>
  <c r="AT62" i="374" s="1"/>
  <c r="AS62" i="374" s="1"/>
  <c r="AU61" i="374"/>
  <c r="AH61" i="374"/>
  <c r="AJ60" i="374"/>
  <c r="AU60" i="374" s="1"/>
  <c r="AJ59" i="374"/>
  <c r="AU59" i="374" s="1"/>
  <c r="AJ58" i="374"/>
  <c r="AU58" i="374" s="1"/>
  <c r="AJ57" i="374"/>
  <c r="AU57" i="374" s="1"/>
  <c r="AJ56" i="374"/>
  <c r="AU56" i="374" s="1"/>
  <c r="AJ55" i="374"/>
  <c r="AU55" i="374" s="1"/>
  <c r="AJ54" i="374"/>
  <c r="AU54" i="374" s="1"/>
  <c r="AJ53" i="374"/>
  <c r="AU53" i="374" s="1"/>
  <c r="AJ52" i="374"/>
  <c r="AU52" i="374" s="1"/>
  <c r="AJ51" i="374"/>
  <c r="AU51" i="374" s="1"/>
  <c r="AJ50" i="374"/>
  <c r="AU50" i="374" s="1"/>
  <c r="AJ49" i="374"/>
  <c r="AU49" i="374" s="1"/>
  <c r="AJ48" i="374"/>
  <c r="AU48" i="374" s="1"/>
  <c r="AJ47" i="374"/>
  <c r="AU47" i="374" s="1"/>
  <c r="AJ46" i="374"/>
  <c r="AU46" i="374" s="1"/>
  <c r="AJ45" i="374"/>
  <c r="AU45" i="374" s="1"/>
  <c r="AJ44" i="374"/>
  <c r="AU44" i="374" s="1"/>
  <c r="AJ43" i="374"/>
  <c r="AU43" i="374" s="1"/>
  <c r="AJ42" i="374"/>
  <c r="AU42" i="374" s="1"/>
  <c r="AJ41" i="374"/>
  <c r="AU41" i="374" s="1"/>
  <c r="AJ40" i="374"/>
  <c r="AU40" i="374" s="1"/>
  <c r="AJ39" i="374"/>
  <c r="AU39" i="374" s="1"/>
  <c r="AJ38" i="374"/>
  <c r="AU38" i="374" s="1"/>
  <c r="AJ37" i="374"/>
  <c r="AU37" i="374" s="1"/>
  <c r="AJ36" i="374"/>
  <c r="AU36" i="374" s="1"/>
  <c r="AJ35" i="374"/>
  <c r="AU35" i="374" s="1"/>
  <c r="AJ34" i="374"/>
  <c r="AU34" i="374" s="1"/>
  <c r="AJ33" i="374"/>
  <c r="AU33" i="374" s="1"/>
  <c r="AJ32" i="374"/>
  <c r="AU32" i="374" s="1"/>
  <c r="AJ31" i="374"/>
  <c r="AU31" i="374" s="1"/>
  <c r="AJ30" i="374"/>
  <c r="AU30" i="374" s="1"/>
  <c r="AJ29" i="374"/>
  <c r="AU29" i="374" s="1"/>
  <c r="AJ28" i="374"/>
  <c r="AU28" i="374" s="1"/>
  <c r="AL28" i="374"/>
  <c r="AT28" i="374" s="1"/>
  <c r="AS28" i="374" s="1"/>
  <c r="AJ27" i="374"/>
  <c r="AU27" i="374" s="1"/>
  <c r="AJ26" i="374"/>
  <c r="AU26" i="374" s="1"/>
  <c r="AJ25" i="374"/>
  <c r="AU25" i="374" s="1"/>
  <c r="AJ24" i="374"/>
  <c r="AU24" i="374" s="1"/>
  <c r="AJ23" i="374"/>
  <c r="AU23" i="374" s="1"/>
  <c r="AJ22" i="374"/>
  <c r="AU22" i="374" s="1"/>
  <c r="AJ21" i="374"/>
  <c r="AU21" i="374" s="1"/>
  <c r="AJ20" i="374"/>
  <c r="AU20" i="374" s="1"/>
  <c r="AJ19" i="374"/>
  <c r="AU19" i="374" s="1"/>
  <c r="AJ18" i="374"/>
  <c r="AU18" i="374" s="1"/>
  <c r="AJ17" i="374"/>
  <c r="AU17" i="374" s="1"/>
  <c r="AJ16" i="374"/>
  <c r="AU16" i="374" s="1"/>
  <c r="AJ15" i="374"/>
  <c r="AU15" i="374" s="1"/>
  <c r="AJ14" i="374"/>
  <c r="AU14" i="374" s="1"/>
  <c r="AJ13" i="374"/>
  <c r="AU13" i="374" s="1"/>
  <c r="AJ12" i="374"/>
  <c r="AU12" i="374" s="1"/>
  <c r="AJ11" i="374"/>
  <c r="AU11" i="374" s="1"/>
  <c r="AJ10" i="374"/>
  <c r="AU10" i="374" s="1"/>
  <c r="AJ9" i="374"/>
  <c r="AU9" i="374" s="1"/>
  <c r="AJ8" i="374"/>
  <c r="AU8" i="374" s="1"/>
  <c r="AJ7" i="374"/>
  <c r="AU7" i="374" s="1"/>
  <c r="AJ6" i="374"/>
  <c r="AU6" i="374" s="1"/>
  <c r="AJ5" i="374"/>
  <c r="AU5" i="374" s="1"/>
  <c r="AJ4" i="374"/>
  <c r="AU4" i="374" s="1"/>
  <c r="AJ3" i="374"/>
  <c r="AU3" i="374" s="1"/>
  <c r="C197" i="191"/>
  <c r="H12" i="192"/>
  <c r="C66" i="409" l="1"/>
  <c r="AG19" i="409"/>
  <c r="AJ19" i="409"/>
  <c r="AR19" i="409" s="1"/>
  <c r="AQ19" i="409" s="1"/>
  <c r="FP65" i="194"/>
  <c r="B30" i="383" s="1"/>
  <c r="F30" i="383" s="1"/>
  <c r="I30" i="383" s="1"/>
  <c r="D65" i="409"/>
  <c r="D66" i="409" s="1"/>
  <c r="AG10" i="409"/>
  <c r="AJ10" i="409"/>
  <c r="AR10" i="409" s="1"/>
  <c r="AF64" i="409"/>
  <c r="AG57" i="409"/>
  <c r="AJ57" i="409"/>
  <c r="AR57" i="409" s="1"/>
  <c r="AQ57" i="409" s="1"/>
  <c r="E40" i="376"/>
  <c r="C39" i="375"/>
  <c r="E39" i="375" s="1"/>
  <c r="FO65" i="194"/>
  <c r="AL7" i="374"/>
  <c r="AT7" i="374" s="1"/>
  <c r="AS7" i="374" s="1"/>
  <c r="AI28" i="374"/>
  <c r="AI30" i="374"/>
  <c r="AI33" i="374"/>
  <c r="AI62" i="374"/>
  <c r="AI50" i="374"/>
  <c r="AL53" i="374"/>
  <c r="AT53" i="374" s="1"/>
  <c r="AS53" i="374" s="1"/>
  <c r="AI53" i="374"/>
  <c r="AL61" i="374"/>
  <c r="AT61" i="374" s="1"/>
  <c r="AS61" i="374" s="1"/>
  <c r="AI61" i="374"/>
  <c r="AL45" i="374"/>
  <c r="AT45" i="374" s="1"/>
  <c r="AS45" i="374" s="1"/>
  <c r="AI45" i="374"/>
  <c r="AL63" i="374"/>
  <c r="AT63" i="374" s="1"/>
  <c r="AS63" i="374" s="1"/>
  <c r="AI63" i="374"/>
  <c r="AL16" i="374"/>
  <c r="AT16" i="374" s="1"/>
  <c r="AS16" i="374" s="1"/>
  <c r="AL35" i="374"/>
  <c r="AT35" i="374" s="1"/>
  <c r="AS35" i="374" s="1"/>
  <c r="AI35" i="374"/>
  <c r="AL38" i="374"/>
  <c r="AT38" i="374" s="1"/>
  <c r="AS38" i="374" s="1"/>
  <c r="AI38" i="374"/>
  <c r="AI7" i="374"/>
  <c r="AL11" i="374"/>
  <c r="AT11" i="374" s="1"/>
  <c r="AS11" i="374" s="1"/>
  <c r="AI11" i="374"/>
  <c r="AL12" i="374"/>
  <c r="AT12" i="374" s="1"/>
  <c r="AS12" i="374" s="1"/>
  <c r="AI12" i="374"/>
  <c r="AL43" i="374"/>
  <c r="AT43" i="374" s="1"/>
  <c r="AS43" i="374" s="1"/>
  <c r="AI43" i="374"/>
  <c r="AI22" i="374"/>
  <c r="AI29" i="374"/>
  <c r="AI31" i="374"/>
  <c r="AL56" i="374"/>
  <c r="AT56" i="374" s="1"/>
  <c r="AS56" i="374" s="1"/>
  <c r="AI56" i="374"/>
  <c r="AL47" i="374"/>
  <c r="AT47" i="374" s="1"/>
  <c r="AS47" i="374" s="1"/>
  <c r="AI47" i="374"/>
  <c r="AL58" i="374"/>
  <c r="AT58" i="374" s="1"/>
  <c r="AS58" i="374" s="1"/>
  <c r="AI58" i="374"/>
  <c r="AI55" i="374"/>
  <c r="B8" i="333"/>
  <c r="AG64" i="409" l="1"/>
  <c r="AQ10" i="409"/>
  <c r="AQ64" i="409" s="1"/>
  <c r="AR64" i="409"/>
  <c r="E40" i="375"/>
  <c r="AI16" i="374"/>
  <c r="AL6" i="374"/>
  <c r="AT6" i="374" s="1"/>
  <c r="AS6" i="374" s="1"/>
  <c r="AI6" i="374"/>
  <c r="C31" i="333"/>
  <c r="C30" i="333" l="1"/>
  <c r="D32" i="373"/>
  <c r="E35" i="373" s="1"/>
  <c r="E36" i="373" s="1"/>
  <c r="E31" i="373"/>
  <c r="E30" i="373"/>
  <c r="E29" i="373"/>
  <c r="E28" i="373"/>
  <c r="E27" i="373"/>
  <c r="D22" i="373"/>
  <c r="E22" i="373" s="1"/>
  <c r="E21" i="373"/>
  <c r="E20" i="373"/>
  <c r="E19" i="373"/>
  <c r="E18" i="373"/>
  <c r="E17" i="373"/>
  <c r="D12" i="373"/>
  <c r="C35" i="373" s="1"/>
  <c r="E11" i="373"/>
  <c r="E10" i="373"/>
  <c r="E9" i="373"/>
  <c r="E8" i="373"/>
  <c r="E7" i="373"/>
  <c r="FE21" i="194" l="1"/>
  <c r="X21" i="374"/>
  <c r="FE14" i="194"/>
  <c r="X14" i="374"/>
  <c r="FE15" i="194"/>
  <c r="X15" i="374"/>
  <c r="FE48" i="194"/>
  <c r="X48" i="374"/>
  <c r="FE39" i="194"/>
  <c r="X39" i="374"/>
  <c r="FE17" i="194"/>
  <c r="X17" i="374"/>
  <c r="FE23" i="194"/>
  <c r="X23" i="374"/>
  <c r="FE40" i="194"/>
  <c r="X40" i="374"/>
  <c r="E12" i="373"/>
  <c r="E32" i="373"/>
  <c r="C36" i="373"/>
  <c r="D35" i="373"/>
  <c r="D36" i="373" s="1"/>
  <c r="X64" i="374" l="1"/>
  <c r="C38" i="373"/>
  <c r="C39" i="373" l="1"/>
  <c r="E39" i="373" s="1"/>
  <c r="E38" i="373"/>
  <c r="FE65" i="194" l="1"/>
  <c r="X65" i="374"/>
  <c r="X66" i="374" s="1"/>
  <c r="E40" i="373"/>
  <c r="D32" i="372" l="1"/>
  <c r="E35" i="372" s="1"/>
  <c r="E36" i="372" s="1"/>
  <c r="E31" i="372"/>
  <c r="E30" i="372"/>
  <c r="E29" i="372"/>
  <c r="E28" i="372"/>
  <c r="E27" i="372"/>
  <c r="D22" i="372"/>
  <c r="E22" i="372" s="1"/>
  <c r="E21" i="372"/>
  <c r="E20" i="372"/>
  <c r="E19" i="372"/>
  <c r="E18" i="372"/>
  <c r="E17" i="372"/>
  <c r="D12" i="372"/>
  <c r="C35" i="372" s="1"/>
  <c r="E11" i="372"/>
  <c r="E10" i="372"/>
  <c r="E9" i="372"/>
  <c r="E8" i="372"/>
  <c r="E7" i="372"/>
  <c r="FD44" i="194" l="1"/>
  <c r="W44" i="374"/>
  <c r="FD59" i="194"/>
  <c r="W59" i="374"/>
  <c r="FD48" i="194"/>
  <c r="W48" i="374"/>
  <c r="FD54" i="194"/>
  <c r="W54" i="374"/>
  <c r="FD10" i="194"/>
  <c r="W10" i="374"/>
  <c r="FD4" i="194"/>
  <c r="W4" i="374"/>
  <c r="FD18" i="194"/>
  <c r="W18" i="374"/>
  <c r="E12" i="372"/>
  <c r="E32" i="372"/>
  <c r="C36" i="372"/>
  <c r="D35" i="372"/>
  <c r="D36" i="372" s="1"/>
  <c r="C29" i="333"/>
  <c r="D32" i="371"/>
  <c r="E35" i="371" s="1"/>
  <c r="E36" i="371" s="1"/>
  <c r="E31" i="371"/>
  <c r="E30" i="371"/>
  <c r="E29" i="371"/>
  <c r="E28" i="371"/>
  <c r="E27" i="371"/>
  <c r="D22" i="371"/>
  <c r="E22" i="371" s="1"/>
  <c r="E21" i="371"/>
  <c r="E20" i="371"/>
  <c r="E19" i="371"/>
  <c r="E18" i="371"/>
  <c r="E17" i="371"/>
  <c r="D12" i="371"/>
  <c r="C35" i="371" s="1"/>
  <c r="E11" i="371"/>
  <c r="E10" i="371"/>
  <c r="E9" i="371"/>
  <c r="E8" i="371"/>
  <c r="E7" i="371"/>
  <c r="FC3" i="194" l="1"/>
  <c r="V3" i="374"/>
  <c r="FC54" i="194"/>
  <c r="V54" i="374"/>
  <c r="FC52" i="194"/>
  <c r="V52" i="374"/>
  <c r="FC27" i="194"/>
  <c r="V27" i="374"/>
  <c r="FC37" i="194"/>
  <c r="V37" i="374"/>
  <c r="FC20" i="194"/>
  <c r="V20" i="374"/>
  <c r="FC19" i="194"/>
  <c r="V19" i="374"/>
  <c r="FC49" i="194"/>
  <c r="V49" i="374"/>
  <c r="W64" i="374"/>
  <c r="C38" i="372"/>
  <c r="E12" i="371"/>
  <c r="E32" i="371"/>
  <c r="C36" i="371"/>
  <c r="D35" i="371"/>
  <c r="D36" i="371" s="1"/>
  <c r="C28" i="333"/>
  <c r="V64" i="374" l="1"/>
  <c r="C39" i="372"/>
  <c r="E39" i="372" s="1"/>
  <c r="E38" i="372"/>
  <c r="C38" i="371"/>
  <c r="D32" i="370"/>
  <c r="E35" i="370" s="1"/>
  <c r="E36" i="370" s="1"/>
  <c r="E31" i="370"/>
  <c r="E30" i="370"/>
  <c r="E29" i="370"/>
  <c r="E28" i="370"/>
  <c r="E27" i="370"/>
  <c r="D22" i="370"/>
  <c r="D35" i="370" s="1"/>
  <c r="D36" i="370" s="1"/>
  <c r="E21" i="370"/>
  <c r="E20" i="370"/>
  <c r="E19" i="370"/>
  <c r="E18" i="370"/>
  <c r="E17" i="370"/>
  <c r="D12" i="370"/>
  <c r="C35" i="370" s="1"/>
  <c r="E11" i="370"/>
  <c r="E10" i="370"/>
  <c r="E9" i="370"/>
  <c r="E8" i="370"/>
  <c r="E7" i="370"/>
  <c r="FB42" i="194" l="1"/>
  <c r="U42" i="374"/>
  <c r="FB60" i="194"/>
  <c r="U60" i="374"/>
  <c r="FB8" i="194"/>
  <c r="U8" i="374"/>
  <c r="FB44" i="194"/>
  <c r="U44" i="374"/>
  <c r="FB27" i="194"/>
  <c r="U27" i="374"/>
  <c r="U13" i="374"/>
  <c r="FB9" i="194"/>
  <c r="U9" i="374"/>
  <c r="FD65" i="194"/>
  <c r="W65" i="374"/>
  <c r="W66" i="374" s="1"/>
  <c r="FB13" i="194"/>
  <c r="E40" i="372"/>
  <c r="C39" i="371"/>
  <c r="E39" i="371" s="1"/>
  <c r="E38" i="371"/>
  <c r="E22" i="370"/>
  <c r="C38" i="370"/>
  <c r="C36" i="370"/>
  <c r="E12" i="370"/>
  <c r="E32" i="370"/>
  <c r="C27" i="333"/>
  <c r="C26" i="333"/>
  <c r="C25" i="333"/>
  <c r="FC65" i="194" l="1"/>
  <c r="V65" i="374"/>
  <c r="V66" i="374" s="1"/>
  <c r="U64" i="374"/>
  <c r="E40" i="371"/>
  <c r="C39" i="370"/>
  <c r="E39" i="370" s="1"/>
  <c r="E38" i="370"/>
  <c r="D32" i="369"/>
  <c r="E35" i="369" s="1"/>
  <c r="E36" i="369" s="1"/>
  <c r="E31" i="369"/>
  <c r="E30" i="369"/>
  <c r="E29" i="369"/>
  <c r="E28" i="369"/>
  <c r="E27" i="369"/>
  <c r="D22" i="369"/>
  <c r="E22" i="369" s="1"/>
  <c r="E21" i="369"/>
  <c r="E20" i="369"/>
  <c r="E19" i="369"/>
  <c r="E18" i="369"/>
  <c r="E17" i="369"/>
  <c r="D12" i="369"/>
  <c r="C35" i="369" s="1"/>
  <c r="E11" i="369"/>
  <c r="E10" i="369"/>
  <c r="E9" i="369"/>
  <c r="E8" i="369"/>
  <c r="E7" i="369"/>
  <c r="D32" i="368"/>
  <c r="E35" i="368" s="1"/>
  <c r="E36" i="368" s="1"/>
  <c r="E31" i="368"/>
  <c r="E30" i="368"/>
  <c r="E29" i="368"/>
  <c r="E28" i="368"/>
  <c r="E27" i="368"/>
  <c r="D22" i="368"/>
  <c r="E22" i="368" s="1"/>
  <c r="E21" i="368"/>
  <c r="E20" i="368"/>
  <c r="E19" i="368"/>
  <c r="E18" i="368"/>
  <c r="E17" i="368"/>
  <c r="D12" i="368"/>
  <c r="C35" i="368" s="1"/>
  <c r="E11" i="368"/>
  <c r="E10" i="368"/>
  <c r="E9" i="368"/>
  <c r="E8" i="368"/>
  <c r="E7" i="368"/>
  <c r="D32" i="367"/>
  <c r="E35" i="367" s="1"/>
  <c r="E36" i="367" s="1"/>
  <c r="E31" i="367"/>
  <c r="E30" i="367"/>
  <c r="E29" i="367"/>
  <c r="E28" i="367"/>
  <c r="E27" i="367"/>
  <c r="D22" i="367"/>
  <c r="E22" i="367" s="1"/>
  <c r="E21" i="367"/>
  <c r="E20" i="367"/>
  <c r="E19" i="367"/>
  <c r="E18" i="367"/>
  <c r="E17" i="367"/>
  <c r="D12" i="367"/>
  <c r="C35" i="367" s="1"/>
  <c r="E11" i="367"/>
  <c r="E10" i="367"/>
  <c r="E9" i="367"/>
  <c r="E8" i="367"/>
  <c r="E7" i="367"/>
  <c r="R4" i="374" l="1"/>
  <c r="EY42" i="194"/>
  <c r="R42" i="374"/>
  <c r="EY9" i="194"/>
  <c r="R9" i="374"/>
  <c r="EZ37" i="194"/>
  <c r="S37" i="374"/>
  <c r="EZ15" i="194"/>
  <c r="S15" i="374"/>
  <c r="FA23" i="194"/>
  <c r="T23" i="374"/>
  <c r="FA34" i="194"/>
  <c r="T34" i="374"/>
  <c r="FA15" i="194"/>
  <c r="T15" i="374"/>
  <c r="EY60" i="194"/>
  <c r="R60" i="374"/>
  <c r="EY23" i="194"/>
  <c r="R23" i="374"/>
  <c r="EY54" i="194"/>
  <c r="R54" i="374"/>
  <c r="EY10" i="194"/>
  <c r="R10" i="374"/>
  <c r="EZ42" i="194"/>
  <c r="S42" i="374"/>
  <c r="EZ48" i="194"/>
  <c r="S48" i="374"/>
  <c r="EZ27" i="194"/>
  <c r="S27" i="374"/>
  <c r="EZ3" i="194"/>
  <c r="S3" i="374"/>
  <c r="EZ14" i="194"/>
  <c r="S14" i="374"/>
  <c r="EZ8" i="194"/>
  <c r="S8" i="374"/>
  <c r="FA14" i="194"/>
  <c r="T14" i="374"/>
  <c r="FA17" i="194"/>
  <c r="T17" i="374"/>
  <c r="FA37" i="194"/>
  <c r="T37" i="374"/>
  <c r="FA46" i="194"/>
  <c r="T46" i="374"/>
  <c r="FA5" i="194"/>
  <c r="T5" i="374"/>
  <c r="FB65" i="194"/>
  <c r="U65" i="374"/>
  <c r="U66" i="374" s="1"/>
  <c r="EY4" i="194"/>
  <c r="E40" i="370"/>
  <c r="E32" i="369"/>
  <c r="E12" i="369"/>
  <c r="E12" i="368"/>
  <c r="C36" i="369"/>
  <c r="D35" i="369"/>
  <c r="D36" i="369" s="1"/>
  <c r="E32" i="368"/>
  <c r="C36" i="368"/>
  <c r="D35" i="368"/>
  <c r="D36" i="368" s="1"/>
  <c r="E12" i="367"/>
  <c r="E32" i="367"/>
  <c r="C36" i="367"/>
  <c r="D35" i="367"/>
  <c r="D36" i="367" s="1"/>
  <c r="C24" i="333"/>
  <c r="T64" i="374" l="1"/>
  <c r="R64" i="374"/>
  <c r="S64" i="374"/>
  <c r="C38" i="369"/>
  <c r="C38" i="368"/>
  <c r="C38" i="367"/>
  <c r="D32" i="366"/>
  <c r="E35" i="366" s="1"/>
  <c r="E36" i="366" s="1"/>
  <c r="E31" i="366"/>
  <c r="E30" i="366"/>
  <c r="E29" i="366"/>
  <c r="E28" i="366"/>
  <c r="E27" i="366"/>
  <c r="D22" i="366"/>
  <c r="E22" i="366" s="1"/>
  <c r="E21" i="366"/>
  <c r="E20" i="366"/>
  <c r="E19" i="366"/>
  <c r="E18" i="366"/>
  <c r="E17" i="366"/>
  <c r="D12" i="366"/>
  <c r="C35" i="366" s="1"/>
  <c r="E11" i="366"/>
  <c r="E10" i="366"/>
  <c r="E9" i="366"/>
  <c r="E8" i="366"/>
  <c r="E7" i="366"/>
  <c r="EX3" i="194" l="1"/>
  <c r="Q3" i="374"/>
  <c r="EX10" i="194"/>
  <c r="Q10" i="374"/>
  <c r="EX46" i="194"/>
  <c r="Q46" i="374"/>
  <c r="EX52" i="194"/>
  <c r="Q52" i="374"/>
  <c r="EX48" i="194"/>
  <c r="Q48" i="374"/>
  <c r="Q44" i="374"/>
  <c r="EX18" i="194"/>
  <c r="Q18" i="374"/>
  <c r="EX44" i="194"/>
  <c r="C39" i="369"/>
  <c r="E39" i="369" s="1"/>
  <c r="E38" i="369"/>
  <c r="C39" i="368"/>
  <c r="E39" i="368" s="1"/>
  <c r="E38" i="368"/>
  <c r="C39" i="367"/>
  <c r="E39" i="367" s="1"/>
  <c r="E38" i="367"/>
  <c r="E12" i="366"/>
  <c r="E32" i="366"/>
  <c r="C36" i="366"/>
  <c r="D35" i="366"/>
  <c r="D36" i="366" s="1"/>
  <c r="C23" i="333"/>
  <c r="Q64" i="374" l="1"/>
  <c r="EY65" i="194"/>
  <c r="R65" i="374"/>
  <c r="R66" i="374" s="1"/>
  <c r="EZ65" i="194"/>
  <c r="S65" i="374"/>
  <c r="S66" i="374" s="1"/>
  <c r="FA65" i="194"/>
  <c r="T65" i="374"/>
  <c r="T66" i="374" s="1"/>
  <c r="E40" i="368"/>
  <c r="E40" i="369"/>
  <c r="E40" i="367"/>
  <c r="C38" i="366"/>
  <c r="D32" i="365"/>
  <c r="E35" i="365" s="1"/>
  <c r="E36" i="365" s="1"/>
  <c r="E31" i="365"/>
  <c r="E30" i="365"/>
  <c r="E29" i="365"/>
  <c r="E28" i="365"/>
  <c r="E27" i="365"/>
  <c r="D22" i="365"/>
  <c r="E22" i="365" s="1"/>
  <c r="E21" i="365"/>
  <c r="E20" i="365"/>
  <c r="E19" i="365"/>
  <c r="E18" i="365"/>
  <c r="E17" i="365"/>
  <c r="D12" i="365"/>
  <c r="C35" i="365" s="1"/>
  <c r="E11" i="365"/>
  <c r="E10" i="365"/>
  <c r="E9" i="365"/>
  <c r="E8" i="365"/>
  <c r="E7" i="365"/>
  <c r="EW37" i="194" l="1"/>
  <c r="P37" i="374"/>
  <c r="EW59" i="194"/>
  <c r="P59" i="374"/>
  <c r="EW60" i="194"/>
  <c r="P60" i="374"/>
  <c r="EW27" i="194"/>
  <c r="P27" i="374"/>
  <c r="EW57" i="194"/>
  <c r="P57" i="374"/>
  <c r="P54" i="374"/>
  <c r="EW4" i="194"/>
  <c r="P4" i="374"/>
  <c r="EW49" i="194"/>
  <c r="P49" i="374"/>
  <c r="EW54" i="194"/>
  <c r="C39" i="366"/>
  <c r="E39" i="366" s="1"/>
  <c r="E38" i="366"/>
  <c r="E12" i="365"/>
  <c r="E32" i="365"/>
  <c r="C36" i="365"/>
  <c r="D35" i="365"/>
  <c r="D36" i="365" s="1"/>
  <c r="E17" i="361"/>
  <c r="L26" i="374" s="1"/>
  <c r="E27" i="357"/>
  <c r="E17" i="357"/>
  <c r="H26" i="374" l="1"/>
  <c r="AH26" i="374" s="1"/>
  <c r="EX65" i="194"/>
  <c r="Q65" i="374"/>
  <c r="Q66" i="374" s="1"/>
  <c r="P64" i="374"/>
  <c r="E40" i="366"/>
  <c r="C38" i="365"/>
  <c r="C22" i="333"/>
  <c r="D32" i="364"/>
  <c r="E35" i="364" s="1"/>
  <c r="E36" i="364" s="1"/>
  <c r="E31" i="364"/>
  <c r="E30" i="364"/>
  <c r="E29" i="364"/>
  <c r="E28" i="364"/>
  <c r="E27" i="364"/>
  <c r="D22" i="364"/>
  <c r="E22" i="364" s="1"/>
  <c r="E21" i="364"/>
  <c r="E20" i="364"/>
  <c r="E19" i="364"/>
  <c r="E18" i="364"/>
  <c r="E17" i="364"/>
  <c r="D12" i="364"/>
  <c r="C35" i="364" s="1"/>
  <c r="E11" i="364"/>
  <c r="E10" i="364"/>
  <c r="E9" i="364"/>
  <c r="E8" i="364"/>
  <c r="E7" i="364"/>
  <c r="EV9" i="194" l="1"/>
  <c r="O9" i="374"/>
  <c r="EV20" i="194"/>
  <c r="O20" i="374"/>
  <c r="AH20" i="374" s="1"/>
  <c r="EV23" i="194"/>
  <c r="O23" i="374"/>
  <c r="EV14" i="194"/>
  <c r="O14" i="374"/>
  <c r="EV17" i="194"/>
  <c r="O17" i="374"/>
  <c r="EV13" i="194"/>
  <c r="O13" i="374"/>
  <c r="EV52" i="194"/>
  <c r="O52" i="374"/>
  <c r="EV39" i="194"/>
  <c r="O39" i="374"/>
  <c r="EV57" i="194"/>
  <c r="O57" i="374"/>
  <c r="AI26" i="374"/>
  <c r="AL26" i="374"/>
  <c r="AT26" i="374" s="1"/>
  <c r="AS26" i="374" s="1"/>
  <c r="C39" i="365"/>
  <c r="E39" i="365" s="1"/>
  <c r="E38" i="365"/>
  <c r="E32" i="364"/>
  <c r="E12" i="364"/>
  <c r="C36" i="364"/>
  <c r="D35" i="364"/>
  <c r="D36" i="364" s="1"/>
  <c r="C21" i="333"/>
  <c r="O64" i="374" l="1"/>
  <c r="EW65" i="194"/>
  <c r="P65" i="374"/>
  <c r="P66" i="374" s="1"/>
  <c r="AL20" i="374"/>
  <c r="AT20" i="374" s="1"/>
  <c r="AS20" i="374" s="1"/>
  <c r="AI20" i="374"/>
  <c r="E40" i="365"/>
  <c r="C38" i="364"/>
  <c r="D32" i="363"/>
  <c r="E35" i="363" s="1"/>
  <c r="E36" i="363" s="1"/>
  <c r="E31" i="363"/>
  <c r="E30" i="363"/>
  <c r="E29" i="363"/>
  <c r="E28" i="363"/>
  <c r="E27" i="363"/>
  <c r="D22" i="363"/>
  <c r="E22" i="363" s="1"/>
  <c r="E21" i="363"/>
  <c r="E20" i="363"/>
  <c r="E19" i="363"/>
  <c r="E18" i="363"/>
  <c r="E17" i="363"/>
  <c r="D12" i="363"/>
  <c r="C35" i="363" s="1"/>
  <c r="E11" i="363"/>
  <c r="E10" i="363"/>
  <c r="E9" i="363"/>
  <c r="E8" i="363"/>
  <c r="E7" i="363"/>
  <c r="EU36" i="194" l="1"/>
  <c r="N36" i="374"/>
  <c r="EU13" i="194"/>
  <c r="N13" i="374"/>
  <c r="EU44" i="194"/>
  <c r="N44" i="374"/>
  <c r="EU42" i="194"/>
  <c r="N42" i="374"/>
  <c r="EU8" i="194"/>
  <c r="N8" i="374"/>
  <c r="EU48" i="194"/>
  <c r="N48" i="374"/>
  <c r="EU39" i="194"/>
  <c r="N39" i="374"/>
  <c r="EU40" i="194"/>
  <c r="N40" i="374"/>
  <c r="EU27" i="194"/>
  <c r="N27" i="374"/>
  <c r="C39" i="364"/>
  <c r="E39" i="364" s="1"/>
  <c r="E38" i="364"/>
  <c r="E12" i="363"/>
  <c r="E32" i="363"/>
  <c r="C36" i="363"/>
  <c r="D35" i="363"/>
  <c r="D36" i="363" s="1"/>
  <c r="J71" i="196"/>
  <c r="N64" i="374" l="1"/>
  <c r="EV65" i="194"/>
  <c r="O65" i="374"/>
  <c r="O66" i="374" s="1"/>
  <c r="E40" i="364"/>
  <c r="C38" i="363"/>
  <c r="C20" i="333"/>
  <c r="C19" i="333"/>
  <c r="C18" i="333"/>
  <c r="C17" i="333"/>
  <c r="C39" i="363" l="1"/>
  <c r="E39" i="363" s="1"/>
  <c r="E38" i="363"/>
  <c r="D7" i="359"/>
  <c r="EU65" i="194" l="1"/>
  <c r="N65" i="374"/>
  <c r="N66" i="374" s="1"/>
  <c r="E40" i="363"/>
  <c r="D32" i="362"/>
  <c r="E35" i="362" s="1"/>
  <c r="E36" i="362" s="1"/>
  <c r="E31" i="362"/>
  <c r="E30" i="362"/>
  <c r="E29" i="362"/>
  <c r="E28" i="362"/>
  <c r="E27" i="362"/>
  <c r="D22" i="362"/>
  <c r="E22" i="362" s="1"/>
  <c r="E21" i="362"/>
  <c r="E20" i="362"/>
  <c r="E19" i="362"/>
  <c r="E18" i="362"/>
  <c r="E17" i="362"/>
  <c r="D12" i="362"/>
  <c r="C35" i="362" s="1"/>
  <c r="E11" i="362"/>
  <c r="E10" i="362"/>
  <c r="E9" i="362"/>
  <c r="E8" i="362"/>
  <c r="E7" i="362"/>
  <c r="D32" i="361"/>
  <c r="E35" i="361" s="1"/>
  <c r="E36" i="361" s="1"/>
  <c r="E31" i="361"/>
  <c r="E30" i="361"/>
  <c r="E29" i="361"/>
  <c r="E28" i="361"/>
  <c r="E27" i="361"/>
  <c r="D22" i="361"/>
  <c r="E21" i="361"/>
  <c r="E20" i="361"/>
  <c r="E19" i="361"/>
  <c r="E18" i="361"/>
  <c r="ES26" i="194"/>
  <c r="D12" i="361"/>
  <c r="C35" i="361" s="1"/>
  <c r="E11" i="361"/>
  <c r="E10" i="361"/>
  <c r="E9" i="361"/>
  <c r="E8" i="361"/>
  <c r="E7" i="361"/>
  <c r="D32" i="360"/>
  <c r="E35" i="360" s="1"/>
  <c r="E36" i="360" s="1"/>
  <c r="E31" i="360"/>
  <c r="E30" i="360"/>
  <c r="E29" i="360"/>
  <c r="E28" i="360"/>
  <c r="E27" i="360"/>
  <c r="D22" i="360"/>
  <c r="E22" i="360" s="1"/>
  <c r="E21" i="360"/>
  <c r="E20" i="360"/>
  <c r="E19" i="360"/>
  <c r="E18" i="360"/>
  <c r="E17" i="360"/>
  <c r="D12" i="360"/>
  <c r="C35" i="360" s="1"/>
  <c r="E11" i="360"/>
  <c r="E10" i="360"/>
  <c r="E9" i="360"/>
  <c r="E8" i="360"/>
  <c r="E7" i="360"/>
  <c r="ER42" i="194" l="1"/>
  <c r="K42" i="374"/>
  <c r="ER9" i="194"/>
  <c r="K9" i="374"/>
  <c r="ES4" i="194"/>
  <c r="L4" i="374"/>
  <c r="ES18" i="194"/>
  <c r="L18" i="374"/>
  <c r="ET17" i="194"/>
  <c r="M17" i="374"/>
  <c r="ET5" i="194"/>
  <c r="M5" i="374"/>
  <c r="ET15" i="194"/>
  <c r="M15" i="374"/>
  <c r="ER13" i="194"/>
  <c r="K13" i="374"/>
  <c r="ER27" i="194"/>
  <c r="K27" i="374"/>
  <c r="ER54" i="194"/>
  <c r="K54" i="374"/>
  <c r="ER52" i="194"/>
  <c r="K52" i="374"/>
  <c r="ER44" i="194"/>
  <c r="K44" i="374"/>
  <c r="ER14" i="194"/>
  <c r="K14" i="374"/>
  <c r="ES42" i="194"/>
  <c r="L42" i="374"/>
  <c r="ES17" i="194"/>
  <c r="L17" i="374"/>
  <c r="ES46" i="194"/>
  <c r="L46" i="374"/>
  <c r="ES37" i="194"/>
  <c r="L37" i="374"/>
  <c r="ES40" i="194"/>
  <c r="L40" i="374"/>
  <c r="ET14" i="194"/>
  <c r="M14" i="374"/>
  <c r="ET40" i="194"/>
  <c r="M40" i="374"/>
  <c r="ET37" i="194"/>
  <c r="M37" i="374"/>
  <c r="ET19" i="194"/>
  <c r="M19" i="374"/>
  <c r="ET39" i="194"/>
  <c r="M39" i="374"/>
  <c r="E22" i="361"/>
  <c r="D36" i="361" s="1"/>
  <c r="E32" i="362"/>
  <c r="E12" i="362"/>
  <c r="E12" i="361"/>
  <c r="C36" i="362"/>
  <c r="D35" i="362"/>
  <c r="D36" i="362" s="1"/>
  <c r="E32" i="361"/>
  <c r="C36" i="361"/>
  <c r="D35" i="361"/>
  <c r="E12" i="360"/>
  <c r="E32" i="360"/>
  <c r="C36" i="360"/>
  <c r="D35" i="360"/>
  <c r="D36" i="360" s="1"/>
  <c r="D32" i="359"/>
  <c r="E35" i="359" s="1"/>
  <c r="E36" i="359" s="1"/>
  <c r="E31" i="359"/>
  <c r="E30" i="359"/>
  <c r="E29" i="359"/>
  <c r="E28" i="359"/>
  <c r="E27" i="359"/>
  <c r="D22" i="359"/>
  <c r="E22" i="359" s="1"/>
  <c r="E21" i="359"/>
  <c r="E20" i="359"/>
  <c r="E19" i="359"/>
  <c r="E18" i="359"/>
  <c r="E17" i="359"/>
  <c r="D12" i="359"/>
  <c r="C35" i="359" s="1"/>
  <c r="E11" i="359"/>
  <c r="E10" i="359"/>
  <c r="E9" i="359"/>
  <c r="E8" i="359"/>
  <c r="E7" i="359"/>
  <c r="EQ37" i="194" l="1"/>
  <c r="J37" i="374"/>
  <c r="EQ57" i="194"/>
  <c r="J57" i="374"/>
  <c r="EQ39" i="194"/>
  <c r="J39" i="374"/>
  <c r="EQ44" i="194"/>
  <c r="J44" i="374"/>
  <c r="EQ19" i="194"/>
  <c r="J19" i="374"/>
  <c r="EQ59" i="194"/>
  <c r="J59" i="374"/>
  <c r="AH59" i="374" s="1"/>
  <c r="EQ49" i="194"/>
  <c r="J49" i="374"/>
  <c r="AH49" i="374" s="1"/>
  <c r="AL49" i="374" s="1"/>
  <c r="AT49" i="374" s="1"/>
  <c r="AS49" i="374" s="1"/>
  <c r="M64" i="374"/>
  <c r="L64" i="374"/>
  <c r="K64" i="374"/>
  <c r="EQ10" i="194"/>
  <c r="J10" i="374"/>
  <c r="E38" i="361"/>
  <c r="L65" i="374" s="1"/>
  <c r="C38" i="362"/>
  <c r="C38" i="361"/>
  <c r="C38" i="360"/>
  <c r="E12" i="359"/>
  <c r="E32" i="359"/>
  <c r="C36" i="359"/>
  <c r="D35" i="359"/>
  <c r="D36" i="359" s="1"/>
  <c r="C16" i="333"/>
  <c r="D32" i="358"/>
  <c r="E35" i="358" s="1"/>
  <c r="E36" i="358" s="1"/>
  <c r="E31" i="358"/>
  <c r="E30" i="358"/>
  <c r="E29" i="358"/>
  <c r="E28" i="358"/>
  <c r="E27" i="358"/>
  <c r="D22" i="358"/>
  <c r="E22" i="358" s="1"/>
  <c r="E21" i="358"/>
  <c r="E20" i="358"/>
  <c r="E19" i="358"/>
  <c r="E18" i="358"/>
  <c r="E17" i="358"/>
  <c r="D12" i="358"/>
  <c r="C35" i="358" s="1"/>
  <c r="E11" i="358"/>
  <c r="E10" i="358"/>
  <c r="E9" i="358"/>
  <c r="E8" i="358"/>
  <c r="E7" i="358"/>
  <c r="EP39" i="194" l="1"/>
  <c r="I39" i="374"/>
  <c r="EP54" i="194"/>
  <c r="I54" i="374"/>
  <c r="EP13" i="194"/>
  <c r="I13" i="374"/>
  <c r="L66" i="374"/>
  <c r="AL59" i="374"/>
  <c r="AT59" i="374" s="1"/>
  <c r="AS59" i="374" s="1"/>
  <c r="AI59" i="374"/>
  <c r="EP48" i="194"/>
  <c r="I48" i="374"/>
  <c r="EP60" i="194"/>
  <c r="I60" i="374"/>
  <c r="EP44" i="194"/>
  <c r="I44" i="374"/>
  <c r="EP40" i="194"/>
  <c r="I40" i="374"/>
  <c r="AH40" i="374" s="1"/>
  <c r="EP8" i="194"/>
  <c r="I8" i="374"/>
  <c r="EP36" i="194"/>
  <c r="I36" i="374"/>
  <c r="AH36" i="374" s="1"/>
  <c r="J64" i="374"/>
  <c r="C39" i="362"/>
  <c r="E39" i="362" s="1"/>
  <c r="E38" i="362"/>
  <c r="C39" i="361"/>
  <c r="E39" i="361" s="1"/>
  <c r="ES65" i="194"/>
  <c r="C39" i="360"/>
  <c r="E39" i="360" s="1"/>
  <c r="E38" i="360"/>
  <c r="C38" i="359"/>
  <c r="E32" i="358"/>
  <c r="E12" i="358"/>
  <c r="C36" i="358"/>
  <c r="D35" i="358"/>
  <c r="D36" i="358" s="1"/>
  <c r="C15" i="333"/>
  <c r="D32" i="357"/>
  <c r="E35" i="357" s="1"/>
  <c r="E31" i="357"/>
  <c r="E30" i="357"/>
  <c r="E29" i="357"/>
  <c r="E28" i="357"/>
  <c r="H15" i="374" s="1"/>
  <c r="D22" i="357"/>
  <c r="E21" i="357"/>
  <c r="E20" i="357"/>
  <c r="E19" i="357"/>
  <c r="E18" i="357"/>
  <c r="H39" i="374" s="1"/>
  <c r="EO26" i="194"/>
  <c r="D12" i="357"/>
  <c r="C35" i="357" s="1"/>
  <c r="E11" i="357"/>
  <c r="E10" i="357"/>
  <c r="E9" i="357"/>
  <c r="E8" i="357"/>
  <c r="E7" i="357"/>
  <c r="EO8" i="194" l="1"/>
  <c r="H8" i="374"/>
  <c r="ER65" i="194"/>
  <c r="K65" i="374"/>
  <c r="K66" i="374" s="1"/>
  <c r="ET65" i="194"/>
  <c r="M65" i="374"/>
  <c r="M66" i="374" s="1"/>
  <c r="EO52" i="194"/>
  <c r="H52" i="374"/>
  <c r="EO10" i="194"/>
  <c r="H10" i="374"/>
  <c r="H27" i="374"/>
  <c r="AL36" i="374"/>
  <c r="AT36" i="374" s="1"/>
  <c r="AS36" i="374" s="1"/>
  <c r="AI36" i="374"/>
  <c r="I64" i="374"/>
  <c r="AL40" i="374"/>
  <c r="AT40" i="374" s="1"/>
  <c r="AS40" i="374" s="1"/>
  <c r="AI40" i="374"/>
  <c r="EO39" i="194"/>
  <c r="E22" i="357"/>
  <c r="D36" i="357" s="1"/>
  <c r="EO27" i="194"/>
  <c r="EO15" i="194"/>
  <c r="E32" i="357"/>
  <c r="E36" i="357" s="1"/>
  <c r="E40" i="362"/>
  <c r="E40" i="361"/>
  <c r="E40" i="360"/>
  <c r="C39" i="359"/>
  <c r="E39" i="359" s="1"/>
  <c r="E38" i="359"/>
  <c r="C38" i="358"/>
  <c r="E12" i="357"/>
  <c r="C36" i="357"/>
  <c r="D35" i="357"/>
  <c r="C14" i="333"/>
  <c r="C11" i="333"/>
  <c r="C12" i="333"/>
  <c r="C13" i="333"/>
  <c r="D32" i="356"/>
  <c r="E35" i="356" s="1"/>
  <c r="E36" i="356" s="1"/>
  <c r="E31" i="356"/>
  <c r="E30" i="356"/>
  <c r="E29" i="356"/>
  <c r="E28" i="356"/>
  <c r="E27" i="356"/>
  <c r="D22" i="356"/>
  <c r="E22" i="356" s="1"/>
  <c r="E21" i="356"/>
  <c r="E20" i="356"/>
  <c r="E19" i="356"/>
  <c r="E18" i="356"/>
  <c r="E17" i="356"/>
  <c r="D12" i="356"/>
  <c r="C35" i="356" s="1"/>
  <c r="E11" i="356"/>
  <c r="E10" i="356"/>
  <c r="E9" i="356"/>
  <c r="E8" i="356"/>
  <c r="E7" i="356"/>
  <c r="H64" i="374" l="1"/>
  <c r="EN42" i="194"/>
  <c r="G42" i="374"/>
  <c r="EN21" i="194"/>
  <c r="G21" i="374"/>
  <c r="AH21" i="374" s="1"/>
  <c r="EN37" i="194"/>
  <c r="G37" i="374"/>
  <c r="EN60" i="194"/>
  <c r="G60" i="374"/>
  <c r="AH60" i="374" s="1"/>
  <c r="EN17" i="194"/>
  <c r="G17" i="374"/>
  <c r="EN4" i="194"/>
  <c r="G4" i="374"/>
  <c r="EN9" i="194"/>
  <c r="G9" i="374"/>
  <c r="EN34" i="194"/>
  <c r="G34" i="374"/>
  <c r="AH34" i="374" s="1"/>
  <c r="EQ65" i="194"/>
  <c r="J65" i="374"/>
  <c r="J66" i="374" s="1"/>
  <c r="E38" i="357"/>
  <c r="H65" i="374" s="1"/>
  <c r="E40" i="359"/>
  <c r="C39" i="358"/>
  <c r="E39" i="358" s="1"/>
  <c r="E38" i="358"/>
  <c r="E12" i="356"/>
  <c r="C38" i="357"/>
  <c r="E32" i="356"/>
  <c r="C36" i="356"/>
  <c r="D35" i="356"/>
  <c r="D36" i="356" s="1"/>
  <c r="J68" i="196"/>
  <c r="EP65" i="194" l="1"/>
  <c r="I65" i="374"/>
  <c r="I66" i="374" s="1"/>
  <c r="AL34" i="374"/>
  <c r="AT34" i="374" s="1"/>
  <c r="AS34" i="374" s="1"/>
  <c r="AI34" i="374"/>
  <c r="G64" i="374"/>
  <c r="AL60" i="374"/>
  <c r="AT60" i="374" s="1"/>
  <c r="AS60" i="374" s="1"/>
  <c r="AI60" i="374"/>
  <c r="AL21" i="374"/>
  <c r="AT21" i="374" s="1"/>
  <c r="AS21" i="374" s="1"/>
  <c r="AI21" i="374"/>
  <c r="H66" i="374"/>
  <c r="E40" i="358"/>
  <c r="C39" i="357"/>
  <c r="E39" i="357" s="1"/>
  <c r="EO65" i="194"/>
  <c r="C38" i="356"/>
  <c r="D32" i="355"/>
  <c r="E35" i="355" s="1"/>
  <c r="E36" i="355" s="1"/>
  <c r="E31" i="355"/>
  <c r="E30" i="355"/>
  <c r="E29" i="355"/>
  <c r="E28" i="355"/>
  <c r="E27" i="355"/>
  <c r="D22" i="355"/>
  <c r="E22" i="355" s="1"/>
  <c r="E21" i="355"/>
  <c r="E20" i="355"/>
  <c r="E19" i="355"/>
  <c r="E18" i="355"/>
  <c r="E17" i="355"/>
  <c r="D12" i="355"/>
  <c r="C35" i="355" s="1"/>
  <c r="E11" i="355"/>
  <c r="E10" i="355"/>
  <c r="E9" i="355"/>
  <c r="E8" i="355"/>
  <c r="E7" i="355"/>
  <c r="D32" i="354"/>
  <c r="E35" i="354" s="1"/>
  <c r="E36" i="354" s="1"/>
  <c r="E31" i="354"/>
  <c r="E30" i="354"/>
  <c r="E29" i="354"/>
  <c r="E28" i="354"/>
  <c r="E27" i="354"/>
  <c r="D22" i="354"/>
  <c r="E22" i="354" s="1"/>
  <c r="E21" i="354"/>
  <c r="E20" i="354"/>
  <c r="E19" i="354"/>
  <c r="E18" i="354"/>
  <c r="E17" i="354"/>
  <c r="D12" i="354"/>
  <c r="C35" i="354" s="1"/>
  <c r="E11" i="354"/>
  <c r="E10" i="354"/>
  <c r="E9" i="354"/>
  <c r="E8" i="354"/>
  <c r="E7" i="354"/>
  <c r="D32" i="353"/>
  <c r="E32" i="353" s="1"/>
  <c r="E31" i="353"/>
  <c r="E30" i="353"/>
  <c r="E29" i="353"/>
  <c r="E28" i="353"/>
  <c r="E27" i="353"/>
  <c r="D22" i="353"/>
  <c r="D35" i="353" s="1"/>
  <c r="D36" i="353" s="1"/>
  <c r="E21" i="353"/>
  <c r="E20" i="353"/>
  <c r="E19" i="353"/>
  <c r="E18" i="353"/>
  <c r="E17" i="353"/>
  <c r="D12" i="353"/>
  <c r="E12" i="353" s="1"/>
  <c r="E11" i="353"/>
  <c r="E10" i="353"/>
  <c r="E9" i="353"/>
  <c r="E8" i="353"/>
  <c r="E7" i="353"/>
  <c r="EK10" i="194" l="1"/>
  <c r="D10" i="374"/>
  <c r="EK13" i="194"/>
  <c r="D13" i="374"/>
  <c r="EK19" i="194"/>
  <c r="D19" i="374"/>
  <c r="EL42" i="194"/>
  <c r="E42" i="374"/>
  <c r="EL57" i="194"/>
  <c r="E57" i="374"/>
  <c r="EL39" i="194"/>
  <c r="E39" i="374"/>
  <c r="EL46" i="194"/>
  <c r="E46" i="374"/>
  <c r="EL27" i="194"/>
  <c r="E27" i="374"/>
  <c r="EM14" i="194"/>
  <c r="F14" i="374"/>
  <c r="AH14" i="374" s="1"/>
  <c r="EM5" i="194"/>
  <c r="F5" i="374"/>
  <c r="EM4" i="194"/>
  <c r="F4" i="374"/>
  <c r="EM17" i="194"/>
  <c r="F17" i="374"/>
  <c r="EM15" i="194"/>
  <c r="F15" i="374"/>
  <c r="EM19" i="194"/>
  <c r="F19" i="374"/>
  <c r="EK52" i="194"/>
  <c r="D52" i="374"/>
  <c r="AH52" i="374" s="1"/>
  <c r="EK51" i="194"/>
  <c r="D51" i="374"/>
  <c r="AH51" i="374" s="1"/>
  <c r="EK27" i="194"/>
  <c r="D27" i="374"/>
  <c r="AH27" i="374" s="1"/>
  <c r="EK23" i="194"/>
  <c r="D23" i="374"/>
  <c r="EK15" i="194"/>
  <c r="D15" i="374"/>
  <c r="AH15" i="374" s="1"/>
  <c r="EL3" i="194"/>
  <c r="E3" i="374"/>
  <c r="EL37" i="194"/>
  <c r="E37" i="374"/>
  <c r="EL18" i="194"/>
  <c r="E18" i="374"/>
  <c r="AH18" i="374" s="1"/>
  <c r="AL18" i="374" s="1"/>
  <c r="AT18" i="374" s="1"/>
  <c r="AS18" i="374" s="1"/>
  <c r="EM57" i="194"/>
  <c r="F57" i="374"/>
  <c r="EM46" i="194"/>
  <c r="F46" i="374"/>
  <c r="EM13" i="194"/>
  <c r="F13" i="374"/>
  <c r="E40" i="357"/>
  <c r="E12" i="355"/>
  <c r="C39" i="356"/>
  <c r="E39" i="356" s="1"/>
  <c r="E38" i="356"/>
  <c r="E32" i="355"/>
  <c r="E12" i="354"/>
  <c r="C36" i="355"/>
  <c r="D35" i="355"/>
  <c r="D36" i="355" s="1"/>
  <c r="E32" i="354"/>
  <c r="C36" i="354"/>
  <c r="D35" i="354"/>
  <c r="D36" i="354" s="1"/>
  <c r="E22" i="353"/>
  <c r="C35" i="353"/>
  <c r="E35" i="353"/>
  <c r="E36" i="353" s="1"/>
  <c r="C9" i="333"/>
  <c r="C10" i="333"/>
  <c r="C7" i="333"/>
  <c r="C6" i="333"/>
  <c r="E64" i="374" l="1"/>
  <c r="AL15" i="374"/>
  <c r="AT15" i="374" s="1"/>
  <c r="AS15" i="374" s="1"/>
  <c r="AI15" i="374"/>
  <c r="AI27" i="374"/>
  <c r="AL27" i="374"/>
  <c r="AT27" i="374" s="1"/>
  <c r="AS27" i="374" s="1"/>
  <c r="AL51" i="374"/>
  <c r="AT51" i="374" s="1"/>
  <c r="AS51" i="374" s="1"/>
  <c r="AI51" i="374"/>
  <c r="AI52" i="374"/>
  <c r="AL52" i="374"/>
  <c r="AT52" i="374" s="1"/>
  <c r="AS52" i="374" s="1"/>
  <c r="AH4" i="374"/>
  <c r="AL4" i="374" s="1"/>
  <c r="AT4" i="374" s="1"/>
  <c r="AS4" i="374" s="1"/>
  <c r="F64" i="374"/>
  <c r="AL14" i="374"/>
  <c r="AT14" i="374" s="1"/>
  <c r="AS14" i="374" s="1"/>
  <c r="AI14" i="374"/>
  <c r="AH46" i="374"/>
  <c r="AH57" i="374"/>
  <c r="AH13" i="374"/>
  <c r="AH10" i="374"/>
  <c r="D64" i="374"/>
  <c r="EN65" i="194"/>
  <c r="G65" i="374"/>
  <c r="G66" i="374" s="1"/>
  <c r="C40" i="333"/>
  <c r="E40" i="356"/>
  <c r="C38" i="355"/>
  <c r="C38" i="354"/>
  <c r="C36" i="353"/>
  <c r="C38" i="353"/>
  <c r="D32" i="352"/>
  <c r="E35" i="352" s="1"/>
  <c r="E36" i="352" s="1"/>
  <c r="E31" i="352"/>
  <c r="E30" i="352"/>
  <c r="E29" i="352"/>
  <c r="E28" i="352"/>
  <c r="E27" i="352"/>
  <c r="D22" i="352"/>
  <c r="E22" i="352" s="1"/>
  <c r="E21" i="352"/>
  <c r="E20" i="352"/>
  <c r="E19" i="352"/>
  <c r="E18" i="352"/>
  <c r="E17" i="352"/>
  <c r="D12" i="352"/>
  <c r="C35" i="352" s="1"/>
  <c r="E11" i="352"/>
  <c r="E10" i="352"/>
  <c r="E9" i="352"/>
  <c r="E8" i="352"/>
  <c r="E7" i="352"/>
  <c r="C3" i="374" l="1"/>
  <c r="AH3" i="374" s="1"/>
  <c r="EJ17" i="194"/>
  <c r="C17" i="374"/>
  <c r="EJ39" i="194"/>
  <c r="C39" i="374"/>
  <c r="AH39" i="374" s="1"/>
  <c r="AL13" i="374"/>
  <c r="AT13" i="374" s="1"/>
  <c r="AS13" i="374" s="1"/>
  <c r="AI13" i="374"/>
  <c r="AL46" i="374"/>
  <c r="AT46" i="374" s="1"/>
  <c r="AS46" i="374" s="1"/>
  <c r="AI46" i="374"/>
  <c r="EJ5" i="194"/>
  <c r="C5" i="374"/>
  <c r="AH5" i="374" s="1"/>
  <c r="EJ48" i="194"/>
  <c r="C48" i="374"/>
  <c r="AH48" i="374" s="1"/>
  <c r="EJ23" i="194"/>
  <c r="C23" i="374"/>
  <c r="AH23" i="374" s="1"/>
  <c r="EJ42" i="194"/>
  <c r="C42" i="374"/>
  <c r="AH42" i="374" s="1"/>
  <c r="EJ9" i="194"/>
  <c r="C9" i="374"/>
  <c r="AI10" i="374"/>
  <c r="AL10" i="374"/>
  <c r="AT10" i="374" s="1"/>
  <c r="AS10" i="374" s="1"/>
  <c r="AL57" i="374"/>
  <c r="AT57" i="374" s="1"/>
  <c r="AS57" i="374" s="1"/>
  <c r="AI57" i="374"/>
  <c r="C39" i="355"/>
  <c r="E39" i="355" s="1"/>
  <c r="E38" i="355"/>
  <c r="C39" i="354"/>
  <c r="E39" i="354" s="1"/>
  <c r="E38" i="354"/>
  <c r="E38" i="353"/>
  <c r="C39" i="353"/>
  <c r="E39" i="353" s="1"/>
  <c r="EJ3" i="194"/>
  <c r="E32" i="352"/>
  <c r="E12" i="352"/>
  <c r="C36" i="352"/>
  <c r="D35" i="352"/>
  <c r="D36" i="352" s="1"/>
  <c r="E7" i="192"/>
  <c r="AI3" i="374" l="1"/>
  <c r="AL3" i="374"/>
  <c r="AT3" i="374" s="1"/>
  <c r="AL39" i="374"/>
  <c r="AT39" i="374" s="1"/>
  <c r="AS39" i="374" s="1"/>
  <c r="AI39" i="374"/>
  <c r="EK65" i="194"/>
  <c r="D65" i="374"/>
  <c r="D66" i="374" s="1"/>
  <c r="EL65" i="194"/>
  <c r="E65" i="374"/>
  <c r="E66" i="374" s="1"/>
  <c r="EM65" i="194"/>
  <c r="F65" i="374"/>
  <c r="F66" i="374" s="1"/>
  <c r="AI42" i="374"/>
  <c r="AL42" i="374"/>
  <c r="AT42" i="374" s="1"/>
  <c r="AS42" i="374" s="1"/>
  <c r="AL23" i="374"/>
  <c r="AT23" i="374" s="1"/>
  <c r="AS23" i="374" s="1"/>
  <c r="AI23" i="374"/>
  <c r="AI48" i="374"/>
  <c r="AL48" i="374"/>
  <c r="AT48" i="374" s="1"/>
  <c r="AL5" i="374"/>
  <c r="AT5" i="374" s="1"/>
  <c r="AS5" i="374" s="1"/>
  <c r="AI5" i="374"/>
  <c r="C64" i="374"/>
  <c r="E40" i="355"/>
  <c r="E40" i="354"/>
  <c r="E40" i="353"/>
  <c r="C38" i="352"/>
  <c r="AD6" i="349"/>
  <c r="AD11" i="349"/>
  <c r="AD12" i="349"/>
  <c r="AD16" i="349"/>
  <c r="AD22" i="349"/>
  <c r="AD24" i="349"/>
  <c r="AD25" i="349"/>
  <c r="AD28" i="349"/>
  <c r="AD29" i="349"/>
  <c r="AD30" i="349"/>
  <c r="AD31" i="349"/>
  <c r="AD32" i="349"/>
  <c r="AD33" i="349"/>
  <c r="AD35" i="349"/>
  <c r="AD41" i="349"/>
  <c r="AD43" i="349"/>
  <c r="AD45" i="349"/>
  <c r="AD47" i="349"/>
  <c r="AD50" i="349"/>
  <c r="AD53" i="349"/>
  <c r="AD55" i="349"/>
  <c r="AD58" i="349"/>
  <c r="AD61" i="349"/>
  <c r="AD62" i="349"/>
  <c r="AD63" i="349"/>
  <c r="AS3" i="374" l="1"/>
  <c r="C39" i="352"/>
  <c r="E39" i="352" s="1"/>
  <c r="E38" i="352"/>
  <c r="C65" i="374" s="1"/>
  <c r="C66" i="374" s="1"/>
  <c r="D3" i="192"/>
  <c r="E40" i="352" l="1"/>
  <c r="EJ65" i="194"/>
  <c r="C21" i="192"/>
  <c r="D32" i="351" l="1"/>
  <c r="E35" i="351" s="1"/>
  <c r="E36" i="351" s="1"/>
  <c r="E31" i="351"/>
  <c r="E30" i="351"/>
  <c r="E29" i="351"/>
  <c r="E28" i="351"/>
  <c r="E27" i="351"/>
  <c r="D22" i="351"/>
  <c r="D35" i="351" s="1"/>
  <c r="D36" i="351" s="1"/>
  <c r="E21" i="351"/>
  <c r="E20" i="351"/>
  <c r="E19" i="351"/>
  <c r="E18" i="351"/>
  <c r="E17" i="351"/>
  <c r="D12" i="351"/>
  <c r="C35" i="351" s="1"/>
  <c r="E11" i="351"/>
  <c r="E10" i="351"/>
  <c r="E9" i="351"/>
  <c r="E8" i="351"/>
  <c r="E7" i="351"/>
  <c r="EI44" i="194" l="1"/>
  <c r="B44" i="374"/>
  <c r="AH44" i="374" s="1"/>
  <c r="EI19" i="194"/>
  <c r="B19" i="374"/>
  <c r="AH19" i="374" s="1"/>
  <c r="EI37" i="194"/>
  <c r="B37" i="374"/>
  <c r="AH37" i="374" s="1"/>
  <c r="EI54" i="194"/>
  <c r="B54" i="374"/>
  <c r="AH54" i="374" s="1"/>
  <c r="EI8" i="194"/>
  <c r="B8" i="374"/>
  <c r="EI17" i="194"/>
  <c r="B17" i="374"/>
  <c r="AH17" i="374" s="1"/>
  <c r="EI9" i="194"/>
  <c r="B9" i="374"/>
  <c r="AH9" i="374" s="1"/>
  <c r="AL9" i="374" s="1"/>
  <c r="AT9" i="374" s="1"/>
  <c r="AS9" i="374" s="1"/>
  <c r="E22" i="351"/>
  <c r="C38" i="351"/>
  <c r="C39" i="351" s="1"/>
  <c r="C36" i="351"/>
  <c r="E12" i="351"/>
  <c r="E32" i="351"/>
  <c r="AI17" i="374" l="1"/>
  <c r="AL17" i="374"/>
  <c r="AT17" i="374" s="1"/>
  <c r="AS17" i="374" s="1"/>
  <c r="AH8" i="374"/>
  <c r="B64" i="374"/>
  <c r="AI37" i="374"/>
  <c r="AL37" i="374"/>
  <c r="AT37" i="374" s="1"/>
  <c r="AS37" i="374" s="1"/>
  <c r="AI19" i="374"/>
  <c r="AL19" i="374"/>
  <c r="AT19" i="374" s="1"/>
  <c r="AS19" i="374" s="1"/>
  <c r="AI44" i="374"/>
  <c r="AL44" i="374"/>
  <c r="AT44" i="374" s="1"/>
  <c r="AS44" i="374" s="1"/>
  <c r="AL54" i="374"/>
  <c r="AT54" i="374" s="1"/>
  <c r="AS54" i="374" s="1"/>
  <c r="AI54" i="374"/>
  <c r="E39" i="351"/>
  <c r="E38" i="351"/>
  <c r="EI65" i="194" l="1"/>
  <c r="B65" i="374"/>
  <c r="B66" i="374" s="1"/>
  <c r="AI8" i="374"/>
  <c r="AI64" i="374" s="1"/>
  <c r="AL8" i="374"/>
  <c r="AT8" i="374" s="1"/>
  <c r="AH64" i="374"/>
  <c r="E40" i="351"/>
  <c r="AS8" i="374" l="1"/>
  <c r="AS64" i="374" s="1"/>
  <c r="AT64" i="374"/>
  <c r="AF3" i="349"/>
  <c r="AQ3" i="349" s="1"/>
  <c r="AF4" i="349"/>
  <c r="AQ4" i="349" s="1"/>
  <c r="AF5" i="349"/>
  <c r="AQ5" i="349" s="1"/>
  <c r="AE6" i="349"/>
  <c r="AF6" i="349"/>
  <c r="AQ6" i="349" s="1"/>
  <c r="AF7" i="349"/>
  <c r="AQ7" i="349" s="1"/>
  <c r="AF8" i="349"/>
  <c r="AQ8" i="349" s="1"/>
  <c r="AF9" i="349"/>
  <c r="AQ9" i="349" s="1"/>
  <c r="AF10" i="349"/>
  <c r="AQ10" i="349" s="1"/>
  <c r="AE11" i="349"/>
  <c r="AF11" i="349"/>
  <c r="AQ11" i="349" s="1"/>
  <c r="AF12" i="349"/>
  <c r="AQ12" i="349" s="1"/>
  <c r="AF13" i="349"/>
  <c r="AQ13" i="349" s="1"/>
  <c r="AF14" i="349"/>
  <c r="AQ14" i="349" s="1"/>
  <c r="AF15" i="349"/>
  <c r="AQ15" i="349" s="1"/>
  <c r="AF16" i="349"/>
  <c r="AQ16" i="349" s="1"/>
  <c r="AF17" i="349"/>
  <c r="AQ17" i="349" s="1"/>
  <c r="AF18" i="349"/>
  <c r="AQ18" i="349" s="1"/>
  <c r="AF19" i="349"/>
  <c r="AQ19" i="349" s="1"/>
  <c r="AF20" i="349"/>
  <c r="AQ20" i="349" s="1"/>
  <c r="AF21" i="349"/>
  <c r="AQ21" i="349" s="1"/>
  <c r="AE22" i="349"/>
  <c r="AF22" i="349"/>
  <c r="AQ22" i="349" s="1"/>
  <c r="AF23" i="349"/>
  <c r="AQ23" i="349" s="1"/>
  <c r="AF24" i="349"/>
  <c r="AQ24" i="349" s="1"/>
  <c r="AH24" i="349"/>
  <c r="AP24" i="349" s="1"/>
  <c r="AO24" i="349" s="1"/>
  <c r="AF25" i="349"/>
  <c r="AH25" i="349"/>
  <c r="AP25" i="349" s="1"/>
  <c r="AO25" i="349" s="1"/>
  <c r="AQ25" i="349"/>
  <c r="AF26" i="349"/>
  <c r="AQ26" i="349" s="1"/>
  <c r="AF27" i="349"/>
  <c r="AQ27" i="349" s="1"/>
  <c r="AE28" i="349"/>
  <c r="AF28" i="349"/>
  <c r="AQ28" i="349" s="1"/>
  <c r="AF29" i="349"/>
  <c r="AQ29" i="349" s="1"/>
  <c r="AE30" i="349"/>
  <c r="AF30" i="349"/>
  <c r="AQ30" i="349" s="1"/>
  <c r="AF31" i="349"/>
  <c r="AQ31" i="349" s="1"/>
  <c r="AF32" i="349"/>
  <c r="AQ32" i="349" s="1"/>
  <c r="AH32" i="349"/>
  <c r="AP32" i="349" s="1"/>
  <c r="AO32" i="349" s="1"/>
  <c r="AE33" i="349"/>
  <c r="AF33" i="349"/>
  <c r="AQ33" i="349" s="1"/>
  <c r="AF34" i="349"/>
  <c r="AQ34" i="349" s="1"/>
  <c r="AE35" i="349"/>
  <c r="AF35" i="349"/>
  <c r="AQ35" i="349" s="1"/>
  <c r="AF36" i="349"/>
  <c r="AQ36" i="349" s="1"/>
  <c r="AF37" i="349"/>
  <c r="AQ37" i="349" s="1"/>
  <c r="AF38" i="349"/>
  <c r="AQ38" i="349" s="1"/>
  <c r="AF39" i="349"/>
  <c r="AQ39" i="349" s="1"/>
  <c r="AF40" i="349"/>
  <c r="AQ40" i="349" s="1"/>
  <c r="AF41" i="349"/>
  <c r="AQ41" i="349" s="1"/>
  <c r="AH41" i="349"/>
  <c r="AP41" i="349" s="1"/>
  <c r="AF42" i="349"/>
  <c r="AQ42" i="349" s="1"/>
  <c r="AE43" i="349"/>
  <c r="AF43" i="349"/>
  <c r="AQ43" i="349" s="1"/>
  <c r="AF44" i="349"/>
  <c r="AQ44" i="349" s="1"/>
  <c r="AE45" i="349"/>
  <c r="AF45" i="349"/>
  <c r="AQ45" i="349" s="1"/>
  <c r="AF46" i="349"/>
  <c r="AQ46" i="349" s="1"/>
  <c r="AE47" i="349"/>
  <c r="AF47" i="349"/>
  <c r="AQ47" i="349" s="1"/>
  <c r="AF48" i="349"/>
  <c r="AQ48" i="349" s="1"/>
  <c r="AF49" i="349"/>
  <c r="AQ49" i="349" s="1"/>
  <c r="AE50" i="349"/>
  <c r="AF50" i="349"/>
  <c r="AQ50" i="349" s="1"/>
  <c r="AF51" i="349"/>
  <c r="AQ51" i="349" s="1"/>
  <c r="AF52" i="349"/>
  <c r="AQ52" i="349" s="1"/>
  <c r="AE53" i="349"/>
  <c r="AF53" i="349"/>
  <c r="AQ53" i="349" s="1"/>
  <c r="AF54" i="349"/>
  <c r="AQ54" i="349" s="1"/>
  <c r="AE55" i="349"/>
  <c r="AF55" i="349"/>
  <c r="AQ55" i="349" s="1"/>
  <c r="AF56" i="349"/>
  <c r="AQ56" i="349" s="1"/>
  <c r="AF57" i="349"/>
  <c r="AQ57" i="349" s="1"/>
  <c r="AE58" i="349"/>
  <c r="AF58" i="349"/>
  <c r="AQ58" i="349" s="1"/>
  <c r="AF59" i="349"/>
  <c r="AQ59" i="349" s="1"/>
  <c r="AF60" i="349"/>
  <c r="AQ60" i="349" s="1"/>
  <c r="AE61" i="349"/>
  <c r="AQ61" i="349"/>
  <c r="AE62" i="349"/>
  <c r="AQ62" i="349"/>
  <c r="AE63" i="349"/>
  <c r="AQ63" i="349"/>
  <c r="AL64" i="349"/>
  <c r="T64" i="349"/>
  <c r="T66" i="349" s="1"/>
  <c r="S64" i="349"/>
  <c r="S66" i="349" s="1"/>
  <c r="AH43" i="349" l="1"/>
  <c r="AP43" i="349" s="1"/>
  <c r="AO43" i="349" s="1"/>
  <c r="AH22" i="349"/>
  <c r="AP22" i="349" s="1"/>
  <c r="AO22" i="349" s="1"/>
  <c r="AH6" i="349"/>
  <c r="AP6" i="349" s="1"/>
  <c r="AO6" i="349" s="1"/>
  <c r="AH33" i="349"/>
  <c r="AP33" i="349" s="1"/>
  <c r="AO33" i="349" s="1"/>
  <c r="AH30" i="349"/>
  <c r="AP30" i="349" s="1"/>
  <c r="AO30" i="349" s="1"/>
  <c r="AH28" i="349"/>
  <c r="AP28" i="349" s="1"/>
  <c r="AO28" i="349" s="1"/>
  <c r="AH58" i="349"/>
  <c r="AP58" i="349" s="1"/>
  <c r="AO58" i="349" s="1"/>
  <c r="AH50" i="349"/>
  <c r="AP50" i="349" s="1"/>
  <c r="AO50" i="349" s="1"/>
  <c r="AH45" i="349"/>
  <c r="AP45" i="349" s="1"/>
  <c r="AO45" i="349" s="1"/>
  <c r="AH35" i="349"/>
  <c r="AP35" i="349" s="1"/>
  <c r="AO35" i="349" s="1"/>
  <c r="AH11" i="349"/>
  <c r="AP11" i="349" s="1"/>
  <c r="AO11" i="349" s="1"/>
  <c r="AH63" i="349"/>
  <c r="AP63" i="349" s="1"/>
  <c r="AO63" i="349" s="1"/>
  <c r="AH62" i="349"/>
  <c r="AP62" i="349" s="1"/>
  <c r="AO62" i="349" s="1"/>
  <c r="AH61" i="349"/>
  <c r="AP61" i="349" s="1"/>
  <c r="AO61" i="349" s="1"/>
  <c r="AH55" i="349"/>
  <c r="AP55" i="349" s="1"/>
  <c r="AO55" i="349" s="1"/>
  <c r="AH53" i="349"/>
  <c r="AP53" i="349" s="1"/>
  <c r="AO53" i="349" s="1"/>
  <c r="AH47" i="349"/>
  <c r="AP47" i="349" s="1"/>
  <c r="AO47" i="349" s="1"/>
  <c r="AE31" i="349"/>
  <c r="AH31" i="349"/>
  <c r="AP31" i="349" s="1"/>
  <c r="AO31" i="349" s="1"/>
  <c r="AE29" i="349"/>
  <c r="AH29" i="349"/>
  <c r="AP29" i="349" s="1"/>
  <c r="AO29" i="349" s="1"/>
  <c r="AE16" i="349"/>
  <c r="AH16" i="349"/>
  <c r="AP16" i="349" s="1"/>
  <c r="AO16" i="349" s="1"/>
  <c r="AE12" i="349"/>
  <c r="AH12" i="349"/>
  <c r="AP12" i="349" s="1"/>
  <c r="AO12" i="349" s="1"/>
  <c r="D32" i="338" l="1"/>
  <c r="E35" i="338" s="1"/>
  <c r="E36" i="338" s="1"/>
  <c r="E31" i="338"/>
  <c r="E30" i="338"/>
  <c r="E29" i="338"/>
  <c r="AC57" i="349" s="1"/>
  <c r="E28" i="338"/>
  <c r="AC36" i="349" s="1"/>
  <c r="E27" i="338"/>
  <c r="AC10" i="349" s="1"/>
  <c r="D22" i="338"/>
  <c r="E22" i="338" s="1"/>
  <c r="E21" i="338"/>
  <c r="E20" i="338"/>
  <c r="E19" i="338"/>
  <c r="AC3" i="349" s="1"/>
  <c r="E18" i="338"/>
  <c r="AC60" i="349" s="1"/>
  <c r="E17" i="338"/>
  <c r="AC40" i="349" s="1"/>
  <c r="D12" i="338"/>
  <c r="C35" i="338" s="1"/>
  <c r="E11" i="338"/>
  <c r="E10" i="338"/>
  <c r="E9" i="338"/>
  <c r="AC54" i="349" s="1"/>
  <c r="E8" i="338"/>
  <c r="AC23" i="349" s="1"/>
  <c r="E7" i="338"/>
  <c r="AC39" i="349" s="1"/>
  <c r="AC64" i="349" l="1"/>
  <c r="EH39" i="194"/>
  <c r="EH54" i="194"/>
  <c r="EH40" i="194"/>
  <c r="EH3" i="194"/>
  <c r="EH10" i="194"/>
  <c r="EH57" i="194"/>
  <c r="EH23" i="194"/>
  <c r="EH60" i="194"/>
  <c r="EH36" i="194"/>
  <c r="E32" i="338"/>
  <c r="E12" i="338"/>
  <c r="C36" i="338"/>
  <c r="D35" i="338"/>
  <c r="D36" i="338" s="1"/>
  <c r="D32" i="337"/>
  <c r="E35" i="337" s="1"/>
  <c r="E36" i="337" s="1"/>
  <c r="E31" i="337"/>
  <c r="E30" i="337"/>
  <c r="E29" i="337"/>
  <c r="E28" i="337"/>
  <c r="AB56" i="349" s="1"/>
  <c r="E27" i="337"/>
  <c r="AB40" i="349" s="1"/>
  <c r="D22" i="337"/>
  <c r="E22" i="337" s="1"/>
  <c r="E21" i="337"/>
  <c r="E20" i="337"/>
  <c r="E19" i="337"/>
  <c r="E18" i="337"/>
  <c r="AB59" i="349" s="1"/>
  <c r="E17" i="337"/>
  <c r="AB37" i="349" s="1"/>
  <c r="D12" i="337"/>
  <c r="C35" i="337" s="1"/>
  <c r="E11" i="337"/>
  <c r="E10" i="337"/>
  <c r="E9" i="337"/>
  <c r="AB27" i="349" s="1"/>
  <c r="E8" i="337"/>
  <c r="AB14" i="349" s="1"/>
  <c r="E7" i="337"/>
  <c r="AB42" i="349" s="1"/>
  <c r="AB44" i="349" l="1"/>
  <c r="AB64" i="349" s="1"/>
  <c r="EG14" i="194"/>
  <c r="EG59" i="194"/>
  <c r="EG56" i="194"/>
  <c r="EG42" i="194"/>
  <c r="EG27" i="194"/>
  <c r="EG37" i="194"/>
  <c r="EG40" i="194"/>
  <c r="EG44" i="194"/>
  <c r="C38" i="338"/>
  <c r="E12" i="337"/>
  <c r="E32" i="337"/>
  <c r="C36" i="337"/>
  <c r="D35" i="337"/>
  <c r="D36" i="337" s="1"/>
  <c r="C166" i="191"/>
  <c r="C39" i="338" l="1"/>
  <c r="E39" i="338" s="1"/>
  <c r="E38" i="338"/>
  <c r="AC65" i="349" s="1"/>
  <c r="AC66" i="349" s="1"/>
  <c r="C38" i="337"/>
  <c r="C39" i="337" s="1"/>
  <c r="C3" i="333"/>
  <c r="C4" i="333"/>
  <c r="C5" i="333"/>
  <c r="D32" i="336"/>
  <c r="E35" i="336" s="1"/>
  <c r="E36" i="336" s="1"/>
  <c r="E31" i="336"/>
  <c r="E30" i="336"/>
  <c r="E29" i="336"/>
  <c r="AA8" i="349" s="1"/>
  <c r="E28" i="336"/>
  <c r="AA15" i="349" s="1"/>
  <c r="E27" i="336"/>
  <c r="AA34" i="349" s="1"/>
  <c r="D22" i="336"/>
  <c r="E22" i="336" s="1"/>
  <c r="E21" i="336"/>
  <c r="E20" i="336"/>
  <c r="E19" i="336"/>
  <c r="AA46" i="349" s="1"/>
  <c r="E18" i="336"/>
  <c r="AA21" i="349" s="1"/>
  <c r="E17" i="336"/>
  <c r="AA14" i="349" s="1"/>
  <c r="D12" i="336"/>
  <c r="C35" i="336" s="1"/>
  <c r="E11" i="336"/>
  <c r="E10" i="336"/>
  <c r="E9" i="336"/>
  <c r="AA17" i="349" s="1"/>
  <c r="E8" i="336"/>
  <c r="AA13" i="349" s="1"/>
  <c r="E7" i="336"/>
  <c r="AA42" i="349" s="1"/>
  <c r="D32" i="335"/>
  <c r="E35" i="335" s="1"/>
  <c r="E36" i="335" s="1"/>
  <c r="E31" i="335"/>
  <c r="E30" i="335"/>
  <c r="E29" i="335"/>
  <c r="Z37" i="349" s="1"/>
  <c r="E28" i="335"/>
  <c r="Z49" i="349" s="1"/>
  <c r="E27" i="335"/>
  <c r="Z19" i="349" s="1"/>
  <c r="D22" i="335"/>
  <c r="E22" i="335" s="1"/>
  <c r="E21" i="335"/>
  <c r="E20" i="335"/>
  <c r="E19" i="335"/>
  <c r="Z27" i="349" s="1"/>
  <c r="E18" i="335"/>
  <c r="Z10" i="349" s="1"/>
  <c r="E17" i="335"/>
  <c r="Z5" i="349" s="1"/>
  <c r="D12" i="335"/>
  <c r="C35" i="335" s="1"/>
  <c r="E11" i="335"/>
  <c r="E10" i="335"/>
  <c r="E9" i="335"/>
  <c r="Z42" i="349" s="1"/>
  <c r="E8" i="335"/>
  <c r="E7" i="335"/>
  <c r="Z46" i="349" s="1"/>
  <c r="D32" i="334"/>
  <c r="E35" i="334" s="1"/>
  <c r="E36" i="334" s="1"/>
  <c r="E31" i="334"/>
  <c r="E30" i="334"/>
  <c r="E29" i="334"/>
  <c r="Y13" i="349" s="1"/>
  <c r="E28" i="334"/>
  <c r="E27" i="334"/>
  <c r="Y14" i="349" s="1"/>
  <c r="D22" i="334"/>
  <c r="E22" i="334" s="1"/>
  <c r="E21" i="334"/>
  <c r="E20" i="334"/>
  <c r="E19" i="334"/>
  <c r="Y23" i="349" s="1"/>
  <c r="E18" i="334"/>
  <c r="E17" i="334"/>
  <c r="Y40" i="349" s="1"/>
  <c r="D12" i="334"/>
  <c r="C35" i="334" s="1"/>
  <c r="E11" i="334"/>
  <c r="E10" i="334"/>
  <c r="E9" i="334"/>
  <c r="Y34" i="349" s="1"/>
  <c r="E8" i="334"/>
  <c r="Y10" i="349" s="1"/>
  <c r="E7" i="334"/>
  <c r="C2" i="333"/>
  <c r="D32" i="330"/>
  <c r="E35" i="330" s="1"/>
  <c r="E36" i="330" s="1"/>
  <c r="E31" i="330"/>
  <c r="E30" i="330"/>
  <c r="E29" i="330"/>
  <c r="X23" i="349" s="1"/>
  <c r="E28" i="330"/>
  <c r="X15" i="349" s="1"/>
  <c r="E27" i="330"/>
  <c r="D22" i="330"/>
  <c r="E22" i="330" s="1"/>
  <c r="E21" i="330"/>
  <c r="E20" i="330"/>
  <c r="E19" i="330"/>
  <c r="X3" i="349" s="1"/>
  <c r="E18" i="330"/>
  <c r="X60" i="349" s="1"/>
  <c r="E17" i="330"/>
  <c r="X52" i="349" s="1"/>
  <c r="D12" i="330"/>
  <c r="C35" i="330" s="1"/>
  <c r="E11" i="330"/>
  <c r="E10" i="330"/>
  <c r="E9" i="330"/>
  <c r="X39" i="349" s="1"/>
  <c r="E8" i="330"/>
  <c r="X42" i="349" s="1"/>
  <c r="E7" i="330"/>
  <c r="X20" i="349" s="1"/>
  <c r="Y44" i="349" l="1"/>
  <c r="C8" i="333"/>
  <c r="Y64" i="349"/>
  <c r="X64" i="349"/>
  <c r="Z64" i="349"/>
  <c r="AA64" i="349"/>
  <c r="EC20" i="194"/>
  <c r="EC39" i="194"/>
  <c r="EC52" i="194"/>
  <c r="EC3" i="194"/>
  <c r="EC23" i="194"/>
  <c r="ED10" i="194"/>
  <c r="EE10" i="194"/>
  <c r="EE49" i="194"/>
  <c r="EF13" i="194"/>
  <c r="EF21" i="194"/>
  <c r="EF15" i="194"/>
  <c r="EC42" i="194"/>
  <c r="EC60" i="194"/>
  <c r="EC15" i="194"/>
  <c r="ED34" i="194"/>
  <c r="ED40" i="194"/>
  <c r="ED23" i="194"/>
  <c r="ED14" i="194"/>
  <c r="ED13" i="194"/>
  <c r="EE46" i="194"/>
  <c r="EE42" i="194"/>
  <c r="EE5" i="194"/>
  <c r="EE27" i="194"/>
  <c r="EE19" i="194"/>
  <c r="EE37" i="194"/>
  <c r="EF42" i="194"/>
  <c r="EF17" i="194"/>
  <c r="EF14" i="194"/>
  <c r="EF46" i="194"/>
  <c r="EF34" i="194"/>
  <c r="EF8" i="194"/>
  <c r="EH65" i="194"/>
  <c r="E40" i="338"/>
  <c r="ED44" i="194"/>
  <c r="E39" i="337"/>
  <c r="E38" i="337"/>
  <c r="AB65" i="349" s="1"/>
  <c r="AB66" i="349" s="1"/>
  <c r="E12" i="336"/>
  <c r="E32" i="336"/>
  <c r="C36" i="336"/>
  <c r="D35" i="336"/>
  <c r="D36" i="336" s="1"/>
  <c r="E12" i="335"/>
  <c r="E32" i="335"/>
  <c r="C36" i="335"/>
  <c r="D35" i="335"/>
  <c r="D36" i="335" s="1"/>
  <c r="E12" i="334"/>
  <c r="E32" i="334"/>
  <c r="C36" i="334"/>
  <c r="D35" i="334"/>
  <c r="D36" i="334" s="1"/>
  <c r="E12" i="330"/>
  <c r="E32" i="330"/>
  <c r="C36" i="330"/>
  <c r="D35" i="330"/>
  <c r="D36" i="330" s="1"/>
  <c r="EG65" i="194" l="1"/>
  <c r="E40" i="337"/>
  <c r="C38" i="336"/>
  <c r="C38" i="335"/>
  <c r="C38" i="334"/>
  <c r="C38" i="330"/>
  <c r="C39" i="336" l="1"/>
  <c r="E39" i="336" s="1"/>
  <c r="E38" i="336"/>
  <c r="AA65" i="349" s="1"/>
  <c r="AA66" i="349" s="1"/>
  <c r="C39" i="335"/>
  <c r="E39" i="335" s="1"/>
  <c r="E38" i="335"/>
  <c r="Z65" i="349" s="1"/>
  <c r="Z66" i="349" s="1"/>
  <c r="C39" i="334"/>
  <c r="E39" i="334" s="1"/>
  <c r="E38" i="334"/>
  <c r="Y65" i="349" s="1"/>
  <c r="Y66" i="349" s="1"/>
  <c r="C39" i="330"/>
  <c r="E39" i="330" s="1"/>
  <c r="E38" i="330"/>
  <c r="X65" i="349" s="1"/>
  <c r="X66" i="349" s="1"/>
  <c r="EC65" i="194" l="1"/>
  <c r="ED65" i="194"/>
  <c r="EE65" i="194"/>
  <c r="EF65" i="194"/>
  <c r="E40" i="336"/>
  <c r="E40" i="335"/>
  <c r="E40" i="334"/>
  <c r="E40" i="330"/>
  <c r="D32" i="329" l="1"/>
  <c r="E35" i="329" s="1"/>
  <c r="E36" i="329" s="1"/>
  <c r="E31" i="329"/>
  <c r="E30" i="329"/>
  <c r="E29" i="329"/>
  <c r="W8" i="349" s="1"/>
  <c r="E28" i="329"/>
  <c r="W36" i="349" s="1"/>
  <c r="E27" i="329"/>
  <c r="D22" i="329"/>
  <c r="E22" i="329" s="1"/>
  <c r="E21" i="329"/>
  <c r="E20" i="329"/>
  <c r="E19" i="329"/>
  <c r="W39" i="349" s="1"/>
  <c r="E18" i="329"/>
  <c r="W14" i="349" s="1"/>
  <c r="E17" i="329"/>
  <c r="W46" i="349" s="1"/>
  <c r="D12" i="329"/>
  <c r="C35" i="329" s="1"/>
  <c r="E11" i="329"/>
  <c r="E10" i="329"/>
  <c r="E9" i="329"/>
  <c r="W54" i="349" s="1"/>
  <c r="E8" i="329"/>
  <c r="W48" i="349" s="1"/>
  <c r="E7" i="329"/>
  <c r="W13" i="349" s="1"/>
  <c r="W64" i="349" l="1"/>
  <c r="EB13" i="194"/>
  <c r="EB54" i="194"/>
  <c r="EB46" i="194"/>
  <c r="EB39" i="194"/>
  <c r="EB8" i="194"/>
  <c r="EB48" i="194"/>
  <c r="EB14" i="194"/>
  <c r="EB36" i="194"/>
  <c r="E12" i="329"/>
  <c r="E32" i="329"/>
  <c r="C36" i="329"/>
  <c r="D35" i="329"/>
  <c r="D36" i="329" s="1"/>
  <c r="E29" i="321"/>
  <c r="E19" i="321"/>
  <c r="O26" i="349" l="1"/>
  <c r="AD26" i="349" s="1"/>
  <c r="AH26" i="349" s="1"/>
  <c r="AP26" i="349" s="1"/>
  <c r="AO26" i="349" s="1"/>
  <c r="C38" i="329"/>
  <c r="D32" i="328"/>
  <c r="E35" i="328" s="1"/>
  <c r="E36" i="328" s="1"/>
  <c r="E31" i="328"/>
  <c r="E30" i="328"/>
  <c r="E29" i="328"/>
  <c r="V10" i="349" s="1"/>
  <c r="E28" i="328"/>
  <c r="V15" i="349" s="1"/>
  <c r="E27" i="328"/>
  <c r="V14" i="349" s="1"/>
  <c r="D22" i="328"/>
  <c r="E22" i="328" s="1"/>
  <c r="E21" i="328"/>
  <c r="E20" i="328"/>
  <c r="E19" i="328"/>
  <c r="V8" i="349" s="1"/>
  <c r="E18" i="328"/>
  <c r="V37" i="349" s="1"/>
  <c r="E17" i="328"/>
  <c r="V21" i="349" s="1"/>
  <c r="D12" i="328"/>
  <c r="C35" i="328" s="1"/>
  <c r="E11" i="328"/>
  <c r="E10" i="328"/>
  <c r="E9" i="328"/>
  <c r="V3" i="349" s="1"/>
  <c r="E8" i="328"/>
  <c r="V42" i="349" s="1"/>
  <c r="E7" i="328"/>
  <c r="V19" i="349" s="1"/>
  <c r="AE26" i="349" l="1"/>
  <c r="V64" i="349"/>
  <c r="EA42" i="194"/>
  <c r="EA37" i="194"/>
  <c r="EA15" i="194"/>
  <c r="EA19" i="194"/>
  <c r="EA3" i="194"/>
  <c r="EA21" i="194"/>
  <c r="EA8" i="194"/>
  <c r="EA14" i="194"/>
  <c r="EA10" i="194"/>
  <c r="C39" i="329"/>
  <c r="E39" i="329" s="1"/>
  <c r="E38" i="329"/>
  <c r="W65" i="349" s="1"/>
  <c r="W66" i="349" s="1"/>
  <c r="E12" i="328"/>
  <c r="E32" i="328"/>
  <c r="C36" i="328"/>
  <c r="D35" i="328"/>
  <c r="D36" i="328" s="1"/>
  <c r="D32" i="327"/>
  <c r="E35" i="327" s="1"/>
  <c r="E36" i="327" s="1"/>
  <c r="E31" i="327"/>
  <c r="E30" i="327"/>
  <c r="E29" i="327"/>
  <c r="E28" i="327"/>
  <c r="E27" i="327"/>
  <c r="D22" i="327"/>
  <c r="E22" i="327" s="1"/>
  <c r="E21" i="327"/>
  <c r="E20" i="327"/>
  <c r="E19" i="327"/>
  <c r="E18" i="327"/>
  <c r="E17" i="327"/>
  <c r="D12" i="327"/>
  <c r="C35" i="327" s="1"/>
  <c r="E11" i="327"/>
  <c r="E10" i="327"/>
  <c r="E9" i="327"/>
  <c r="E8" i="327"/>
  <c r="E7" i="327"/>
  <c r="D32" i="325"/>
  <c r="E35" i="325" s="1"/>
  <c r="E36" i="325" s="1"/>
  <c r="E31" i="325"/>
  <c r="E30" i="325"/>
  <c r="E29" i="325"/>
  <c r="R23" i="349" s="1"/>
  <c r="E28" i="325"/>
  <c r="R39" i="349" s="1"/>
  <c r="E27" i="325"/>
  <c r="R36" i="349" s="1"/>
  <c r="D22" i="325"/>
  <c r="E22" i="325" s="1"/>
  <c r="E21" i="325"/>
  <c r="E20" i="325"/>
  <c r="E19" i="325"/>
  <c r="R21" i="349" s="1"/>
  <c r="E18" i="325"/>
  <c r="R57" i="349" s="1"/>
  <c r="E17" i="325"/>
  <c r="R37" i="349" s="1"/>
  <c r="D12" i="325"/>
  <c r="C35" i="325" s="1"/>
  <c r="E11" i="325"/>
  <c r="E10" i="325"/>
  <c r="E9" i="325"/>
  <c r="R46" i="349" s="1"/>
  <c r="E8" i="325"/>
  <c r="R42" i="349" s="1"/>
  <c r="E7" i="325"/>
  <c r="R7" i="349" s="1"/>
  <c r="R64" i="349" l="1"/>
  <c r="DZ39" i="194"/>
  <c r="U39" i="349"/>
  <c r="DZ51" i="194"/>
  <c r="U51" i="349"/>
  <c r="DZ59" i="194"/>
  <c r="U59" i="349"/>
  <c r="DZ27" i="194"/>
  <c r="U27" i="349"/>
  <c r="DZ57" i="194"/>
  <c r="U57" i="349"/>
  <c r="DZ9" i="194"/>
  <c r="U9" i="349"/>
  <c r="U64" i="349" s="1"/>
  <c r="DW7" i="194"/>
  <c r="DW46" i="194"/>
  <c r="DW37" i="194"/>
  <c r="DW21" i="194"/>
  <c r="DW36" i="194"/>
  <c r="DW23" i="194"/>
  <c r="EB65" i="194"/>
  <c r="DW42" i="194"/>
  <c r="DW57" i="194"/>
  <c r="DW39" i="194"/>
  <c r="E40" i="329"/>
  <c r="C38" i="328"/>
  <c r="E12" i="327"/>
  <c r="E32" i="327"/>
  <c r="C36" i="327"/>
  <c r="D35" i="327"/>
  <c r="D36" i="327" s="1"/>
  <c r="E32" i="325"/>
  <c r="E12" i="325"/>
  <c r="C36" i="325"/>
  <c r="D35" i="325"/>
  <c r="D36" i="325" s="1"/>
  <c r="D32" i="324"/>
  <c r="E35" i="324" s="1"/>
  <c r="E36" i="324" s="1"/>
  <c r="E31" i="324"/>
  <c r="E30" i="324"/>
  <c r="E29" i="324"/>
  <c r="E28" i="324"/>
  <c r="Q56" i="349" s="1"/>
  <c r="E27" i="324"/>
  <c r="Q23" i="349" s="1"/>
  <c r="D22" i="324"/>
  <c r="E22" i="324" s="1"/>
  <c r="E21" i="324"/>
  <c r="E20" i="324"/>
  <c r="E19" i="324"/>
  <c r="Q44" i="349" s="1"/>
  <c r="E18" i="324"/>
  <c r="Q59" i="349" s="1"/>
  <c r="E17" i="324"/>
  <c r="Q51" i="349" s="1"/>
  <c r="D12" i="324"/>
  <c r="C35" i="324" s="1"/>
  <c r="E11" i="324"/>
  <c r="E10" i="324"/>
  <c r="E9" i="324"/>
  <c r="Q3" i="349" s="1"/>
  <c r="E8" i="324"/>
  <c r="Q60" i="349" s="1"/>
  <c r="E7" i="324"/>
  <c r="Q54" i="349" s="1"/>
  <c r="Q64" i="349" l="1"/>
  <c r="DV54" i="194"/>
  <c r="DV3" i="194"/>
  <c r="DV51" i="194"/>
  <c r="DV44" i="194"/>
  <c r="DV23" i="194"/>
  <c r="DV60" i="194"/>
  <c r="DV59" i="194"/>
  <c r="DV56" i="194"/>
  <c r="C39" i="328"/>
  <c r="E39" i="328" s="1"/>
  <c r="E38" i="328"/>
  <c r="V65" i="349" s="1"/>
  <c r="V66" i="349" s="1"/>
  <c r="C38" i="327"/>
  <c r="C38" i="325"/>
  <c r="E12" i="324"/>
  <c r="E32" i="324"/>
  <c r="C36" i="324"/>
  <c r="D35" i="324"/>
  <c r="D36" i="324" s="1"/>
  <c r="D32" i="322"/>
  <c r="E35" i="322" s="1"/>
  <c r="E36" i="322" s="1"/>
  <c r="E31" i="322"/>
  <c r="E30" i="322"/>
  <c r="E29" i="322"/>
  <c r="P44" i="349" s="1"/>
  <c r="E28" i="322"/>
  <c r="P9" i="349" s="1"/>
  <c r="E27" i="322"/>
  <c r="P8" i="349" s="1"/>
  <c r="D22" i="322"/>
  <c r="E22" i="322" s="1"/>
  <c r="E21" i="322"/>
  <c r="E20" i="322"/>
  <c r="E19" i="322"/>
  <c r="P39" i="349" s="1"/>
  <c r="E18" i="322"/>
  <c r="P38" i="349" s="1"/>
  <c r="E17" i="322"/>
  <c r="D12" i="322"/>
  <c r="C35" i="322" s="1"/>
  <c r="E11" i="322"/>
  <c r="E10" i="322"/>
  <c r="E9" i="322"/>
  <c r="P34" i="349" s="1"/>
  <c r="E8" i="322"/>
  <c r="P13" i="349" s="1"/>
  <c r="E7" i="322"/>
  <c r="P37" i="349" s="1"/>
  <c r="P64" i="349" l="1"/>
  <c r="DU37" i="194"/>
  <c r="DU34" i="194"/>
  <c r="DU39" i="194"/>
  <c r="DU8" i="194"/>
  <c r="DU44" i="194"/>
  <c r="EA65" i="194"/>
  <c r="DU13" i="194"/>
  <c r="DU38" i="194"/>
  <c r="DU9" i="194"/>
  <c r="E40" i="328"/>
  <c r="C39" i="327"/>
  <c r="E39" i="327" s="1"/>
  <c r="E38" i="327"/>
  <c r="C39" i="325"/>
  <c r="E39" i="325" s="1"/>
  <c r="E38" i="325"/>
  <c r="R65" i="349" s="1"/>
  <c r="R66" i="349" s="1"/>
  <c r="C38" i="324"/>
  <c r="E32" i="322"/>
  <c r="E12" i="322"/>
  <c r="C36" i="322"/>
  <c r="D35" i="322"/>
  <c r="D36" i="322" s="1"/>
  <c r="D32" i="321"/>
  <c r="E35" i="321" s="1"/>
  <c r="E36" i="321" s="1"/>
  <c r="E31" i="321"/>
  <c r="E30" i="321"/>
  <c r="E28" i="321"/>
  <c r="O15" i="349" s="1"/>
  <c r="E27" i="321"/>
  <c r="O3" i="349" s="1"/>
  <c r="D22" i="321"/>
  <c r="E21" i="321"/>
  <c r="E20" i="321"/>
  <c r="DT26" i="194"/>
  <c r="E18" i="321"/>
  <c r="O13" i="349" s="1"/>
  <c r="E17" i="321"/>
  <c r="D12" i="321"/>
  <c r="C35" i="321" s="1"/>
  <c r="E11" i="321"/>
  <c r="E10" i="321"/>
  <c r="E9" i="321"/>
  <c r="O48" i="349" s="1"/>
  <c r="E8" i="321"/>
  <c r="O38" i="349" s="1"/>
  <c r="E7" i="321"/>
  <c r="O4" i="349" l="1"/>
  <c r="O64" i="349" s="1"/>
  <c r="DZ65" i="194"/>
  <c r="U65" i="349"/>
  <c r="U66" i="349" s="1"/>
  <c r="DT38" i="194"/>
  <c r="DT13" i="194"/>
  <c r="DT15" i="194"/>
  <c r="DT4" i="194"/>
  <c r="DT48" i="194"/>
  <c r="DW65" i="194"/>
  <c r="E22" i="321"/>
  <c r="DT3" i="194"/>
  <c r="E32" i="321"/>
  <c r="E40" i="327"/>
  <c r="E40" i="325"/>
  <c r="C39" i="324"/>
  <c r="E39" i="324" s="1"/>
  <c r="E38" i="324"/>
  <c r="Q65" i="349" s="1"/>
  <c r="Q66" i="349" s="1"/>
  <c r="C38" i="322"/>
  <c r="E12" i="321"/>
  <c r="E38" i="321" s="1"/>
  <c r="O65" i="349" s="1"/>
  <c r="C36" i="321"/>
  <c r="D35" i="321"/>
  <c r="D36" i="321" s="1"/>
  <c r="D32" i="320"/>
  <c r="E35" i="320" s="1"/>
  <c r="E36" i="320" s="1"/>
  <c r="E31" i="320"/>
  <c r="E30" i="320"/>
  <c r="E29" i="320"/>
  <c r="N54" i="349" s="1"/>
  <c r="E28" i="320"/>
  <c r="N9" i="349" s="1"/>
  <c r="E27" i="320"/>
  <c r="D22" i="320"/>
  <c r="E22" i="320" s="1"/>
  <c r="E21" i="320"/>
  <c r="E20" i="320"/>
  <c r="E19" i="320"/>
  <c r="N4" i="349" s="1"/>
  <c r="E18" i="320"/>
  <c r="N40" i="349" s="1"/>
  <c r="E17" i="320"/>
  <c r="N14" i="349" s="1"/>
  <c r="D12" i="320"/>
  <c r="C35" i="320" s="1"/>
  <c r="E11" i="320"/>
  <c r="E10" i="320"/>
  <c r="E9" i="320"/>
  <c r="N57" i="349" s="1"/>
  <c r="E8" i="320"/>
  <c r="N20" i="349" s="1"/>
  <c r="E7" i="320"/>
  <c r="N42" i="349" s="1"/>
  <c r="N64" i="349" l="1"/>
  <c r="O66" i="349"/>
  <c r="DS42" i="194"/>
  <c r="DS57" i="194"/>
  <c r="DS14" i="194"/>
  <c r="DS4" i="194"/>
  <c r="DS54" i="194"/>
  <c r="DT65" i="194"/>
  <c r="DV65" i="194"/>
  <c r="DS20" i="194"/>
  <c r="DS40" i="194"/>
  <c r="DS9" i="194"/>
  <c r="E40" i="324"/>
  <c r="C39" i="322"/>
  <c r="E39" i="322" s="1"/>
  <c r="E38" i="322"/>
  <c r="P65" i="349" s="1"/>
  <c r="P66" i="349" s="1"/>
  <c r="C38" i="321"/>
  <c r="E12" i="320"/>
  <c r="E32" i="320"/>
  <c r="C36" i="320"/>
  <c r="D35" i="320"/>
  <c r="D36" i="320" s="1"/>
  <c r="D32" i="319"/>
  <c r="E35" i="319" s="1"/>
  <c r="E36" i="319" s="1"/>
  <c r="E31" i="319"/>
  <c r="E30" i="319"/>
  <c r="E29" i="319"/>
  <c r="M8" i="349" s="1"/>
  <c r="E28" i="319"/>
  <c r="M27" i="349" s="1"/>
  <c r="E27" i="319"/>
  <c r="M18" i="349" s="1"/>
  <c r="D22" i="319"/>
  <c r="D35" i="319" s="1"/>
  <c r="D36" i="319" s="1"/>
  <c r="E21" i="319"/>
  <c r="E20" i="319"/>
  <c r="E19" i="319"/>
  <c r="M10" i="349" s="1"/>
  <c r="E18" i="319"/>
  <c r="M46" i="349" s="1"/>
  <c r="E17" i="319"/>
  <c r="M5" i="349" s="1"/>
  <c r="D12" i="319"/>
  <c r="C35" i="319" s="1"/>
  <c r="E11" i="319"/>
  <c r="E10" i="319"/>
  <c r="E9" i="319"/>
  <c r="M39" i="349" s="1"/>
  <c r="E8" i="319"/>
  <c r="M42" i="349" s="1"/>
  <c r="E7" i="319"/>
  <c r="M49" i="349" s="1"/>
  <c r="D32" i="318"/>
  <c r="E35" i="318" s="1"/>
  <c r="E36" i="318" s="1"/>
  <c r="E31" i="318"/>
  <c r="E30" i="318"/>
  <c r="E29" i="318"/>
  <c r="L46" i="349" s="1"/>
  <c r="E28" i="318"/>
  <c r="L36" i="349" s="1"/>
  <c r="E27" i="318"/>
  <c r="L8" i="349" s="1"/>
  <c r="D22" i="318"/>
  <c r="E22" i="318" s="1"/>
  <c r="E21" i="318"/>
  <c r="E20" i="318"/>
  <c r="E19" i="318"/>
  <c r="L57" i="349" s="1"/>
  <c r="E18" i="318"/>
  <c r="L21" i="349" s="1"/>
  <c r="AD21" i="349" s="1"/>
  <c r="E17" i="318"/>
  <c r="L18" i="349" s="1"/>
  <c r="D12" i="318"/>
  <c r="C35" i="318" s="1"/>
  <c r="E11" i="318"/>
  <c r="E10" i="318"/>
  <c r="E9" i="318"/>
  <c r="L3" i="349" s="1"/>
  <c r="E8" i="318"/>
  <c r="L42" i="349" s="1"/>
  <c r="E7" i="318"/>
  <c r="L13" i="349" s="1"/>
  <c r="D32" i="317"/>
  <c r="E35" i="317" s="1"/>
  <c r="E36" i="317" s="1"/>
  <c r="E31" i="317"/>
  <c r="E30" i="317"/>
  <c r="E29" i="317"/>
  <c r="K48" i="349" s="1"/>
  <c r="E28" i="317"/>
  <c r="K36" i="349" s="1"/>
  <c r="AD36" i="349" s="1"/>
  <c r="E27" i="317"/>
  <c r="D22" i="317"/>
  <c r="E22" i="317" s="1"/>
  <c r="E21" i="317"/>
  <c r="E20" i="317"/>
  <c r="E19" i="317"/>
  <c r="K8" i="349" s="1"/>
  <c r="E18" i="317"/>
  <c r="K59" i="349" s="1"/>
  <c r="AD59" i="349" s="1"/>
  <c r="E17" i="317"/>
  <c r="K44" i="349" s="1"/>
  <c r="D12" i="317"/>
  <c r="C35" i="317" s="1"/>
  <c r="E11" i="317"/>
  <c r="E10" i="317"/>
  <c r="E9" i="317"/>
  <c r="K39" i="349" s="1"/>
  <c r="E8" i="317"/>
  <c r="K60" i="349" s="1"/>
  <c r="E7" i="317"/>
  <c r="K14" i="349" s="1"/>
  <c r="AD18" i="349" l="1"/>
  <c r="AH18" i="349" s="1"/>
  <c r="AP18" i="349" s="1"/>
  <c r="AO18" i="349" s="1"/>
  <c r="K64" i="349"/>
  <c r="L64" i="349"/>
  <c r="M64" i="349"/>
  <c r="AE59" i="349"/>
  <c r="AH59" i="349"/>
  <c r="AP59" i="349" s="1"/>
  <c r="AO59" i="349" s="1"/>
  <c r="AE36" i="349"/>
  <c r="AH36" i="349"/>
  <c r="AP36" i="349" s="1"/>
  <c r="AO36" i="349" s="1"/>
  <c r="AE21" i="349"/>
  <c r="AH21" i="349"/>
  <c r="AP21" i="349" s="1"/>
  <c r="AO21" i="349" s="1"/>
  <c r="DP14" i="194"/>
  <c r="DP39" i="194"/>
  <c r="DP44" i="194"/>
  <c r="DP8" i="194"/>
  <c r="DP48" i="194"/>
  <c r="DQ13" i="194"/>
  <c r="DQ3" i="194"/>
  <c r="DQ18" i="194"/>
  <c r="DQ57" i="194"/>
  <c r="DQ8" i="194"/>
  <c r="DQ46" i="194"/>
  <c r="DR49" i="194"/>
  <c r="DR39" i="194"/>
  <c r="DR5" i="194"/>
  <c r="DR10" i="194"/>
  <c r="DR18" i="194"/>
  <c r="DR8" i="194"/>
  <c r="DP60" i="194"/>
  <c r="DP59" i="194"/>
  <c r="DP36" i="194"/>
  <c r="DQ42" i="194"/>
  <c r="DQ21" i="194"/>
  <c r="DQ36" i="194"/>
  <c r="DR42" i="194"/>
  <c r="DR46" i="194"/>
  <c r="DR27" i="194"/>
  <c r="DU65" i="194"/>
  <c r="E40" i="322"/>
  <c r="C39" i="321"/>
  <c r="E39" i="321" s="1"/>
  <c r="C38" i="320"/>
  <c r="E12" i="318"/>
  <c r="E22" i="319"/>
  <c r="C38" i="319"/>
  <c r="C36" i="319"/>
  <c r="E12" i="319"/>
  <c r="E32" i="319"/>
  <c r="E32" i="318"/>
  <c r="C36" i="318"/>
  <c r="D35" i="318"/>
  <c r="D36" i="318" s="1"/>
  <c r="C36" i="317"/>
  <c r="E12" i="317"/>
  <c r="E32" i="317"/>
  <c r="D35" i="317"/>
  <c r="D36" i="317" s="1"/>
  <c r="D32" i="316"/>
  <c r="E35" i="316" s="1"/>
  <c r="E36" i="316" s="1"/>
  <c r="E31" i="316"/>
  <c r="E30" i="316"/>
  <c r="E29" i="316"/>
  <c r="J13" i="349" s="1"/>
  <c r="E28" i="316"/>
  <c r="J9" i="349" s="1"/>
  <c r="E27" i="316"/>
  <c r="J34" i="349" s="1"/>
  <c r="D22" i="316"/>
  <c r="E22" i="316" s="1"/>
  <c r="E21" i="316"/>
  <c r="E20" i="316"/>
  <c r="E19" i="316"/>
  <c r="J39" i="349" s="1"/>
  <c r="E18" i="316"/>
  <c r="J51" i="349" s="1"/>
  <c r="E17" i="316"/>
  <c r="J3" i="349" s="1"/>
  <c r="D12" i="316"/>
  <c r="C35" i="316" s="1"/>
  <c r="E11" i="316"/>
  <c r="E10" i="316"/>
  <c r="E9" i="316"/>
  <c r="J38" i="349" s="1"/>
  <c r="E8" i="316"/>
  <c r="J52" i="349" s="1"/>
  <c r="E7" i="316"/>
  <c r="J37" i="349" s="1"/>
  <c r="J64" i="349" l="1"/>
  <c r="DO52" i="194"/>
  <c r="DO51" i="194"/>
  <c r="DO9" i="194"/>
  <c r="DO37" i="194"/>
  <c r="DO38" i="194"/>
  <c r="DO3" i="194"/>
  <c r="DO39" i="194"/>
  <c r="DO34" i="194"/>
  <c r="DO13" i="194"/>
  <c r="E40" i="321"/>
  <c r="C39" i="320"/>
  <c r="E39" i="320" s="1"/>
  <c r="E38" i="320"/>
  <c r="N65" i="349" s="1"/>
  <c r="N66" i="349" s="1"/>
  <c r="C39" i="319"/>
  <c r="E39" i="319" s="1"/>
  <c r="E38" i="319"/>
  <c r="M65" i="349" s="1"/>
  <c r="M66" i="349" s="1"/>
  <c r="C38" i="318"/>
  <c r="C38" i="317"/>
  <c r="E12" i="316"/>
  <c r="E32" i="316"/>
  <c r="C36" i="316"/>
  <c r="D35" i="316"/>
  <c r="D36" i="316" s="1"/>
  <c r="IY61" i="194"/>
  <c r="IY62" i="194"/>
  <c r="IY63" i="194"/>
  <c r="DR65" i="194" l="1"/>
  <c r="DS65" i="194"/>
  <c r="E40" i="320"/>
  <c r="E40" i="319"/>
  <c r="C39" i="318"/>
  <c r="E39" i="318" s="1"/>
  <c r="E38" i="318"/>
  <c r="L65" i="349" s="1"/>
  <c r="L66" i="349" s="1"/>
  <c r="C39" i="317"/>
  <c r="E39" i="317" s="1"/>
  <c r="E38" i="317"/>
  <c r="K65" i="349" s="1"/>
  <c r="K66" i="349" s="1"/>
  <c r="C38" i="316"/>
  <c r="D32" i="315"/>
  <c r="E35" i="315" s="1"/>
  <c r="E36" i="315" s="1"/>
  <c r="E31" i="315"/>
  <c r="E30" i="315"/>
  <c r="E29" i="315"/>
  <c r="I27" i="349" s="1"/>
  <c r="E28" i="315"/>
  <c r="I15" i="349" s="1"/>
  <c r="E27" i="315"/>
  <c r="D22" i="315"/>
  <c r="E22" i="315" s="1"/>
  <c r="E21" i="315"/>
  <c r="E20" i="315"/>
  <c r="E19" i="315"/>
  <c r="E18" i="315"/>
  <c r="I19" i="349" s="1"/>
  <c r="E17" i="315"/>
  <c r="I37" i="349" s="1"/>
  <c r="D12" i="315"/>
  <c r="C35" i="315" s="1"/>
  <c r="E11" i="315"/>
  <c r="E10" i="315"/>
  <c r="E9" i="315"/>
  <c r="I4" i="349" s="1"/>
  <c r="E8" i="315"/>
  <c r="I40" i="349" s="1"/>
  <c r="E7" i="315"/>
  <c r="I23" i="349" s="1"/>
  <c r="I64" i="349" l="1"/>
  <c r="DN23" i="194"/>
  <c r="DN4" i="194"/>
  <c r="DN37" i="194"/>
  <c r="DN27" i="194"/>
  <c r="DN40" i="194"/>
  <c r="DN19" i="194"/>
  <c r="DN15" i="194"/>
  <c r="DP65" i="194"/>
  <c r="DQ65" i="194"/>
  <c r="E40" i="318"/>
  <c r="E40" i="317"/>
  <c r="C39" i="316"/>
  <c r="E39" i="316" s="1"/>
  <c r="E38" i="316"/>
  <c r="J65" i="349" s="1"/>
  <c r="J66" i="349" s="1"/>
  <c r="E12" i="315"/>
  <c r="E32" i="315"/>
  <c r="C36" i="315"/>
  <c r="D35" i="315"/>
  <c r="D36" i="315" s="1"/>
  <c r="L16" i="192"/>
  <c r="K16" i="192"/>
  <c r="DO65" i="194" l="1"/>
  <c r="E40" i="316"/>
  <c r="C38" i="315"/>
  <c r="D32" i="314"/>
  <c r="E35" i="314" s="1"/>
  <c r="E36" i="314" s="1"/>
  <c r="E31" i="314"/>
  <c r="E30" i="314"/>
  <c r="E29" i="314"/>
  <c r="H39" i="349" s="1"/>
  <c r="E28" i="314"/>
  <c r="H9" i="349" s="1"/>
  <c r="E27" i="314"/>
  <c r="H40" i="349" s="1"/>
  <c r="D22" i="314"/>
  <c r="E22" i="314" s="1"/>
  <c r="E21" i="314"/>
  <c r="E20" i="314"/>
  <c r="E19" i="314"/>
  <c r="H3" i="349" s="1"/>
  <c r="E18" i="314"/>
  <c r="H13" i="349" s="1"/>
  <c r="E17" i="314"/>
  <c r="H23" i="349" s="1"/>
  <c r="AD23" i="349" s="1"/>
  <c r="D12" i="314"/>
  <c r="C35" i="314" s="1"/>
  <c r="E11" i="314"/>
  <c r="E10" i="314"/>
  <c r="E9" i="314"/>
  <c r="H14" i="349" s="1"/>
  <c r="E8" i="314"/>
  <c r="H4" i="349" s="1"/>
  <c r="E7" i="314"/>
  <c r="H19" i="349" s="1"/>
  <c r="AH23" i="349" l="1"/>
  <c r="AP23" i="349" s="1"/>
  <c r="AO23" i="349" s="1"/>
  <c r="AE23" i="349"/>
  <c r="H64" i="349"/>
  <c r="DM19" i="194"/>
  <c r="DM14" i="194"/>
  <c r="DM23" i="194"/>
  <c r="DM3" i="194"/>
  <c r="DM40" i="194"/>
  <c r="DM39" i="194"/>
  <c r="DM4" i="194"/>
  <c r="DM13" i="194"/>
  <c r="DM9" i="194"/>
  <c r="C39" i="315"/>
  <c r="E39" i="315" s="1"/>
  <c r="E38" i="315"/>
  <c r="I65" i="349" s="1"/>
  <c r="I66" i="349" s="1"/>
  <c r="E12" i="314"/>
  <c r="E32" i="314"/>
  <c r="C36" i="314"/>
  <c r="D35" i="314"/>
  <c r="D36" i="314" s="1"/>
  <c r="D32" i="313"/>
  <c r="E35" i="313" s="1"/>
  <c r="E36" i="313" s="1"/>
  <c r="E31" i="313"/>
  <c r="E30" i="313"/>
  <c r="E29" i="313"/>
  <c r="G8" i="349" s="1"/>
  <c r="E28" i="313"/>
  <c r="G15" i="349" s="1"/>
  <c r="E27" i="313"/>
  <c r="G52" i="349" s="1"/>
  <c r="AD52" i="349" s="1"/>
  <c r="D22" i="313"/>
  <c r="E22" i="313" s="1"/>
  <c r="E21" i="313"/>
  <c r="E20" i="313"/>
  <c r="E19" i="313"/>
  <c r="G10" i="349" s="1"/>
  <c r="AD10" i="349" s="1"/>
  <c r="E18" i="313"/>
  <c r="G27" i="349" s="1"/>
  <c r="E17" i="313"/>
  <c r="G48" i="349" s="1"/>
  <c r="AD48" i="349" s="1"/>
  <c r="D12" i="313"/>
  <c r="C35" i="313" s="1"/>
  <c r="E11" i="313"/>
  <c r="E10" i="313"/>
  <c r="E9" i="313"/>
  <c r="G60" i="349" s="1"/>
  <c r="AD60" i="349" s="1"/>
  <c r="E8" i="313"/>
  <c r="G38" i="349" s="1"/>
  <c r="E7" i="313"/>
  <c r="G42" i="349" s="1"/>
  <c r="AE48" i="349" l="1"/>
  <c r="AH48" i="349"/>
  <c r="AP48" i="349" s="1"/>
  <c r="AE10" i="349"/>
  <c r="AH10" i="349"/>
  <c r="AP10" i="349" s="1"/>
  <c r="AO10" i="349" s="1"/>
  <c r="AH52" i="349"/>
  <c r="AP52" i="349" s="1"/>
  <c r="AO52" i="349" s="1"/>
  <c r="AE52" i="349"/>
  <c r="G64" i="349"/>
  <c r="AH60" i="349"/>
  <c r="AP60" i="349" s="1"/>
  <c r="AO60" i="349" s="1"/>
  <c r="AE60" i="349"/>
  <c r="DL38" i="194"/>
  <c r="DL27" i="194"/>
  <c r="DL15" i="194"/>
  <c r="DL42" i="194"/>
  <c r="DL60" i="194"/>
  <c r="DL48" i="194"/>
  <c r="DL10" i="194"/>
  <c r="DL52" i="194"/>
  <c r="DL8" i="194"/>
  <c r="DN65" i="194"/>
  <c r="E40" i="315"/>
  <c r="C38" i="314"/>
  <c r="E12" i="313"/>
  <c r="E32" i="313"/>
  <c r="C36" i="313"/>
  <c r="D35" i="313"/>
  <c r="D36" i="313" s="1"/>
  <c r="C20" i="192"/>
  <c r="C39" i="314" l="1"/>
  <c r="E39" i="314" s="1"/>
  <c r="E38" i="314"/>
  <c r="H65" i="349" s="1"/>
  <c r="H66" i="349" s="1"/>
  <c r="C38" i="313"/>
  <c r="D32" i="312"/>
  <c r="E35" i="312" s="1"/>
  <c r="E36" i="312" s="1"/>
  <c r="E31" i="312"/>
  <c r="E30" i="312"/>
  <c r="E29" i="312"/>
  <c r="F27" i="349" s="1"/>
  <c r="E28" i="312"/>
  <c r="F56" i="349" s="1"/>
  <c r="AD56" i="349" s="1"/>
  <c r="E27" i="312"/>
  <c r="F14" i="349" s="1"/>
  <c r="D22" i="312"/>
  <c r="E22" i="312" s="1"/>
  <c r="E21" i="312"/>
  <c r="E20" i="312"/>
  <c r="E19" i="312"/>
  <c r="E18" i="312"/>
  <c r="F19" i="349" s="1"/>
  <c r="AD19" i="349" s="1"/>
  <c r="E17" i="312"/>
  <c r="F5" i="349" s="1"/>
  <c r="AD5" i="349" s="1"/>
  <c r="D12" i="312"/>
  <c r="C35" i="312" s="1"/>
  <c r="E11" i="312"/>
  <c r="E10" i="312"/>
  <c r="E9" i="312"/>
  <c r="F42" i="349" s="1"/>
  <c r="E8" i="312"/>
  <c r="F57" i="349" s="1"/>
  <c r="E7" i="312"/>
  <c r="F49" i="349" s="1"/>
  <c r="D32" i="311"/>
  <c r="E35" i="311" s="1"/>
  <c r="E36" i="311" s="1"/>
  <c r="E31" i="311"/>
  <c r="E30" i="311"/>
  <c r="E29" i="311"/>
  <c r="E38" i="349" s="1"/>
  <c r="E28" i="311"/>
  <c r="E15" i="349" s="1"/>
  <c r="E27" i="311"/>
  <c r="E51" i="349" s="1"/>
  <c r="AD51" i="349" s="1"/>
  <c r="D22" i="311"/>
  <c r="E22" i="311" s="1"/>
  <c r="E21" i="311"/>
  <c r="E20" i="311"/>
  <c r="E19" i="311"/>
  <c r="E37" i="349" s="1"/>
  <c r="E18" i="311"/>
  <c r="E3" i="349" s="1"/>
  <c r="E17" i="311"/>
  <c r="E46" i="349" s="1"/>
  <c r="D12" i="311"/>
  <c r="C35" i="311" s="1"/>
  <c r="E11" i="311"/>
  <c r="E10" i="311"/>
  <c r="E9" i="311"/>
  <c r="E49" i="349" s="1"/>
  <c r="E8" i="311"/>
  <c r="E57" i="349" s="1"/>
  <c r="E7" i="311"/>
  <c r="E42" i="349" s="1"/>
  <c r="D32" i="310"/>
  <c r="E35" i="310" s="1"/>
  <c r="E36" i="310" s="1"/>
  <c r="E31" i="310"/>
  <c r="E30" i="310"/>
  <c r="E29" i="310"/>
  <c r="D38" i="349" s="1"/>
  <c r="E28" i="310"/>
  <c r="D9" i="349" s="1"/>
  <c r="E27" i="310"/>
  <c r="D22" i="310"/>
  <c r="E22" i="310" s="1"/>
  <c r="E21" i="310"/>
  <c r="E20" i="310"/>
  <c r="E19" i="310"/>
  <c r="D27" i="349" s="1"/>
  <c r="AD27" i="349" s="1"/>
  <c r="E18" i="310"/>
  <c r="D4" i="349" s="1"/>
  <c r="AD4" i="349" s="1"/>
  <c r="E17" i="310"/>
  <c r="D37" i="349" s="1"/>
  <c r="AD37" i="349" s="1"/>
  <c r="D12" i="310"/>
  <c r="C35" i="310" s="1"/>
  <c r="E11" i="310"/>
  <c r="E10" i="310"/>
  <c r="E9" i="310"/>
  <c r="D17" i="349" s="1"/>
  <c r="E8" i="310"/>
  <c r="D44" i="349" s="1"/>
  <c r="E7" i="310"/>
  <c r="D54" i="349" s="1"/>
  <c r="AD54" i="349" s="1"/>
  <c r="AD49" i="349" l="1"/>
  <c r="AH49" i="349" s="1"/>
  <c r="AP49" i="349" s="1"/>
  <c r="AO49" i="349" s="1"/>
  <c r="AE54" i="349"/>
  <c r="AH54" i="349"/>
  <c r="AP54" i="349" s="1"/>
  <c r="AO54" i="349" s="1"/>
  <c r="AE37" i="349"/>
  <c r="AH37" i="349"/>
  <c r="AP37" i="349" s="1"/>
  <c r="AO37" i="349" s="1"/>
  <c r="AE27" i="349"/>
  <c r="AH27" i="349"/>
  <c r="AP27" i="349" s="1"/>
  <c r="AO27" i="349" s="1"/>
  <c r="AE51" i="349"/>
  <c r="AH51" i="349"/>
  <c r="AP51" i="349" s="1"/>
  <c r="AO51" i="349" s="1"/>
  <c r="F64" i="349"/>
  <c r="AH4" i="349"/>
  <c r="AP4" i="349" s="1"/>
  <c r="AO4" i="349" s="1"/>
  <c r="D64" i="349"/>
  <c r="E64" i="349"/>
  <c r="AH19" i="349"/>
  <c r="AP19" i="349" s="1"/>
  <c r="AO19" i="349" s="1"/>
  <c r="AE19" i="349"/>
  <c r="AE56" i="349"/>
  <c r="AH56" i="349"/>
  <c r="AP56" i="349" s="1"/>
  <c r="AO56" i="349" s="1"/>
  <c r="DI54" i="194"/>
  <c r="DI17" i="194"/>
  <c r="DI37" i="194"/>
  <c r="DI27" i="194"/>
  <c r="DI38" i="194"/>
  <c r="DJ42" i="194"/>
  <c r="DJ49" i="194"/>
  <c r="DJ46" i="194"/>
  <c r="DJ37" i="194"/>
  <c r="DJ51" i="194"/>
  <c r="DJ38" i="194"/>
  <c r="DK49" i="194"/>
  <c r="DK42" i="194"/>
  <c r="DK5" i="194"/>
  <c r="DK14" i="194"/>
  <c r="DK27" i="194"/>
  <c r="DI44" i="194"/>
  <c r="DI4" i="194"/>
  <c r="DI9" i="194"/>
  <c r="DJ57" i="194"/>
  <c r="DJ3" i="194"/>
  <c r="DJ15" i="194"/>
  <c r="DK57" i="194"/>
  <c r="DK19" i="194"/>
  <c r="DK56" i="194"/>
  <c r="DM65" i="194"/>
  <c r="E40" i="314"/>
  <c r="C39" i="313"/>
  <c r="E39" i="313" s="1"/>
  <c r="E38" i="313"/>
  <c r="G65" i="349" s="1"/>
  <c r="G66" i="349" s="1"/>
  <c r="E12" i="312"/>
  <c r="E32" i="312"/>
  <c r="E12" i="311"/>
  <c r="C36" i="312"/>
  <c r="D35" i="312"/>
  <c r="D36" i="312" s="1"/>
  <c r="E12" i="310"/>
  <c r="E32" i="311"/>
  <c r="C36" i="311"/>
  <c r="D35" i="311"/>
  <c r="D36" i="311" s="1"/>
  <c r="E32" i="310"/>
  <c r="C36" i="310"/>
  <c r="D35" i="310"/>
  <c r="D36" i="310" s="1"/>
  <c r="E6" i="192"/>
  <c r="AE5" i="349" l="1"/>
  <c r="AH5" i="349"/>
  <c r="AP5" i="349" s="1"/>
  <c r="AO5" i="349" s="1"/>
  <c r="DL65" i="194"/>
  <c r="E40" i="313"/>
  <c r="C38" i="312"/>
  <c r="C38" i="311"/>
  <c r="C38" i="310"/>
  <c r="D32" i="309"/>
  <c r="E35" i="309" s="1"/>
  <c r="E36" i="309" s="1"/>
  <c r="E31" i="309"/>
  <c r="E30" i="309"/>
  <c r="E29" i="309"/>
  <c r="C39" i="349" s="1"/>
  <c r="E28" i="309"/>
  <c r="C9" i="349" s="1"/>
  <c r="E27" i="309"/>
  <c r="C38" i="349" s="1"/>
  <c r="AD38" i="349" s="1"/>
  <c r="D22" i="309"/>
  <c r="E22" i="309" s="1"/>
  <c r="E21" i="309"/>
  <c r="E20" i="309"/>
  <c r="E19" i="309"/>
  <c r="C42" i="349" s="1"/>
  <c r="AD42" i="349" s="1"/>
  <c r="E18" i="309"/>
  <c r="C3" i="349" s="1"/>
  <c r="E17" i="309"/>
  <c r="C44" i="349" s="1"/>
  <c r="AD44" i="349" s="1"/>
  <c r="D12" i="309"/>
  <c r="C35" i="309" s="1"/>
  <c r="E11" i="309"/>
  <c r="E10" i="309"/>
  <c r="E9" i="309"/>
  <c r="C46" i="349" s="1"/>
  <c r="AD46" i="349" s="1"/>
  <c r="E8" i="309"/>
  <c r="C17" i="349" s="1"/>
  <c r="AD17" i="349" s="1"/>
  <c r="E7" i="309"/>
  <c r="C13" i="349" s="1"/>
  <c r="AD13" i="349" s="1"/>
  <c r="AD9" i="349" l="1"/>
  <c r="AH9" i="349" s="1"/>
  <c r="AP9" i="349" s="1"/>
  <c r="AO9" i="349" s="1"/>
  <c r="AE17" i="349"/>
  <c r="AH17" i="349"/>
  <c r="AP17" i="349" s="1"/>
  <c r="AO17" i="349" s="1"/>
  <c r="AE13" i="349"/>
  <c r="AH13" i="349"/>
  <c r="AP13" i="349" s="1"/>
  <c r="AO13" i="349" s="1"/>
  <c r="AH46" i="349"/>
  <c r="AP46" i="349" s="1"/>
  <c r="AO46" i="349" s="1"/>
  <c r="AE46" i="349"/>
  <c r="AH44" i="349"/>
  <c r="AP44" i="349" s="1"/>
  <c r="AO44" i="349" s="1"/>
  <c r="AE44" i="349"/>
  <c r="AE42" i="349"/>
  <c r="AH42" i="349"/>
  <c r="AP42" i="349" s="1"/>
  <c r="AO42" i="349" s="1"/>
  <c r="AE38" i="349"/>
  <c r="AH38" i="349"/>
  <c r="AP38" i="349" s="1"/>
  <c r="AO38" i="349" s="1"/>
  <c r="C64" i="349"/>
  <c r="AD3" i="349"/>
  <c r="DH17" i="194"/>
  <c r="DH3" i="194"/>
  <c r="DH9" i="194"/>
  <c r="DH13" i="194"/>
  <c r="DH46" i="194"/>
  <c r="DH44" i="194"/>
  <c r="DH42" i="194"/>
  <c r="DH38" i="194"/>
  <c r="DH39" i="194"/>
  <c r="E12" i="309"/>
  <c r="C39" i="312"/>
  <c r="E39" i="312" s="1"/>
  <c r="E38" i="312"/>
  <c r="F65" i="349" s="1"/>
  <c r="F66" i="349" s="1"/>
  <c r="C39" i="311"/>
  <c r="E39" i="311" s="1"/>
  <c r="E38" i="311"/>
  <c r="E65" i="349" s="1"/>
  <c r="E66" i="349" s="1"/>
  <c r="C39" i="310"/>
  <c r="E39" i="310" s="1"/>
  <c r="E38" i="310"/>
  <c r="D65" i="349" s="1"/>
  <c r="D66" i="349" s="1"/>
  <c r="E32" i="309"/>
  <c r="C36" i="309"/>
  <c r="D35" i="309"/>
  <c r="D36" i="309" s="1"/>
  <c r="C138" i="191"/>
  <c r="AH64" i="308"/>
  <c r="I64" i="308"/>
  <c r="I66" i="308" s="1"/>
  <c r="H64" i="308"/>
  <c r="H66" i="308" s="1"/>
  <c r="AM63" i="308"/>
  <c r="Z63" i="308"/>
  <c r="AA63" i="308" s="1"/>
  <c r="AM62" i="308"/>
  <c r="Z62" i="308"/>
  <c r="AA62" i="308" s="1"/>
  <c r="AM61" i="308"/>
  <c r="Z61" i="308"/>
  <c r="AA61" i="308" s="1"/>
  <c r="AB60" i="308"/>
  <c r="AM60" i="308" s="1"/>
  <c r="AB59" i="308"/>
  <c r="AM59" i="308" s="1"/>
  <c r="AB58" i="308"/>
  <c r="AM58" i="308" s="1"/>
  <c r="Z58" i="308"/>
  <c r="AB57" i="308"/>
  <c r="AM57" i="308" s="1"/>
  <c r="AB56" i="308"/>
  <c r="AM56" i="308" s="1"/>
  <c r="AB55" i="308"/>
  <c r="AM55" i="308" s="1"/>
  <c r="Z55" i="308"/>
  <c r="AB54" i="308"/>
  <c r="AM54" i="308" s="1"/>
  <c r="AB53" i="308"/>
  <c r="AM53" i="308" s="1"/>
  <c r="Z53" i="308"/>
  <c r="AB52" i="308"/>
  <c r="AM52" i="308" s="1"/>
  <c r="AB51" i="308"/>
  <c r="AM51" i="308" s="1"/>
  <c r="AB50" i="308"/>
  <c r="AM50" i="308" s="1"/>
  <c r="Z50" i="308"/>
  <c r="AD50" i="308" s="1"/>
  <c r="AL50" i="308" s="1"/>
  <c r="AK50" i="308" s="1"/>
  <c r="AB49" i="308"/>
  <c r="AM49" i="308" s="1"/>
  <c r="AB48" i="308"/>
  <c r="AM48" i="308" s="1"/>
  <c r="AB47" i="308"/>
  <c r="AM47" i="308" s="1"/>
  <c r="Z47" i="308"/>
  <c r="AD47" i="308" s="1"/>
  <c r="AL47" i="308" s="1"/>
  <c r="AK47" i="308" s="1"/>
  <c r="AB46" i="308"/>
  <c r="AM46" i="308" s="1"/>
  <c r="AB45" i="308"/>
  <c r="AM45" i="308" s="1"/>
  <c r="Z45" i="308"/>
  <c r="AD45" i="308" s="1"/>
  <c r="AL45" i="308" s="1"/>
  <c r="AK45" i="308" s="1"/>
  <c r="AB44" i="308"/>
  <c r="AM44" i="308" s="1"/>
  <c r="AB43" i="308"/>
  <c r="AM43" i="308" s="1"/>
  <c r="AB42" i="308"/>
  <c r="AM42" i="308" s="1"/>
  <c r="AB41" i="308"/>
  <c r="AM41" i="308" s="1"/>
  <c r="Z41" i="308"/>
  <c r="AD41" i="308" s="1"/>
  <c r="AB40" i="308"/>
  <c r="AM40" i="308" s="1"/>
  <c r="AB39" i="308"/>
  <c r="AM39" i="308" s="1"/>
  <c r="AB38" i="308"/>
  <c r="AM38" i="308" s="1"/>
  <c r="AB37" i="308"/>
  <c r="AM37" i="308" s="1"/>
  <c r="AB36" i="308"/>
  <c r="AM36" i="308" s="1"/>
  <c r="AB35" i="308"/>
  <c r="AM35" i="308" s="1"/>
  <c r="Z35" i="308"/>
  <c r="AB34" i="308"/>
  <c r="AM34" i="308" s="1"/>
  <c r="AB33" i="308"/>
  <c r="AM33" i="308" s="1"/>
  <c r="Z33" i="308"/>
  <c r="AD33" i="308" s="1"/>
  <c r="AL33" i="308" s="1"/>
  <c r="AK33" i="308" s="1"/>
  <c r="AB32" i="308"/>
  <c r="AM32" i="308" s="1"/>
  <c r="Z32" i="308"/>
  <c r="AD32" i="308" s="1"/>
  <c r="AL32" i="308" s="1"/>
  <c r="AK32" i="308" s="1"/>
  <c r="AB31" i="308"/>
  <c r="AM31" i="308" s="1"/>
  <c r="Z31" i="308"/>
  <c r="AB30" i="308"/>
  <c r="AM30" i="308" s="1"/>
  <c r="Z30" i="308"/>
  <c r="AD30" i="308" s="1"/>
  <c r="AL30" i="308" s="1"/>
  <c r="AK30" i="308" s="1"/>
  <c r="AB29" i="308"/>
  <c r="AM29" i="308" s="1"/>
  <c r="Z29" i="308"/>
  <c r="AD29" i="308" s="1"/>
  <c r="AL29" i="308" s="1"/>
  <c r="AK29" i="308" s="1"/>
  <c r="AB28" i="308"/>
  <c r="AM28" i="308" s="1"/>
  <c r="Z28" i="308"/>
  <c r="AD28" i="308" s="1"/>
  <c r="AL28" i="308" s="1"/>
  <c r="AK28" i="308" s="1"/>
  <c r="AB27" i="308"/>
  <c r="AM27" i="308" s="1"/>
  <c r="AB26" i="308"/>
  <c r="AM26" i="308" s="1"/>
  <c r="AB25" i="308"/>
  <c r="AM25" i="308" s="1"/>
  <c r="Z25" i="308"/>
  <c r="AD25" i="308" s="1"/>
  <c r="AL25" i="308" s="1"/>
  <c r="AK25" i="308" s="1"/>
  <c r="AB24" i="308"/>
  <c r="AM24" i="308" s="1"/>
  <c r="Z24" i="308"/>
  <c r="AD24" i="308" s="1"/>
  <c r="AL24" i="308" s="1"/>
  <c r="AK24" i="308" s="1"/>
  <c r="AB23" i="308"/>
  <c r="AM23" i="308" s="1"/>
  <c r="AB22" i="308"/>
  <c r="AM22" i="308" s="1"/>
  <c r="Z22" i="308"/>
  <c r="AD22" i="308" s="1"/>
  <c r="AL22" i="308" s="1"/>
  <c r="AK22" i="308" s="1"/>
  <c r="AB21" i="308"/>
  <c r="AM21" i="308" s="1"/>
  <c r="AB20" i="308"/>
  <c r="AM20" i="308" s="1"/>
  <c r="AB19" i="308"/>
  <c r="AM19" i="308" s="1"/>
  <c r="AB18" i="308"/>
  <c r="AM18" i="308" s="1"/>
  <c r="AB17" i="308"/>
  <c r="AM17" i="308" s="1"/>
  <c r="AB16" i="308"/>
  <c r="AM16" i="308" s="1"/>
  <c r="Z16" i="308"/>
  <c r="AB15" i="308"/>
  <c r="AM15" i="308" s="1"/>
  <c r="AB14" i="308"/>
  <c r="AM14" i="308" s="1"/>
  <c r="AB13" i="308"/>
  <c r="AM13" i="308" s="1"/>
  <c r="AB12" i="308"/>
  <c r="AM12" i="308" s="1"/>
  <c r="Z12" i="308"/>
  <c r="AB11" i="308"/>
  <c r="AM11" i="308" s="1"/>
  <c r="Z11" i="308"/>
  <c r="AB10" i="308"/>
  <c r="AM10" i="308" s="1"/>
  <c r="AB9" i="308"/>
  <c r="AM9" i="308" s="1"/>
  <c r="AB8" i="308"/>
  <c r="AM8" i="308" s="1"/>
  <c r="AB7" i="308"/>
  <c r="AM7" i="308" s="1"/>
  <c r="AB6" i="308"/>
  <c r="AM6" i="308" s="1"/>
  <c r="AB5" i="308"/>
  <c r="AM5" i="308" s="1"/>
  <c r="AB4" i="308"/>
  <c r="AM4" i="308" s="1"/>
  <c r="AB3" i="308"/>
  <c r="AM3" i="308" s="1"/>
  <c r="G6" i="192" l="1"/>
  <c r="G6" i="383"/>
  <c r="AE3" i="349"/>
  <c r="AH3" i="349"/>
  <c r="AP3" i="349" s="1"/>
  <c r="DI65" i="194"/>
  <c r="DJ65" i="194"/>
  <c r="DK65" i="194"/>
  <c r="E40" i="312"/>
  <c r="E40" i="311"/>
  <c r="E40" i="310"/>
  <c r="AA28" i="308"/>
  <c r="AA30" i="308"/>
  <c r="AA33" i="308"/>
  <c r="C38" i="309"/>
  <c r="AD61" i="308"/>
  <c r="AL61" i="308" s="1"/>
  <c r="AK61" i="308" s="1"/>
  <c r="AD53" i="308"/>
  <c r="AL53" i="308" s="1"/>
  <c r="AK53" i="308" s="1"/>
  <c r="AA53" i="308"/>
  <c r="AD63" i="308"/>
  <c r="AL63" i="308" s="1"/>
  <c r="AK63" i="308" s="1"/>
  <c r="AA22" i="308"/>
  <c r="AA50" i="308"/>
  <c r="AD62" i="308"/>
  <c r="AL62" i="308" s="1"/>
  <c r="AK62" i="308" s="1"/>
  <c r="AD11" i="308"/>
  <c r="AL11" i="308" s="1"/>
  <c r="AK11" i="308" s="1"/>
  <c r="AA11" i="308"/>
  <c r="AD16" i="308"/>
  <c r="AL16" i="308" s="1"/>
  <c r="AK16" i="308" s="1"/>
  <c r="AA16" i="308"/>
  <c r="AD12" i="308"/>
  <c r="AL12" i="308" s="1"/>
  <c r="AK12" i="308" s="1"/>
  <c r="AA12" i="308"/>
  <c r="AA29" i="308"/>
  <c r="Z6" i="308"/>
  <c r="AD31" i="308"/>
  <c r="AL31" i="308" s="1"/>
  <c r="AK31" i="308" s="1"/>
  <c r="AA31" i="308"/>
  <c r="AD35" i="308"/>
  <c r="AL35" i="308" s="1"/>
  <c r="AK35" i="308" s="1"/>
  <c r="AA35" i="308"/>
  <c r="AD58" i="308"/>
  <c r="AL58" i="308" s="1"/>
  <c r="AK58" i="308" s="1"/>
  <c r="AA58" i="308"/>
  <c r="AA45" i="308"/>
  <c r="AA47" i="308"/>
  <c r="AD55" i="308"/>
  <c r="AL55" i="308" s="1"/>
  <c r="AK55" i="308" s="1"/>
  <c r="AA55" i="308"/>
  <c r="D32" i="307"/>
  <c r="E35" i="307" s="1"/>
  <c r="E36" i="307" s="1"/>
  <c r="E31" i="307"/>
  <c r="E30" i="307"/>
  <c r="E29" i="307"/>
  <c r="B57" i="349" s="1"/>
  <c r="AD57" i="349" s="1"/>
  <c r="E28" i="307"/>
  <c r="B15" i="349" s="1"/>
  <c r="AD15" i="349" s="1"/>
  <c r="E27" i="307"/>
  <c r="B34" i="349" s="1"/>
  <c r="AD34" i="349" s="1"/>
  <c r="D22" i="307"/>
  <c r="E22" i="307" s="1"/>
  <c r="E21" i="307"/>
  <c r="E20" i="307"/>
  <c r="E19" i="307"/>
  <c r="B7" i="349" s="1"/>
  <c r="AD7" i="349" s="1"/>
  <c r="E18" i="307"/>
  <c r="B8" i="349" s="1"/>
  <c r="AD8" i="349" s="1"/>
  <c r="E17" i="307"/>
  <c r="B20" i="349" s="1"/>
  <c r="AD20" i="349" s="1"/>
  <c r="D12" i="307"/>
  <c r="C35" i="307" s="1"/>
  <c r="E11" i="307"/>
  <c r="E10" i="307"/>
  <c r="E9" i="307"/>
  <c r="B40" i="349" s="1"/>
  <c r="AD40" i="349" s="1"/>
  <c r="E8" i="307"/>
  <c r="B14" i="349" s="1"/>
  <c r="AD14" i="349" s="1"/>
  <c r="E7" i="307"/>
  <c r="B39" i="349" s="1"/>
  <c r="AD39" i="349" s="1"/>
  <c r="AH14" i="349" l="1"/>
  <c r="AP14" i="349" s="1"/>
  <c r="AO14" i="349" s="1"/>
  <c r="AE14" i="349"/>
  <c r="AE8" i="349"/>
  <c r="AH8" i="349"/>
  <c r="AP8" i="349" s="1"/>
  <c r="AO8" i="349" s="1"/>
  <c r="AE15" i="349"/>
  <c r="AH15" i="349"/>
  <c r="AP15" i="349" s="1"/>
  <c r="AO15" i="349" s="1"/>
  <c r="AE39" i="349"/>
  <c r="AH39" i="349"/>
  <c r="AP39" i="349" s="1"/>
  <c r="AO39" i="349" s="1"/>
  <c r="AE40" i="349"/>
  <c r="AH40" i="349"/>
  <c r="AP40" i="349" s="1"/>
  <c r="AO40" i="349" s="1"/>
  <c r="AE20" i="349"/>
  <c r="AH20" i="349"/>
  <c r="AP20" i="349" s="1"/>
  <c r="AO20" i="349" s="1"/>
  <c r="B64" i="349"/>
  <c r="AH34" i="349"/>
  <c r="AP34" i="349" s="1"/>
  <c r="AO34" i="349" s="1"/>
  <c r="AE34" i="349"/>
  <c r="AE57" i="349"/>
  <c r="AH57" i="349"/>
  <c r="AP57" i="349" s="1"/>
  <c r="AO57" i="349" s="1"/>
  <c r="AO3" i="349"/>
  <c r="DG14" i="194"/>
  <c r="DG8" i="194"/>
  <c r="DG15" i="194"/>
  <c r="DG39" i="194"/>
  <c r="DG40" i="194"/>
  <c r="DG20" i="194"/>
  <c r="DG7" i="194"/>
  <c r="DG34" i="194"/>
  <c r="DG57" i="194"/>
  <c r="C39" i="309"/>
  <c r="E39" i="309" s="1"/>
  <c r="E38" i="309"/>
  <c r="C65" i="349" s="1"/>
  <c r="C66" i="349" s="1"/>
  <c r="AD6" i="308"/>
  <c r="AL6" i="308" s="1"/>
  <c r="AK6" i="308" s="1"/>
  <c r="AA6" i="308"/>
  <c r="E12" i="307"/>
  <c r="E32" i="307"/>
  <c r="C36" i="307"/>
  <c r="D35" i="307"/>
  <c r="D36" i="307" s="1"/>
  <c r="D32" i="306"/>
  <c r="E35" i="306" s="1"/>
  <c r="E36" i="306" s="1"/>
  <c r="E31" i="306"/>
  <c r="E30" i="306"/>
  <c r="E29" i="306"/>
  <c r="E28" i="306"/>
  <c r="E27" i="306"/>
  <c r="D22" i="306"/>
  <c r="E22" i="306" s="1"/>
  <c r="E21" i="306"/>
  <c r="E20" i="306"/>
  <c r="E19" i="306"/>
  <c r="E18" i="306"/>
  <c r="E17" i="306"/>
  <c r="D12" i="306"/>
  <c r="C35" i="306" s="1"/>
  <c r="E11" i="306"/>
  <c r="E10" i="306"/>
  <c r="E9" i="306"/>
  <c r="E8" i="306"/>
  <c r="E7" i="306"/>
  <c r="AH7" i="349" l="1"/>
  <c r="AP7" i="349" s="1"/>
  <c r="AE7" i="349"/>
  <c r="AE64" i="349" s="1"/>
  <c r="AD64" i="349"/>
  <c r="DH65" i="194"/>
  <c r="E40" i="309"/>
  <c r="DF10" i="194"/>
  <c r="Y10" i="308"/>
  <c r="DF52" i="194"/>
  <c r="Y52" i="308"/>
  <c r="DF36" i="194"/>
  <c r="Y36" i="308"/>
  <c r="DF3" i="194"/>
  <c r="Y3" i="308"/>
  <c r="DF39" i="194"/>
  <c r="Y39" i="308"/>
  <c r="DF34" i="194"/>
  <c r="Y34" i="308"/>
  <c r="DF60" i="194"/>
  <c r="Y60" i="308"/>
  <c r="DF57" i="194"/>
  <c r="Y57" i="308"/>
  <c r="DF37" i="194"/>
  <c r="Y37" i="308"/>
  <c r="C38" i="307"/>
  <c r="E12" i="306"/>
  <c r="E32" i="306"/>
  <c r="C36" i="306"/>
  <c r="D35" i="306"/>
  <c r="D36" i="306" s="1"/>
  <c r="AO7" i="349" l="1"/>
  <c r="AO64" i="349" s="1"/>
  <c r="AP64" i="349"/>
  <c r="Y64" i="308"/>
  <c r="C39" i="307"/>
  <c r="E39" i="307" s="1"/>
  <c r="E38" i="307"/>
  <c r="B65" i="349" s="1"/>
  <c r="B66" i="349" s="1"/>
  <c r="C38" i="306"/>
  <c r="D32" i="304"/>
  <c r="E35" i="304" s="1"/>
  <c r="E36" i="304" s="1"/>
  <c r="E31" i="304"/>
  <c r="E30" i="304"/>
  <c r="E29" i="304"/>
  <c r="E28" i="304"/>
  <c r="E27" i="304"/>
  <c r="D22" i="304"/>
  <c r="E22" i="304" s="1"/>
  <c r="E21" i="304"/>
  <c r="E20" i="304"/>
  <c r="E19" i="304"/>
  <c r="E18" i="304"/>
  <c r="E17" i="304"/>
  <c r="D12" i="304"/>
  <c r="C35" i="304" s="1"/>
  <c r="E11" i="304"/>
  <c r="E10" i="304"/>
  <c r="E9" i="304"/>
  <c r="E8" i="304"/>
  <c r="E7" i="304"/>
  <c r="DG65" i="194" l="1"/>
  <c r="DE42" i="194"/>
  <c r="X42" i="308"/>
  <c r="DE60" i="194"/>
  <c r="X60" i="308"/>
  <c r="DE59" i="194"/>
  <c r="X59" i="308"/>
  <c r="DE10" i="194"/>
  <c r="X10" i="308"/>
  <c r="DE52" i="194"/>
  <c r="X52" i="308"/>
  <c r="DE38" i="194"/>
  <c r="X38" i="308"/>
  <c r="DE8" i="194"/>
  <c r="X8" i="308"/>
  <c r="DE4" i="194"/>
  <c r="X4" i="308"/>
  <c r="DE56" i="194"/>
  <c r="X56" i="308"/>
  <c r="E40" i="307"/>
  <c r="C39" i="306"/>
  <c r="E39" i="306" s="1"/>
  <c r="E38" i="306"/>
  <c r="E32" i="304"/>
  <c r="E12" i="304"/>
  <c r="C36" i="304"/>
  <c r="D35" i="304"/>
  <c r="D36" i="304" s="1"/>
  <c r="D32" i="303"/>
  <c r="E35" i="303" s="1"/>
  <c r="E36" i="303" s="1"/>
  <c r="E31" i="303"/>
  <c r="E30" i="303"/>
  <c r="E29" i="303"/>
  <c r="E28" i="303"/>
  <c r="E27" i="303"/>
  <c r="D22" i="303"/>
  <c r="E22" i="303" s="1"/>
  <c r="E21" i="303"/>
  <c r="E20" i="303"/>
  <c r="E19" i="303"/>
  <c r="E18" i="303"/>
  <c r="E17" i="303"/>
  <c r="D12" i="303"/>
  <c r="C35" i="303" s="1"/>
  <c r="E11" i="303"/>
  <c r="E10" i="303"/>
  <c r="E9" i="303"/>
  <c r="E8" i="303"/>
  <c r="E7" i="303"/>
  <c r="D32" i="302"/>
  <c r="E35" i="302" s="1"/>
  <c r="E36" i="302" s="1"/>
  <c r="E31" i="302"/>
  <c r="E30" i="302"/>
  <c r="E29" i="302"/>
  <c r="E28" i="302"/>
  <c r="E27" i="302"/>
  <c r="D22" i="302"/>
  <c r="E22" i="302" s="1"/>
  <c r="E21" i="302"/>
  <c r="E20" i="302"/>
  <c r="E19" i="302"/>
  <c r="E18" i="302"/>
  <c r="E17" i="302"/>
  <c r="D12" i="302"/>
  <c r="C35" i="302" s="1"/>
  <c r="E11" i="302"/>
  <c r="E10" i="302"/>
  <c r="E9" i="302"/>
  <c r="E8" i="302"/>
  <c r="E7" i="302"/>
  <c r="D32" i="301"/>
  <c r="E35" i="301" s="1"/>
  <c r="E36" i="301" s="1"/>
  <c r="E31" i="301"/>
  <c r="E30" i="301"/>
  <c r="E29" i="301"/>
  <c r="E28" i="301"/>
  <c r="E27" i="301"/>
  <c r="D22" i="301"/>
  <c r="E22" i="301" s="1"/>
  <c r="E21" i="301"/>
  <c r="E20" i="301"/>
  <c r="E19" i="301"/>
  <c r="E18" i="301"/>
  <c r="E17" i="301"/>
  <c r="D12" i="301"/>
  <c r="C35" i="301" s="1"/>
  <c r="E11" i="301"/>
  <c r="E10" i="301"/>
  <c r="E9" i="301"/>
  <c r="E8" i="301"/>
  <c r="E7" i="301"/>
  <c r="DB13" i="194" l="1"/>
  <c r="U13" i="308"/>
  <c r="DB54" i="194"/>
  <c r="U54" i="308"/>
  <c r="DB9" i="194"/>
  <c r="U9" i="308"/>
  <c r="DC42" i="194"/>
  <c r="V42" i="308"/>
  <c r="DC37" i="194"/>
  <c r="V37" i="308"/>
  <c r="DC15" i="194"/>
  <c r="V15" i="308"/>
  <c r="DD57" i="194"/>
  <c r="W57" i="308"/>
  <c r="DD5" i="194"/>
  <c r="W5" i="308"/>
  <c r="DD18" i="194"/>
  <c r="W18" i="308"/>
  <c r="DB5" i="194"/>
  <c r="U5" i="308"/>
  <c r="DB44" i="194"/>
  <c r="U44" i="308"/>
  <c r="DB14" i="194"/>
  <c r="U14" i="308"/>
  <c r="DB10" i="194"/>
  <c r="U10" i="308"/>
  <c r="DB37" i="194"/>
  <c r="U37" i="308"/>
  <c r="DB17" i="194"/>
  <c r="U17" i="308"/>
  <c r="DC48" i="194"/>
  <c r="V48" i="308"/>
  <c r="DC17" i="194"/>
  <c r="V17" i="308"/>
  <c r="DC51" i="194"/>
  <c r="V51" i="308"/>
  <c r="DC19" i="194"/>
  <c r="V19" i="308"/>
  <c r="DC46" i="194"/>
  <c r="V46" i="308"/>
  <c r="DC13" i="194"/>
  <c r="V13" i="308"/>
  <c r="V64" i="308" s="1"/>
  <c r="DD14" i="194"/>
  <c r="W14" i="308"/>
  <c r="DD17" i="194"/>
  <c r="W17" i="308"/>
  <c r="DD27" i="194"/>
  <c r="W27" i="308"/>
  <c r="DD23" i="194"/>
  <c r="W23" i="308"/>
  <c r="DD54" i="194"/>
  <c r="W54" i="308"/>
  <c r="DD13" i="194"/>
  <c r="W13" i="308"/>
  <c r="DF65" i="194"/>
  <c r="Y65" i="308"/>
  <c r="Y66" i="308" s="1"/>
  <c r="X64" i="308"/>
  <c r="E40" i="306"/>
  <c r="C38" i="304"/>
  <c r="E12" i="303"/>
  <c r="E32" i="303"/>
  <c r="C36" i="303"/>
  <c r="D35" i="303"/>
  <c r="D36" i="303" s="1"/>
  <c r="E12" i="302"/>
  <c r="E32" i="302"/>
  <c r="C36" i="302"/>
  <c r="D35" i="302"/>
  <c r="D36" i="302" s="1"/>
  <c r="E12" i="301"/>
  <c r="E32" i="301"/>
  <c r="C36" i="301"/>
  <c r="D35" i="301"/>
  <c r="D36" i="301" s="1"/>
  <c r="U64" i="308" l="1"/>
  <c r="W64" i="308"/>
  <c r="C39" i="304"/>
  <c r="E39" i="304" s="1"/>
  <c r="E38" i="304"/>
  <c r="C38" i="303"/>
  <c r="C38" i="302"/>
  <c r="C38" i="301"/>
  <c r="DE65" i="194" l="1"/>
  <c r="X65" i="308"/>
  <c r="X66" i="308" s="1"/>
  <c r="E40" i="304"/>
  <c r="C39" i="303"/>
  <c r="E39" i="303" s="1"/>
  <c r="E38" i="303"/>
  <c r="C39" i="302"/>
  <c r="E39" i="302" s="1"/>
  <c r="E38" i="302"/>
  <c r="C39" i="301"/>
  <c r="E39" i="301" s="1"/>
  <c r="E38" i="301"/>
  <c r="DB65" i="194" l="1"/>
  <c r="U65" i="308"/>
  <c r="U66" i="308" s="1"/>
  <c r="DC65" i="194"/>
  <c r="V65" i="308"/>
  <c r="V66" i="308" s="1"/>
  <c r="DD65" i="194"/>
  <c r="W65" i="308"/>
  <c r="W66" i="308" s="1"/>
  <c r="E40" i="303"/>
  <c r="E40" i="302"/>
  <c r="E40" i="301"/>
  <c r="D32" i="300" l="1"/>
  <c r="E35" i="300" s="1"/>
  <c r="E36" i="300" s="1"/>
  <c r="E31" i="300"/>
  <c r="E30" i="300"/>
  <c r="E29" i="300"/>
  <c r="E28" i="300"/>
  <c r="E27" i="300"/>
  <c r="D22" i="300"/>
  <c r="E22" i="300" s="1"/>
  <c r="E21" i="300"/>
  <c r="E20" i="300"/>
  <c r="E19" i="300"/>
  <c r="E18" i="300"/>
  <c r="E17" i="300"/>
  <c r="D12" i="300"/>
  <c r="C35" i="300" s="1"/>
  <c r="E11" i="300"/>
  <c r="E10" i="300"/>
  <c r="E9" i="300"/>
  <c r="E8" i="300"/>
  <c r="E7" i="300"/>
  <c r="T39" i="308" l="1"/>
  <c r="DA60" i="194"/>
  <c r="T60" i="308"/>
  <c r="DA15" i="194"/>
  <c r="T15" i="308"/>
  <c r="DA7" i="194"/>
  <c r="T7" i="308"/>
  <c r="DA43" i="194"/>
  <c r="T43" i="308"/>
  <c r="DA46" i="194"/>
  <c r="T46" i="308"/>
  <c r="DA13" i="194"/>
  <c r="T13" i="308"/>
  <c r="DA39" i="194"/>
  <c r="E12" i="300"/>
  <c r="E32" i="300"/>
  <c r="C36" i="300"/>
  <c r="D35" i="300"/>
  <c r="D36" i="300" s="1"/>
  <c r="D32" i="299"/>
  <c r="E35" i="299" s="1"/>
  <c r="E36" i="299" s="1"/>
  <c r="E31" i="299"/>
  <c r="E30" i="299"/>
  <c r="E29" i="299"/>
  <c r="E28" i="299"/>
  <c r="E27" i="299"/>
  <c r="D22" i="299"/>
  <c r="E22" i="299" s="1"/>
  <c r="E21" i="299"/>
  <c r="E20" i="299"/>
  <c r="E19" i="299"/>
  <c r="E18" i="299"/>
  <c r="E17" i="299"/>
  <c r="D12" i="299"/>
  <c r="C35" i="299" s="1"/>
  <c r="E11" i="299"/>
  <c r="E10" i="299"/>
  <c r="E9" i="299"/>
  <c r="E8" i="299"/>
  <c r="E7" i="299"/>
  <c r="CZ44" i="194" l="1"/>
  <c r="S44" i="308"/>
  <c r="CZ27" i="194"/>
  <c r="S27" i="308"/>
  <c r="CZ36" i="194"/>
  <c r="S36" i="308"/>
  <c r="Z7" i="308"/>
  <c r="T64" i="308"/>
  <c r="CZ17" i="194"/>
  <c r="S17" i="308"/>
  <c r="CZ34" i="194"/>
  <c r="S34" i="308"/>
  <c r="CZ37" i="194"/>
  <c r="S37" i="308"/>
  <c r="CZ54" i="194"/>
  <c r="S54" i="308"/>
  <c r="C38" i="300"/>
  <c r="E12" i="299"/>
  <c r="E32" i="299"/>
  <c r="C36" i="299"/>
  <c r="D35" i="299"/>
  <c r="D36" i="299" s="1"/>
  <c r="D32" i="298"/>
  <c r="E35" i="298" s="1"/>
  <c r="E36" i="298" s="1"/>
  <c r="E31" i="298"/>
  <c r="E30" i="298"/>
  <c r="E29" i="298"/>
  <c r="E28" i="298"/>
  <c r="E27" i="298"/>
  <c r="D22" i="298"/>
  <c r="E22" i="298" s="1"/>
  <c r="E21" i="298"/>
  <c r="E20" i="298"/>
  <c r="E19" i="298"/>
  <c r="E18" i="298"/>
  <c r="E17" i="298"/>
  <c r="D12" i="298"/>
  <c r="C35" i="298" s="1"/>
  <c r="E11" i="298"/>
  <c r="E10" i="298"/>
  <c r="E9" i="298"/>
  <c r="E8" i="298"/>
  <c r="E7" i="298"/>
  <c r="CY42" i="194" l="1"/>
  <c r="R42" i="308"/>
  <c r="CY59" i="194"/>
  <c r="R59" i="308"/>
  <c r="CY20" i="194"/>
  <c r="R20" i="308"/>
  <c r="CY39" i="194"/>
  <c r="R39" i="308"/>
  <c r="CY37" i="194"/>
  <c r="R37" i="308"/>
  <c r="CY52" i="194"/>
  <c r="R52" i="308"/>
  <c r="AA7" i="308"/>
  <c r="AD7" i="308"/>
  <c r="AL7" i="308" s="1"/>
  <c r="AK7" i="308" s="1"/>
  <c r="CY40" i="194"/>
  <c r="R40" i="308"/>
  <c r="CY48" i="194"/>
  <c r="R48" i="308"/>
  <c r="Z48" i="308" s="1"/>
  <c r="CY9" i="194"/>
  <c r="R9" i="308"/>
  <c r="R64" i="308" s="1"/>
  <c r="S64" i="308"/>
  <c r="C39" i="300"/>
  <c r="E39" i="300" s="1"/>
  <c r="E38" i="300"/>
  <c r="C38" i="299"/>
  <c r="E12" i="298"/>
  <c r="E32" i="298"/>
  <c r="C36" i="298"/>
  <c r="D35" i="298"/>
  <c r="D36" i="298" s="1"/>
  <c r="D32" i="297"/>
  <c r="E35" i="297" s="1"/>
  <c r="E36" i="297" s="1"/>
  <c r="E31" i="297"/>
  <c r="E30" i="297"/>
  <c r="E29" i="297"/>
  <c r="E28" i="297"/>
  <c r="E27" i="297"/>
  <c r="D22" i="297"/>
  <c r="E22" i="297" s="1"/>
  <c r="E21" i="297"/>
  <c r="E20" i="297"/>
  <c r="E19" i="297"/>
  <c r="E18" i="297"/>
  <c r="E17" i="297"/>
  <c r="D12" i="297"/>
  <c r="C35" i="297" s="1"/>
  <c r="E11" i="297"/>
  <c r="E10" i="297"/>
  <c r="E9" i="297"/>
  <c r="E8" i="297"/>
  <c r="E7" i="297"/>
  <c r="IQ48" i="194" l="1"/>
  <c r="IL48" i="194"/>
  <c r="CX39" i="194"/>
  <c r="Q39" i="308"/>
  <c r="CX46" i="194"/>
  <c r="Q46" i="308"/>
  <c r="CX18" i="194"/>
  <c r="Q18" i="308"/>
  <c r="Z18" i="308" s="1"/>
  <c r="AD18" i="308" s="1"/>
  <c r="AL18" i="308" s="1"/>
  <c r="AK18" i="308" s="1"/>
  <c r="DA65" i="194"/>
  <c r="T65" i="308"/>
  <c r="T66" i="308" s="1"/>
  <c r="AA48" i="308"/>
  <c r="AD48" i="308"/>
  <c r="CX43" i="194"/>
  <c r="Q43" i="308"/>
  <c r="CX52" i="194"/>
  <c r="Q52" i="308"/>
  <c r="CX13" i="194"/>
  <c r="Q13" i="308"/>
  <c r="CX60" i="194"/>
  <c r="Q60" i="308"/>
  <c r="CX27" i="194"/>
  <c r="Q27" i="308"/>
  <c r="CX14" i="194"/>
  <c r="Q14" i="308"/>
  <c r="E40" i="300"/>
  <c r="C39" i="299"/>
  <c r="E39" i="299" s="1"/>
  <c r="E38" i="299"/>
  <c r="C38" i="298"/>
  <c r="E12" i="297"/>
  <c r="E32" i="297"/>
  <c r="C36" i="297"/>
  <c r="D35" i="297"/>
  <c r="D36" i="297" s="1"/>
  <c r="E19" i="292"/>
  <c r="E29" i="293"/>
  <c r="E29" i="292"/>
  <c r="M26" i="308" l="1"/>
  <c r="L26" i="308"/>
  <c r="CZ65" i="194"/>
  <c r="S65" i="308"/>
  <c r="S66" i="308" s="1"/>
  <c r="Q64" i="308"/>
  <c r="E40" i="299"/>
  <c r="C39" i="298"/>
  <c r="E39" i="298" s="1"/>
  <c r="E38" i="298"/>
  <c r="C38" i="297"/>
  <c r="CT26" i="194"/>
  <c r="CS26" i="194"/>
  <c r="Z26" i="308" l="1"/>
  <c r="AA26" i="308" s="1"/>
  <c r="CY65" i="194"/>
  <c r="R65" i="308"/>
  <c r="R66" i="308" s="1"/>
  <c r="E40" i="298"/>
  <c r="C39" i="297"/>
  <c r="E39" i="297" s="1"/>
  <c r="E38" i="297"/>
  <c r="D32" i="296"/>
  <c r="E35" i="296" s="1"/>
  <c r="E36" i="296" s="1"/>
  <c r="E31" i="296"/>
  <c r="E30" i="296"/>
  <c r="E29" i="296"/>
  <c r="E28" i="296"/>
  <c r="E27" i="296"/>
  <c r="D22" i="296"/>
  <c r="E22" i="296" s="1"/>
  <c r="E21" i="296"/>
  <c r="E20" i="296"/>
  <c r="E19" i="296"/>
  <c r="E18" i="296"/>
  <c r="E17" i="296"/>
  <c r="D12" i="296"/>
  <c r="C35" i="296" s="1"/>
  <c r="E11" i="296"/>
  <c r="E10" i="296"/>
  <c r="E9" i="296"/>
  <c r="E8" i="296"/>
  <c r="E7" i="296"/>
  <c r="D32" i="295"/>
  <c r="E35" i="295" s="1"/>
  <c r="E36" i="295" s="1"/>
  <c r="E31" i="295"/>
  <c r="E30" i="295"/>
  <c r="E29" i="295"/>
  <c r="E28" i="295"/>
  <c r="E27" i="295"/>
  <c r="D22" i="295"/>
  <c r="E22" i="295" s="1"/>
  <c r="E21" i="295"/>
  <c r="E20" i="295"/>
  <c r="E19" i="295"/>
  <c r="E18" i="295"/>
  <c r="E17" i="295"/>
  <c r="D12" i="295"/>
  <c r="C35" i="295" s="1"/>
  <c r="E11" i="295"/>
  <c r="E10" i="295"/>
  <c r="E9" i="295"/>
  <c r="E8" i="295"/>
  <c r="E7" i="295"/>
  <c r="D32" i="294"/>
  <c r="E35" i="294" s="1"/>
  <c r="E36" i="294" s="1"/>
  <c r="E31" i="294"/>
  <c r="E30" i="294"/>
  <c r="E29" i="294"/>
  <c r="E28" i="294"/>
  <c r="E27" i="294"/>
  <c r="D22" i="294"/>
  <c r="E22" i="294" s="1"/>
  <c r="E21" i="294"/>
  <c r="E20" i="294"/>
  <c r="E19" i="294"/>
  <c r="E18" i="294"/>
  <c r="E17" i="294"/>
  <c r="D12" i="294"/>
  <c r="C35" i="294" s="1"/>
  <c r="E11" i="294"/>
  <c r="E10" i="294"/>
  <c r="E9" i="294"/>
  <c r="E8" i="294"/>
  <c r="E7" i="294"/>
  <c r="AD26" i="308" l="1"/>
  <c r="AL26" i="308" s="1"/>
  <c r="AK26" i="308" s="1"/>
  <c r="CU20" i="194"/>
  <c r="N20" i="308"/>
  <c r="CU38" i="194"/>
  <c r="N38" i="308"/>
  <c r="CU49" i="194"/>
  <c r="N49" i="308"/>
  <c r="Z49" i="308" s="1"/>
  <c r="AD49" i="308" s="1"/>
  <c r="AL49" i="308" s="1"/>
  <c r="AK49" i="308" s="1"/>
  <c r="CV42" i="194"/>
  <c r="O42" i="308"/>
  <c r="CV46" i="194"/>
  <c r="O46" i="308"/>
  <c r="CV15" i="194"/>
  <c r="O15" i="308"/>
  <c r="CW13" i="194"/>
  <c r="P13" i="308"/>
  <c r="CW10" i="194"/>
  <c r="P10" i="308"/>
  <c r="CW56" i="194"/>
  <c r="P56" i="308"/>
  <c r="CU52" i="194"/>
  <c r="N52" i="308"/>
  <c r="CU39" i="194"/>
  <c r="N39" i="308"/>
  <c r="CU37" i="194"/>
  <c r="N37" i="308"/>
  <c r="CU17" i="194"/>
  <c r="N17" i="308"/>
  <c r="CU60" i="194"/>
  <c r="N60" i="308"/>
  <c r="CV9" i="194"/>
  <c r="O9" i="308"/>
  <c r="CV57" i="194"/>
  <c r="O57" i="308"/>
  <c r="CV39" i="194"/>
  <c r="O39" i="308"/>
  <c r="CV3" i="194"/>
  <c r="O3" i="308"/>
  <c r="CV13" i="194"/>
  <c r="O13" i="308"/>
  <c r="CV21" i="194"/>
  <c r="O21" i="308"/>
  <c r="CW42" i="194"/>
  <c r="P42" i="308"/>
  <c r="CW27" i="194"/>
  <c r="P27" i="308"/>
  <c r="CW14" i="194"/>
  <c r="P14" i="308"/>
  <c r="CW40" i="194"/>
  <c r="P40" i="308"/>
  <c r="CW5" i="194"/>
  <c r="P5" i="308"/>
  <c r="CW43" i="194"/>
  <c r="P43" i="308"/>
  <c r="CX65" i="194"/>
  <c r="Q65" i="308"/>
  <c r="Q66" i="308" s="1"/>
  <c r="E40" i="297"/>
  <c r="E12" i="296"/>
  <c r="E32" i="296"/>
  <c r="E12" i="295"/>
  <c r="C36" i="296"/>
  <c r="D35" i="296"/>
  <c r="D36" i="296" s="1"/>
  <c r="E12" i="294"/>
  <c r="E32" i="295"/>
  <c r="C36" i="295"/>
  <c r="D35" i="295"/>
  <c r="D36" i="295" s="1"/>
  <c r="E32" i="294"/>
  <c r="C36" i="294"/>
  <c r="D35" i="294"/>
  <c r="D36" i="294" s="1"/>
  <c r="D32" i="293"/>
  <c r="E35" i="293" s="1"/>
  <c r="E36" i="293" s="1"/>
  <c r="E31" i="293"/>
  <c r="E30" i="293"/>
  <c r="E28" i="293"/>
  <c r="E27" i="293"/>
  <c r="D22" i="293"/>
  <c r="E21" i="293"/>
  <c r="E20" i="293"/>
  <c r="E19" i="293"/>
  <c r="E18" i="293"/>
  <c r="E17" i="293"/>
  <c r="D12" i="293"/>
  <c r="C35" i="293" s="1"/>
  <c r="E11" i="293"/>
  <c r="E10" i="293"/>
  <c r="E9" i="293"/>
  <c r="E8" i="293"/>
  <c r="E7" i="293"/>
  <c r="M13" i="308" l="1"/>
  <c r="M42" i="308"/>
  <c r="M57" i="308"/>
  <c r="CT54" i="194"/>
  <c r="M54" i="308"/>
  <c r="CT36" i="194"/>
  <c r="M36" i="308"/>
  <c r="CT27" i="194"/>
  <c r="M27" i="308"/>
  <c r="CT46" i="194"/>
  <c r="M46" i="308"/>
  <c r="P64" i="308"/>
  <c r="O64" i="308"/>
  <c r="N64" i="308"/>
  <c r="E12" i="293"/>
  <c r="CT13" i="194"/>
  <c r="E22" i="293"/>
  <c r="CT42" i="194"/>
  <c r="E32" i="293"/>
  <c r="CT57" i="194"/>
  <c r="C38" i="296"/>
  <c r="C38" i="295"/>
  <c r="C38" i="294"/>
  <c r="C36" i="293"/>
  <c r="D35" i="293"/>
  <c r="D36" i="293" s="1"/>
  <c r="M64" i="308" l="1"/>
  <c r="E38" i="293"/>
  <c r="C39" i="296"/>
  <c r="E39" i="296" s="1"/>
  <c r="E38" i="296"/>
  <c r="C39" i="295"/>
  <c r="E39" i="295" s="1"/>
  <c r="E38" i="295"/>
  <c r="C39" i="294"/>
  <c r="E39" i="294" s="1"/>
  <c r="E38" i="294"/>
  <c r="C38" i="293"/>
  <c r="CU65" i="194" l="1"/>
  <c r="N65" i="308"/>
  <c r="N66" i="308" s="1"/>
  <c r="CV65" i="194"/>
  <c r="O65" i="308"/>
  <c r="O66" i="308" s="1"/>
  <c r="CW65" i="194"/>
  <c r="P65" i="308"/>
  <c r="P66" i="308" s="1"/>
  <c r="CT65" i="194"/>
  <c r="M65" i="308"/>
  <c r="M66" i="308" s="1"/>
  <c r="E40" i="296"/>
  <c r="E40" i="295"/>
  <c r="E40" i="294"/>
  <c r="C39" i="293"/>
  <c r="E39" i="293" s="1"/>
  <c r="E40" i="293" l="1"/>
  <c r="D12" i="292" l="1"/>
  <c r="C35" i="292" s="1"/>
  <c r="D32" i="292"/>
  <c r="E35" i="292" s="1"/>
  <c r="E36" i="292" s="1"/>
  <c r="E31" i="292"/>
  <c r="E30" i="292"/>
  <c r="E28" i="292"/>
  <c r="E27" i="292"/>
  <c r="D22" i="292"/>
  <c r="E21" i="292"/>
  <c r="E20" i="292"/>
  <c r="E18" i="292"/>
  <c r="E17" i="292"/>
  <c r="E11" i="292"/>
  <c r="E10" i="292"/>
  <c r="E9" i="292"/>
  <c r="E8" i="292"/>
  <c r="E7" i="292"/>
  <c r="L8" i="308" l="1"/>
  <c r="L20" i="308"/>
  <c r="L40" i="308"/>
  <c r="CS17" i="194"/>
  <c r="L17" i="308"/>
  <c r="CS52" i="194"/>
  <c r="L52" i="308"/>
  <c r="CS42" i="194"/>
  <c r="L42" i="308"/>
  <c r="CS15" i="194"/>
  <c r="L15" i="308"/>
  <c r="E22" i="292"/>
  <c r="CS40" i="194"/>
  <c r="E12" i="292"/>
  <c r="CS20" i="194"/>
  <c r="E32" i="292"/>
  <c r="CS8" i="194"/>
  <c r="C36" i="292"/>
  <c r="D35" i="292"/>
  <c r="D36" i="292" s="1"/>
  <c r="IP41" i="194"/>
  <c r="IX41" i="194" s="1"/>
  <c r="IN41" i="194"/>
  <c r="IY41" i="194" s="1"/>
  <c r="L64" i="308" l="1"/>
  <c r="E38" i="292"/>
  <c r="C38" i="292"/>
  <c r="D32" i="291"/>
  <c r="E35" i="291" s="1"/>
  <c r="E36" i="291" s="1"/>
  <c r="E31" i="291"/>
  <c r="E30" i="291"/>
  <c r="E29" i="291"/>
  <c r="E28" i="291"/>
  <c r="E27" i="291"/>
  <c r="D22" i="291"/>
  <c r="E22" i="291" s="1"/>
  <c r="E21" i="291"/>
  <c r="E20" i="291"/>
  <c r="E19" i="291"/>
  <c r="E18" i="291"/>
  <c r="E17" i="291"/>
  <c r="D12" i="291"/>
  <c r="C35" i="291" s="1"/>
  <c r="E11" i="291"/>
  <c r="E10" i="291"/>
  <c r="E9" i="291"/>
  <c r="E8" i="291"/>
  <c r="E7" i="291"/>
  <c r="CR42" i="194" l="1"/>
  <c r="K42" i="308"/>
  <c r="CR39" i="194"/>
  <c r="K39" i="308"/>
  <c r="CR19" i="194"/>
  <c r="K19" i="308"/>
  <c r="CR10" i="194"/>
  <c r="K10" i="308"/>
  <c r="CR54" i="194"/>
  <c r="K54" i="308"/>
  <c r="CR37" i="194"/>
  <c r="K37" i="308"/>
  <c r="CR44" i="194"/>
  <c r="K44" i="308"/>
  <c r="CR21" i="194"/>
  <c r="K21" i="308"/>
  <c r="CR56" i="194"/>
  <c r="K56" i="308"/>
  <c r="CS65" i="194"/>
  <c r="L65" i="308"/>
  <c r="L66" i="308" s="1"/>
  <c r="C39" i="292"/>
  <c r="E39" i="292" s="1"/>
  <c r="E12" i="291"/>
  <c r="E32" i="291"/>
  <c r="C36" i="291"/>
  <c r="D35" i="291"/>
  <c r="D36" i="291" s="1"/>
  <c r="IP48" i="194"/>
  <c r="IX48" i="194" s="1"/>
  <c r="IN48" i="194"/>
  <c r="IY48" i="194" s="1"/>
  <c r="K64" i="308" l="1"/>
  <c r="E40" i="292"/>
  <c r="IM48" i="194"/>
  <c r="C38" i="291"/>
  <c r="D32" i="290"/>
  <c r="E35" i="290" s="1"/>
  <c r="E36" i="290" s="1"/>
  <c r="E31" i="290"/>
  <c r="E30" i="290"/>
  <c r="E29" i="290"/>
  <c r="E28" i="290"/>
  <c r="E27" i="290"/>
  <c r="D22" i="290"/>
  <c r="E22" i="290" s="1"/>
  <c r="E21" i="290"/>
  <c r="E20" i="290"/>
  <c r="E19" i="290"/>
  <c r="E18" i="290"/>
  <c r="E17" i="290"/>
  <c r="D12" i="290"/>
  <c r="C35" i="290" s="1"/>
  <c r="E11" i="290"/>
  <c r="E10" i="290"/>
  <c r="E9" i="290"/>
  <c r="E8" i="290"/>
  <c r="E7" i="290"/>
  <c r="D32" i="289"/>
  <c r="E35" i="289" s="1"/>
  <c r="E36" i="289" s="1"/>
  <c r="E31" i="289"/>
  <c r="E30" i="289"/>
  <c r="E29" i="289"/>
  <c r="E28" i="289"/>
  <c r="E27" i="289"/>
  <c r="D22" i="289"/>
  <c r="E22" i="289" s="1"/>
  <c r="E21" i="289"/>
  <c r="E20" i="289"/>
  <c r="E19" i="289"/>
  <c r="E18" i="289"/>
  <c r="E17" i="289"/>
  <c r="D12" i="289"/>
  <c r="C35" i="289" s="1"/>
  <c r="E11" i="289"/>
  <c r="E10" i="289"/>
  <c r="E9" i="289"/>
  <c r="E8" i="289"/>
  <c r="E7" i="289"/>
  <c r="CN40" i="194" l="1"/>
  <c r="G40" i="308"/>
  <c r="Z40" i="308" s="1"/>
  <c r="CN21" i="194"/>
  <c r="G21" i="308"/>
  <c r="CN38" i="194"/>
  <c r="G38" i="308"/>
  <c r="CN60" i="194"/>
  <c r="G60" i="308"/>
  <c r="CN14" i="194"/>
  <c r="G14" i="308"/>
  <c r="CN4" i="194"/>
  <c r="G4" i="308"/>
  <c r="CQ43" i="194"/>
  <c r="J43" i="308"/>
  <c r="CQ52" i="194"/>
  <c r="J52" i="308"/>
  <c r="CQ27" i="194"/>
  <c r="J27" i="308"/>
  <c r="CN13" i="194"/>
  <c r="G13" i="308"/>
  <c r="CN56" i="194"/>
  <c r="G56" i="308"/>
  <c r="Z56" i="308" s="1"/>
  <c r="CQ39" i="194"/>
  <c r="J39" i="308"/>
  <c r="CQ9" i="194"/>
  <c r="J9" i="308"/>
  <c r="J64" i="308" s="1"/>
  <c r="C39" i="291"/>
  <c r="E39" i="291" s="1"/>
  <c r="E38" i="291"/>
  <c r="E12" i="290"/>
  <c r="E32" i="290"/>
  <c r="C36" i="290"/>
  <c r="D35" i="290"/>
  <c r="D36" i="290" s="1"/>
  <c r="E12" i="289"/>
  <c r="E32" i="289"/>
  <c r="C36" i="289"/>
  <c r="D35" i="289"/>
  <c r="D36" i="289" s="1"/>
  <c r="D32" i="288"/>
  <c r="E35" i="288" s="1"/>
  <c r="E36" i="288" s="1"/>
  <c r="E31" i="288"/>
  <c r="E30" i="288"/>
  <c r="E29" i="288"/>
  <c r="E28" i="288"/>
  <c r="E27" i="288"/>
  <c r="D22" i="288"/>
  <c r="E22" i="288" s="1"/>
  <c r="E21" i="288"/>
  <c r="E20" i="288"/>
  <c r="E19" i="288"/>
  <c r="E18" i="288"/>
  <c r="E17" i="288"/>
  <c r="D12" i="288"/>
  <c r="C35" i="288" s="1"/>
  <c r="E11" i="288"/>
  <c r="E10" i="288"/>
  <c r="E9" i="288"/>
  <c r="E8" i="288"/>
  <c r="E7" i="288"/>
  <c r="CM51" i="194" l="1"/>
  <c r="F51" i="308"/>
  <c r="Z51" i="308" s="1"/>
  <c r="CM3" i="194"/>
  <c r="F3" i="308"/>
  <c r="CM43" i="194"/>
  <c r="F43" i="308"/>
  <c r="Z43" i="308" s="1"/>
  <c r="CM52" i="194"/>
  <c r="F52" i="308"/>
  <c r="CM37" i="194"/>
  <c r="F37" i="308"/>
  <c r="CM27" i="194"/>
  <c r="F27" i="308"/>
  <c r="CR65" i="194"/>
  <c r="K65" i="308"/>
  <c r="K66" i="308" s="1"/>
  <c r="CM54" i="194"/>
  <c r="F54" i="308"/>
  <c r="Z54" i="308" s="1"/>
  <c r="CM39" i="194"/>
  <c r="F39" i="308"/>
  <c r="CM36" i="194"/>
  <c r="F36" i="308"/>
  <c r="AA56" i="308"/>
  <c r="AD56" i="308"/>
  <c r="AL56" i="308" s="1"/>
  <c r="AK56" i="308" s="1"/>
  <c r="G64" i="308"/>
  <c r="AA40" i="308"/>
  <c r="AD40" i="308"/>
  <c r="AL40" i="308" s="1"/>
  <c r="AK40" i="308" s="1"/>
  <c r="E40" i="291"/>
  <c r="C38" i="290"/>
  <c r="C38" i="289"/>
  <c r="E12" i="288"/>
  <c r="E32" i="288"/>
  <c r="C36" i="288"/>
  <c r="D35" i="288"/>
  <c r="D36" i="288" s="1"/>
  <c r="D32" i="287"/>
  <c r="E35" i="287" s="1"/>
  <c r="E36" i="287" s="1"/>
  <c r="E31" i="287"/>
  <c r="E30" i="287"/>
  <c r="E29" i="287"/>
  <c r="E28" i="287"/>
  <c r="E27" i="287"/>
  <c r="D22" i="287"/>
  <c r="E22" i="287" s="1"/>
  <c r="E21" i="287"/>
  <c r="E20" i="287"/>
  <c r="E19" i="287"/>
  <c r="E18" i="287"/>
  <c r="E17" i="287"/>
  <c r="D12" i="287"/>
  <c r="C35" i="287" s="1"/>
  <c r="E11" i="287"/>
  <c r="E10" i="287"/>
  <c r="E9" i="287"/>
  <c r="E8" i="287"/>
  <c r="E7" i="287"/>
  <c r="CL38" i="194" l="1"/>
  <c r="E38" i="308"/>
  <c r="Z38" i="308" s="1"/>
  <c r="CL39" i="194"/>
  <c r="E39" i="308"/>
  <c r="Z39" i="308" s="1"/>
  <c r="CL34" i="194"/>
  <c r="E34" i="308"/>
  <c r="Z34" i="308" s="1"/>
  <c r="CL27" i="194"/>
  <c r="E27" i="308"/>
  <c r="CL3" i="194"/>
  <c r="E3" i="308"/>
  <c r="CL21" i="194"/>
  <c r="E21" i="308"/>
  <c r="Z21" i="308" s="1"/>
  <c r="CL13" i="194"/>
  <c r="E13" i="308"/>
  <c r="Z13" i="308" s="1"/>
  <c r="CL59" i="194"/>
  <c r="E59" i="308"/>
  <c r="Z59" i="308" s="1"/>
  <c r="CL36" i="194"/>
  <c r="E36" i="308"/>
  <c r="Z36" i="308" s="1"/>
  <c r="AD54" i="308"/>
  <c r="AL54" i="308" s="1"/>
  <c r="AK54" i="308" s="1"/>
  <c r="AA54" i="308"/>
  <c r="AA43" i="308"/>
  <c r="AD43" i="308"/>
  <c r="AL43" i="308" s="1"/>
  <c r="AK43" i="308" s="1"/>
  <c r="F64" i="308"/>
  <c r="AD51" i="308"/>
  <c r="AL51" i="308" s="1"/>
  <c r="AK51" i="308" s="1"/>
  <c r="AA51" i="308"/>
  <c r="C39" i="290"/>
  <c r="E39" i="290" s="1"/>
  <c r="E38" i="290"/>
  <c r="C39" i="289"/>
  <c r="E39" i="289" s="1"/>
  <c r="E38" i="289"/>
  <c r="C38" i="288"/>
  <c r="E12" i="287"/>
  <c r="E32" i="287"/>
  <c r="C36" i="287"/>
  <c r="D35" i="287"/>
  <c r="D36" i="287" s="1"/>
  <c r="D32" i="286"/>
  <c r="E35" i="286" s="1"/>
  <c r="E36" i="286" s="1"/>
  <c r="E31" i="286"/>
  <c r="E30" i="286"/>
  <c r="E29" i="286"/>
  <c r="E28" i="286"/>
  <c r="E27" i="286"/>
  <c r="D22" i="286"/>
  <c r="E22" i="286" s="1"/>
  <c r="E21" i="286"/>
  <c r="E20" i="286"/>
  <c r="E19" i="286"/>
  <c r="E18" i="286"/>
  <c r="E17" i="286"/>
  <c r="D12" i="286"/>
  <c r="C35" i="286" s="1"/>
  <c r="E11" i="286"/>
  <c r="E10" i="286"/>
  <c r="E9" i="286"/>
  <c r="E8" i="286"/>
  <c r="E7" i="286"/>
  <c r="CK37" i="194" l="1"/>
  <c r="D37" i="308"/>
  <c r="Z37" i="308" s="1"/>
  <c r="CK52" i="194"/>
  <c r="D52" i="308"/>
  <c r="Z52" i="308" s="1"/>
  <c r="CK20" i="194"/>
  <c r="D20" i="308"/>
  <c r="Z20" i="308" s="1"/>
  <c r="CK4" i="194"/>
  <c r="D4" i="308"/>
  <c r="CK3" i="194"/>
  <c r="D3" i="308"/>
  <c r="CK23" i="194"/>
  <c r="D23" i="308"/>
  <c r="Z23" i="308" s="1"/>
  <c r="CK60" i="194"/>
  <c r="D60" i="308"/>
  <c r="Z60" i="308" s="1"/>
  <c r="CK15" i="194"/>
  <c r="D15" i="308"/>
  <c r="Z15" i="308" s="1"/>
  <c r="CN65" i="194"/>
  <c r="G65" i="308"/>
  <c r="G66" i="308" s="1"/>
  <c r="CQ65" i="194"/>
  <c r="J65" i="308"/>
  <c r="J66" i="308" s="1"/>
  <c r="AA36" i="308"/>
  <c r="AD36" i="308"/>
  <c r="AL36" i="308" s="1"/>
  <c r="AK36" i="308" s="1"/>
  <c r="AD59" i="308"/>
  <c r="AL59" i="308" s="1"/>
  <c r="AK59" i="308" s="1"/>
  <c r="AA59" i="308"/>
  <c r="AA13" i="308"/>
  <c r="AD13" i="308"/>
  <c r="AL13" i="308" s="1"/>
  <c r="AK13" i="308" s="1"/>
  <c r="AD21" i="308"/>
  <c r="AL21" i="308" s="1"/>
  <c r="AK21" i="308" s="1"/>
  <c r="AA21" i="308"/>
  <c r="E64" i="308"/>
  <c r="AA34" i="308"/>
  <c r="AD34" i="308"/>
  <c r="AL34" i="308" s="1"/>
  <c r="AK34" i="308" s="1"/>
  <c r="AA39" i="308"/>
  <c r="AD39" i="308"/>
  <c r="AL39" i="308" s="1"/>
  <c r="AK39" i="308" s="1"/>
  <c r="AA38" i="308"/>
  <c r="AD38" i="308"/>
  <c r="AL38" i="308" s="1"/>
  <c r="AK38" i="308" s="1"/>
  <c r="E40" i="290"/>
  <c r="E40" i="289"/>
  <c r="C39" i="288"/>
  <c r="E39" i="288" s="1"/>
  <c r="E38" i="288"/>
  <c r="C38" i="287"/>
  <c r="E12" i="286"/>
  <c r="E32" i="286"/>
  <c r="C36" i="286"/>
  <c r="D35" i="286"/>
  <c r="D36" i="286" s="1"/>
  <c r="D32" i="285"/>
  <c r="E35" i="285" s="1"/>
  <c r="E36" i="285" s="1"/>
  <c r="E31" i="285"/>
  <c r="E30" i="285"/>
  <c r="E29" i="285"/>
  <c r="E28" i="285"/>
  <c r="E27" i="285"/>
  <c r="D22" i="285"/>
  <c r="D35" i="285" s="1"/>
  <c r="D36" i="285" s="1"/>
  <c r="E21" i="285"/>
  <c r="E20" i="285"/>
  <c r="E19" i="285"/>
  <c r="E18" i="285"/>
  <c r="E17" i="285"/>
  <c r="D12" i="285"/>
  <c r="C35" i="285" s="1"/>
  <c r="E11" i="285"/>
  <c r="E10" i="285"/>
  <c r="E9" i="285"/>
  <c r="E8" i="285"/>
  <c r="E7" i="285"/>
  <c r="CJ4" i="194" l="1"/>
  <c r="C4" i="308"/>
  <c r="CJ46" i="194"/>
  <c r="C46" i="308"/>
  <c r="Z46" i="308" s="1"/>
  <c r="CJ17" i="194"/>
  <c r="C17" i="308"/>
  <c r="CJ57" i="194"/>
  <c r="C57" i="308"/>
  <c r="Z57" i="308" s="1"/>
  <c r="CJ19" i="194"/>
  <c r="C19" i="308"/>
  <c r="Z19" i="308" s="1"/>
  <c r="CJ8" i="194"/>
  <c r="C8" i="308"/>
  <c r="Z8" i="308" s="1"/>
  <c r="CJ42" i="194"/>
  <c r="C42" i="308"/>
  <c r="Z42" i="308" s="1"/>
  <c r="CJ44" i="194"/>
  <c r="C44" i="308"/>
  <c r="Z44" i="308" s="1"/>
  <c r="CJ9" i="194"/>
  <c r="C9" i="308"/>
  <c r="CM65" i="194"/>
  <c r="F65" i="308"/>
  <c r="F66" i="308" s="1"/>
  <c r="AA15" i="308"/>
  <c r="AD15" i="308"/>
  <c r="AL15" i="308" s="1"/>
  <c r="AK15" i="308" s="1"/>
  <c r="AD60" i="308"/>
  <c r="AL60" i="308" s="1"/>
  <c r="AK60" i="308" s="1"/>
  <c r="AA60" i="308"/>
  <c r="AA23" i="308"/>
  <c r="AD23" i="308"/>
  <c r="AL23" i="308" s="1"/>
  <c r="AK23" i="308" s="1"/>
  <c r="D64" i="308"/>
  <c r="Z3" i="308"/>
  <c r="AD20" i="308"/>
  <c r="AL20" i="308" s="1"/>
  <c r="AK20" i="308" s="1"/>
  <c r="AA20" i="308"/>
  <c r="AD52" i="308"/>
  <c r="AL52" i="308" s="1"/>
  <c r="AK52" i="308" s="1"/>
  <c r="AA52" i="308"/>
  <c r="AA37" i="308"/>
  <c r="AD37" i="308"/>
  <c r="AL37" i="308" s="1"/>
  <c r="AK37" i="308" s="1"/>
  <c r="E40" i="288"/>
  <c r="C39" i="287"/>
  <c r="E39" i="287" s="1"/>
  <c r="E38" i="287"/>
  <c r="C38" i="286"/>
  <c r="E22" i="285"/>
  <c r="C38" i="285"/>
  <c r="C36" i="285"/>
  <c r="E12" i="285"/>
  <c r="E32" i="285"/>
  <c r="J12" i="196"/>
  <c r="AA3" i="308" l="1"/>
  <c r="AD3" i="308"/>
  <c r="AL3" i="308" s="1"/>
  <c r="CL65" i="194"/>
  <c r="E65" i="308"/>
  <c r="E66" i="308" s="1"/>
  <c r="AA44" i="308"/>
  <c r="AD44" i="308"/>
  <c r="AL44" i="308" s="1"/>
  <c r="AK44" i="308" s="1"/>
  <c r="AA42" i="308"/>
  <c r="AD42" i="308"/>
  <c r="AL42" i="308" s="1"/>
  <c r="AK42" i="308" s="1"/>
  <c r="AA8" i="308"/>
  <c r="AD8" i="308"/>
  <c r="AL8" i="308" s="1"/>
  <c r="AK8" i="308" s="1"/>
  <c r="AD19" i="308"/>
  <c r="AL19" i="308" s="1"/>
  <c r="AK19" i="308" s="1"/>
  <c r="AA19" i="308"/>
  <c r="AD57" i="308"/>
  <c r="AL57" i="308" s="1"/>
  <c r="AK57" i="308" s="1"/>
  <c r="AA57" i="308"/>
  <c r="AA46" i="308"/>
  <c r="AD46" i="308"/>
  <c r="AL46" i="308" s="1"/>
  <c r="AK46" i="308" s="1"/>
  <c r="Z4" i="308"/>
  <c r="AD4" i="308" s="1"/>
  <c r="AL4" i="308" s="1"/>
  <c r="AK4" i="308" s="1"/>
  <c r="C64" i="308"/>
  <c r="E40" i="287"/>
  <c r="C39" i="286"/>
  <c r="E39" i="286" s="1"/>
  <c r="E38" i="286"/>
  <c r="C39" i="285"/>
  <c r="E39" i="285" s="1"/>
  <c r="E38" i="285"/>
  <c r="D32" i="284"/>
  <c r="E35" i="284" s="1"/>
  <c r="E36" i="284" s="1"/>
  <c r="E31" i="284"/>
  <c r="E30" i="284"/>
  <c r="E29" i="284"/>
  <c r="E28" i="284"/>
  <c r="E27" i="284"/>
  <c r="D22" i="284"/>
  <c r="E22" i="284" s="1"/>
  <c r="E21" i="284"/>
  <c r="E20" i="284"/>
  <c r="E19" i="284"/>
  <c r="E18" i="284"/>
  <c r="E17" i="284"/>
  <c r="D12" i="284"/>
  <c r="C35" i="284" s="1"/>
  <c r="E11" i="284"/>
  <c r="E10" i="284"/>
  <c r="E9" i="284"/>
  <c r="E8" i="284"/>
  <c r="E7" i="284"/>
  <c r="CI10" i="194" l="1"/>
  <c r="B10" i="308"/>
  <c r="Z10" i="308" s="1"/>
  <c r="CI14" i="194"/>
  <c r="B14" i="308"/>
  <c r="Z14" i="308" s="1"/>
  <c r="CI5" i="194"/>
  <c r="B5" i="308"/>
  <c r="CI27" i="194"/>
  <c r="B27" i="308"/>
  <c r="Z27" i="308" s="1"/>
  <c r="CJ65" i="194"/>
  <c r="C65" i="308"/>
  <c r="CK65" i="194"/>
  <c r="D65" i="308"/>
  <c r="D66" i="308" s="1"/>
  <c r="AK3" i="308"/>
  <c r="CI17" i="194"/>
  <c r="B17" i="308"/>
  <c r="Z17" i="308" s="1"/>
  <c r="CI9" i="194"/>
  <c r="B9" i="308"/>
  <c r="Z9" i="308" s="1"/>
  <c r="AD9" i="308" s="1"/>
  <c r="AL9" i="308" s="1"/>
  <c r="AK9" i="308" s="1"/>
  <c r="C66" i="308"/>
  <c r="E40" i="286"/>
  <c r="E40" i="285"/>
  <c r="E32" i="284"/>
  <c r="E12" i="284"/>
  <c r="C36" i="284"/>
  <c r="D35" i="284"/>
  <c r="D36" i="284" s="1"/>
  <c r="J58" i="196"/>
  <c r="J67" i="196"/>
  <c r="J70" i="196"/>
  <c r="J53" i="196"/>
  <c r="J50" i="196"/>
  <c r="AD17" i="308" l="1"/>
  <c r="AL17" i="308" s="1"/>
  <c r="AK17" i="308" s="1"/>
  <c r="AA17" i="308"/>
  <c r="AA27" i="308"/>
  <c r="AD27" i="308"/>
  <c r="AL27" i="308" s="1"/>
  <c r="AK27" i="308" s="1"/>
  <c r="B64" i="308"/>
  <c r="Z5" i="308"/>
  <c r="AA14" i="308"/>
  <c r="AD14" i="308"/>
  <c r="AL14" i="308" s="1"/>
  <c r="AK14" i="308" s="1"/>
  <c r="AD10" i="308"/>
  <c r="AL10" i="308" s="1"/>
  <c r="AK10" i="308" s="1"/>
  <c r="AA10" i="308"/>
  <c r="C38" i="284"/>
  <c r="C19" i="192"/>
  <c r="AA5" i="308" l="1"/>
  <c r="AA64" i="308" s="1"/>
  <c r="AD5" i="308"/>
  <c r="AL5" i="308" s="1"/>
  <c r="Z64" i="308"/>
  <c r="C39" i="284"/>
  <c r="E39" i="284" s="1"/>
  <c r="E38" i="284"/>
  <c r="K6" i="192" l="1"/>
  <c r="K6" i="383"/>
  <c r="CI65" i="194"/>
  <c r="B65" i="308"/>
  <c r="B66" i="308" s="1"/>
  <c r="AK5" i="308"/>
  <c r="AK64" i="308" s="1"/>
  <c r="AL64" i="308"/>
  <c r="E40" i="284"/>
  <c r="J69" i="196"/>
  <c r="J66" i="196"/>
  <c r="J65" i="196"/>
  <c r="J64" i="196"/>
  <c r="J63" i="196"/>
  <c r="J62" i="196"/>
  <c r="J61" i="196"/>
  <c r="J60" i="196"/>
  <c r="J59" i="196"/>
  <c r="J57" i="196"/>
  <c r="J56" i="196"/>
  <c r="J52" i="196"/>
  <c r="J49" i="196"/>
  <c r="J46" i="196"/>
  <c r="J44" i="196"/>
  <c r="J39" i="196"/>
  <c r="J35" i="196"/>
  <c r="J34" i="196"/>
  <c r="J32" i="196"/>
  <c r="J31" i="196"/>
  <c r="J28" i="196"/>
  <c r="J27" i="196"/>
  <c r="J24" i="196"/>
  <c r="J23" i="196"/>
  <c r="J20" i="196"/>
  <c r="J19" i="196"/>
  <c r="J18" i="196"/>
  <c r="J16" i="196"/>
  <c r="J15" i="196"/>
  <c r="J14" i="196"/>
  <c r="J13" i="196"/>
  <c r="J10" i="196"/>
  <c r="J7" i="196"/>
  <c r="J6" i="196"/>
  <c r="J5" i="196"/>
  <c r="J4" i="196"/>
  <c r="J3" i="196"/>
  <c r="B6" i="383" l="1"/>
  <c r="F6" i="383" s="1"/>
  <c r="I6" i="383" s="1"/>
  <c r="N6" i="383"/>
  <c r="B6" i="192"/>
  <c r="B20" i="192" s="1"/>
  <c r="B7" i="192"/>
  <c r="B21" i="192" s="1"/>
  <c r="B8" i="192"/>
  <c r="B22" i="192" s="1"/>
  <c r="B9" i="192"/>
  <c r="B23" i="192" s="1"/>
  <c r="B10" i="192"/>
  <c r="B24" i="192" s="1"/>
  <c r="B11" i="192"/>
  <c r="FM62" i="283"/>
  <c r="FI62" i="283"/>
  <c r="EZ62" i="283"/>
  <c r="EZ64" i="283" s="1"/>
  <c r="EY62" i="283"/>
  <c r="EY64" i="283" s="1"/>
  <c r="EX62" i="283"/>
  <c r="EX64" i="283" s="1"/>
  <c r="EW62" i="283"/>
  <c r="EW64" i="283" s="1"/>
  <c r="EV62" i="283"/>
  <c r="EV64" i="283" s="1"/>
  <c r="EU62" i="283"/>
  <c r="EU64" i="283" s="1"/>
  <c r="ET62" i="283"/>
  <c r="ET64" i="283" s="1"/>
  <c r="ES62" i="283"/>
  <c r="ES64" i="283" s="1"/>
  <c r="ER62" i="283"/>
  <c r="ER64" i="283" s="1"/>
  <c r="EQ62" i="283"/>
  <c r="EQ64" i="283" s="1"/>
  <c r="EP62" i="283"/>
  <c r="EP64" i="283" s="1"/>
  <c r="EO62" i="283"/>
  <c r="EO64" i="283" s="1"/>
  <c r="EN62" i="283"/>
  <c r="EN64" i="283" s="1"/>
  <c r="EM62" i="283"/>
  <c r="EM64" i="283" s="1"/>
  <c r="EL62" i="283"/>
  <c r="EL64" i="283" s="1"/>
  <c r="EK62" i="283"/>
  <c r="EK64" i="283" s="1"/>
  <c r="EJ62" i="283"/>
  <c r="EJ64" i="283" s="1"/>
  <c r="EI62" i="283"/>
  <c r="EI64" i="283" s="1"/>
  <c r="EH62" i="283"/>
  <c r="EH64" i="283" s="1"/>
  <c r="EG62" i="283"/>
  <c r="EG64" i="283" s="1"/>
  <c r="EF62" i="283"/>
  <c r="EF64" i="283" s="1"/>
  <c r="EE62" i="283"/>
  <c r="EE64" i="283" s="1"/>
  <c r="ED62" i="283"/>
  <c r="ED64" i="283" s="1"/>
  <c r="EC62" i="283"/>
  <c r="EC64" i="283" s="1"/>
  <c r="EB62" i="283"/>
  <c r="EB64" i="283" s="1"/>
  <c r="EA62" i="283"/>
  <c r="EA64" i="283" s="1"/>
  <c r="DZ62" i="283"/>
  <c r="DZ64" i="283" s="1"/>
  <c r="DY62" i="283"/>
  <c r="DY64" i="283" s="1"/>
  <c r="DX62" i="283"/>
  <c r="DX64" i="283" s="1"/>
  <c r="DW62" i="283"/>
  <c r="DW64" i="283" s="1"/>
  <c r="DV62" i="283"/>
  <c r="DV64" i="283" s="1"/>
  <c r="DU62" i="283"/>
  <c r="DU64" i="283" s="1"/>
  <c r="DT62" i="283"/>
  <c r="DT64" i="283" s="1"/>
  <c r="DS62" i="283"/>
  <c r="DS64" i="283" s="1"/>
  <c r="DR62" i="283"/>
  <c r="DR64" i="283" s="1"/>
  <c r="DQ62" i="283"/>
  <c r="DQ64" i="283" s="1"/>
  <c r="DP62" i="283"/>
  <c r="DP64" i="283" s="1"/>
  <c r="DO62" i="283"/>
  <c r="DO64" i="283" s="1"/>
  <c r="DN62" i="283"/>
  <c r="DN64" i="283" s="1"/>
  <c r="DM62" i="283"/>
  <c r="DM64" i="283" s="1"/>
  <c r="DL62" i="283"/>
  <c r="DL64" i="283" s="1"/>
  <c r="DK62" i="283"/>
  <c r="DK64" i="283" s="1"/>
  <c r="DJ62" i="283"/>
  <c r="DJ64" i="283" s="1"/>
  <c r="DI62" i="283"/>
  <c r="DI64" i="283" s="1"/>
  <c r="DH62" i="283"/>
  <c r="DH64" i="283" s="1"/>
  <c r="DG62" i="283"/>
  <c r="DG64" i="283" s="1"/>
  <c r="DF62" i="283"/>
  <c r="DF64" i="283" s="1"/>
  <c r="DE62" i="283"/>
  <c r="DE64" i="283" s="1"/>
  <c r="DD62" i="283"/>
  <c r="DD64" i="283" s="1"/>
  <c r="DC62" i="283"/>
  <c r="DC64" i="283" s="1"/>
  <c r="DB62" i="283"/>
  <c r="DB64" i="283" s="1"/>
  <c r="DA62" i="283"/>
  <c r="DA64" i="283" s="1"/>
  <c r="CZ62" i="283"/>
  <c r="CZ64" i="283" s="1"/>
  <c r="CY62" i="283"/>
  <c r="CY64" i="283" s="1"/>
  <c r="CX62" i="283"/>
  <c r="CX64" i="283" s="1"/>
  <c r="CW62" i="283"/>
  <c r="CW64" i="283" s="1"/>
  <c r="CV62" i="283"/>
  <c r="CV64" i="283" s="1"/>
  <c r="CU62" i="283"/>
  <c r="CU64" i="283" s="1"/>
  <c r="CT62" i="283"/>
  <c r="CT64" i="283" s="1"/>
  <c r="CS62" i="283"/>
  <c r="CS64" i="283" s="1"/>
  <c r="CR62" i="283"/>
  <c r="CR64" i="283" s="1"/>
  <c r="CQ62" i="283"/>
  <c r="CQ64" i="283" s="1"/>
  <c r="CP62" i="283"/>
  <c r="CP64" i="283" s="1"/>
  <c r="CO62" i="283"/>
  <c r="CO64" i="283" s="1"/>
  <c r="CN62" i="283"/>
  <c r="CN64" i="283" s="1"/>
  <c r="CM62" i="283"/>
  <c r="CM64" i="283" s="1"/>
  <c r="CL62" i="283"/>
  <c r="CL64" i="283" s="1"/>
  <c r="CK62" i="283"/>
  <c r="CK64" i="283" s="1"/>
  <c r="CJ62" i="283"/>
  <c r="CJ64" i="283" s="1"/>
  <c r="CI62" i="283"/>
  <c r="CI64" i="283" s="1"/>
  <c r="CH62" i="283"/>
  <c r="CH64" i="283" s="1"/>
  <c r="CG62" i="283"/>
  <c r="CG64" i="283" s="1"/>
  <c r="CF62" i="283"/>
  <c r="CF64" i="283" s="1"/>
  <c r="CE62" i="283"/>
  <c r="CE64" i="283" s="1"/>
  <c r="CD62" i="283"/>
  <c r="CD64" i="283" s="1"/>
  <c r="CC62" i="283"/>
  <c r="CC64" i="283" s="1"/>
  <c r="CB62" i="283"/>
  <c r="CB64" i="283" s="1"/>
  <c r="CA62" i="283"/>
  <c r="CA64" i="283" s="1"/>
  <c r="BZ62" i="283"/>
  <c r="BZ64" i="283" s="1"/>
  <c r="BY62" i="283"/>
  <c r="BY64" i="283" s="1"/>
  <c r="BX62" i="283"/>
  <c r="BX64" i="283" s="1"/>
  <c r="BW62" i="283"/>
  <c r="BW64" i="283" s="1"/>
  <c r="BV62" i="283"/>
  <c r="BV64" i="283" s="1"/>
  <c r="BU62" i="283"/>
  <c r="BU64" i="283" s="1"/>
  <c r="BT62" i="283"/>
  <c r="BT64" i="283" s="1"/>
  <c r="BS62" i="283"/>
  <c r="BS64" i="283" s="1"/>
  <c r="BR62" i="283"/>
  <c r="BR64" i="283" s="1"/>
  <c r="BQ62" i="283"/>
  <c r="BQ64" i="283" s="1"/>
  <c r="BP62" i="283"/>
  <c r="BP64" i="283" s="1"/>
  <c r="BO62" i="283"/>
  <c r="BO64" i="283" s="1"/>
  <c r="BN62" i="283"/>
  <c r="BN64" i="283" s="1"/>
  <c r="BM62" i="283"/>
  <c r="BM64" i="283" s="1"/>
  <c r="BL62" i="283"/>
  <c r="BL64" i="283" s="1"/>
  <c r="BK62" i="283"/>
  <c r="BK64" i="283" s="1"/>
  <c r="BJ62" i="283"/>
  <c r="BJ64" i="283" s="1"/>
  <c r="BI62" i="283"/>
  <c r="BI64" i="283" s="1"/>
  <c r="BH62" i="283"/>
  <c r="BH64" i="283" s="1"/>
  <c r="BG62" i="283"/>
  <c r="BG64" i="283" s="1"/>
  <c r="BF62" i="283"/>
  <c r="BF64" i="283" s="1"/>
  <c r="BE62" i="283"/>
  <c r="BE64" i="283" s="1"/>
  <c r="BD62" i="283"/>
  <c r="BD64" i="283" s="1"/>
  <c r="BC62" i="283"/>
  <c r="BC64" i="283" s="1"/>
  <c r="BB62" i="283"/>
  <c r="BB64" i="283" s="1"/>
  <c r="BA62" i="283"/>
  <c r="BA64" i="283" s="1"/>
  <c r="AZ62" i="283"/>
  <c r="AZ64" i="283" s="1"/>
  <c r="AY62" i="283"/>
  <c r="AY64" i="283" s="1"/>
  <c r="AX62" i="283"/>
  <c r="AX64" i="283" s="1"/>
  <c r="AW62" i="283"/>
  <c r="AW64" i="283" s="1"/>
  <c r="AV62" i="283"/>
  <c r="AV64" i="283" s="1"/>
  <c r="AU62" i="283"/>
  <c r="AU64" i="283" s="1"/>
  <c r="AT62" i="283"/>
  <c r="AT64" i="283" s="1"/>
  <c r="AS62" i="283"/>
  <c r="AS64" i="283" s="1"/>
  <c r="AR62" i="283"/>
  <c r="AR64" i="283" s="1"/>
  <c r="AQ62" i="283"/>
  <c r="AQ64" i="283" s="1"/>
  <c r="AP62" i="283"/>
  <c r="AP64" i="283" s="1"/>
  <c r="AO62" i="283"/>
  <c r="AO64" i="283" s="1"/>
  <c r="AN62" i="283"/>
  <c r="AN64" i="283" s="1"/>
  <c r="AM62" i="283"/>
  <c r="AM64" i="283" s="1"/>
  <c r="AL62" i="283"/>
  <c r="AL64" i="283" s="1"/>
  <c r="AK62" i="283"/>
  <c r="AK64" i="283" s="1"/>
  <c r="AJ62" i="283"/>
  <c r="AJ64" i="283" s="1"/>
  <c r="AI62" i="283"/>
  <c r="AI64" i="283" s="1"/>
  <c r="AH62" i="283"/>
  <c r="AH64" i="283" s="1"/>
  <c r="AG62" i="283"/>
  <c r="AG64" i="283" s="1"/>
  <c r="AF62" i="283"/>
  <c r="AF64" i="283" s="1"/>
  <c r="AE62" i="283"/>
  <c r="AE64" i="283" s="1"/>
  <c r="AD62" i="283"/>
  <c r="AD64" i="283" s="1"/>
  <c r="AC62" i="283"/>
  <c r="AC64" i="283" s="1"/>
  <c r="AB62" i="283"/>
  <c r="AB64" i="283" s="1"/>
  <c r="AA62" i="283"/>
  <c r="AA64" i="283" s="1"/>
  <c r="Z62" i="283"/>
  <c r="Z64" i="283" s="1"/>
  <c r="Y62" i="283"/>
  <c r="Y64" i="283" s="1"/>
  <c r="X62" i="283"/>
  <c r="X64" i="283" s="1"/>
  <c r="W62" i="283"/>
  <c r="W64" i="283" s="1"/>
  <c r="V62" i="283"/>
  <c r="V64" i="283" s="1"/>
  <c r="U62" i="283"/>
  <c r="U64" i="283" s="1"/>
  <c r="T62" i="283"/>
  <c r="T64" i="283" s="1"/>
  <c r="S62" i="283"/>
  <c r="S64" i="283" s="1"/>
  <c r="R62" i="283"/>
  <c r="R64" i="283" s="1"/>
  <c r="Q62" i="283"/>
  <c r="Q64" i="283" s="1"/>
  <c r="P62" i="283"/>
  <c r="P64" i="283" s="1"/>
  <c r="O62" i="283"/>
  <c r="O64" i="283" s="1"/>
  <c r="N62" i="283"/>
  <c r="N64" i="283" s="1"/>
  <c r="M62" i="283"/>
  <c r="M64" i="283" s="1"/>
  <c r="L62" i="283"/>
  <c r="L64" i="283" s="1"/>
  <c r="K62" i="283"/>
  <c r="K64" i="283" s="1"/>
  <c r="FL61" i="283"/>
  <c r="FA61" i="283"/>
  <c r="FB61" i="283" s="1"/>
  <c r="FL60" i="283"/>
  <c r="FA60" i="283"/>
  <c r="FB60" i="283" s="1"/>
  <c r="FL59" i="283"/>
  <c r="FA59" i="283"/>
  <c r="FB59" i="283" s="1"/>
  <c r="FL58" i="283"/>
  <c r="FC58" i="283"/>
  <c r="FL57" i="283"/>
  <c r="FC57" i="283"/>
  <c r="FL56" i="283"/>
  <c r="FC56" i="283"/>
  <c r="FA56" i="283"/>
  <c r="FL55" i="283"/>
  <c r="FC55" i="283"/>
  <c r="FL54" i="283"/>
  <c r="FC54" i="283"/>
  <c r="FL53" i="283"/>
  <c r="FC53" i="283"/>
  <c r="FA53" i="283"/>
  <c r="FE53" i="283" s="1"/>
  <c r="FL52" i="283"/>
  <c r="FC52" i="283"/>
  <c r="FL51" i="283"/>
  <c r="FC51" i="283"/>
  <c r="FA51" i="283"/>
  <c r="FL50" i="283"/>
  <c r="FC50" i="283"/>
  <c r="FC49" i="283"/>
  <c r="FL48" i="283"/>
  <c r="FC48" i="283"/>
  <c r="FA48" i="283"/>
  <c r="FC47" i="283"/>
  <c r="FL46" i="283"/>
  <c r="FC46" i="283"/>
  <c r="FA46" i="283"/>
  <c r="FE46" i="283" s="1"/>
  <c r="FL45" i="283"/>
  <c r="FC45" i="283"/>
  <c r="FL44" i="283"/>
  <c r="FC44" i="283"/>
  <c r="FA44" i="283"/>
  <c r="FE44" i="283" s="1"/>
  <c r="FC43" i="283"/>
  <c r="FL42" i="283"/>
  <c r="FC42" i="283"/>
  <c r="FC41" i="283"/>
  <c r="FL40" i="283"/>
  <c r="FC40" i="283"/>
  <c r="FL39" i="283"/>
  <c r="FC39" i="283"/>
  <c r="FL38" i="283"/>
  <c r="FC38" i="283"/>
  <c r="FL37" i="283"/>
  <c r="FC37" i="283"/>
  <c r="FL36" i="283"/>
  <c r="FC36" i="283"/>
  <c r="FL35" i="283"/>
  <c r="FC35" i="283"/>
  <c r="FL34" i="283"/>
  <c r="FC34" i="283"/>
  <c r="FL33" i="283"/>
  <c r="FC33" i="283"/>
  <c r="FA33" i="283"/>
  <c r="FE33" i="283" s="1"/>
  <c r="FC32" i="283"/>
  <c r="FA32" i="283"/>
  <c r="FE32" i="283" s="1"/>
  <c r="FL31" i="283"/>
  <c r="FC31" i="283"/>
  <c r="FA31" i="283"/>
  <c r="FE31" i="283" s="1"/>
  <c r="FL30" i="283"/>
  <c r="FC30" i="283"/>
  <c r="FA30" i="283"/>
  <c r="FE30" i="283" s="1"/>
  <c r="FL29" i="283"/>
  <c r="FC29" i="283"/>
  <c r="FA29" i="283"/>
  <c r="FE29" i="283" s="1"/>
  <c r="FL28" i="283"/>
  <c r="FC28" i="283"/>
  <c r="FA28" i="283"/>
  <c r="FE28" i="283" s="1"/>
  <c r="FL27" i="283"/>
  <c r="FC27" i="283"/>
  <c r="FL26" i="283"/>
  <c r="FC26" i="283"/>
  <c r="FA26" i="283"/>
  <c r="FC25" i="283"/>
  <c r="FA25" i="283"/>
  <c r="FE25" i="283" s="1"/>
  <c r="FC24" i="283"/>
  <c r="FA24" i="283"/>
  <c r="FL23" i="283"/>
  <c r="FC23" i="283"/>
  <c r="FL22" i="283"/>
  <c r="FC22" i="283"/>
  <c r="FA22" i="283"/>
  <c r="FE22" i="283" s="1"/>
  <c r="FC21" i="283"/>
  <c r="FL20" i="283"/>
  <c r="FC20" i="283"/>
  <c r="FL19" i="283"/>
  <c r="FC19" i="283"/>
  <c r="FC18" i="283"/>
  <c r="FL17" i="283"/>
  <c r="FC17" i="283"/>
  <c r="FL16" i="283"/>
  <c r="FC16" i="283"/>
  <c r="FL15" i="283"/>
  <c r="FC15" i="283"/>
  <c r="FL14" i="283"/>
  <c r="FC14" i="283"/>
  <c r="FL13" i="283"/>
  <c r="FC13" i="283"/>
  <c r="FL12" i="283"/>
  <c r="FC12" i="283"/>
  <c r="FL11" i="283"/>
  <c r="FC11" i="283"/>
  <c r="FA11" i="283"/>
  <c r="FL10" i="283"/>
  <c r="FC10" i="283"/>
  <c r="FC9" i="283"/>
  <c r="FL8" i="283"/>
  <c r="FC8" i="283"/>
  <c r="FL7" i="283"/>
  <c r="FC7" i="283"/>
  <c r="FL6" i="283"/>
  <c r="FC6" i="283"/>
  <c r="FL5" i="283"/>
  <c r="FC5" i="283"/>
  <c r="FC4" i="283"/>
  <c r="FL3" i="283"/>
  <c r="FC3" i="283"/>
  <c r="O6" i="383" l="1"/>
  <c r="FB46" i="283"/>
  <c r="FB44" i="283"/>
  <c r="FL62" i="283"/>
  <c r="FB22" i="283"/>
  <c r="FB28" i="283"/>
  <c r="FB30" i="283"/>
  <c r="FB53" i="283"/>
  <c r="FE11" i="283"/>
  <c r="FB11" i="283"/>
  <c r="FE26" i="283"/>
  <c r="FB26" i="283"/>
  <c r="FA7" i="283"/>
  <c r="FB29" i="283"/>
  <c r="FB31" i="283"/>
  <c r="FB33" i="283"/>
  <c r="FE48" i="283"/>
  <c r="FB48" i="283"/>
  <c r="FE51" i="283"/>
  <c r="FB51" i="283"/>
  <c r="FE56" i="283"/>
  <c r="FB56" i="283"/>
  <c r="FE59" i="283"/>
  <c r="FE60" i="283"/>
  <c r="FE61" i="283"/>
  <c r="FE7" i="283" l="1"/>
  <c r="FB7" i="283"/>
  <c r="E10" i="282" l="1"/>
  <c r="E11" i="282"/>
  <c r="E12" i="282"/>
  <c r="E13" i="282"/>
  <c r="E14" i="282"/>
  <c r="CH49" i="194" l="1"/>
  <c r="J47" i="283"/>
  <c r="CH13" i="194"/>
  <c r="J13" i="283"/>
  <c r="CH9" i="194"/>
  <c r="J9" i="283"/>
  <c r="CH17" i="194"/>
  <c r="J17" i="283"/>
  <c r="CH4" i="194"/>
  <c r="J4" i="283"/>
  <c r="E21" i="282"/>
  <c r="E22" i="282" s="1"/>
  <c r="D17" i="282"/>
  <c r="E16" i="282"/>
  <c r="E15" i="282"/>
  <c r="E9" i="282"/>
  <c r="E8" i="282"/>
  <c r="E7" i="282"/>
  <c r="CH3" i="194" l="1"/>
  <c r="J3" i="283"/>
  <c r="CH54" i="194"/>
  <c r="J52" i="283"/>
  <c r="CH56" i="194"/>
  <c r="J54" i="283"/>
  <c r="FA54" i="283" s="1"/>
  <c r="CH38" i="194"/>
  <c r="J38" i="283"/>
  <c r="CH15" i="194"/>
  <c r="J15" i="283"/>
  <c r="C21" i="282"/>
  <c r="C24" i="282" s="1"/>
  <c r="E17" i="282"/>
  <c r="D21" i="282"/>
  <c r="D22" i="282" s="1"/>
  <c r="IP24" i="194"/>
  <c r="IN24" i="194"/>
  <c r="IY24" i="194" s="1"/>
  <c r="IX24" i="194" l="1"/>
  <c r="IW24" i="194" s="1"/>
  <c r="C22" i="282"/>
  <c r="FB54" i="283"/>
  <c r="FE54" i="283"/>
  <c r="J62" i="283"/>
  <c r="L5" i="192"/>
  <c r="L6" i="192"/>
  <c r="L7" i="192"/>
  <c r="L8" i="192"/>
  <c r="L9" i="192"/>
  <c r="L10" i="192"/>
  <c r="L11" i="192"/>
  <c r="M3" i="192"/>
  <c r="M4" i="192"/>
  <c r="M5" i="192"/>
  <c r="M6" i="192"/>
  <c r="M7" i="192"/>
  <c r="M8" i="192"/>
  <c r="M9" i="192"/>
  <c r="M10" i="192"/>
  <c r="M11" i="192"/>
  <c r="M2" i="192"/>
  <c r="L4" i="192"/>
  <c r="E19" i="192"/>
  <c r="E20" i="192"/>
  <c r="E21" i="192"/>
  <c r="E22" i="192"/>
  <c r="E23" i="192"/>
  <c r="F23" i="192" s="1"/>
  <c r="E24" i="192"/>
  <c r="E25" i="192"/>
  <c r="E17" i="192"/>
  <c r="E18" i="192"/>
  <c r="E16" i="192"/>
  <c r="D2" i="192"/>
  <c r="E25" i="282" l="1"/>
  <c r="E24" i="282"/>
  <c r="E23" i="281"/>
  <c r="CG44" i="194" l="1"/>
  <c r="I43" i="283"/>
  <c r="CH65" i="194"/>
  <c r="J63" i="283"/>
  <c r="J64" i="283" s="1"/>
  <c r="E26" i="282"/>
  <c r="E26" i="281"/>
  <c r="E25" i="281"/>
  <c r="E13" i="281"/>
  <c r="E12" i="281"/>
  <c r="E11" i="281"/>
  <c r="CG19" i="194" l="1"/>
  <c r="I19" i="283"/>
  <c r="FA19" i="283" s="1"/>
  <c r="CG42" i="194"/>
  <c r="I41" i="283"/>
  <c r="D38" i="281"/>
  <c r="E41" i="281" s="1"/>
  <c r="E42" i="281" s="1"/>
  <c r="E37" i="281"/>
  <c r="E36" i="281"/>
  <c r="E35" i="281"/>
  <c r="E34" i="281"/>
  <c r="E33" i="281"/>
  <c r="D28" i="281"/>
  <c r="E28" i="281" s="1"/>
  <c r="E27" i="281"/>
  <c r="E24" i="281"/>
  <c r="E22" i="281"/>
  <c r="E21" i="281"/>
  <c r="E20" i="281"/>
  <c r="D15" i="281"/>
  <c r="C41" i="281" s="1"/>
  <c r="E14" i="281"/>
  <c r="E10" i="281"/>
  <c r="E9" i="281"/>
  <c r="E8" i="281"/>
  <c r="E7" i="281"/>
  <c r="CG27" i="194" l="1"/>
  <c r="I27" i="283"/>
  <c r="CG39" i="194"/>
  <c r="I39" i="283"/>
  <c r="CG9" i="194"/>
  <c r="I9" i="283"/>
  <c r="CG38" i="194"/>
  <c r="I38" i="283"/>
  <c r="FA38" i="283" s="1"/>
  <c r="CG37" i="194"/>
  <c r="I37" i="283"/>
  <c r="CG57" i="194"/>
  <c r="I55" i="283"/>
  <c r="FB19" i="283"/>
  <c r="FE19" i="283"/>
  <c r="E15" i="281"/>
  <c r="E38" i="281"/>
  <c r="C42" i="281"/>
  <c r="D41" i="281"/>
  <c r="D42" i="281" s="1"/>
  <c r="D32" i="280"/>
  <c r="E32" i="280" s="1"/>
  <c r="E31" i="280"/>
  <c r="E30" i="280"/>
  <c r="E29" i="280"/>
  <c r="E28" i="280"/>
  <c r="E27" i="280"/>
  <c r="D22" i="280"/>
  <c r="D35" i="280" s="1"/>
  <c r="D36" i="280" s="1"/>
  <c r="E21" i="280"/>
  <c r="E20" i="280"/>
  <c r="E19" i="280"/>
  <c r="E18" i="280"/>
  <c r="E17" i="280"/>
  <c r="D12" i="280"/>
  <c r="E12" i="280" s="1"/>
  <c r="E11" i="280"/>
  <c r="E10" i="280"/>
  <c r="E9" i="280"/>
  <c r="E8" i="280"/>
  <c r="E7" i="280"/>
  <c r="CF51" i="194" l="1"/>
  <c r="H49" i="283"/>
  <c r="FA49" i="283" s="1"/>
  <c r="CF35" i="194"/>
  <c r="H35" i="283"/>
  <c r="CF46" i="194"/>
  <c r="H45" i="283"/>
  <c r="CF4" i="194"/>
  <c r="H4" i="283"/>
  <c r="FE38" i="283"/>
  <c r="FB38" i="283"/>
  <c r="I62" i="283"/>
  <c r="H39" i="283"/>
  <c r="CF21" i="194"/>
  <c r="H21" i="283"/>
  <c r="FA21" i="283" s="1"/>
  <c r="CF13" i="194"/>
  <c r="H13" i="283"/>
  <c r="H8" i="283"/>
  <c r="CF18" i="194"/>
  <c r="H18" i="283"/>
  <c r="CF39" i="194"/>
  <c r="CF8" i="194"/>
  <c r="C44" i="281"/>
  <c r="E22" i="280"/>
  <c r="C35" i="280"/>
  <c r="E35" i="280"/>
  <c r="E36" i="280" s="1"/>
  <c r="FB21" i="283" l="1"/>
  <c r="FE21" i="283"/>
  <c r="H62" i="283"/>
  <c r="FE49" i="283"/>
  <c r="FB49" i="283"/>
  <c r="C45" i="281"/>
  <c r="E45" i="281" s="1"/>
  <c r="E44" i="281"/>
  <c r="C36" i="280"/>
  <c r="C38" i="280"/>
  <c r="CG64" i="194"/>
  <c r="CG65" i="194" l="1"/>
  <c r="I63" i="283"/>
  <c r="I64" i="283" s="1"/>
  <c r="CG66" i="194"/>
  <c r="E46" i="281"/>
  <c r="E38" i="280"/>
  <c r="C39" i="280"/>
  <c r="E39" i="280" s="1"/>
  <c r="D32" i="279"/>
  <c r="E35" i="279" s="1"/>
  <c r="E36" i="279" s="1"/>
  <c r="E31" i="279"/>
  <c r="E30" i="279"/>
  <c r="E29" i="279"/>
  <c r="E28" i="279"/>
  <c r="E27" i="279"/>
  <c r="D22" i="279"/>
  <c r="E22" i="279" s="1"/>
  <c r="E21" i="279"/>
  <c r="E20" i="279"/>
  <c r="E19" i="279"/>
  <c r="E18" i="279"/>
  <c r="E17" i="279"/>
  <c r="D12" i="279"/>
  <c r="C35" i="279" s="1"/>
  <c r="E11" i="279"/>
  <c r="E10" i="279"/>
  <c r="E9" i="279"/>
  <c r="E8" i="279"/>
  <c r="E7" i="279"/>
  <c r="CE14" i="194" l="1"/>
  <c r="G14" i="283"/>
  <c r="CE10" i="194"/>
  <c r="G10" i="283"/>
  <c r="CE13" i="194"/>
  <c r="G13" i="283"/>
  <c r="CE49" i="194"/>
  <c r="G47" i="283"/>
  <c r="FA47" i="283" s="1"/>
  <c r="FE47" i="283" s="1"/>
  <c r="CF65" i="194"/>
  <c r="H63" i="283"/>
  <c r="H64" i="283" s="1"/>
  <c r="CE8" i="194"/>
  <c r="G8" i="283"/>
  <c r="CE52" i="194"/>
  <c r="G50" i="283"/>
  <c r="CE23" i="194"/>
  <c r="G23" i="283"/>
  <c r="CE12" i="194"/>
  <c r="G12" i="283"/>
  <c r="FA12" i="283" s="1"/>
  <c r="CE37" i="194"/>
  <c r="G37" i="283"/>
  <c r="E40" i="280"/>
  <c r="E12" i="279"/>
  <c r="E32" i="279"/>
  <c r="C36" i="279"/>
  <c r="D35" i="279"/>
  <c r="D36" i="279" s="1"/>
  <c r="C18" i="192"/>
  <c r="FB12" i="283" l="1"/>
  <c r="FE12" i="283"/>
  <c r="FA8" i="283"/>
  <c r="G62" i="283"/>
  <c r="C38" i="279"/>
  <c r="FB8" i="283" l="1"/>
  <c r="FE8" i="283"/>
  <c r="C39" i="279"/>
  <c r="E39" i="279" s="1"/>
  <c r="E38" i="279"/>
  <c r="D32" i="278"/>
  <c r="E35" i="278" s="1"/>
  <c r="E36" i="278" s="1"/>
  <c r="E31" i="278"/>
  <c r="E30" i="278"/>
  <c r="E29" i="278"/>
  <c r="E28" i="278"/>
  <c r="E27" i="278"/>
  <c r="D22" i="278"/>
  <c r="E22" i="278" s="1"/>
  <c r="E21" i="278"/>
  <c r="E20" i="278"/>
  <c r="E19" i="278"/>
  <c r="E18" i="278"/>
  <c r="E17" i="278"/>
  <c r="D12" i="278"/>
  <c r="C35" i="278" s="1"/>
  <c r="E11" i="278"/>
  <c r="E10" i="278"/>
  <c r="E9" i="278"/>
  <c r="E8" i="278"/>
  <c r="E7" i="278"/>
  <c r="CD4" i="194" l="1"/>
  <c r="F4" i="283"/>
  <c r="CD44" i="194"/>
  <c r="F43" i="283"/>
  <c r="CD40" i="194"/>
  <c r="F40" i="283"/>
  <c r="CD36" i="194"/>
  <c r="F36" i="283"/>
  <c r="FA36" i="283" s="1"/>
  <c r="CD43" i="194"/>
  <c r="F42" i="283"/>
  <c r="CD20" i="194"/>
  <c r="F20" i="283"/>
  <c r="FA20" i="283" s="1"/>
  <c r="CD16" i="194"/>
  <c r="F16" i="283"/>
  <c r="FA16" i="283" s="1"/>
  <c r="CD60" i="194"/>
  <c r="F58" i="283"/>
  <c r="CD59" i="194"/>
  <c r="F57" i="283"/>
  <c r="FA57" i="283" s="1"/>
  <c r="CD57" i="194"/>
  <c r="F55" i="283"/>
  <c r="CE65" i="194"/>
  <c r="G63" i="283"/>
  <c r="G64" i="283" s="1"/>
  <c r="E40" i="279"/>
  <c r="E12" i="278"/>
  <c r="E32" i="278"/>
  <c r="C36" i="278"/>
  <c r="D35" i="278"/>
  <c r="D36" i="278" s="1"/>
  <c r="FE57" i="283" l="1"/>
  <c r="FB57" i="283"/>
  <c r="FB16" i="283"/>
  <c r="FE16" i="283"/>
  <c r="FB20" i="283"/>
  <c r="FE20" i="283"/>
  <c r="FB36" i="283"/>
  <c r="FE36" i="283"/>
  <c r="F62" i="283"/>
  <c r="C38" i="278"/>
  <c r="D32" i="277"/>
  <c r="E35" i="277" s="1"/>
  <c r="E36" i="277" s="1"/>
  <c r="E31" i="277"/>
  <c r="E30" i="277"/>
  <c r="E29" i="277"/>
  <c r="E28" i="277"/>
  <c r="E27" i="277"/>
  <c r="D22" i="277"/>
  <c r="E22" i="277" s="1"/>
  <c r="E21" i="277"/>
  <c r="E20" i="277"/>
  <c r="E19" i="277"/>
  <c r="E18" i="277"/>
  <c r="E17" i="277"/>
  <c r="D12" i="277"/>
  <c r="C35" i="277" s="1"/>
  <c r="E11" i="277"/>
  <c r="E10" i="277"/>
  <c r="E9" i="277"/>
  <c r="E8" i="277"/>
  <c r="E7" i="277"/>
  <c r="D32" i="276"/>
  <c r="E35" i="276" s="1"/>
  <c r="E36" i="276" s="1"/>
  <c r="E31" i="276"/>
  <c r="E30" i="276"/>
  <c r="E29" i="276"/>
  <c r="E28" i="276"/>
  <c r="E27" i="276"/>
  <c r="D22" i="276"/>
  <c r="E22" i="276" s="1"/>
  <c r="E21" i="276"/>
  <c r="E20" i="276"/>
  <c r="E19" i="276"/>
  <c r="E18" i="276"/>
  <c r="E17" i="276"/>
  <c r="D12" i="276"/>
  <c r="C35" i="276" s="1"/>
  <c r="E11" i="276"/>
  <c r="E10" i="276"/>
  <c r="E9" i="276"/>
  <c r="E8" i="276"/>
  <c r="E7" i="276"/>
  <c r="D32" i="275"/>
  <c r="E35" i="275" s="1"/>
  <c r="E36" i="275" s="1"/>
  <c r="E31" i="275"/>
  <c r="E30" i="275"/>
  <c r="E29" i="275"/>
  <c r="E28" i="275"/>
  <c r="E27" i="275"/>
  <c r="D22" i="275"/>
  <c r="E22" i="275" s="1"/>
  <c r="E21" i="275"/>
  <c r="E20" i="275"/>
  <c r="E19" i="275"/>
  <c r="E18" i="275"/>
  <c r="E17" i="275"/>
  <c r="D12" i="275"/>
  <c r="C35" i="275" s="1"/>
  <c r="E11" i="275"/>
  <c r="E10" i="275"/>
  <c r="E9" i="275"/>
  <c r="E8" i="275"/>
  <c r="E7" i="275"/>
  <c r="CA54" i="194" l="1"/>
  <c r="C52" i="283"/>
  <c r="FA52" i="283" s="1"/>
  <c r="CA6" i="194"/>
  <c r="C6" i="283"/>
  <c r="FA6" i="283" s="1"/>
  <c r="CA18" i="194"/>
  <c r="C18" i="283"/>
  <c r="CB35" i="194"/>
  <c r="D35" i="283"/>
  <c r="CB3" i="194"/>
  <c r="D3" i="283"/>
  <c r="CB18" i="194"/>
  <c r="D18" i="283"/>
  <c r="CB9" i="194"/>
  <c r="D9" i="283"/>
  <c r="CC42" i="194"/>
  <c r="E41" i="283"/>
  <c r="CC57" i="194"/>
  <c r="E55" i="283"/>
  <c r="FA55" i="283" s="1"/>
  <c r="CC27" i="194"/>
  <c r="E27" i="283"/>
  <c r="FA27" i="283" s="1"/>
  <c r="CC15" i="194"/>
  <c r="E15" i="283"/>
  <c r="FA15" i="283" s="1"/>
  <c r="CA40" i="194"/>
  <c r="C40" i="283"/>
  <c r="FA40" i="283" s="1"/>
  <c r="CA14" i="194"/>
  <c r="C14" i="283"/>
  <c r="CA23" i="194"/>
  <c r="C23" i="283"/>
  <c r="FA23" i="283" s="1"/>
  <c r="CA39" i="194"/>
  <c r="C39" i="283"/>
  <c r="CA4" i="194"/>
  <c r="C4" i="283"/>
  <c r="CA35" i="194"/>
  <c r="C35" i="283"/>
  <c r="CB42" i="194"/>
  <c r="D41" i="283"/>
  <c r="CB43" i="194"/>
  <c r="D42" i="283"/>
  <c r="FA42" i="283" s="1"/>
  <c r="CB13" i="194"/>
  <c r="D13" i="283"/>
  <c r="FA13" i="283" s="1"/>
  <c r="CB10" i="194"/>
  <c r="D10" i="283"/>
  <c r="FA10" i="283" s="1"/>
  <c r="CB14" i="194"/>
  <c r="D14" i="283"/>
  <c r="CB37" i="194"/>
  <c r="D37" i="283"/>
  <c r="CC14" i="194"/>
  <c r="E14" i="283"/>
  <c r="CC17" i="194"/>
  <c r="E17" i="283"/>
  <c r="FA17" i="283" s="1"/>
  <c r="CC39" i="194"/>
  <c r="E39" i="283"/>
  <c r="CC37" i="194"/>
  <c r="E37" i="283"/>
  <c r="CC5" i="194"/>
  <c r="E5" i="283"/>
  <c r="CC34" i="194"/>
  <c r="E34" i="283"/>
  <c r="FA34" i="283" s="1"/>
  <c r="C39" i="278"/>
  <c r="E39" i="278" s="1"/>
  <c r="E38" i="278"/>
  <c r="E12" i="277"/>
  <c r="E32" i="276"/>
  <c r="E12" i="275"/>
  <c r="E32" i="275"/>
  <c r="E12" i="276"/>
  <c r="E32" i="277"/>
  <c r="C36" i="277"/>
  <c r="D35" i="277"/>
  <c r="D36" i="277" s="1"/>
  <c r="C36" i="276"/>
  <c r="D35" i="276"/>
  <c r="D36" i="276" s="1"/>
  <c r="C36" i="275"/>
  <c r="D35" i="275"/>
  <c r="D36" i="275" s="1"/>
  <c r="FB15" i="283" l="1"/>
  <c r="FE15" i="283"/>
  <c r="FB27" i="283"/>
  <c r="FE27" i="283"/>
  <c r="FE55" i="283"/>
  <c r="FB55" i="283"/>
  <c r="D62" i="283"/>
  <c r="FA18" i="283"/>
  <c r="FE18" i="283" s="1"/>
  <c r="FE6" i="283"/>
  <c r="FB6" i="283"/>
  <c r="FB52" i="283"/>
  <c r="FE52" i="283"/>
  <c r="CD65" i="194"/>
  <c r="F63" i="283"/>
  <c r="F64" i="283" s="1"/>
  <c r="FB34" i="283"/>
  <c r="FE34" i="283"/>
  <c r="E62" i="283"/>
  <c r="FA5" i="283"/>
  <c r="FB17" i="283"/>
  <c r="FE17" i="283"/>
  <c r="FB10" i="283"/>
  <c r="FE10" i="283"/>
  <c r="FB13" i="283"/>
  <c r="FE13" i="283"/>
  <c r="FB42" i="283"/>
  <c r="FE42" i="283"/>
  <c r="FA41" i="283"/>
  <c r="FA35" i="283"/>
  <c r="C62" i="283"/>
  <c r="FA4" i="283"/>
  <c r="FE4" i="283" s="1"/>
  <c r="FB23" i="283"/>
  <c r="FE23" i="283"/>
  <c r="FB40" i="283"/>
  <c r="FE40" i="283"/>
  <c r="E40" i="278"/>
  <c r="C38" i="277"/>
  <c r="C38" i="276"/>
  <c r="C38" i="275"/>
  <c r="D32" i="274"/>
  <c r="E35" i="274" s="1"/>
  <c r="E36" i="274" s="1"/>
  <c r="E31" i="274"/>
  <c r="E30" i="274"/>
  <c r="E29" i="274"/>
  <c r="E28" i="274"/>
  <c r="E27" i="274"/>
  <c r="D22" i="274"/>
  <c r="E22" i="274" s="1"/>
  <c r="E21" i="274"/>
  <c r="E20" i="274"/>
  <c r="E19" i="274"/>
  <c r="E18" i="274"/>
  <c r="E17" i="274"/>
  <c r="D12" i="274"/>
  <c r="C35" i="274" s="1"/>
  <c r="E11" i="274"/>
  <c r="E10" i="274"/>
  <c r="E9" i="274"/>
  <c r="E8" i="274"/>
  <c r="E7" i="274"/>
  <c r="BZ39" i="194" l="1"/>
  <c r="B39" i="283"/>
  <c r="FA39" i="283" s="1"/>
  <c r="BZ37" i="194"/>
  <c r="B37" i="283"/>
  <c r="FA37" i="283" s="1"/>
  <c r="BZ60" i="194"/>
  <c r="B58" i="283"/>
  <c r="FA58" i="283" s="1"/>
  <c r="BZ14" i="194"/>
  <c r="B14" i="283"/>
  <c r="FA14" i="283" s="1"/>
  <c r="BZ3" i="194"/>
  <c r="B3" i="283"/>
  <c r="FB35" i="283"/>
  <c r="FE35" i="283"/>
  <c r="FB5" i="283"/>
  <c r="FE5" i="283"/>
  <c r="BZ44" i="194"/>
  <c r="B43" i="283"/>
  <c r="FA43" i="283" s="1"/>
  <c r="BZ52" i="194"/>
  <c r="B50" i="283"/>
  <c r="FA50" i="283" s="1"/>
  <c r="BZ46" i="194"/>
  <c r="B45" i="283"/>
  <c r="FA45" i="283" s="1"/>
  <c r="BZ9" i="194"/>
  <c r="B9" i="283"/>
  <c r="FA9" i="283" s="1"/>
  <c r="FE9" i="283" s="1"/>
  <c r="FB41" i="283"/>
  <c r="FE41" i="283"/>
  <c r="C39" i="277"/>
  <c r="E39" i="277" s="1"/>
  <c r="E38" i="277"/>
  <c r="C39" i="276"/>
  <c r="E39" i="276" s="1"/>
  <c r="E38" i="276"/>
  <c r="C39" i="275"/>
  <c r="E39" i="275" s="1"/>
  <c r="E38" i="275"/>
  <c r="E12" i="274"/>
  <c r="E32" i="274"/>
  <c r="C36" i="274"/>
  <c r="D35" i="274"/>
  <c r="D36" i="274" s="1"/>
  <c r="AR61" i="273"/>
  <c r="AN61" i="273"/>
  <c r="AA61" i="273"/>
  <c r="AA63" i="273" s="1"/>
  <c r="Z61" i="273"/>
  <c r="Z63" i="273" s="1"/>
  <c r="Y61" i="273"/>
  <c r="Y63" i="273" s="1"/>
  <c r="X61" i="273"/>
  <c r="X63" i="273" s="1"/>
  <c r="AQ60" i="273"/>
  <c r="AF60" i="273"/>
  <c r="AJ60" i="273" s="1"/>
  <c r="AQ59" i="273"/>
  <c r="AF59" i="273"/>
  <c r="AJ59" i="273" s="1"/>
  <c r="AQ58" i="273"/>
  <c r="AF58" i="273"/>
  <c r="AJ58" i="273" s="1"/>
  <c r="AQ57" i="273"/>
  <c r="AH57" i="273"/>
  <c r="AQ56" i="273"/>
  <c r="AH56" i="273"/>
  <c r="AQ55" i="273"/>
  <c r="AH55" i="273"/>
  <c r="AF55" i="273"/>
  <c r="AQ54" i="273"/>
  <c r="AH54" i="273"/>
  <c r="AQ53" i="273"/>
  <c r="AH53" i="273"/>
  <c r="AQ52" i="273"/>
  <c r="AH52" i="273"/>
  <c r="AF52" i="273"/>
  <c r="AJ52" i="273" s="1"/>
  <c r="AQ51" i="273"/>
  <c r="AH51" i="273"/>
  <c r="AQ50" i="273"/>
  <c r="AH50" i="273"/>
  <c r="AF50" i="273"/>
  <c r="AQ49" i="273"/>
  <c r="AH49" i="273"/>
  <c r="AH48" i="273"/>
  <c r="AQ47" i="273"/>
  <c r="AH47" i="273"/>
  <c r="AF47" i="273"/>
  <c r="AJ47" i="273" s="1"/>
  <c r="AH46" i="273"/>
  <c r="AQ45" i="273"/>
  <c r="AH45" i="273"/>
  <c r="AF45" i="273"/>
  <c r="AQ44" i="273"/>
  <c r="AH44" i="273"/>
  <c r="AQ43" i="273"/>
  <c r="AH43" i="273"/>
  <c r="AF43" i="273"/>
  <c r="AH42" i="273"/>
  <c r="AQ41" i="273"/>
  <c r="AH41" i="273"/>
  <c r="AH40" i="273"/>
  <c r="AQ39" i="273"/>
  <c r="AH39" i="273"/>
  <c r="AQ38" i="273"/>
  <c r="AH38" i="273"/>
  <c r="AQ37" i="273"/>
  <c r="AH37" i="273"/>
  <c r="AQ36" i="273"/>
  <c r="AH36" i="273"/>
  <c r="AQ35" i="273"/>
  <c r="AH35" i="273"/>
  <c r="AQ34" i="273"/>
  <c r="AH34" i="273"/>
  <c r="AQ33" i="273"/>
  <c r="AH33" i="273"/>
  <c r="AQ32" i="273"/>
  <c r="AH32" i="273"/>
  <c r="AF32" i="273"/>
  <c r="AH31" i="273"/>
  <c r="AF31" i="273"/>
  <c r="AJ31" i="273" s="1"/>
  <c r="AQ30" i="273"/>
  <c r="AH30" i="273"/>
  <c r="AF30" i="273"/>
  <c r="AQ29" i="273"/>
  <c r="AH29" i="273"/>
  <c r="AF29" i="273"/>
  <c r="AJ29" i="273" s="1"/>
  <c r="AQ28" i="273"/>
  <c r="AH28" i="273"/>
  <c r="AF28" i="273"/>
  <c r="AQ27" i="273"/>
  <c r="AH27" i="273"/>
  <c r="AF27" i="273"/>
  <c r="AJ27" i="273" s="1"/>
  <c r="AQ26" i="273"/>
  <c r="AH26" i="273"/>
  <c r="AQ25" i="273"/>
  <c r="AH25" i="273"/>
  <c r="AH24" i="273"/>
  <c r="AF24" i="273"/>
  <c r="AJ24" i="273" s="1"/>
  <c r="AQ23" i="273"/>
  <c r="AH23" i="273"/>
  <c r="AQ22" i="273"/>
  <c r="AH22" i="273"/>
  <c r="AF22" i="273"/>
  <c r="AJ22" i="273" s="1"/>
  <c r="AH21" i="273"/>
  <c r="AQ20" i="273"/>
  <c r="AH20" i="273"/>
  <c r="AQ19" i="273"/>
  <c r="AH19" i="273"/>
  <c r="AH18" i="273"/>
  <c r="AQ17" i="273"/>
  <c r="AH17" i="273"/>
  <c r="AQ16" i="273"/>
  <c r="AH16" i="273"/>
  <c r="AQ15" i="273"/>
  <c r="AH15" i="273"/>
  <c r="AQ14" i="273"/>
  <c r="AH14" i="273"/>
  <c r="AQ13" i="273"/>
  <c r="AH13" i="273"/>
  <c r="AQ12" i="273"/>
  <c r="AH12" i="273"/>
  <c r="AQ11" i="273"/>
  <c r="AH11" i="273"/>
  <c r="AF11" i="273"/>
  <c r="AQ10" i="273"/>
  <c r="AH10" i="273"/>
  <c r="AH9" i="273"/>
  <c r="AQ8" i="273"/>
  <c r="AH8" i="273"/>
  <c r="AQ7" i="273"/>
  <c r="AH7" i="273"/>
  <c r="AQ6" i="273"/>
  <c r="AH6" i="273"/>
  <c r="AQ5" i="273"/>
  <c r="AH5" i="273"/>
  <c r="AH4" i="273"/>
  <c r="AQ3" i="273"/>
  <c r="AH3" i="273"/>
  <c r="IA64" i="194"/>
  <c r="IA66" i="194" s="1"/>
  <c r="HZ64" i="194"/>
  <c r="HY64" i="194"/>
  <c r="HY66" i="194" s="1"/>
  <c r="HX64" i="194"/>
  <c r="HX66" i="194" s="1"/>
  <c r="HW64" i="194"/>
  <c r="HW66" i="194" s="1"/>
  <c r="HV64" i="194"/>
  <c r="HV66" i="194" s="1"/>
  <c r="HU64" i="194"/>
  <c r="HU66" i="194" s="1"/>
  <c r="HT64" i="194"/>
  <c r="HT66" i="194" s="1"/>
  <c r="HS64" i="194"/>
  <c r="HS66" i="194" s="1"/>
  <c r="HR64" i="194"/>
  <c r="HR66" i="194" s="1"/>
  <c r="HQ64" i="194"/>
  <c r="HQ66" i="194" s="1"/>
  <c r="HP64" i="194"/>
  <c r="HP66" i="194" s="1"/>
  <c r="HO64" i="194"/>
  <c r="HO66" i="194" s="1"/>
  <c r="HN64" i="194"/>
  <c r="HN66" i="194" s="1"/>
  <c r="HM64" i="194"/>
  <c r="HM66" i="194" s="1"/>
  <c r="HL64" i="194"/>
  <c r="HL66" i="194" s="1"/>
  <c r="HK64" i="194"/>
  <c r="HK66" i="194" s="1"/>
  <c r="HJ64" i="194"/>
  <c r="HI64" i="194"/>
  <c r="HI66" i="194" s="1"/>
  <c r="HH64" i="194"/>
  <c r="HH66" i="194" s="1"/>
  <c r="HG64" i="194"/>
  <c r="HG66" i="194" s="1"/>
  <c r="HF64" i="194"/>
  <c r="HF66" i="194" s="1"/>
  <c r="HE64" i="194"/>
  <c r="HE66" i="194" s="1"/>
  <c r="HD64" i="194"/>
  <c r="HD66" i="194" s="1"/>
  <c r="HC64" i="194"/>
  <c r="HC66" i="194" s="1"/>
  <c r="HB64" i="194"/>
  <c r="HB66" i="194" s="1"/>
  <c r="HA64" i="194"/>
  <c r="GZ64" i="194"/>
  <c r="GZ66" i="194" s="1"/>
  <c r="GW64" i="194"/>
  <c r="GW66" i="194" s="1"/>
  <c r="GV64" i="194"/>
  <c r="GV66" i="194" s="1"/>
  <c r="GU64" i="194"/>
  <c r="GU66" i="194" s="1"/>
  <c r="GT64" i="194"/>
  <c r="GT66" i="194" s="1"/>
  <c r="GS64" i="194"/>
  <c r="GR64" i="194"/>
  <c r="GQ64" i="194"/>
  <c r="GQ66" i="194" s="1"/>
  <c r="GP64" i="194"/>
  <c r="GP66" i="194" s="1"/>
  <c r="GO64" i="194"/>
  <c r="GO66" i="194" s="1"/>
  <c r="GN64" i="194"/>
  <c r="GN66" i="194" s="1"/>
  <c r="GM64" i="194"/>
  <c r="GM66" i="194" s="1"/>
  <c r="GL64" i="194"/>
  <c r="GL66" i="194" s="1"/>
  <c r="GK64" i="194"/>
  <c r="GK66" i="194" s="1"/>
  <c r="GJ64" i="194"/>
  <c r="GJ66" i="194" s="1"/>
  <c r="GI64" i="194"/>
  <c r="GI66" i="194" s="1"/>
  <c r="GH64" i="194"/>
  <c r="GH66" i="194" s="1"/>
  <c r="GG64" i="194"/>
  <c r="GG66" i="194" s="1"/>
  <c r="GF64" i="194"/>
  <c r="GF66" i="194" s="1"/>
  <c r="GE64" i="194"/>
  <c r="GE66" i="194" s="1"/>
  <c r="GD64" i="194"/>
  <c r="GD66" i="194" s="1"/>
  <c r="GC64" i="194"/>
  <c r="GB64" i="194"/>
  <c r="GB66" i="194" s="1"/>
  <c r="GA64" i="194"/>
  <c r="GA66" i="194" s="1"/>
  <c r="FZ64" i="194"/>
  <c r="FV64" i="194"/>
  <c r="FV66" i="194" s="1"/>
  <c r="FU64" i="194"/>
  <c r="FU66" i="194" s="1"/>
  <c r="FT64" i="194"/>
  <c r="FT66" i="194" s="1"/>
  <c r="FS64" i="194"/>
  <c r="FS66" i="194" s="1"/>
  <c r="FR64" i="194"/>
  <c r="FR66" i="194" s="1"/>
  <c r="FQ64" i="194"/>
  <c r="FQ66" i="194" s="1"/>
  <c r="FP64" i="194"/>
  <c r="FP66" i="194" s="1"/>
  <c r="FO64" i="194"/>
  <c r="FO66" i="194" s="1"/>
  <c r="FN64" i="194"/>
  <c r="FN66" i="194" s="1"/>
  <c r="FM64" i="194"/>
  <c r="FM66" i="194" s="1"/>
  <c r="FL64" i="194"/>
  <c r="FL66" i="194" s="1"/>
  <c r="FK64" i="194"/>
  <c r="FK66" i="194" s="1"/>
  <c r="FJ64" i="194"/>
  <c r="FJ66" i="194" s="1"/>
  <c r="FI64" i="194"/>
  <c r="FI66" i="194" s="1"/>
  <c r="FH64" i="194"/>
  <c r="FH66" i="194" s="1"/>
  <c r="FG64" i="194"/>
  <c r="FG66" i="194" s="1"/>
  <c r="FF64" i="194"/>
  <c r="FF66" i="194" s="1"/>
  <c r="FE64" i="194"/>
  <c r="FE66" i="194" s="1"/>
  <c r="FD64" i="194"/>
  <c r="FD66" i="194" s="1"/>
  <c r="FC64" i="194"/>
  <c r="FC66" i="194" s="1"/>
  <c r="FB64" i="194"/>
  <c r="FB66" i="194" s="1"/>
  <c r="FA64" i="194"/>
  <c r="FA66" i="194" s="1"/>
  <c r="EZ64" i="194"/>
  <c r="EZ66" i="194" s="1"/>
  <c r="EY64" i="194"/>
  <c r="EY66" i="194" s="1"/>
  <c r="EX64" i="194"/>
  <c r="EX66" i="194" s="1"/>
  <c r="EW64" i="194"/>
  <c r="EW66" i="194" s="1"/>
  <c r="EV64" i="194"/>
  <c r="EV66" i="194" s="1"/>
  <c r="EU64" i="194"/>
  <c r="EU66" i="194" s="1"/>
  <c r="ET64" i="194"/>
  <c r="ET66" i="194" s="1"/>
  <c r="ES64" i="194"/>
  <c r="ES66" i="194" s="1"/>
  <c r="ER64" i="194"/>
  <c r="ER66" i="194" s="1"/>
  <c r="EQ64" i="194"/>
  <c r="EQ66" i="194" s="1"/>
  <c r="EP64" i="194"/>
  <c r="EP66" i="194" s="1"/>
  <c r="EO64" i="194"/>
  <c r="EO66" i="194" s="1"/>
  <c r="EN64" i="194"/>
  <c r="EN66" i="194" s="1"/>
  <c r="EM64" i="194"/>
  <c r="EM66" i="194" s="1"/>
  <c r="EL64" i="194"/>
  <c r="EL66" i="194" s="1"/>
  <c r="EK64" i="194"/>
  <c r="EK66" i="194" s="1"/>
  <c r="EJ64" i="194"/>
  <c r="EJ66" i="194" s="1"/>
  <c r="EI64" i="194"/>
  <c r="EI66" i="194" s="1"/>
  <c r="EH64" i="194"/>
  <c r="EH66" i="194" s="1"/>
  <c r="EG64" i="194"/>
  <c r="EG66" i="194" s="1"/>
  <c r="EF64" i="194"/>
  <c r="EF66" i="194" s="1"/>
  <c r="EE64" i="194"/>
  <c r="EE66" i="194" s="1"/>
  <c r="ED64" i="194"/>
  <c r="ED66" i="194" s="1"/>
  <c r="EC64" i="194"/>
  <c r="EC66" i="194" s="1"/>
  <c r="EB64" i="194"/>
  <c r="EB66" i="194" s="1"/>
  <c r="EA64" i="194"/>
  <c r="EA66" i="194" s="1"/>
  <c r="DZ64" i="194"/>
  <c r="DZ66" i="194" s="1"/>
  <c r="DY64" i="194"/>
  <c r="DY66" i="194" s="1"/>
  <c r="DX64" i="194"/>
  <c r="DX66" i="194" s="1"/>
  <c r="DW64" i="194"/>
  <c r="DW66" i="194" s="1"/>
  <c r="DV64" i="194"/>
  <c r="DV66" i="194" s="1"/>
  <c r="DU64" i="194"/>
  <c r="DU66" i="194" s="1"/>
  <c r="DT64" i="194"/>
  <c r="DT66" i="194" s="1"/>
  <c r="DS64" i="194"/>
  <c r="DS66" i="194" s="1"/>
  <c r="DR64" i="194"/>
  <c r="DR66" i="194" s="1"/>
  <c r="DQ64" i="194"/>
  <c r="DQ66" i="194" s="1"/>
  <c r="DP64" i="194"/>
  <c r="DP66" i="194" s="1"/>
  <c r="DO64" i="194"/>
  <c r="DO66" i="194" s="1"/>
  <c r="DN64" i="194"/>
  <c r="DN66" i="194" s="1"/>
  <c r="DM64" i="194"/>
  <c r="DM66" i="194" s="1"/>
  <c r="DL64" i="194"/>
  <c r="DL66" i="194" s="1"/>
  <c r="DK64" i="194"/>
  <c r="DK66" i="194" s="1"/>
  <c r="DJ64" i="194"/>
  <c r="DJ66" i="194" s="1"/>
  <c r="DI64" i="194"/>
  <c r="DI66" i="194" s="1"/>
  <c r="DH64" i="194"/>
  <c r="DH66" i="194" s="1"/>
  <c r="DG64" i="194"/>
  <c r="DG66" i="194" s="1"/>
  <c r="DF64" i="194"/>
  <c r="DF66" i="194" s="1"/>
  <c r="DE64" i="194"/>
  <c r="DE66" i="194" s="1"/>
  <c r="DD64" i="194"/>
  <c r="DD66" i="194" s="1"/>
  <c r="DC64" i="194"/>
  <c r="DC66" i="194" s="1"/>
  <c r="DB64" i="194"/>
  <c r="DB66" i="194" s="1"/>
  <c r="DA64" i="194"/>
  <c r="DA66" i="194" s="1"/>
  <c r="CZ64" i="194"/>
  <c r="CZ66" i="194" s="1"/>
  <c r="CY64" i="194"/>
  <c r="CY66" i="194" s="1"/>
  <c r="CX64" i="194"/>
  <c r="CX66" i="194" s="1"/>
  <c r="CW64" i="194"/>
  <c r="CW66" i="194" s="1"/>
  <c r="CV64" i="194"/>
  <c r="CV66" i="194" s="1"/>
  <c r="CU64" i="194"/>
  <c r="CU66" i="194" s="1"/>
  <c r="CT64" i="194"/>
  <c r="CT66" i="194" s="1"/>
  <c r="CS64" i="194"/>
  <c r="CS66" i="194" s="1"/>
  <c r="CR64" i="194"/>
  <c r="CR66" i="194" s="1"/>
  <c r="CQ64" i="194"/>
  <c r="CQ66" i="194" s="1"/>
  <c r="CP64" i="194"/>
  <c r="CP66" i="194" s="1"/>
  <c r="CO64" i="194"/>
  <c r="CO66" i="194" s="1"/>
  <c r="CN64" i="194"/>
  <c r="CN66" i="194" s="1"/>
  <c r="CM64" i="194"/>
  <c r="CM66" i="194" s="1"/>
  <c r="CL64" i="194"/>
  <c r="CL66" i="194" s="1"/>
  <c r="CK64" i="194"/>
  <c r="CK66" i="194" s="1"/>
  <c r="CJ64" i="194"/>
  <c r="CJ66" i="194" s="1"/>
  <c r="CI64" i="194"/>
  <c r="CI66" i="194" s="1"/>
  <c r="CH64" i="194"/>
  <c r="CH66" i="194" s="1"/>
  <c r="HZ66" i="194"/>
  <c r="HJ66" i="194"/>
  <c r="GC66" i="194"/>
  <c r="B35" i="383" l="1"/>
  <c r="F35" i="383" s="1"/>
  <c r="I35" i="383" s="1"/>
  <c r="HA66" i="194"/>
  <c r="GS66" i="194"/>
  <c r="B34" i="383"/>
  <c r="F34" i="383" s="1"/>
  <c r="I34" i="383" s="1"/>
  <c r="B33" i="383"/>
  <c r="F33" i="383" s="1"/>
  <c r="I33" i="383" s="1"/>
  <c r="GR66" i="194"/>
  <c r="FZ66" i="194"/>
  <c r="B32" i="383"/>
  <c r="F32" i="383" s="1"/>
  <c r="I32" i="383" s="1"/>
  <c r="CA65" i="194"/>
  <c r="C63" i="283"/>
  <c r="C64" i="283" s="1"/>
  <c r="CB65" i="194"/>
  <c r="D63" i="283"/>
  <c r="D64" i="283" s="1"/>
  <c r="CC65" i="194"/>
  <c r="E63" i="283"/>
  <c r="E64" i="283" s="1"/>
  <c r="FB45" i="283"/>
  <c r="FE45" i="283"/>
  <c r="FB50" i="283"/>
  <c r="FE50" i="283"/>
  <c r="FE43" i="283"/>
  <c r="FB43" i="283"/>
  <c r="B62" i="283"/>
  <c r="FA3" i="283"/>
  <c r="FB14" i="283"/>
  <c r="FE14" i="283"/>
  <c r="FE58" i="283"/>
  <c r="FB58" i="283"/>
  <c r="FB37" i="283"/>
  <c r="FE37" i="283"/>
  <c r="FB39" i="283"/>
  <c r="FE39" i="283"/>
  <c r="AG47" i="273"/>
  <c r="E40" i="275"/>
  <c r="E40" i="276"/>
  <c r="E40" i="277"/>
  <c r="C38" i="274"/>
  <c r="AG52" i="273"/>
  <c r="AG59" i="273"/>
  <c r="AQ61" i="273"/>
  <c r="AG22" i="273"/>
  <c r="AG27" i="273"/>
  <c r="AG29" i="273"/>
  <c r="AG58" i="273"/>
  <c r="AG60" i="273"/>
  <c r="AJ11" i="273"/>
  <c r="AG11" i="273"/>
  <c r="AJ45" i="273"/>
  <c r="AG45" i="273"/>
  <c r="AJ55" i="273"/>
  <c r="AG55" i="273"/>
  <c r="AJ32" i="273"/>
  <c r="AG32" i="273"/>
  <c r="AJ50" i="273"/>
  <c r="AG50" i="273"/>
  <c r="AJ28" i="273"/>
  <c r="AG28" i="273"/>
  <c r="AJ30" i="273"/>
  <c r="AG30" i="273"/>
  <c r="AJ43" i="273"/>
  <c r="AG43" i="273"/>
  <c r="D32" i="272"/>
  <c r="E32" i="272" s="1"/>
  <c r="E31" i="272"/>
  <c r="E30" i="272"/>
  <c r="E29" i="272"/>
  <c r="E28" i="272"/>
  <c r="E27" i="272"/>
  <c r="D22" i="272"/>
  <c r="D35" i="272" s="1"/>
  <c r="D36" i="272" s="1"/>
  <c r="E21" i="272"/>
  <c r="E20" i="272"/>
  <c r="E19" i="272"/>
  <c r="E18" i="272"/>
  <c r="E17" i="272"/>
  <c r="D12" i="272"/>
  <c r="E12" i="272" s="1"/>
  <c r="E11" i="272"/>
  <c r="E10" i="272"/>
  <c r="E9" i="272"/>
  <c r="E8" i="272"/>
  <c r="E7" i="272"/>
  <c r="FE3" i="283" l="1"/>
  <c r="FA62" i="283"/>
  <c r="FB3" i="283"/>
  <c r="FB62" i="283" s="1"/>
  <c r="AE56" i="273"/>
  <c r="BY59" i="194"/>
  <c r="AE39" i="273"/>
  <c r="BY40" i="194"/>
  <c r="BY12" i="194"/>
  <c r="AE12" i="273"/>
  <c r="AE26" i="273"/>
  <c r="BY27" i="194"/>
  <c r="AE48" i="273"/>
  <c r="BY51" i="194"/>
  <c r="AE37" i="273"/>
  <c r="BY38" i="194"/>
  <c r="AE4" i="273"/>
  <c r="BY4" i="194"/>
  <c r="AE20" i="273"/>
  <c r="BY20" i="194"/>
  <c r="AE44" i="273"/>
  <c r="BY46" i="194"/>
  <c r="AE15" i="273"/>
  <c r="BY15" i="194"/>
  <c r="C39" i="274"/>
  <c r="E39" i="274" s="1"/>
  <c r="E38" i="274"/>
  <c r="E22" i="272"/>
  <c r="C35" i="272"/>
  <c r="E35" i="272"/>
  <c r="E36" i="272" s="1"/>
  <c r="K5" i="192" l="1"/>
  <c r="B5" i="192" s="1"/>
  <c r="B19" i="192" s="1"/>
  <c r="K5" i="383"/>
  <c r="BZ65" i="194"/>
  <c r="B63" i="283"/>
  <c r="B64" i="283" s="1"/>
  <c r="AE61" i="273"/>
  <c r="E40" i="274"/>
  <c r="C36" i="272"/>
  <c r="C38" i="272"/>
  <c r="B5" i="383" l="1"/>
  <c r="F5" i="383" s="1"/>
  <c r="I5" i="383" s="1"/>
  <c r="N5" i="383"/>
  <c r="E38" i="272"/>
  <c r="C39" i="272"/>
  <c r="E39" i="272" s="1"/>
  <c r="D32" i="271"/>
  <c r="E35" i="271" s="1"/>
  <c r="E36" i="271" s="1"/>
  <c r="E31" i="271"/>
  <c r="E30" i="271"/>
  <c r="E29" i="271"/>
  <c r="E28" i="271"/>
  <c r="E27" i="271"/>
  <c r="D22" i="271"/>
  <c r="E22" i="271" s="1"/>
  <c r="E21" i="271"/>
  <c r="E20" i="271"/>
  <c r="E19" i="271"/>
  <c r="E18" i="271"/>
  <c r="E17" i="271"/>
  <c r="D12" i="271"/>
  <c r="C35" i="271" s="1"/>
  <c r="E11" i="271"/>
  <c r="E10" i="271"/>
  <c r="E9" i="271"/>
  <c r="E8" i="271"/>
  <c r="E7" i="271"/>
  <c r="O5" i="383" l="1"/>
  <c r="AD41" i="273"/>
  <c r="BX43" i="194"/>
  <c r="AD48" i="273"/>
  <c r="BX51" i="194"/>
  <c r="AD57" i="273"/>
  <c r="BX60" i="194"/>
  <c r="AD42" i="273"/>
  <c r="BX44" i="194"/>
  <c r="AD12" i="273"/>
  <c r="BX12" i="194"/>
  <c r="AD26" i="273"/>
  <c r="BX27" i="194"/>
  <c r="AD37" i="273"/>
  <c r="BX38" i="194"/>
  <c r="AD8" i="273"/>
  <c r="BX8" i="194"/>
  <c r="AD35" i="273"/>
  <c r="BX36" i="194"/>
  <c r="AE62" i="273"/>
  <c r="AE63" i="273" s="1"/>
  <c r="BY65" i="194"/>
  <c r="E40" i="272"/>
  <c r="E12" i="271"/>
  <c r="E32" i="271"/>
  <c r="C36" i="271"/>
  <c r="D35" i="271"/>
  <c r="D36" i="271" s="1"/>
  <c r="D32" i="270"/>
  <c r="E35" i="270" s="1"/>
  <c r="E36" i="270" s="1"/>
  <c r="E31" i="270"/>
  <c r="E30" i="270"/>
  <c r="E29" i="270"/>
  <c r="E28" i="270"/>
  <c r="E27" i="270"/>
  <c r="D22" i="270"/>
  <c r="E22" i="270" s="1"/>
  <c r="E21" i="270"/>
  <c r="E20" i="270"/>
  <c r="E19" i="270"/>
  <c r="E18" i="270"/>
  <c r="E17" i="270"/>
  <c r="D12" i="270"/>
  <c r="C35" i="270" s="1"/>
  <c r="E11" i="270"/>
  <c r="E10" i="270"/>
  <c r="E9" i="270"/>
  <c r="E8" i="270"/>
  <c r="E7" i="270"/>
  <c r="AC44" i="273" l="1"/>
  <c r="BW46" i="194"/>
  <c r="AC3" i="273"/>
  <c r="BW3" i="194"/>
  <c r="AC13" i="273"/>
  <c r="BW13" i="194"/>
  <c r="AC16" i="273"/>
  <c r="BW16" i="194"/>
  <c r="AC40" i="273"/>
  <c r="BW42" i="194"/>
  <c r="AC37" i="273"/>
  <c r="BW38" i="194"/>
  <c r="AC20" i="273"/>
  <c r="BW20" i="194"/>
  <c r="AC35" i="273"/>
  <c r="BW36" i="194"/>
  <c r="AC23" i="273"/>
  <c r="BW23" i="194"/>
  <c r="AD61" i="273"/>
  <c r="C38" i="271"/>
  <c r="E12" i="270"/>
  <c r="E32" i="270"/>
  <c r="C36" i="270"/>
  <c r="D35" i="270"/>
  <c r="D36" i="270" s="1"/>
  <c r="AC61" i="273" l="1"/>
  <c r="C39" i="271"/>
  <c r="E39" i="271" s="1"/>
  <c r="E38" i="271"/>
  <c r="C38" i="270"/>
  <c r="D32" i="269"/>
  <c r="E35" i="269" s="1"/>
  <c r="E36" i="269" s="1"/>
  <c r="E31" i="269"/>
  <c r="E30" i="269"/>
  <c r="E29" i="269"/>
  <c r="E28" i="269"/>
  <c r="E27" i="269"/>
  <c r="D22" i="269"/>
  <c r="E22" i="269" s="1"/>
  <c r="E21" i="269"/>
  <c r="E20" i="269"/>
  <c r="E19" i="269"/>
  <c r="E18" i="269"/>
  <c r="E17" i="269"/>
  <c r="D12" i="269"/>
  <c r="C35" i="269" s="1"/>
  <c r="E11" i="269"/>
  <c r="E10" i="269"/>
  <c r="E9" i="269"/>
  <c r="E8" i="269"/>
  <c r="E7" i="269"/>
  <c r="AB36" i="273" l="1"/>
  <c r="BV37" i="194"/>
  <c r="AB8" i="273"/>
  <c r="BV8" i="194"/>
  <c r="AB5" i="273"/>
  <c r="BV5" i="194"/>
  <c r="AB13" i="273"/>
  <c r="BV13" i="194"/>
  <c r="E12" i="269"/>
  <c r="AB10" i="273"/>
  <c r="BV10" i="194"/>
  <c r="AB46" i="273"/>
  <c r="BV49" i="194"/>
  <c r="AD62" i="273"/>
  <c r="AD63" i="273" s="1"/>
  <c r="BX65" i="194"/>
  <c r="E40" i="271"/>
  <c r="C39" i="270"/>
  <c r="E39" i="270" s="1"/>
  <c r="E38" i="270"/>
  <c r="E32" i="269"/>
  <c r="C36" i="269"/>
  <c r="D35" i="269"/>
  <c r="D36" i="269" s="1"/>
  <c r="D32" i="268"/>
  <c r="E35" i="268" s="1"/>
  <c r="E36" i="268" s="1"/>
  <c r="E31" i="268"/>
  <c r="E30" i="268"/>
  <c r="E29" i="268"/>
  <c r="E28" i="268"/>
  <c r="E27" i="268"/>
  <c r="D22" i="268"/>
  <c r="E22" i="268" s="1"/>
  <c r="E21" i="268"/>
  <c r="E20" i="268"/>
  <c r="E19" i="268"/>
  <c r="E18" i="268"/>
  <c r="E17" i="268"/>
  <c r="D12" i="268"/>
  <c r="C35" i="268" s="1"/>
  <c r="E11" i="268"/>
  <c r="E10" i="268"/>
  <c r="E9" i="268"/>
  <c r="E8" i="268"/>
  <c r="E7" i="268"/>
  <c r="W21" i="273" l="1"/>
  <c r="BQ21" i="194"/>
  <c r="W39" i="273"/>
  <c r="BQ40" i="194"/>
  <c r="W13" i="273"/>
  <c r="BQ13" i="194"/>
  <c r="W49" i="273"/>
  <c r="BQ52" i="194"/>
  <c r="W3" i="273"/>
  <c r="BQ3" i="194"/>
  <c r="W51" i="273"/>
  <c r="BQ54" i="194"/>
  <c r="W44" i="273"/>
  <c r="BQ46" i="194"/>
  <c r="W17" i="273"/>
  <c r="BQ17" i="194"/>
  <c r="W8" i="273"/>
  <c r="BQ8" i="194"/>
  <c r="W25" i="273"/>
  <c r="BQ26" i="194"/>
  <c r="W35" i="273"/>
  <c r="BQ36" i="194"/>
  <c r="W54" i="273"/>
  <c r="BQ57" i="194"/>
  <c r="AC62" i="273"/>
  <c r="AC63" i="273" s="1"/>
  <c r="BW65" i="194"/>
  <c r="AB61" i="273"/>
  <c r="E40" i="270"/>
  <c r="C38" i="269"/>
  <c r="E32" i="268"/>
  <c r="E12" i="268"/>
  <c r="C36" i="268"/>
  <c r="D35" i="268"/>
  <c r="D36" i="268" s="1"/>
  <c r="W61" i="273" l="1"/>
  <c r="C39" i="269"/>
  <c r="E39" i="269" s="1"/>
  <c r="E38" i="269"/>
  <c r="C38" i="268"/>
  <c r="D32" i="267"/>
  <c r="E35" i="267" s="1"/>
  <c r="E36" i="267" s="1"/>
  <c r="E31" i="267"/>
  <c r="E30" i="267"/>
  <c r="E29" i="267"/>
  <c r="E28" i="267"/>
  <c r="E27" i="267"/>
  <c r="D22" i="267"/>
  <c r="E22" i="267" s="1"/>
  <c r="E21" i="267"/>
  <c r="E20" i="267"/>
  <c r="E19" i="267"/>
  <c r="E18" i="267"/>
  <c r="E17" i="267"/>
  <c r="D12" i="267"/>
  <c r="C35" i="267" s="1"/>
  <c r="E11" i="267"/>
  <c r="E10" i="267"/>
  <c r="E9" i="267"/>
  <c r="E8" i="267"/>
  <c r="E7" i="267"/>
  <c r="V20" i="273" l="1"/>
  <c r="BP20" i="194"/>
  <c r="V42" i="273"/>
  <c r="BP44" i="194"/>
  <c r="V48" i="273"/>
  <c r="BP51" i="194"/>
  <c r="V23" i="273"/>
  <c r="BP23" i="194"/>
  <c r="V6" i="273"/>
  <c r="BP6" i="194"/>
  <c r="V57" i="273"/>
  <c r="BP60" i="194"/>
  <c r="V38" i="273"/>
  <c r="BP39" i="194"/>
  <c r="V53" i="273"/>
  <c r="BP56" i="194"/>
  <c r="V12" i="273"/>
  <c r="BP12" i="194"/>
  <c r="AB62" i="273"/>
  <c r="AB63" i="273" s="1"/>
  <c r="BV65" i="194"/>
  <c r="V34" i="273"/>
  <c r="BP35" i="194"/>
  <c r="E40" i="269"/>
  <c r="C39" i="268"/>
  <c r="E39" i="268" s="1"/>
  <c r="E38" i="268"/>
  <c r="E32" i="267"/>
  <c r="E12" i="267"/>
  <c r="C36" i="267"/>
  <c r="D35" i="267"/>
  <c r="D36" i="267" s="1"/>
  <c r="W62" i="273" l="1"/>
  <c r="W63" i="273" s="1"/>
  <c r="BQ65" i="194"/>
  <c r="V61" i="273"/>
  <c r="E40" i="268"/>
  <c r="C38" i="267"/>
  <c r="D32" i="266"/>
  <c r="E35" i="266" s="1"/>
  <c r="E36" i="266" s="1"/>
  <c r="E31" i="266"/>
  <c r="E30" i="266"/>
  <c r="E29" i="266"/>
  <c r="E28" i="266"/>
  <c r="E27" i="266"/>
  <c r="D22" i="266"/>
  <c r="E22" i="266" s="1"/>
  <c r="E21" i="266"/>
  <c r="E20" i="266"/>
  <c r="E19" i="266"/>
  <c r="E18" i="266"/>
  <c r="E17" i="266"/>
  <c r="D12" i="266"/>
  <c r="C35" i="266" s="1"/>
  <c r="E11" i="266"/>
  <c r="E10" i="266"/>
  <c r="E9" i="266"/>
  <c r="E8" i="266"/>
  <c r="E7" i="266"/>
  <c r="D32" i="265"/>
  <c r="E35" i="265" s="1"/>
  <c r="E36" i="265" s="1"/>
  <c r="E31" i="265"/>
  <c r="E30" i="265"/>
  <c r="E29" i="265"/>
  <c r="E28" i="265"/>
  <c r="E27" i="265"/>
  <c r="D22" i="265"/>
  <c r="E22" i="265" s="1"/>
  <c r="E21" i="265"/>
  <c r="E20" i="265"/>
  <c r="E19" i="265"/>
  <c r="E18" i="265"/>
  <c r="E17" i="265"/>
  <c r="D12" i="265"/>
  <c r="C35" i="265" s="1"/>
  <c r="E11" i="265"/>
  <c r="E10" i="265"/>
  <c r="E9" i="265"/>
  <c r="E8" i="265"/>
  <c r="E7" i="265"/>
  <c r="D32" i="264"/>
  <c r="E35" i="264" s="1"/>
  <c r="E36" i="264" s="1"/>
  <c r="E31" i="264"/>
  <c r="E30" i="264"/>
  <c r="E29" i="264"/>
  <c r="E28" i="264"/>
  <c r="E27" i="264"/>
  <c r="D22" i="264"/>
  <c r="E22" i="264" s="1"/>
  <c r="E21" i="264"/>
  <c r="E20" i="264"/>
  <c r="E19" i="264"/>
  <c r="E18" i="264"/>
  <c r="E17" i="264"/>
  <c r="D12" i="264"/>
  <c r="C35" i="264" s="1"/>
  <c r="E11" i="264"/>
  <c r="E10" i="264"/>
  <c r="E9" i="264"/>
  <c r="E8" i="264"/>
  <c r="E7" i="264"/>
  <c r="S8" i="273" l="1"/>
  <c r="BM8" i="194"/>
  <c r="S10" i="273"/>
  <c r="BM10" i="194"/>
  <c r="S42" i="273"/>
  <c r="BM44" i="194"/>
  <c r="S49" i="273"/>
  <c r="BM52" i="194"/>
  <c r="S18" i="273"/>
  <c r="BM18" i="194"/>
  <c r="S13" i="273"/>
  <c r="BM13" i="194"/>
  <c r="S15" i="273"/>
  <c r="BM15" i="194"/>
  <c r="T3" i="273"/>
  <c r="BN3" i="194"/>
  <c r="T54" i="273"/>
  <c r="BN57" i="194"/>
  <c r="T39" i="273"/>
  <c r="BN40" i="194"/>
  <c r="T34" i="273"/>
  <c r="BN35" i="194"/>
  <c r="T26" i="273"/>
  <c r="BN27" i="194"/>
  <c r="U17" i="273"/>
  <c r="BO17" i="194"/>
  <c r="U40" i="273"/>
  <c r="BO42" i="194"/>
  <c r="U19" i="273"/>
  <c r="BO19" i="194"/>
  <c r="U18" i="273"/>
  <c r="BO18" i="194"/>
  <c r="U15" i="273"/>
  <c r="BO15" i="194"/>
  <c r="U33" i="273"/>
  <c r="BO34" i="194"/>
  <c r="S25" i="273"/>
  <c r="BM26" i="194"/>
  <c r="S20" i="273"/>
  <c r="BM20" i="194"/>
  <c r="S16" i="273"/>
  <c r="BM16" i="194"/>
  <c r="S9" i="273"/>
  <c r="BM9" i="194"/>
  <c r="BM64" i="194" s="1"/>
  <c r="T46" i="273"/>
  <c r="BN49" i="194"/>
  <c r="T20" i="273"/>
  <c r="BN20" i="194"/>
  <c r="T36" i="273"/>
  <c r="BN37" i="194"/>
  <c r="T33" i="273"/>
  <c r="BN34" i="194"/>
  <c r="T15" i="273"/>
  <c r="BN15" i="194"/>
  <c r="U46" i="273"/>
  <c r="BO49" i="194"/>
  <c r="U44" i="273"/>
  <c r="BO46" i="194"/>
  <c r="U36" i="273"/>
  <c r="BO37" i="194"/>
  <c r="U10" i="273"/>
  <c r="BO10" i="194"/>
  <c r="U5" i="273"/>
  <c r="BO5" i="194"/>
  <c r="U26" i="273"/>
  <c r="BO27" i="194"/>
  <c r="C39" i="267"/>
  <c r="E39" i="267" s="1"/>
  <c r="E38" i="267"/>
  <c r="E32" i="266"/>
  <c r="E12" i="266"/>
  <c r="E32" i="265"/>
  <c r="E12" i="265"/>
  <c r="E12" i="264"/>
  <c r="C36" i="266"/>
  <c r="D35" i="266"/>
  <c r="D36" i="266" s="1"/>
  <c r="C36" i="265"/>
  <c r="D35" i="265"/>
  <c r="D36" i="265" s="1"/>
  <c r="E32" i="264"/>
  <c r="C36" i="264"/>
  <c r="D35" i="264"/>
  <c r="D36" i="264" s="1"/>
  <c r="V62" i="273" l="1"/>
  <c r="V63" i="273" s="1"/>
  <c r="BP65" i="194"/>
  <c r="U61" i="273"/>
  <c r="T61" i="273"/>
  <c r="S61" i="273"/>
  <c r="E40" i="267"/>
  <c r="C38" i="266"/>
  <c r="C38" i="265"/>
  <c r="C38" i="264"/>
  <c r="D32" i="263"/>
  <c r="E35" i="263" s="1"/>
  <c r="E36" i="263" s="1"/>
  <c r="E31" i="263"/>
  <c r="E30" i="263"/>
  <c r="E29" i="263"/>
  <c r="E28" i="263"/>
  <c r="E27" i="263"/>
  <c r="D22" i="263"/>
  <c r="E22" i="263" s="1"/>
  <c r="E21" i="263"/>
  <c r="E20" i="263"/>
  <c r="E19" i="263"/>
  <c r="E18" i="263"/>
  <c r="E17" i="263"/>
  <c r="D12" i="263"/>
  <c r="C35" i="263" s="1"/>
  <c r="E11" i="263"/>
  <c r="E10" i="263"/>
  <c r="E9" i="263"/>
  <c r="E8" i="263"/>
  <c r="E7" i="263"/>
  <c r="D32" i="262"/>
  <c r="E35" i="262" s="1"/>
  <c r="E36" i="262" s="1"/>
  <c r="E31" i="262"/>
  <c r="E30" i="262"/>
  <c r="E29" i="262"/>
  <c r="E28" i="262"/>
  <c r="E27" i="262"/>
  <c r="D22" i="262"/>
  <c r="E22" i="262" s="1"/>
  <c r="E21" i="262"/>
  <c r="E20" i="262"/>
  <c r="E19" i="262"/>
  <c r="E18" i="262"/>
  <c r="E17" i="262"/>
  <c r="D12" i="262"/>
  <c r="C35" i="262" s="1"/>
  <c r="E11" i="262"/>
  <c r="E10" i="262"/>
  <c r="E9" i="262"/>
  <c r="E8" i="262"/>
  <c r="E7" i="262"/>
  <c r="Q38" i="273" l="1"/>
  <c r="BK39" i="194"/>
  <c r="Q21" i="273"/>
  <c r="BK21" i="194"/>
  <c r="Q6" i="273"/>
  <c r="BK6" i="194"/>
  <c r="Q18" i="273"/>
  <c r="BK18" i="194"/>
  <c r="Q48" i="273"/>
  <c r="BK51" i="194"/>
  <c r="Q51" i="273"/>
  <c r="BK54" i="194"/>
  <c r="Q3" i="273"/>
  <c r="BK3" i="194"/>
  <c r="Q9" i="273"/>
  <c r="BK9" i="194"/>
  <c r="R13" i="273"/>
  <c r="BL13" i="194"/>
  <c r="R44" i="273"/>
  <c r="BL46" i="194"/>
  <c r="R3" i="273"/>
  <c r="BL3" i="194"/>
  <c r="R38" i="273"/>
  <c r="BL39" i="194"/>
  <c r="R8" i="273"/>
  <c r="BL8" i="194"/>
  <c r="Q44" i="273"/>
  <c r="BK46" i="194"/>
  <c r="Q4" i="273"/>
  <c r="BK4" i="194"/>
  <c r="Q35" i="273"/>
  <c r="BK36" i="194"/>
  <c r="Q39" i="273"/>
  <c r="BK40" i="194"/>
  <c r="R46" i="273"/>
  <c r="BL49" i="194"/>
  <c r="R51" i="273"/>
  <c r="BL54" i="194"/>
  <c r="R25" i="273"/>
  <c r="AF25" i="273" s="1"/>
  <c r="BL26" i="194"/>
  <c r="R35" i="273"/>
  <c r="BL36" i="194"/>
  <c r="C39" i="266"/>
  <c r="E39" i="266" s="1"/>
  <c r="E38" i="266"/>
  <c r="C39" i="265"/>
  <c r="E39" i="265" s="1"/>
  <c r="E38" i="265"/>
  <c r="C39" i="264"/>
  <c r="E39" i="264" s="1"/>
  <c r="E38" i="264"/>
  <c r="E12" i="263"/>
  <c r="E12" i="262"/>
  <c r="E32" i="263"/>
  <c r="E32" i="262"/>
  <c r="C36" i="263"/>
  <c r="D35" i="263"/>
  <c r="D36" i="263" s="1"/>
  <c r="C36" i="262"/>
  <c r="D35" i="262"/>
  <c r="D36" i="262" s="1"/>
  <c r="D32" i="261"/>
  <c r="E32" i="261" s="1"/>
  <c r="E31" i="261"/>
  <c r="E30" i="261"/>
  <c r="E29" i="261"/>
  <c r="E28" i="261"/>
  <c r="E27" i="261"/>
  <c r="D22" i="261"/>
  <c r="D35" i="261" s="1"/>
  <c r="D36" i="261" s="1"/>
  <c r="E21" i="261"/>
  <c r="E20" i="261"/>
  <c r="E19" i="261"/>
  <c r="E18" i="261"/>
  <c r="E17" i="261"/>
  <c r="D12" i="261"/>
  <c r="E12" i="261" s="1"/>
  <c r="E11" i="261"/>
  <c r="E10" i="261"/>
  <c r="E9" i="261"/>
  <c r="E8" i="261"/>
  <c r="E7" i="261"/>
  <c r="AF51" i="273" l="1"/>
  <c r="AG51" i="273" s="1"/>
  <c r="P19" i="273"/>
  <c r="BJ19" i="194"/>
  <c r="P56" i="273"/>
  <c r="BJ59" i="194"/>
  <c r="P49" i="273"/>
  <c r="BJ52" i="194"/>
  <c r="S62" i="273"/>
  <c r="S63" i="273" s="1"/>
  <c r="BM65" i="194"/>
  <c r="U62" i="273"/>
  <c r="U63" i="273" s="1"/>
  <c r="BO65" i="194"/>
  <c r="P38" i="273"/>
  <c r="BJ39" i="194"/>
  <c r="P26" i="273"/>
  <c r="BJ27" i="194"/>
  <c r="P37" i="273"/>
  <c r="BJ38" i="194"/>
  <c r="P42" i="273"/>
  <c r="BJ44" i="194"/>
  <c r="P15" i="273"/>
  <c r="BJ15" i="194"/>
  <c r="P16" i="273"/>
  <c r="AF16" i="273" s="1"/>
  <c r="BJ16" i="194"/>
  <c r="AJ25" i="273"/>
  <c r="AG25" i="273"/>
  <c r="BL64" i="194"/>
  <c r="P13" i="273"/>
  <c r="BJ13" i="194"/>
  <c r="P12" i="273"/>
  <c r="BJ12" i="194"/>
  <c r="P46" i="273"/>
  <c r="BJ49" i="194"/>
  <c r="T62" i="273"/>
  <c r="T63" i="273" s="1"/>
  <c r="BN65" i="194"/>
  <c r="R61" i="273"/>
  <c r="Q61" i="273"/>
  <c r="AJ51" i="273"/>
  <c r="E40" i="266"/>
  <c r="E40" i="265"/>
  <c r="E40" i="264"/>
  <c r="C38" i="263"/>
  <c r="C38" i="262"/>
  <c r="E22" i="261"/>
  <c r="C35" i="261"/>
  <c r="E35" i="261"/>
  <c r="E36" i="261" s="1"/>
  <c r="E7" i="260"/>
  <c r="E8" i="260"/>
  <c r="E9" i="260"/>
  <c r="E10" i="260"/>
  <c r="E11" i="260"/>
  <c r="D12" i="260"/>
  <c r="E12" i="260" s="1"/>
  <c r="E17" i="260"/>
  <c r="E18" i="260"/>
  <c r="E19" i="260"/>
  <c r="E20" i="260"/>
  <c r="E21" i="260"/>
  <c r="D22" i="260"/>
  <c r="E22" i="260" s="1"/>
  <c r="E27" i="260"/>
  <c r="E28" i="260"/>
  <c r="E29" i="260"/>
  <c r="E30" i="260"/>
  <c r="E31" i="260"/>
  <c r="D32" i="260"/>
  <c r="E32" i="260" s="1"/>
  <c r="D35" i="260" l="1"/>
  <c r="D36" i="260" s="1"/>
  <c r="E35" i="260"/>
  <c r="E36" i="260" s="1"/>
  <c r="O53" i="273"/>
  <c r="BI56" i="194"/>
  <c r="O54" i="273"/>
  <c r="BI57" i="194"/>
  <c r="O37" i="273"/>
  <c r="BI38" i="194"/>
  <c r="O21" i="273"/>
  <c r="BI21" i="194"/>
  <c r="O40" i="273"/>
  <c r="BI42" i="194"/>
  <c r="C35" i="260"/>
  <c r="C36" i="260" s="1"/>
  <c r="O35" i="273"/>
  <c r="BI36" i="194"/>
  <c r="O23" i="273"/>
  <c r="BI23" i="194"/>
  <c r="O57" i="273"/>
  <c r="BI60" i="194"/>
  <c r="O17" i="273"/>
  <c r="BI17" i="194"/>
  <c r="O36" i="273"/>
  <c r="BI37" i="194"/>
  <c r="P61" i="273"/>
  <c r="O34" i="273"/>
  <c r="BI35" i="194"/>
  <c r="AJ16" i="273"/>
  <c r="AG16" i="273"/>
  <c r="C39" i="263"/>
  <c r="E39" i="263" s="1"/>
  <c r="E38" i="263"/>
  <c r="C39" i="262"/>
  <c r="E39" i="262" s="1"/>
  <c r="E38" i="262"/>
  <c r="C36" i="261"/>
  <c r="C38" i="261"/>
  <c r="C38" i="260" l="1"/>
  <c r="E38" i="260" s="1"/>
  <c r="Q62" i="273"/>
  <c r="Q63" i="273" s="1"/>
  <c r="BK65" i="194"/>
  <c r="R62" i="273"/>
  <c r="R63" i="273" s="1"/>
  <c r="BL65" i="194"/>
  <c r="O61" i="273"/>
  <c r="E40" i="263"/>
  <c r="E40" i="262"/>
  <c r="E38" i="261"/>
  <c r="C39" i="261"/>
  <c r="E39" i="261" s="1"/>
  <c r="C39" i="260"/>
  <c r="E39" i="260" s="1"/>
  <c r="E40" i="260" l="1"/>
  <c r="O62" i="273"/>
  <c r="BI65" i="194"/>
  <c r="P62" i="273"/>
  <c r="P63" i="273" s="1"/>
  <c r="BJ65" i="194"/>
  <c r="O63" i="273"/>
  <c r="E40" i="261"/>
  <c r="D32" i="259"/>
  <c r="E35" i="259" s="1"/>
  <c r="E36" i="259" s="1"/>
  <c r="E31" i="259"/>
  <c r="E30" i="259"/>
  <c r="E29" i="259"/>
  <c r="E28" i="259"/>
  <c r="E27" i="259"/>
  <c r="D22" i="259"/>
  <c r="E22" i="259" s="1"/>
  <c r="E21" i="259"/>
  <c r="E20" i="259"/>
  <c r="E19" i="259"/>
  <c r="E18" i="259"/>
  <c r="E17" i="259"/>
  <c r="D12" i="259"/>
  <c r="C35" i="259" s="1"/>
  <c r="E11" i="259"/>
  <c r="E10" i="259"/>
  <c r="E9" i="259"/>
  <c r="E8" i="259"/>
  <c r="E7" i="259"/>
  <c r="D32" i="258"/>
  <c r="E35" i="258" s="1"/>
  <c r="E36" i="258" s="1"/>
  <c r="E31" i="258"/>
  <c r="E30" i="258"/>
  <c r="E29" i="258"/>
  <c r="E28" i="258"/>
  <c r="E27" i="258"/>
  <c r="D22" i="258"/>
  <c r="E22" i="258" s="1"/>
  <c r="E21" i="258"/>
  <c r="E20" i="258"/>
  <c r="E19" i="258"/>
  <c r="E18" i="258"/>
  <c r="E17" i="258"/>
  <c r="D12" i="258"/>
  <c r="C35" i="258" s="1"/>
  <c r="E11" i="258"/>
  <c r="E10" i="258"/>
  <c r="E9" i="258"/>
  <c r="E8" i="258"/>
  <c r="E7" i="258"/>
  <c r="D32" i="257"/>
  <c r="E35" i="257" s="1"/>
  <c r="E36" i="257" s="1"/>
  <c r="E31" i="257"/>
  <c r="E30" i="257"/>
  <c r="E29" i="257"/>
  <c r="E28" i="257"/>
  <c r="E27" i="257"/>
  <c r="D22" i="257"/>
  <c r="E22" i="257" s="1"/>
  <c r="E21" i="257"/>
  <c r="E20" i="257"/>
  <c r="E19" i="257"/>
  <c r="E18" i="257"/>
  <c r="E17" i="257"/>
  <c r="D12" i="257"/>
  <c r="C35" i="257" s="1"/>
  <c r="E11" i="257"/>
  <c r="E10" i="257"/>
  <c r="E9" i="257"/>
  <c r="E8" i="257"/>
  <c r="E7" i="257"/>
  <c r="D32" i="256"/>
  <c r="E35" i="256" s="1"/>
  <c r="E36" i="256" s="1"/>
  <c r="E31" i="256"/>
  <c r="E30" i="256"/>
  <c r="E29" i="256"/>
  <c r="E28" i="256"/>
  <c r="E27" i="256"/>
  <c r="D22" i="256"/>
  <c r="E22" i="256" s="1"/>
  <c r="E21" i="256"/>
  <c r="E20" i="256"/>
  <c r="E19" i="256"/>
  <c r="E18" i="256"/>
  <c r="E17" i="256"/>
  <c r="D12" i="256"/>
  <c r="C35" i="256" s="1"/>
  <c r="E11" i="256"/>
  <c r="E10" i="256"/>
  <c r="E9" i="256"/>
  <c r="E8" i="256"/>
  <c r="E7" i="256"/>
  <c r="E12" i="256" l="1"/>
  <c r="K13" i="273"/>
  <c r="BE13" i="194"/>
  <c r="K20" i="273"/>
  <c r="BE20" i="194"/>
  <c r="K17" i="273"/>
  <c r="BE17" i="194"/>
  <c r="K14" i="273"/>
  <c r="BE14" i="194"/>
  <c r="K38" i="273"/>
  <c r="BE39" i="194"/>
  <c r="L42" i="273"/>
  <c r="BF44" i="194"/>
  <c r="L44" i="273"/>
  <c r="BF46" i="194"/>
  <c r="L3" i="273"/>
  <c r="BF3" i="194"/>
  <c r="L23" i="273"/>
  <c r="BF23" i="194"/>
  <c r="M37" i="273"/>
  <c r="BG38" i="194"/>
  <c r="M17" i="273"/>
  <c r="BG17" i="194"/>
  <c r="M44" i="273"/>
  <c r="BG46" i="194"/>
  <c r="M10" i="273"/>
  <c r="BG10" i="194"/>
  <c r="N40" i="273"/>
  <c r="BH42" i="194"/>
  <c r="N17" i="273"/>
  <c r="BH17" i="194"/>
  <c r="N4" i="273"/>
  <c r="BH4" i="194"/>
  <c r="N12" i="273"/>
  <c r="BH12" i="194"/>
  <c r="N15" i="273"/>
  <c r="BH15" i="194"/>
  <c r="N19" i="273"/>
  <c r="BH19" i="194"/>
  <c r="K26" i="273"/>
  <c r="BE27" i="194"/>
  <c r="K54" i="273"/>
  <c r="BE57" i="194"/>
  <c r="K33" i="273"/>
  <c r="BE34" i="194"/>
  <c r="K39" i="273"/>
  <c r="BE40" i="194"/>
  <c r="K4" i="273"/>
  <c r="BE4" i="194"/>
  <c r="K35" i="273"/>
  <c r="BE36" i="194"/>
  <c r="K9" i="273"/>
  <c r="BE9" i="194"/>
  <c r="L48" i="273"/>
  <c r="BF51" i="194"/>
  <c r="L19" i="273"/>
  <c r="BF19" i="194"/>
  <c r="L6" i="273"/>
  <c r="BF6" i="194"/>
  <c r="BF15" i="194"/>
  <c r="L15" i="273"/>
  <c r="L36" i="273"/>
  <c r="BF37" i="194"/>
  <c r="M40" i="273"/>
  <c r="BG42" i="194"/>
  <c r="M46" i="273"/>
  <c r="BG49" i="194"/>
  <c r="M21" i="273"/>
  <c r="BG21" i="194"/>
  <c r="M13" i="273"/>
  <c r="BG13" i="194"/>
  <c r="M15" i="273"/>
  <c r="BG15" i="194"/>
  <c r="N54" i="273"/>
  <c r="BH57" i="194"/>
  <c r="N46" i="273"/>
  <c r="BH49" i="194"/>
  <c r="N39" i="273"/>
  <c r="BH40" i="194"/>
  <c r="N36" i="273"/>
  <c r="BH37" i="194"/>
  <c r="N5" i="273"/>
  <c r="BH5" i="194"/>
  <c r="N10" i="273"/>
  <c r="BH10" i="194"/>
  <c r="E32" i="259"/>
  <c r="E12" i="259"/>
  <c r="E32" i="258"/>
  <c r="E12" i="258"/>
  <c r="E32" i="257"/>
  <c r="E12" i="257"/>
  <c r="C36" i="259"/>
  <c r="D35" i="259"/>
  <c r="D36" i="259" s="1"/>
  <c r="C36" i="258"/>
  <c r="D35" i="258"/>
  <c r="D36" i="258" s="1"/>
  <c r="C36" i="257"/>
  <c r="D35" i="257"/>
  <c r="D36" i="257" s="1"/>
  <c r="E32" i="256"/>
  <c r="C36" i="256"/>
  <c r="D35" i="256"/>
  <c r="D36" i="256" s="1"/>
  <c r="K61" i="273" l="1"/>
  <c r="N61" i="273"/>
  <c r="M61" i="273"/>
  <c r="L61" i="273"/>
  <c r="C38" i="259"/>
  <c r="C38" i="258"/>
  <c r="C38" i="257"/>
  <c r="C38" i="256"/>
  <c r="D32" i="255"/>
  <c r="E35" i="255" s="1"/>
  <c r="E36" i="255" s="1"/>
  <c r="E31" i="255"/>
  <c r="E30" i="255"/>
  <c r="E29" i="255"/>
  <c r="E28" i="255"/>
  <c r="E27" i="255"/>
  <c r="D22" i="255"/>
  <c r="E22" i="255" s="1"/>
  <c r="E21" i="255"/>
  <c r="E20" i="255"/>
  <c r="E19" i="255"/>
  <c r="E18" i="255"/>
  <c r="E17" i="255"/>
  <c r="D12" i="255"/>
  <c r="C35" i="255" s="1"/>
  <c r="E11" i="255"/>
  <c r="E10" i="255"/>
  <c r="E9" i="255"/>
  <c r="E8" i="255"/>
  <c r="E7" i="255"/>
  <c r="J38" i="273" l="1"/>
  <c r="BD39" i="194"/>
  <c r="J34" i="273"/>
  <c r="BD35" i="194"/>
  <c r="J14" i="273"/>
  <c r="BD14" i="194"/>
  <c r="J49" i="273"/>
  <c r="BD52" i="194"/>
  <c r="J15" i="273"/>
  <c r="BD15" i="194"/>
  <c r="J37" i="273"/>
  <c r="BD38" i="194"/>
  <c r="J7" i="273"/>
  <c r="BD7" i="194"/>
  <c r="J41" i="273"/>
  <c r="BD43" i="194"/>
  <c r="J19" i="273"/>
  <c r="BD19" i="194"/>
  <c r="J18" i="273"/>
  <c r="BD18" i="194"/>
  <c r="C39" i="259"/>
  <c r="E39" i="259" s="1"/>
  <c r="E38" i="259"/>
  <c r="C39" i="258"/>
  <c r="E39" i="258" s="1"/>
  <c r="E38" i="258"/>
  <c r="C39" i="257"/>
  <c r="E39" i="257" s="1"/>
  <c r="E38" i="257"/>
  <c r="C39" i="256"/>
  <c r="E39" i="256" s="1"/>
  <c r="E38" i="256"/>
  <c r="E12" i="255"/>
  <c r="E32" i="255"/>
  <c r="C36" i="255"/>
  <c r="D35" i="255"/>
  <c r="D36" i="255" s="1"/>
  <c r="D32" i="254"/>
  <c r="E35" i="254" s="1"/>
  <c r="E36" i="254" s="1"/>
  <c r="E31" i="254"/>
  <c r="E30" i="254"/>
  <c r="E29" i="254"/>
  <c r="E28" i="254"/>
  <c r="E27" i="254"/>
  <c r="D22" i="254"/>
  <c r="E22" i="254" s="1"/>
  <c r="E21" i="254"/>
  <c r="E20" i="254"/>
  <c r="E19" i="254"/>
  <c r="E18" i="254"/>
  <c r="E17" i="254"/>
  <c r="D12" i="254"/>
  <c r="C35" i="254" s="1"/>
  <c r="E11" i="254"/>
  <c r="E10" i="254"/>
  <c r="E9" i="254"/>
  <c r="E8" i="254"/>
  <c r="E7" i="254"/>
  <c r="I10" i="273" l="1"/>
  <c r="BC10" i="194"/>
  <c r="I19" i="273"/>
  <c r="BC19" i="194"/>
  <c r="I4" i="273"/>
  <c r="BC4" i="194"/>
  <c r="I23" i="273"/>
  <c r="BC23" i="194"/>
  <c r="I57" i="273"/>
  <c r="BC60" i="194"/>
  <c r="I18" i="273"/>
  <c r="BC18" i="194"/>
  <c r="I46" i="273"/>
  <c r="BC49" i="194"/>
  <c r="I33" i="273"/>
  <c r="BC34" i="194"/>
  <c r="I34" i="273"/>
  <c r="BC35" i="194"/>
  <c r="K62" i="273"/>
  <c r="K63" i="273" s="1"/>
  <c r="BE65" i="194"/>
  <c r="BF65" i="194"/>
  <c r="L62" i="273"/>
  <c r="L63" i="273" s="1"/>
  <c r="M62" i="273"/>
  <c r="M63" i="273" s="1"/>
  <c r="BG65" i="194"/>
  <c r="N62" i="273"/>
  <c r="N63" i="273" s="1"/>
  <c r="BH65" i="194"/>
  <c r="I6" i="273"/>
  <c r="AF6" i="273" s="1"/>
  <c r="BC6" i="194"/>
  <c r="I12" i="273"/>
  <c r="BC12" i="194"/>
  <c r="I48" i="273"/>
  <c r="BC51" i="194"/>
  <c r="I38" i="273"/>
  <c r="BC39" i="194"/>
  <c r="I54" i="273"/>
  <c r="BC57" i="194"/>
  <c r="J61" i="273"/>
  <c r="E40" i="259"/>
  <c r="E40" i="257"/>
  <c r="E40" i="256"/>
  <c r="E40" i="258"/>
  <c r="C38" i="255"/>
  <c r="E32" i="254"/>
  <c r="E12" i="254"/>
  <c r="C36" i="254"/>
  <c r="D35" i="254"/>
  <c r="D36" i="254" s="1"/>
  <c r="AG6" i="273" l="1"/>
  <c r="AJ6" i="273"/>
  <c r="I61" i="273"/>
  <c r="C39" i="255"/>
  <c r="E39" i="255" s="1"/>
  <c r="E38" i="255"/>
  <c r="C38" i="254"/>
  <c r="D32" i="253"/>
  <c r="E35" i="253" s="1"/>
  <c r="E36" i="253" s="1"/>
  <c r="E31" i="253"/>
  <c r="E30" i="253"/>
  <c r="E29" i="253"/>
  <c r="E28" i="253"/>
  <c r="E27" i="253"/>
  <c r="D22" i="253"/>
  <c r="E22" i="253" s="1"/>
  <c r="E21" i="253"/>
  <c r="E20" i="253"/>
  <c r="E19" i="253"/>
  <c r="E18" i="253"/>
  <c r="E17" i="253"/>
  <c r="D12" i="253"/>
  <c r="C35" i="253" s="1"/>
  <c r="E11" i="253"/>
  <c r="E10" i="253"/>
  <c r="E9" i="253"/>
  <c r="E8" i="253"/>
  <c r="E7" i="253"/>
  <c r="H21" i="273" l="1"/>
  <c r="BB21" i="194"/>
  <c r="H10" i="273"/>
  <c r="BB10" i="194"/>
  <c r="H33" i="273"/>
  <c r="BB34" i="194"/>
  <c r="J62" i="273"/>
  <c r="J63" i="273" s="1"/>
  <c r="BD65" i="194"/>
  <c r="H39" i="273"/>
  <c r="BB40" i="194"/>
  <c r="H40" i="273"/>
  <c r="BB42" i="194"/>
  <c r="H38" i="273"/>
  <c r="BB39" i="194"/>
  <c r="H49" i="273"/>
  <c r="BB52" i="194"/>
  <c r="H37" i="273"/>
  <c r="BB38" i="194"/>
  <c r="H36" i="273"/>
  <c r="BB37" i="194"/>
  <c r="H42" i="273"/>
  <c r="BB44" i="194"/>
  <c r="H35" i="273"/>
  <c r="BB36" i="194"/>
  <c r="H13" i="273"/>
  <c r="BB13" i="194"/>
  <c r="E40" i="255"/>
  <c r="C39" i="254"/>
  <c r="E39" i="254" s="1"/>
  <c r="E38" i="254"/>
  <c r="E12" i="253"/>
  <c r="E32" i="253"/>
  <c r="C36" i="253"/>
  <c r="D35" i="253"/>
  <c r="D36" i="253" s="1"/>
  <c r="I62" i="273" l="1"/>
  <c r="I63" i="273" s="1"/>
  <c r="BC65" i="194"/>
  <c r="H61" i="273"/>
  <c r="E40" i="254"/>
  <c r="C38" i="253"/>
  <c r="C39" i="253" l="1"/>
  <c r="E39" i="253" s="1"/>
  <c r="E38" i="253"/>
  <c r="H62" i="273" l="1"/>
  <c r="H63" i="273" s="1"/>
  <c r="BB65" i="194"/>
  <c r="E40" i="253"/>
  <c r="D32" i="252" l="1"/>
  <c r="E35" i="252" s="1"/>
  <c r="E36" i="252" s="1"/>
  <c r="E31" i="252"/>
  <c r="E30" i="252"/>
  <c r="E29" i="252"/>
  <c r="E28" i="252"/>
  <c r="E27" i="252"/>
  <c r="D22" i="252"/>
  <c r="E22" i="252" s="1"/>
  <c r="E21" i="252"/>
  <c r="E20" i="252"/>
  <c r="E19" i="252"/>
  <c r="E18" i="252"/>
  <c r="E17" i="252"/>
  <c r="D12" i="252"/>
  <c r="C35" i="252" s="1"/>
  <c r="E11" i="252"/>
  <c r="E10" i="252"/>
  <c r="E9" i="252"/>
  <c r="E8" i="252"/>
  <c r="E7" i="252"/>
  <c r="D32" i="251"/>
  <c r="E35" i="251" s="1"/>
  <c r="E36" i="251" s="1"/>
  <c r="E31" i="251"/>
  <c r="E30" i="251"/>
  <c r="E29" i="251"/>
  <c r="E28" i="251"/>
  <c r="E27" i="251"/>
  <c r="D22" i="251"/>
  <c r="E22" i="251" s="1"/>
  <c r="E21" i="251"/>
  <c r="E20" i="251"/>
  <c r="E19" i="251"/>
  <c r="E18" i="251"/>
  <c r="E17" i="251"/>
  <c r="D12" i="251"/>
  <c r="C35" i="251" s="1"/>
  <c r="E11" i="251"/>
  <c r="E10" i="251"/>
  <c r="E9" i="251"/>
  <c r="E8" i="251"/>
  <c r="E7" i="251"/>
  <c r="D32" i="250"/>
  <c r="E32" i="250" s="1"/>
  <c r="E31" i="250"/>
  <c r="E30" i="250"/>
  <c r="E29" i="250"/>
  <c r="E28" i="250"/>
  <c r="E27" i="250"/>
  <c r="D22" i="250"/>
  <c r="D35" i="250" s="1"/>
  <c r="D36" i="250" s="1"/>
  <c r="E21" i="250"/>
  <c r="E20" i="250"/>
  <c r="E19" i="250"/>
  <c r="E18" i="250"/>
  <c r="E17" i="250"/>
  <c r="D12" i="250"/>
  <c r="E12" i="250" s="1"/>
  <c r="E11" i="250"/>
  <c r="E10" i="250"/>
  <c r="E9" i="250"/>
  <c r="E8" i="250"/>
  <c r="E7" i="250"/>
  <c r="E8" i="273" l="1"/>
  <c r="AY8" i="194"/>
  <c r="E54" i="273"/>
  <c r="AY57" i="194"/>
  <c r="E23" i="273"/>
  <c r="AY23" i="194"/>
  <c r="E15" i="273"/>
  <c r="AY15" i="194"/>
  <c r="E20" i="273"/>
  <c r="AF20" i="273" s="1"/>
  <c r="AY20" i="194"/>
  <c r="E21" i="273"/>
  <c r="AY21" i="194"/>
  <c r="E42" i="273"/>
  <c r="AY44" i="194"/>
  <c r="E56" i="273"/>
  <c r="AF56" i="273" s="1"/>
  <c r="AY59" i="194"/>
  <c r="E41" i="273"/>
  <c r="AY43" i="194"/>
  <c r="E26" i="273"/>
  <c r="AY27" i="194"/>
  <c r="E9" i="273"/>
  <c r="AY9" i="194"/>
  <c r="F44" i="273"/>
  <c r="AZ46" i="194"/>
  <c r="F17" i="273"/>
  <c r="AZ17" i="194"/>
  <c r="F21" i="273"/>
  <c r="AZ21" i="194"/>
  <c r="F34" i="273"/>
  <c r="AZ35" i="194"/>
  <c r="F33" i="273"/>
  <c r="AF33" i="273" s="1"/>
  <c r="AZ34" i="194"/>
  <c r="F36" i="273"/>
  <c r="AZ37" i="194"/>
  <c r="G17" i="273"/>
  <c r="BA17" i="194"/>
  <c r="G44" i="273"/>
  <c r="BA46" i="194"/>
  <c r="G26" i="273"/>
  <c r="BA27" i="194"/>
  <c r="G5" i="273"/>
  <c r="BA5" i="194"/>
  <c r="G40" i="273"/>
  <c r="BA42" i="194"/>
  <c r="G36" i="273"/>
  <c r="BA37" i="194"/>
  <c r="G12" i="273"/>
  <c r="BA12" i="194"/>
  <c r="E10" i="273"/>
  <c r="AY10" i="194"/>
  <c r="E36" i="273"/>
  <c r="AF36" i="273" s="1"/>
  <c r="AY37" i="194"/>
  <c r="F10" i="273"/>
  <c r="AZ10" i="194"/>
  <c r="F40" i="273"/>
  <c r="AZ42" i="194"/>
  <c r="F3" i="273"/>
  <c r="AZ3" i="194"/>
  <c r="F18" i="273"/>
  <c r="AZ18" i="194"/>
  <c r="F15" i="273"/>
  <c r="AZ15" i="194"/>
  <c r="G21" i="273"/>
  <c r="BA21" i="194"/>
  <c r="G41" i="273"/>
  <c r="BA43" i="194"/>
  <c r="G39" i="273"/>
  <c r="BA40" i="194"/>
  <c r="G8" i="273"/>
  <c r="BA8" i="194"/>
  <c r="G53" i="273"/>
  <c r="AF53" i="273" s="1"/>
  <c r="BA56" i="194"/>
  <c r="G19" i="273"/>
  <c r="BA19" i="194"/>
  <c r="E32" i="252"/>
  <c r="E12" i="252"/>
  <c r="E32" i="251"/>
  <c r="E12" i="251"/>
  <c r="C36" i="252"/>
  <c r="D35" i="252"/>
  <c r="D36" i="252" s="1"/>
  <c r="C36" i="251"/>
  <c r="D35" i="251"/>
  <c r="D36" i="251" s="1"/>
  <c r="E22" i="250"/>
  <c r="C35" i="250"/>
  <c r="E35" i="250"/>
  <c r="E36" i="250" s="1"/>
  <c r="AJ36" i="273" l="1"/>
  <c r="AG36" i="273"/>
  <c r="AJ53" i="273"/>
  <c r="AG53" i="273"/>
  <c r="F61" i="273"/>
  <c r="AF10" i="273"/>
  <c r="AF5" i="273"/>
  <c r="G61" i="273"/>
  <c r="AJ33" i="273"/>
  <c r="AG33" i="273"/>
  <c r="AF17" i="273"/>
  <c r="AF41" i="273"/>
  <c r="AJ56" i="273"/>
  <c r="AG56" i="273"/>
  <c r="AF21" i="273"/>
  <c r="AJ20" i="273"/>
  <c r="AG20" i="273"/>
  <c r="E61" i="273"/>
  <c r="C38" i="252"/>
  <c r="C38" i="251"/>
  <c r="C36" i="250"/>
  <c r="C38" i="250"/>
  <c r="D32" i="249"/>
  <c r="E35" i="249" s="1"/>
  <c r="E36" i="249" s="1"/>
  <c r="E31" i="249"/>
  <c r="E30" i="249"/>
  <c r="E29" i="249"/>
  <c r="E28" i="249"/>
  <c r="E27" i="249"/>
  <c r="D22" i="249"/>
  <c r="E22" i="249" s="1"/>
  <c r="E21" i="249"/>
  <c r="E20" i="249"/>
  <c r="E19" i="249"/>
  <c r="E18" i="249"/>
  <c r="E17" i="249"/>
  <c r="D12" i="249"/>
  <c r="C35" i="249" s="1"/>
  <c r="E11" i="249"/>
  <c r="E10" i="249"/>
  <c r="E9" i="249"/>
  <c r="E8" i="249"/>
  <c r="E7" i="249"/>
  <c r="D44" i="273" l="1"/>
  <c r="AF44" i="273" s="1"/>
  <c r="AX46" i="194"/>
  <c r="D57" i="273"/>
  <c r="AX60" i="194"/>
  <c r="D3" i="273"/>
  <c r="AX3" i="194"/>
  <c r="D19" i="273"/>
  <c r="AX19" i="194"/>
  <c r="D48" i="273"/>
  <c r="AX51" i="194"/>
  <c r="D54" i="273"/>
  <c r="AF54" i="273" s="1"/>
  <c r="AX57" i="194"/>
  <c r="D34" i="273"/>
  <c r="AF34" i="273" s="1"/>
  <c r="AX35" i="194"/>
  <c r="D7" i="273"/>
  <c r="AF7" i="273" s="1"/>
  <c r="AX7" i="194"/>
  <c r="D42" i="273"/>
  <c r="AF42" i="273" s="1"/>
  <c r="AX44" i="194"/>
  <c r="D9" i="273"/>
  <c r="AF9" i="273" s="1"/>
  <c r="AJ9" i="273" s="1"/>
  <c r="AX9" i="194"/>
  <c r="D38" i="273"/>
  <c r="AX39" i="194"/>
  <c r="D46" i="273"/>
  <c r="AX49" i="194"/>
  <c r="AG41" i="273"/>
  <c r="AJ41" i="273"/>
  <c r="AG10" i="273"/>
  <c r="AJ10" i="273"/>
  <c r="D49" i="273"/>
  <c r="AX52" i="194"/>
  <c r="D40" i="273"/>
  <c r="AF40" i="273" s="1"/>
  <c r="AX42" i="194"/>
  <c r="AJ21" i="273"/>
  <c r="AG21" i="273"/>
  <c r="AJ17" i="273"/>
  <c r="AG17" i="273"/>
  <c r="AG5" i="273"/>
  <c r="AJ5" i="273"/>
  <c r="C39" i="252"/>
  <c r="E39" i="252" s="1"/>
  <c r="E38" i="252"/>
  <c r="C39" i="251"/>
  <c r="E39" i="251" s="1"/>
  <c r="E38" i="251"/>
  <c r="E38" i="250"/>
  <c r="C39" i="250"/>
  <c r="E39" i="250" s="1"/>
  <c r="E12" i="249"/>
  <c r="E32" i="249"/>
  <c r="C36" i="249"/>
  <c r="D35" i="249"/>
  <c r="D36" i="249" s="1"/>
  <c r="G62" i="273" l="1"/>
  <c r="G63" i="273" s="1"/>
  <c r="BA65" i="194"/>
  <c r="AJ40" i="273"/>
  <c r="AG40" i="273"/>
  <c r="E62" i="273"/>
  <c r="E63" i="273" s="1"/>
  <c r="AY65" i="194"/>
  <c r="F62" i="273"/>
  <c r="F63" i="273" s="1"/>
  <c r="AZ65" i="194"/>
  <c r="AJ42" i="273"/>
  <c r="AG42" i="273"/>
  <c r="AG7" i="273"/>
  <c r="AJ7" i="273"/>
  <c r="AJ34" i="273"/>
  <c r="AG34" i="273"/>
  <c r="AJ54" i="273"/>
  <c r="AG54" i="273"/>
  <c r="D61" i="273"/>
  <c r="AJ44" i="273"/>
  <c r="AG44" i="273"/>
  <c r="E40" i="251"/>
  <c r="E40" i="252"/>
  <c r="E40" i="250"/>
  <c r="C38" i="249"/>
  <c r="C3" i="192"/>
  <c r="L3" i="192" s="1"/>
  <c r="C39" i="249" l="1"/>
  <c r="E39" i="249" s="1"/>
  <c r="E38" i="249"/>
  <c r="D62" i="273" l="1"/>
  <c r="D63" i="273" s="1"/>
  <c r="AX65" i="194"/>
  <c r="E40" i="249"/>
  <c r="D32" i="248"/>
  <c r="E32" i="248" s="1"/>
  <c r="E31" i="248"/>
  <c r="E30" i="248"/>
  <c r="E29" i="248"/>
  <c r="E28" i="248"/>
  <c r="E27" i="248"/>
  <c r="D22" i="248"/>
  <c r="D35" i="248" s="1"/>
  <c r="D36" i="248" s="1"/>
  <c r="E21" i="248"/>
  <c r="E20" i="248"/>
  <c r="E19" i="248"/>
  <c r="E18" i="248"/>
  <c r="E17" i="248"/>
  <c r="D12" i="248"/>
  <c r="E12" i="248" s="1"/>
  <c r="E11" i="248"/>
  <c r="E10" i="248"/>
  <c r="E9" i="248"/>
  <c r="E8" i="248"/>
  <c r="E7" i="248"/>
  <c r="C26" i="273" l="1"/>
  <c r="AF26" i="273" s="1"/>
  <c r="AW27" i="194"/>
  <c r="C14" i="273"/>
  <c r="AW14" i="194"/>
  <c r="C13" i="273"/>
  <c r="AF13" i="273" s="1"/>
  <c r="AW13" i="194"/>
  <c r="C46" i="273"/>
  <c r="AF46" i="273" s="1"/>
  <c r="AJ46" i="273" s="1"/>
  <c r="AW49" i="194"/>
  <c r="C23" i="273"/>
  <c r="AF23" i="273" s="1"/>
  <c r="AW23" i="194"/>
  <c r="C8" i="273"/>
  <c r="AF8" i="273" s="1"/>
  <c r="AW8" i="194"/>
  <c r="C12" i="273"/>
  <c r="AF12" i="273" s="1"/>
  <c r="AW12" i="194"/>
  <c r="C38" i="273"/>
  <c r="AF38" i="273" s="1"/>
  <c r="AW39" i="194"/>
  <c r="C3" i="273"/>
  <c r="AW3" i="194"/>
  <c r="C15" i="273"/>
  <c r="AF15" i="273" s="1"/>
  <c r="AW15" i="194"/>
  <c r="E22" i="248"/>
  <c r="C35" i="248"/>
  <c r="E35" i="248"/>
  <c r="E36" i="248" s="1"/>
  <c r="C46" i="191"/>
  <c r="G3" i="192" l="1"/>
  <c r="G3" i="383"/>
  <c r="I3" i="383" s="1"/>
  <c r="C61" i="273"/>
  <c r="AG12" i="273"/>
  <c r="AJ12" i="273"/>
  <c r="AJ23" i="273"/>
  <c r="AG23" i="273"/>
  <c r="AJ15" i="273"/>
  <c r="AG15" i="273"/>
  <c r="AJ38" i="273"/>
  <c r="AG38" i="273"/>
  <c r="AG8" i="273"/>
  <c r="AJ8" i="273"/>
  <c r="AJ13" i="273"/>
  <c r="AG13" i="273"/>
  <c r="AG26" i="273"/>
  <c r="AJ26" i="273"/>
  <c r="C36" i="248"/>
  <c r="C38" i="248"/>
  <c r="E38" i="248" l="1"/>
  <c r="C39" i="248"/>
  <c r="E39" i="248" s="1"/>
  <c r="D32" i="247"/>
  <c r="E35" i="247" s="1"/>
  <c r="E36" i="247" s="1"/>
  <c r="E31" i="247"/>
  <c r="E30" i="247"/>
  <c r="E29" i="247"/>
  <c r="E28" i="247"/>
  <c r="E27" i="247"/>
  <c r="D22" i="247"/>
  <c r="E22" i="247" s="1"/>
  <c r="E21" i="247"/>
  <c r="E20" i="247"/>
  <c r="E19" i="247"/>
  <c r="E18" i="247"/>
  <c r="E17" i="247"/>
  <c r="D12" i="247"/>
  <c r="C35" i="247" s="1"/>
  <c r="E11" i="247"/>
  <c r="E10" i="247"/>
  <c r="E9" i="247"/>
  <c r="E8" i="247"/>
  <c r="E7" i="247"/>
  <c r="B48" i="273" l="1"/>
  <c r="AF48" i="273" s="1"/>
  <c r="AV51" i="194"/>
  <c r="C62" i="273"/>
  <c r="C63" i="273" s="1"/>
  <c r="AW65" i="194"/>
  <c r="B4" i="273"/>
  <c r="AF4" i="273" s="1"/>
  <c r="AJ4" i="273" s="1"/>
  <c r="AV4" i="194"/>
  <c r="B3" i="273"/>
  <c r="AV3" i="194"/>
  <c r="B49" i="273"/>
  <c r="AF49" i="273" s="1"/>
  <c r="AV52" i="194"/>
  <c r="B37" i="273"/>
  <c r="AF37" i="273" s="1"/>
  <c r="AV38" i="194"/>
  <c r="B14" i="273"/>
  <c r="AF14" i="273" s="1"/>
  <c r="AV14" i="194"/>
  <c r="B57" i="273"/>
  <c r="AF57" i="273" s="1"/>
  <c r="AV60" i="194"/>
  <c r="B19" i="273"/>
  <c r="AF19" i="273" s="1"/>
  <c r="AV19" i="194"/>
  <c r="B35" i="273"/>
  <c r="AF35" i="273" s="1"/>
  <c r="AV36" i="194"/>
  <c r="B18" i="273"/>
  <c r="AF18" i="273" s="1"/>
  <c r="AJ18" i="273" s="1"/>
  <c r="AV18" i="194"/>
  <c r="B39" i="273"/>
  <c r="AF39" i="273" s="1"/>
  <c r="AV40" i="194"/>
  <c r="E40" i="248"/>
  <c r="E12" i="247"/>
  <c r="E32" i="247"/>
  <c r="C36" i="247"/>
  <c r="D35" i="247"/>
  <c r="D36" i="247" s="1"/>
  <c r="AG19" i="273" l="1"/>
  <c r="AJ19" i="273"/>
  <c r="AJ39" i="273"/>
  <c r="AG39" i="273"/>
  <c r="AJ35" i="273"/>
  <c r="AG35" i="273"/>
  <c r="AJ57" i="273"/>
  <c r="AG57" i="273"/>
  <c r="AG14" i="273"/>
  <c r="AJ14" i="273"/>
  <c r="AJ37" i="273"/>
  <c r="AG37" i="273"/>
  <c r="AJ49" i="273"/>
  <c r="AG49" i="273"/>
  <c r="B61" i="273"/>
  <c r="AF3" i="273"/>
  <c r="AJ48" i="273"/>
  <c r="AG48" i="273"/>
  <c r="C38" i="247"/>
  <c r="F3" i="192"/>
  <c r="I3" i="192" s="1"/>
  <c r="AF61" i="273" l="1"/>
  <c r="AG3" i="273"/>
  <c r="AG61" i="273" s="1"/>
  <c r="AJ3" i="273"/>
  <c r="C39" i="247"/>
  <c r="E39" i="247" s="1"/>
  <c r="E38" i="247"/>
  <c r="AS61" i="246"/>
  <c r="AO61" i="246"/>
  <c r="AR60" i="246"/>
  <c r="AG60" i="246"/>
  <c r="AK60" i="246" s="1"/>
  <c r="AR59" i="246"/>
  <c r="AG59" i="246"/>
  <c r="AK59" i="246" s="1"/>
  <c r="AR58" i="246"/>
  <c r="AG58" i="246"/>
  <c r="AK58" i="246" s="1"/>
  <c r="AR57" i="246"/>
  <c r="AI57" i="246"/>
  <c r="AR56" i="246"/>
  <c r="AI56" i="246"/>
  <c r="AR55" i="246"/>
  <c r="AI55" i="246"/>
  <c r="AG55" i="246"/>
  <c r="AK55" i="246" s="1"/>
  <c r="AR54" i="246"/>
  <c r="AI54" i="246"/>
  <c r="AR53" i="246"/>
  <c r="AI53" i="246"/>
  <c r="AR52" i="246"/>
  <c r="AI52" i="246"/>
  <c r="AG52" i="246"/>
  <c r="AK52" i="246" s="1"/>
  <c r="AR51" i="246"/>
  <c r="AI51" i="246"/>
  <c r="AR50" i="246"/>
  <c r="AI50" i="246"/>
  <c r="AG50" i="246"/>
  <c r="AK50" i="246" s="1"/>
  <c r="AR49" i="246"/>
  <c r="AI49" i="246"/>
  <c r="AI48" i="246"/>
  <c r="AR47" i="246"/>
  <c r="AI47" i="246"/>
  <c r="AG47" i="246"/>
  <c r="AK47" i="246" s="1"/>
  <c r="AI46" i="246"/>
  <c r="AR45" i="246"/>
  <c r="AI45" i="246"/>
  <c r="AG45" i="246"/>
  <c r="AR44" i="246"/>
  <c r="AI44" i="246"/>
  <c r="AR43" i="246"/>
  <c r="AI43" i="246"/>
  <c r="AG43" i="246"/>
  <c r="AK43" i="246" s="1"/>
  <c r="AI42" i="246"/>
  <c r="AR41" i="246"/>
  <c r="AI41" i="246"/>
  <c r="AI40" i="246"/>
  <c r="AR39" i="246"/>
  <c r="AI39" i="246"/>
  <c r="AR38" i="246"/>
  <c r="AI38" i="246"/>
  <c r="AR37" i="246"/>
  <c r="AI37" i="246"/>
  <c r="AR36" i="246"/>
  <c r="AI36" i="246"/>
  <c r="AR35" i="246"/>
  <c r="AI35" i="246"/>
  <c r="AR34" i="246"/>
  <c r="AI34" i="246"/>
  <c r="AR33" i="246"/>
  <c r="AI33" i="246"/>
  <c r="AR32" i="246"/>
  <c r="AI32" i="246"/>
  <c r="AG32" i="246"/>
  <c r="AK32" i="246" s="1"/>
  <c r="AI31" i="246"/>
  <c r="AG31" i="246"/>
  <c r="AK31" i="246" s="1"/>
  <c r="AR30" i="246"/>
  <c r="AI30" i="246"/>
  <c r="AG30" i="246"/>
  <c r="AK30" i="246" s="1"/>
  <c r="AR29" i="246"/>
  <c r="AI29" i="246"/>
  <c r="AG29" i="246"/>
  <c r="AK29" i="246" s="1"/>
  <c r="AR28" i="246"/>
  <c r="AI28" i="246"/>
  <c r="AG28" i="246"/>
  <c r="AK28" i="246" s="1"/>
  <c r="AR27" i="246"/>
  <c r="AI27" i="246"/>
  <c r="AG27" i="246"/>
  <c r="AK27" i="246" s="1"/>
  <c r="AR26" i="246"/>
  <c r="AI26" i="246"/>
  <c r="AR25" i="246"/>
  <c r="AI25" i="246"/>
  <c r="AI24" i="246"/>
  <c r="AG24" i="246"/>
  <c r="AK24" i="246" s="1"/>
  <c r="AR23" i="246"/>
  <c r="AI23" i="246"/>
  <c r="AR22" i="246"/>
  <c r="AI22" i="246"/>
  <c r="AG22" i="246"/>
  <c r="AK22" i="246" s="1"/>
  <c r="AI21" i="246"/>
  <c r="AR20" i="246"/>
  <c r="AI20" i="246"/>
  <c r="AR19" i="246"/>
  <c r="AI19" i="246"/>
  <c r="AI18" i="246"/>
  <c r="AR17" i="246"/>
  <c r="AI17" i="246"/>
  <c r="AR16" i="246"/>
  <c r="AI16" i="246"/>
  <c r="AR15" i="246"/>
  <c r="AI15" i="246"/>
  <c r="AR14" i="246"/>
  <c r="AI14" i="246"/>
  <c r="AR13" i="246"/>
  <c r="AI13" i="246"/>
  <c r="AR12" i="246"/>
  <c r="AI12" i="246"/>
  <c r="AR11" i="246"/>
  <c r="AI11" i="246"/>
  <c r="AG11" i="246"/>
  <c r="AR10" i="246"/>
  <c r="AI10" i="246"/>
  <c r="AI9" i="246"/>
  <c r="AR8" i="246"/>
  <c r="AI8" i="246"/>
  <c r="AR7" i="246"/>
  <c r="AI7" i="246"/>
  <c r="AR6" i="246"/>
  <c r="AI6" i="246"/>
  <c r="AR5" i="246"/>
  <c r="AI5" i="246"/>
  <c r="AI4" i="246"/>
  <c r="AR3" i="246"/>
  <c r="AI3" i="246"/>
  <c r="K4" i="192" l="1"/>
  <c r="B4" i="192" s="1"/>
  <c r="B18" i="192" s="1"/>
  <c r="K4" i="383"/>
  <c r="AH60" i="246"/>
  <c r="B62" i="273"/>
  <c r="B63" i="273" s="1"/>
  <c r="AV65" i="194"/>
  <c r="AH32" i="246"/>
  <c r="AH50" i="246"/>
  <c r="E40" i="247"/>
  <c r="AH22" i="246"/>
  <c r="AH58" i="246"/>
  <c r="AH28" i="246"/>
  <c r="AH30" i="246"/>
  <c r="AH47" i="246"/>
  <c r="AH52" i="246"/>
  <c r="AH55" i="246"/>
  <c r="AH59" i="246"/>
  <c r="AK11" i="246"/>
  <c r="AH11" i="246"/>
  <c r="AR61" i="246"/>
  <c r="AH27" i="246"/>
  <c r="AH29" i="246"/>
  <c r="AH43" i="246"/>
  <c r="AK45" i="246"/>
  <c r="AH45" i="246"/>
  <c r="B4" i="383" l="1"/>
  <c r="F4" i="383" s="1"/>
  <c r="I4" i="383" s="1"/>
  <c r="N4" i="383"/>
  <c r="D32" i="244"/>
  <c r="E35" i="244" s="1"/>
  <c r="E36" i="244" s="1"/>
  <c r="E31" i="244"/>
  <c r="E30" i="244"/>
  <c r="E29" i="244"/>
  <c r="E28" i="244"/>
  <c r="E27" i="244"/>
  <c r="D22" i="244"/>
  <c r="E22" i="244" s="1"/>
  <c r="E21" i="244"/>
  <c r="E20" i="244"/>
  <c r="E19" i="244"/>
  <c r="E18" i="244"/>
  <c r="E17" i="244"/>
  <c r="D12" i="244"/>
  <c r="C35" i="244" s="1"/>
  <c r="E11" i="244"/>
  <c r="E10" i="244"/>
  <c r="E9" i="244"/>
  <c r="E8" i="244"/>
  <c r="E7" i="244"/>
  <c r="O4" i="383" l="1"/>
  <c r="AF40" i="246"/>
  <c r="AU42" i="194"/>
  <c r="AF17" i="246"/>
  <c r="AU17" i="194"/>
  <c r="AF39" i="246"/>
  <c r="AU40" i="194"/>
  <c r="AF41" i="246"/>
  <c r="AU43" i="194"/>
  <c r="AF12" i="246"/>
  <c r="AU12" i="194"/>
  <c r="AF23" i="246"/>
  <c r="AU23" i="194"/>
  <c r="AF33" i="246"/>
  <c r="AU34" i="194"/>
  <c r="AF3" i="246"/>
  <c r="AU3" i="194"/>
  <c r="AF35" i="246"/>
  <c r="AU36" i="194"/>
  <c r="AF34" i="246"/>
  <c r="AU35" i="194"/>
  <c r="AF18" i="246"/>
  <c r="AU18" i="194"/>
  <c r="AF10" i="246"/>
  <c r="AU10" i="194"/>
  <c r="E12" i="244"/>
  <c r="C36" i="244"/>
  <c r="E32" i="244"/>
  <c r="D35" i="244"/>
  <c r="D36" i="244" s="1"/>
  <c r="K3" i="192"/>
  <c r="B17" i="192"/>
  <c r="C17" i="192"/>
  <c r="AF61" i="246" l="1"/>
  <c r="C38" i="244"/>
  <c r="C39" i="244" s="1"/>
  <c r="E39" i="244" s="1"/>
  <c r="E38" i="244" l="1"/>
  <c r="D12" i="242"/>
  <c r="E40" i="244" l="1"/>
  <c r="AF62" i="246"/>
  <c r="AF63" i="246" s="1"/>
  <c r="AU65" i="194"/>
  <c r="D32" i="243" l="1"/>
  <c r="E35" i="243" s="1"/>
  <c r="E36" i="243" s="1"/>
  <c r="E31" i="243"/>
  <c r="E30" i="243"/>
  <c r="E29" i="243"/>
  <c r="E28" i="243"/>
  <c r="E27" i="243"/>
  <c r="D22" i="243"/>
  <c r="E22" i="243" s="1"/>
  <c r="E21" i="243"/>
  <c r="E20" i="243"/>
  <c r="E19" i="243"/>
  <c r="E18" i="243"/>
  <c r="E17" i="243"/>
  <c r="D12" i="243"/>
  <c r="C35" i="243" s="1"/>
  <c r="E11" i="243"/>
  <c r="E10" i="243"/>
  <c r="E9" i="243"/>
  <c r="E8" i="243"/>
  <c r="E7" i="243"/>
  <c r="D32" i="242"/>
  <c r="E35" i="242" s="1"/>
  <c r="E36" i="242" s="1"/>
  <c r="E31" i="242"/>
  <c r="E30" i="242"/>
  <c r="E29" i="242"/>
  <c r="E28" i="242"/>
  <c r="E27" i="242"/>
  <c r="D22" i="242"/>
  <c r="E22" i="242" s="1"/>
  <c r="E21" i="242"/>
  <c r="E20" i="242"/>
  <c r="E19" i="242"/>
  <c r="E18" i="242"/>
  <c r="E17" i="242"/>
  <c r="C35" i="242"/>
  <c r="E11" i="242"/>
  <c r="E10" i="242"/>
  <c r="E9" i="242"/>
  <c r="E8" i="242"/>
  <c r="E7" i="242"/>
  <c r="D32" i="241"/>
  <c r="E35" i="241" s="1"/>
  <c r="E36" i="241" s="1"/>
  <c r="E31" i="241"/>
  <c r="E30" i="241"/>
  <c r="E29" i="241"/>
  <c r="E28" i="241"/>
  <c r="E27" i="241"/>
  <c r="D22" i="241"/>
  <c r="E22" i="241" s="1"/>
  <c r="E21" i="241"/>
  <c r="E20" i="241"/>
  <c r="E19" i="241"/>
  <c r="E18" i="241"/>
  <c r="E17" i="241"/>
  <c r="D12" i="241"/>
  <c r="C35" i="241" s="1"/>
  <c r="E11" i="241"/>
  <c r="E10" i="241"/>
  <c r="E9" i="241"/>
  <c r="E8" i="241"/>
  <c r="E7" i="241"/>
  <c r="AC40" i="246" l="1"/>
  <c r="AR42" i="194"/>
  <c r="AC41" i="246"/>
  <c r="AR43" i="194"/>
  <c r="AC10" i="246"/>
  <c r="AR10" i="194"/>
  <c r="AC38" i="246"/>
  <c r="AR39" i="194"/>
  <c r="AC17" i="246"/>
  <c r="AR17" i="194"/>
  <c r="AC14" i="246"/>
  <c r="AR14" i="194"/>
  <c r="AC25" i="246"/>
  <c r="AR26" i="194"/>
  <c r="AC15" i="246"/>
  <c r="AR15" i="194"/>
  <c r="AC26" i="246"/>
  <c r="AR27" i="194"/>
  <c r="AD46" i="246"/>
  <c r="AS49" i="194"/>
  <c r="AD41" i="246"/>
  <c r="AS43" i="194"/>
  <c r="AD3" i="246"/>
  <c r="AS3" i="194"/>
  <c r="AD34" i="246"/>
  <c r="AS35" i="194"/>
  <c r="AD42" i="246"/>
  <c r="AS44" i="194"/>
  <c r="AD15" i="246"/>
  <c r="AS15" i="194"/>
  <c r="AD26" i="246"/>
  <c r="AS27" i="194"/>
  <c r="AD9" i="246"/>
  <c r="AS9" i="194"/>
  <c r="AE17" i="246"/>
  <c r="AT17" i="194"/>
  <c r="AE40" i="246"/>
  <c r="AT42" i="194"/>
  <c r="AE5" i="246"/>
  <c r="AT5" i="194"/>
  <c r="AE19" i="246"/>
  <c r="AT19" i="194"/>
  <c r="AE36" i="246"/>
  <c r="AT37" i="194"/>
  <c r="AC23" i="246"/>
  <c r="AR23" i="194"/>
  <c r="AC33" i="246"/>
  <c r="AR34" i="194"/>
  <c r="AC36" i="246"/>
  <c r="AR37" i="194"/>
  <c r="AD44" i="246"/>
  <c r="AS46" i="194"/>
  <c r="AD40" i="246"/>
  <c r="AS42" i="194"/>
  <c r="AD36" i="246"/>
  <c r="AS37" i="194"/>
  <c r="AD19" i="246"/>
  <c r="AS19" i="194"/>
  <c r="AE44" i="246"/>
  <c r="AT46" i="194"/>
  <c r="AE7" i="246"/>
  <c r="AT7" i="194"/>
  <c r="AE9" i="246"/>
  <c r="AT9" i="194"/>
  <c r="AE26" i="246"/>
  <c r="AT27" i="194"/>
  <c r="E32" i="243"/>
  <c r="E12" i="243"/>
  <c r="E32" i="242"/>
  <c r="E12" i="242"/>
  <c r="E12" i="241"/>
  <c r="C36" i="243"/>
  <c r="D35" i="243"/>
  <c r="D36" i="243" s="1"/>
  <c r="C36" i="242"/>
  <c r="D35" i="242"/>
  <c r="D36" i="242" s="1"/>
  <c r="E32" i="241"/>
  <c r="C36" i="241"/>
  <c r="D35" i="241"/>
  <c r="D36" i="241" s="1"/>
  <c r="AE61" i="246" l="1"/>
  <c r="AD61" i="246"/>
  <c r="AC61" i="246"/>
  <c r="C38" i="243"/>
  <c r="C38" i="242"/>
  <c r="C38" i="241"/>
  <c r="D32" i="240"/>
  <c r="E35" i="240" s="1"/>
  <c r="E36" i="240" s="1"/>
  <c r="E31" i="240"/>
  <c r="E30" i="240"/>
  <c r="E29" i="240"/>
  <c r="E28" i="240"/>
  <c r="E27" i="240"/>
  <c r="D22" i="240"/>
  <c r="D35" i="240" s="1"/>
  <c r="D36" i="240" s="1"/>
  <c r="E21" i="240"/>
  <c r="E20" i="240"/>
  <c r="E19" i="240"/>
  <c r="E18" i="240"/>
  <c r="E17" i="240"/>
  <c r="D12" i="240"/>
  <c r="C35" i="240" s="1"/>
  <c r="E11" i="240"/>
  <c r="E10" i="240"/>
  <c r="E9" i="240"/>
  <c r="E8" i="240"/>
  <c r="E7" i="240"/>
  <c r="AB39" i="246" l="1"/>
  <c r="AQ40" i="194"/>
  <c r="AB20" i="246"/>
  <c r="AQ20" i="194"/>
  <c r="AB56" i="246"/>
  <c r="AQ59" i="194"/>
  <c r="AB57" i="246"/>
  <c r="AQ60" i="194"/>
  <c r="AB3" i="246"/>
  <c r="AQ3" i="194"/>
  <c r="AB54" i="246"/>
  <c r="AQ57" i="194"/>
  <c r="AB16" i="246"/>
  <c r="AG16" i="246" s="1"/>
  <c r="AQ16" i="194"/>
  <c r="AB13" i="246"/>
  <c r="AQ13" i="194"/>
  <c r="AB14" i="246"/>
  <c r="AQ14" i="194"/>
  <c r="AB34" i="246"/>
  <c r="AQ35" i="194"/>
  <c r="AB35" i="246"/>
  <c r="AQ36" i="194"/>
  <c r="AB38" i="246"/>
  <c r="AQ39" i="194"/>
  <c r="C39" i="243"/>
  <c r="E39" i="243" s="1"/>
  <c r="E38" i="243"/>
  <c r="C39" i="242"/>
  <c r="E39" i="242" s="1"/>
  <c r="E38" i="242"/>
  <c r="C39" i="241"/>
  <c r="E39" i="241" s="1"/>
  <c r="E38" i="241"/>
  <c r="E22" i="240"/>
  <c r="C38" i="240"/>
  <c r="C36" i="240"/>
  <c r="E12" i="240"/>
  <c r="E32" i="240"/>
  <c r="D32" i="239"/>
  <c r="E35" i="239" s="1"/>
  <c r="E36" i="239" s="1"/>
  <c r="E31" i="239"/>
  <c r="E30" i="239"/>
  <c r="E29" i="239"/>
  <c r="E28" i="239"/>
  <c r="E27" i="239"/>
  <c r="D22" i="239"/>
  <c r="E22" i="239" s="1"/>
  <c r="E21" i="239"/>
  <c r="E20" i="239"/>
  <c r="E19" i="239"/>
  <c r="E18" i="239"/>
  <c r="E17" i="239"/>
  <c r="D12" i="239"/>
  <c r="C35" i="239" s="1"/>
  <c r="E11" i="239"/>
  <c r="E10" i="239"/>
  <c r="E9" i="239"/>
  <c r="E8" i="239"/>
  <c r="E7" i="239"/>
  <c r="IQ16" i="194" l="1"/>
  <c r="IL16" i="194"/>
  <c r="AA14" i="246"/>
  <c r="AP14" i="194"/>
  <c r="AA54" i="246"/>
  <c r="AP57" i="194"/>
  <c r="AD62" i="246"/>
  <c r="AD63" i="246" s="1"/>
  <c r="AS65" i="194"/>
  <c r="AE62" i="246"/>
  <c r="AE63" i="246" s="1"/>
  <c r="AT65" i="194"/>
  <c r="AA8" i="246"/>
  <c r="AP8" i="194"/>
  <c r="AA33" i="246"/>
  <c r="AP34" i="194"/>
  <c r="AP44" i="194"/>
  <c r="AA42" i="246"/>
  <c r="AA36" i="246"/>
  <c r="AP37" i="194"/>
  <c r="AA44" i="246"/>
  <c r="AP46" i="194"/>
  <c r="AA23" i="246"/>
  <c r="AP23" i="194"/>
  <c r="AA9" i="246"/>
  <c r="AP9" i="194"/>
  <c r="AA19" i="246"/>
  <c r="AP19" i="194"/>
  <c r="AA37" i="246"/>
  <c r="AP38" i="194"/>
  <c r="AA20" i="246"/>
  <c r="AP20" i="194"/>
  <c r="AA12" i="246"/>
  <c r="AP12" i="194"/>
  <c r="AA18" i="246"/>
  <c r="AP18" i="194"/>
  <c r="AA34" i="246"/>
  <c r="AP35" i="194"/>
  <c r="AC62" i="246"/>
  <c r="AC63" i="246" s="1"/>
  <c r="AR65" i="194"/>
  <c r="AK16" i="246"/>
  <c r="AH16" i="246"/>
  <c r="AB61" i="246"/>
  <c r="E40" i="242"/>
  <c r="E40" i="243"/>
  <c r="E40" i="241"/>
  <c r="C39" i="240"/>
  <c r="E39" i="240" s="1"/>
  <c r="E38" i="240"/>
  <c r="E12" i="239"/>
  <c r="E32" i="239"/>
  <c r="C36" i="239"/>
  <c r="D35" i="239"/>
  <c r="D36" i="239" s="1"/>
  <c r="AB62" i="246" l="1"/>
  <c r="AB63" i="246" s="1"/>
  <c r="AQ65" i="194"/>
  <c r="AA61" i="246"/>
  <c r="E40" i="240"/>
  <c r="C38" i="239"/>
  <c r="D32" i="238"/>
  <c r="E35" i="238" s="1"/>
  <c r="E36" i="238" s="1"/>
  <c r="E31" i="238"/>
  <c r="E30" i="238"/>
  <c r="E29" i="238"/>
  <c r="E28" i="238"/>
  <c r="E27" i="238"/>
  <c r="D22" i="238"/>
  <c r="E22" i="238" s="1"/>
  <c r="E21" i="238"/>
  <c r="E20" i="238"/>
  <c r="E19" i="238"/>
  <c r="E18" i="238"/>
  <c r="E17" i="238"/>
  <c r="D12" i="238"/>
  <c r="C35" i="238" s="1"/>
  <c r="E11" i="238"/>
  <c r="E10" i="238"/>
  <c r="E9" i="238"/>
  <c r="E8" i="238"/>
  <c r="E7" i="238"/>
  <c r="Z54" i="246" l="1"/>
  <c r="AO57" i="194"/>
  <c r="Z38" i="246"/>
  <c r="AO39" i="194"/>
  <c r="Z35" i="246"/>
  <c r="AO36" i="194"/>
  <c r="AO40" i="194"/>
  <c r="Z39" i="246"/>
  <c r="Z49" i="246"/>
  <c r="AO52" i="194"/>
  <c r="Z6" i="246"/>
  <c r="AO6" i="194"/>
  <c r="Z57" i="246"/>
  <c r="AO60" i="194"/>
  <c r="Z44" i="246"/>
  <c r="AO46" i="194"/>
  <c r="Z37" i="246"/>
  <c r="AO38" i="194"/>
  <c r="Z17" i="246"/>
  <c r="AO17" i="194"/>
  <c r="Z8" i="246"/>
  <c r="AO8" i="194"/>
  <c r="AO35" i="194"/>
  <c r="Z34" i="246"/>
  <c r="Z9" i="246"/>
  <c r="AO9" i="194"/>
  <c r="C39" i="239"/>
  <c r="E39" i="239" s="1"/>
  <c r="E38" i="239"/>
  <c r="E12" i="238"/>
  <c r="E32" i="238"/>
  <c r="C36" i="238"/>
  <c r="D35" i="238"/>
  <c r="D36" i="238" s="1"/>
  <c r="AP65" i="194" l="1"/>
  <c r="AA62" i="246"/>
  <c r="AA63" i="246" s="1"/>
  <c r="Z61" i="246"/>
  <c r="E40" i="239"/>
  <c r="C38" i="238"/>
  <c r="IN5" i="194"/>
  <c r="IY5" i="194" s="1"/>
  <c r="C39" i="238" l="1"/>
  <c r="E39" i="238" s="1"/>
  <c r="E38" i="238"/>
  <c r="D32" i="237"/>
  <c r="E35" i="237" s="1"/>
  <c r="E36" i="237" s="1"/>
  <c r="E31" i="237"/>
  <c r="E30" i="237"/>
  <c r="E29" i="237"/>
  <c r="E28" i="237"/>
  <c r="E27" i="237"/>
  <c r="D22" i="237"/>
  <c r="E22" i="237" s="1"/>
  <c r="E21" i="237"/>
  <c r="E20" i="237"/>
  <c r="E19" i="237"/>
  <c r="E18" i="237"/>
  <c r="E17" i="237"/>
  <c r="D12" i="237"/>
  <c r="C35" i="237" s="1"/>
  <c r="E11" i="237"/>
  <c r="E10" i="237"/>
  <c r="E9" i="237"/>
  <c r="E8" i="237"/>
  <c r="E7" i="237"/>
  <c r="Y18" i="246" l="1"/>
  <c r="AN18" i="194"/>
  <c r="Y34" i="246"/>
  <c r="AN35" i="194"/>
  <c r="Y35" i="246"/>
  <c r="AN36" i="194"/>
  <c r="Y19" i="246"/>
  <c r="AN19" i="194"/>
  <c r="Y37" i="246"/>
  <c r="AN38" i="194"/>
  <c r="Y21" i="246"/>
  <c r="AN21" i="194"/>
  <c r="Y26" i="246"/>
  <c r="AN27" i="194"/>
  <c r="Y14" i="246"/>
  <c r="AN14" i="194"/>
  <c r="Y42" i="246"/>
  <c r="AN44" i="194"/>
  <c r="Y8" i="246"/>
  <c r="AN8" i="194"/>
  <c r="Y12" i="246"/>
  <c r="AN12" i="194"/>
  <c r="AO65" i="194"/>
  <c r="Z62" i="246"/>
  <c r="Z63" i="246" s="1"/>
  <c r="Y7" i="246"/>
  <c r="AN7" i="194"/>
  <c r="E40" i="238"/>
  <c r="E12" i="237"/>
  <c r="E32" i="237"/>
  <c r="C36" i="237"/>
  <c r="D35" i="237"/>
  <c r="D36" i="237" s="1"/>
  <c r="D22" i="234"/>
  <c r="D22" i="235"/>
  <c r="D22" i="236"/>
  <c r="D32" i="236"/>
  <c r="Y61" i="246" l="1"/>
  <c r="C38" i="237"/>
  <c r="D35" i="236"/>
  <c r="D36" i="236" s="1"/>
  <c r="E35" i="236"/>
  <c r="E36" i="236" s="1"/>
  <c r="E31" i="236"/>
  <c r="E30" i="236"/>
  <c r="E29" i="236"/>
  <c r="E28" i="236"/>
  <c r="E27" i="236"/>
  <c r="E22" i="236"/>
  <c r="E21" i="236"/>
  <c r="E20" i="236"/>
  <c r="E19" i="236"/>
  <c r="E18" i="236"/>
  <c r="E17" i="236"/>
  <c r="D12" i="236"/>
  <c r="C35" i="236" s="1"/>
  <c r="E11" i="236"/>
  <c r="E10" i="236"/>
  <c r="E9" i="236"/>
  <c r="E8" i="236"/>
  <c r="E7" i="236"/>
  <c r="D35" i="235"/>
  <c r="D36" i="235" s="1"/>
  <c r="D32" i="235"/>
  <c r="E35" i="235" s="1"/>
  <c r="E36" i="235" s="1"/>
  <c r="E31" i="235"/>
  <c r="E30" i="235"/>
  <c r="E29" i="235"/>
  <c r="E28" i="235"/>
  <c r="E27" i="235"/>
  <c r="E22" i="235"/>
  <c r="E21" i="235"/>
  <c r="E20" i="235"/>
  <c r="E19" i="235"/>
  <c r="E18" i="235"/>
  <c r="E17" i="235"/>
  <c r="D12" i="235"/>
  <c r="C35" i="235" s="1"/>
  <c r="E11" i="235"/>
  <c r="E10" i="235"/>
  <c r="E9" i="235"/>
  <c r="E8" i="235"/>
  <c r="E7" i="235"/>
  <c r="D32" i="234"/>
  <c r="E35" i="234" s="1"/>
  <c r="E36" i="234" s="1"/>
  <c r="E31" i="234"/>
  <c r="E30" i="234"/>
  <c r="E29" i="234"/>
  <c r="E28" i="234"/>
  <c r="E27" i="234"/>
  <c r="E22" i="234"/>
  <c r="E21" i="234"/>
  <c r="E20" i="234"/>
  <c r="E19" i="234"/>
  <c r="E18" i="234"/>
  <c r="E17" i="234"/>
  <c r="D12" i="234"/>
  <c r="C35" i="234" s="1"/>
  <c r="E11" i="234"/>
  <c r="E10" i="234"/>
  <c r="E9" i="234"/>
  <c r="E8" i="234"/>
  <c r="E7" i="234"/>
  <c r="V51" i="246" l="1"/>
  <c r="AK54" i="194"/>
  <c r="V42" i="246"/>
  <c r="AK44" i="194"/>
  <c r="V40" i="246"/>
  <c r="AK42" i="194"/>
  <c r="V39" i="246"/>
  <c r="AK40" i="194"/>
  <c r="V23" i="246"/>
  <c r="AK23" i="194"/>
  <c r="V12" i="246"/>
  <c r="AK12" i="194"/>
  <c r="V15" i="246"/>
  <c r="AK15" i="194"/>
  <c r="V4" i="246"/>
  <c r="AK4" i="194"/>
  <c r="V9" i="246"/>
  <c r="AK9" i="194"/>
  <c r="W40" i="246"/>
  <c r="AL42" i="194"/>
  <c r="W18" i="246"/>
  <c r="AL18" i="194"/>
  <c r="W3" i="246"/>
  <c r="AL3" i="194"/>
  <c r="W7" i="246"/>
  <c r="AL7" i="194"/>
  <c r="W15" i="246"/>
  <c r="AL15" i="194"/>
  <c r="W54" i="246"/>
  <c r="AL57" i="194"/>
  <c r="W36" i="246"/>
  <c r="AL37" i="194"/>
  <c r="X5" i="246"/>
  <c r="AM5" i="194"/>
  <c r="X17" i="246"/>
  <c r="AM17" i="194"/>
  <c r="X15" i="246"/>
  <c r="AM15" i="194"/>
  <c r="X9" i="246"/>
  <c r="AM9" i="194"/>
  <c r="V41" i="246"/>
  <c r="AK43" i="194"/>
  <c r="V7" i="246"/>
  <c r="AK7" i="194"/>
  <c r="V44" i="246"/>
  <c r="AK46" i="194"/>
  <c r="V36" i="246"/>
  <c r="AK37" i="194"/>
  <c r="W21" i="246"/>
  <c r="AL21" i="194"/>
  <c r="W44" i="246"/>
  <c r="AL46" i="194"/>
  <c r="W12" i="246"/>
  <c r="AL12" i="194"/>
  <c r="W19" i="246"/>
  <c r="AL19" i="194"/>
  <c r="X40" i="246"/>
  <c r="AM42" i="194"/>
  <c r="X46" i="246"/>
  <c r="AM49" i="194"/>
  <c r="X54" i="246"/>
  <c r="AM57" i="194"/>
  <c r="X21" i="246"/>
  <c r="AM21" i="194"/>
  <c r="X34" i="246"/>
  <c r="AM35" i="194"/>
  <c r="X39" i="246"/>
  <c r="AM40" i="194"/>
  <c r="X26" i="246"/>
  <c r="AM27" i="194"/>
  <c r="X12" i="246"/>
  <c r="AM12" i="194"/>
  <c r="C39" i="237"/>
  <c r="E39" i="237" s="1"/>
  <c r="E38" i="237"/>
  <c r="E32" i="236"/>
  <c r="E32" i="235"/>
  <c r="E12" i="234"/>
  <c r="C38" i="236"/>
  <c r="C36" i="236"/>
  <c r="E12" i="236"/>
  <c r="C38" i="235"/>
  <c r="C36" i="235"/>
  <c r="E12" i="235"/>
  <c r="E32" i="234"/>
  <c r="C36" i="234"/>
  <c r="D35" i="234"/>
  <c r="D36" i="234" s="1"/>
  <c r="D32" i="233"/>
  <c r="E32" i="233" s="1"/>
  <c r="E31" i="233"/>
  <c r="E30" i="233"/>
  <c r="E29" i="233"/>
  <c r="E28" i="233"/>
  <c r="E27" i="233"/>
  <c r="D22" i="233"/>
  <c r="D35" i="233" s="1"/>
  <c r="D36" i="233" s="1"/>
  <c r="E21" i="233"/>
  <c r="E20" i="233"/>
  <c r="E19" i="233"/>
  <c r="E18" i="233"/>
  <c r="E17" i="233"/>
  <c r="D12" i="233"/>
  <c r="E12" i="233" s="1"/>
  <c r="E11" i="233"/>
  <c r="E10" i="233"/>
  <c r="E9" i="233"/>
  <c r="E8" i="233"/>
  <c r="E7" i="233"/>
  <c r="U57" i="246" l="1"/>
  <c r="AJ60" i="194"/>
  <c r="U18" i="246"/>
  <c r="AJ18" i="194"/>
  <c r="U6" i="246"/>
  <c r="AJ6" i="194"/>
  <c r="U44" i="246"/>
  <c r="AJ46" i="194"/>
  <c r="U3" i="246"/>
  <c r="AJ3" i="194"/>
  <c r="U34" i="246"/>
  <c r="AJ35" i="194"/>
  <c r="U4" i="246"/>
  <c r="AJ4" i="194"/>
  <c r="U26" i="246"/>
  <c r="AJ27" i="194"/>
  <c r="U51" i="246"/>
  <c r="AJ54" i="194"/>
  <c r="Y62" i="246"/>
  <c r="Y63" i="246" s="1"/>
  <c r="AN65" i="194"/>
  <c r="U23" i="246"/>
  <c r="AJ23" i="194"/>
  <c r="U35" i="246"/>
  <c r="AJ36" i="194"/>
  <c r="U39" i="246"/>
  <c r="AJ40" i="194"/>
  <c r="X61" i="246"/>
  <c r="W61" i="246"/>
  <c r="V61" i="246"/>
  <c r="E40" i="237"/>
  <c r="C39" i="236"/>
  <c r="E39" i="236" s="1"/>
  <c r="E38" i="236"/>
  <c r="C39" i="235"/>
  <c r="E39" i="235" s="1"/>
  <c r="E38" i="235"/>
  <c r="C38" i="234"/>
  <c r="E22" i="233"/>
  <c r="C35" i="233"/>
  <c r="E35" i="233"/>
  <c r="E36" i="233" s="1"/>
  <c r="IN51" i="194"/>
  <c r="IY51" i="194" s="1"/>
  <c r="W62" i="246" l="1"/>
  <c r="W63" i="246" s="1"/>
  <c r="AL65" i="194"/>
  <c r="X62" i="246"/>
  <c r="X63" i="246" s="1"/>
  <c r="AM65" i="194"/>
  <c r="U61" i="246"/>
  <c r="E40" i="235"/>
  <c r="E40" i="236"/>
  <c r="C39" i="234"/>
  <c r="E39" i="234" s="1"/>
  <c r="E38" i="234"/>
  <c r="C36" i="233"/>
  <c r="C38" i="233"/>
  <c r="V62" i="246" l="1"/>
  <c r="V63" i="246" s="1"/>
  <c r="AK65" i="194"/>
  <c r="E40" i="234"/>
  <c r="E38" i="233"/>
  <c r="C39" i="233"/>
  <c r="E39" i="233" s="1"/>
  <c r="D32" i="232"/>
  <c r="E35" i="232" s="1"/>
  <c r="E36" i="232" s="1"/>
  <c r="E31" i="232"/>
  <c r="E30" i="232"/>
  <c r="E29" i="232"/>
  <c r="E28" i="232"/>
  <c r="E27" i="232"/>
  <c r="D22" i="232"/>
  <c r="E22" i="232" s="1"/>
  <c r="E21" i="232"/>
  <c r="E20" i="232"/>
  <c r="E19" i="232"/>
  <c r="E18" i="232"/>
  <c r="E17" i="232"/>
  <c r="D12" i="232"/>
  <c r="C35" i="232" s="1"/>
  <c r="E11" i="232"/>
  <c r="E10" i="232"/>
  <c r="E9" i="232"/>
  <c r="E8" i="232"/>
  <c r="E7" i="232"/>
  <c r="T34" i="246" l="1"/>
  <c r="AI35" i="194"/>
  <c r="T48" i="246"/>
  <c r="AG48" i="246" s="1"/>
  <c r="AI51" i="194"/>
  <c r="T38" i="246"/>
  <c r="AI39" i="194"/>
  <c r="T19" i="246"/>
  <c r="AI19" i="194"/>
  <c r="T14" i="246"/>
  <c r="AI14" i="194"/>
  <c r="T17" i="246"/>
  <c r="AI17" i="194"/>
  <c r="T10" i="246"/>
  <c r="AI10" i="194"/>
  <c r="T15" i="246"/>
  <c r="AI15" i="194"/>
  <c r="T37" i="246"/>
  <c r="AI38" i="194"/>
  <c r="U62" i="246"/>
  <c r="U63" i="246" s="1"/>
  <c r="AJ65" i="194"/>
  <c r="E40" i="233"/>
  <c r="E12" i="232"/>
  <c r="E32" i="232"/>
  <c r="C36" i="232"/>
  <c r="D35" i="232"/>
  <c r="D36" i="232" s="1"/>
  <c r="IQ51" i="194" l="1"/>
  <c r="IL51" i="194"/>
  <c r="IP51" i="194" s="1"/>
  <c r="IX51" i="194" s="1"/>
  <c r="IW51" i="194" s="1"/>
  <c r="T61" i="246"/>
  <c r="AK48" i="246"/>
  <c r="AH48" i="246"/>
  <c r="C38" i="232"/>
  <c r="D32" i="231"/>
  <c r="E35" i="231" s="1"/>
  <c r="E36" i="231" s="1"/>
  <c r="E31" i="231"/>
  <c r="E30" i="231"/>
  <c r="E29" i="231"/>
  <c r="E28" i="231"/>
  <c r="E27" i="231"/>
  <c r="D22" i="231"/>
  <c r="E22" i="231" s="1"/>
  <c r="E21" i="231"/>
  <c r="E20" i="231"/>
  <c r="E19" i="231"/>
  <c r="E18" i="231"/>
  <c r="E17" i="231"/>
  <c r="D12" i="231"/>
  <c r="C35" i="231" s="1"/>
  <c r="E11" i="231"/>
  <c r="E10" i="231"/>
  <c r="E9" i="231"/>
  <c r="E8" i="231"/>
  <c r="E7" i="231"/>
  <c r="IM51" i="194" l="1"/>
  <c r="S37" i="246"/>
  <c r="AH38" i="194"/>
  <c r="S18" i="246"/>
  <c r="AH18" i="194"/>
  <c r="S8" i="246"/>
  <c r="AH8" i="194"/>
  <c r="S21" i="246"/>
  <c r="AH21" i="194"/>
  <c r="S38" i="246"/>
  <c r="AH39" i="194"/>
  <c r="S36" i="246"/>
  <c r="AH37" i="194"/>
  <c r="S14" i="246"/>
  <c r="AH14" i="194"/>
  <c r="S17" i="246"/>
  <c r="AH17" i="194"/>
  <c r="S57" i="246"/>
  <c r="AH60" i="194"/>
  <c r="S44" i="246"/>
  <c r="AH46" i="194"/>
  <c r="AH23" i="194"/>
  <c r="S23" i="246"/>
  <c r="S9" i="246"/>
  <c r="AH9" i="194"/>
  <c r="S56" i="246"/>
  <c r="AH59" i="194"/>
  <c r="C39" i="232"/>
  <c r="E39" i="232" s="1"/>
  <c r="E38" i="232"/>
  <c r="E12" i="231"/>
  <c r="E32" i="231"/>
  <c r="C36" i="231"/>
  <c r="D35" i="231"/>
  <c r="D36" i="231" s="1"/>
  <c r="T62" i="246" l="1"/>
  <c r="T63" i="246" s="1"/>
  <c r="AI65" i="194"/>
  <c r="S61" i="246"/>
  <c r="E40" i="232"/>
  <c r="C38" i="231"/>
  <c r="D32" i="230"/>
  <c r="E35" i="230" s="1"/>
  <c r="E36" i="230" s="1"/>
  <c r="E31" i="230"/>
  <c r="E30" i="230"/>
  <c r="E29" i="230"/>
  <c r="E28" i="230"/>
  <c r="E27" i="230"/>
  <c r="D22" i="230"/>
  <c r="D35" i="230" s="1"/>
  <c r="D36" i="230" s="1"/>
  <c r="E21" i="230"/>
  <c r="E20" i="230"/>
  <c r="E19" i="230"/>
  <c r="E18" i="230"/>
  <c r="E17" i="230"/>
  <c r="D12" i="230"/>
  <c r="C35" i="230" s="1"/>
  <c r="E11" i="230"/>
  <c r="E10" i="230"/>
  <c r="E9" i="230"/>
  <c r="E8" i="230"/>
  <c r="E7" i="230"/>
  <c r="R20" i="246" l="1"/>
  <c r="AG20" i="194"/>
  <c r="R42" i="246"/>
  <c r="AG44" i="194"/>
  <c r="R19" i="246"/>
  <c r="AG19" i="194"/>
  <c r="R10" i="246"/>
  <c r="AG10" i="194"/>
  <c r="R21" i="246"/>
  <c r="AG21" i="194"/>
  <c r="R26" i="246"/>
  <c r="AG27" i="194"/>
  <c r="R14" i="246"/>
  <c r="AG14" i="194"/>
  <c r="R49" i="246"/>
  <c r="AG52" i="194"/>
  <c r="R37" i="246"/>
  <c r="AG38" i="194"/>
  <c r="R41" i="246"/>
  <c r="AG43" i="194"/>
  <c r="R35" i="246"/>
  <c r="AG36" i="194"/>
  <c r="R54" i="246"/>
  <c r="AG57" i="194"/>
  <c r="R4" i="246"/>
  <c r="R61" i="246" s="1"/>
  <c r="AG4" i="194"/>
  <c r="C39" i="231"/>
  <c r="E39" i="231" s="1"/>
  <c r="E38" i="231"/>
  <c r="E22" i="230"/>
  <c r="C38" i="230"/>
  <c r="C36" i="230"/>
  <c r="E12" i="230"/>
  <c r="E32" i="230"/>
  <c r="AH65" i="194" l="1"/>
  <c r="S62" i="246"/>
  <c r="S63" i="246" s="1"/>
  <c r="E40" i="231"/>
  <c r="C39" i="230"/>
  <c r="E39" i="230" s="1"/>
  <c r="E38" i="230"/>
  <c r="D32" i="229"/>
  <c r="E35" i="229" s="1"/>
  <c r="E36" i="229" s="1"/>
  <c r="E31" i="229"/>
  <c r="E30" i="229"/>
  <c r="E29" i="229"/>
  <c r="E28" i="229"/>
  <c r="E27" i="229"/>
  <c r="D22" i="229"/>
  <c r="E22" i="229" s="1"/>
  <c r="E21" i="229"/>
  <c r="E20" i="229"/>
  <c r="E19" i="229"/>
  <c r="E18" i="229"/>
  <c r="E17" i="229"/>
  <c r="D12" i="229"/>
  <c r="C35" i="229" s="1"/>
  <c r="E11" i="229"/>
  <c r="E10" i="229"/>
  <c r="E9" i="229"/>
  <c r="E8" i="229"/>
  <c r="E7" i="229"/>
  <c r="D32" i="228"/>
  <c r="E35" i="228" s="1"/>
  <c r="E36" i="228" s="1"/>
  <c r="E31" i="228"/>
  <c r="E30" i="228"/>
  <c r="E29" i="228"/>
  <c r="E28" i="228"/>
  <c r="E27" i="228"/>
  <c r="D22" i="228"/>
  <c r="E22" i="228" s="1"/>
  <c r="E21" i="228"/>
  <c r="E20" i="228"/>
  <c r="E19" i="228"/>
  <c r="E18" i="228"/>
  <c r="E17" i="228"/>
  <c r="D12" i="228"/>
  <c r="C35" i="228" s="1"/>
  <c r="E11" i="228"/>
  <c r="E10" i="228"/>
  <c r="E9" i="228"/>
  <c r="E8" i="228"/>
  <c r="E7" i="228"/>
  <c r="D32" i="227"/>
  <c r="E35" i="227" s="1"/>
  <c r="E36" i="227" s="1"/>
  <c r="E31" i="227"/>
  <c r="E30" i="227"/>
  <c r="E29" i="227"/>
  <c r="E28" i="227"/>
  <c r="E27" i="227"/>
  <c r="D22" i="227"/>
  <c r="E22" i="227" s="1"/>
  <c r="E21" i="227"/>
  <c r="E20" i="227"/>
  <c r="E19" i="227"/>
  <c r="E18" i="227"/>
  <c r="E17" i="227"/>
  <c r="D12" i="227"/>
  <c r="C35" i="227" s="1"/>
  <c r="E11" i="227"/>
  <c r="E10" i="227"/>
  <c r="E9" i="227"/>
  <c r="E8" i="227"/>
  <c r="E7" i="227"/>
  <c r="O42" i="246" l="1"/>
  <c r="AD44" i="194"/>
  <c r="O39" i="246"/>
  <c r="AD40" i="194"/>
  <c r="O49" i="246"/>
  <c r="AD52" i="194"/>
  <c r="O20" i="246"/>
  <c r="AD20" i="194"/>
  <c r="O56" i="246"/>
  <c r="AD59" i="194"/>
  <c r="O10" i="246"/>
  <c r="AD10" i="194"/>
  <c r="O4" i="246"/>
  <c r="AD4" i="194"/>
  <c r="O44" i="246"/>
  <c r="AD46" i="194"/>
  <c r="O9" i="246"/>
  <c r="AD9" i="194"/>
  <c r="O6" i="246"/>
  <c r="AD6" i="194"/>
  <c r="P40" i="246"/>
  <c r="AE42" i="194"/>
  <c r="P20" i="246"/>
  <c r="AE20" i="194"/>
  <c r="P54" i="246"/>
  <c r="AE57" i="194"/>
  <c r="P41" i="246"/>
  <c r="AE43" i="194"/>
  <c r="P53" i="246"/>
  <c r="AG53" i="246" s="1"/>
  <c r="AE56" i="194"/>
  <c r="P26" i="246"/>
  <c r="AE27" i="194"/>
  <c r="P15" i="246"/>
  <c r="AE15" i="194"/>
  <c r="P36" i="246"/>
  <c r="AE37" i="194"/>
  <c r="Q17" i="246"/>
  <c r="AF17" i="194"/>
  <c r="Q34" i="246"/>
  <c r="AF35" i="194"/>
  <c r="Q13" i="246"/>
  <c r="AF13" i="194"/>
  <c r="Q8" i="246"/>
  <c r="AF8" i="194"/>
  <c r="Q36" i="246"/>
  <c r="AF37" i="194"/>
  <c r="Q54" i="246"/>
  <c r="AF57" i="194"/>
  <c r="R62" i="246"/>
  <c r="R63" i="246" s="1"/>
  <c r="AG65" i="194"/>
  <c r="O19" i="246"/>
  <c r="AD19" i="194"/>
  <c r="O33" i="246"/>
  <c r="AD34" i="194"/>
  <c r="P14" i="246"/>
  <c r="AE14" i="194"/>
  <c r="P17" i="246"/>
  <c r="AE17" i="194"/>
  <c r="P19" i="246"/>
  <c r="AE19" i="194"/>
  <c r="P37" i="246"/>
  <c r="AG37" i="246" s="1"/>
  <c r="AE38" i="194"/>
  <c r="P34" i="246"/>
  <c r="AE35" i="194"/>
  <c r="Q33" i="246"/>
  <c r="AF34" i="194"/>
  <c r="Q40" i="246"/>
  <c r="AF42" i="194"/>
  <c r="Q18" i="246"/>
  <c r="AF18" i="194"/>
  <c r="Q26" i="246"/>
  <c r="AF27" i="194"/>
  <c r="Q15" i="246"/>
  <c r="AF15" i="194"/>
  <c r="E40" i="230"/>
  <c r="E32" i="229"/>
  <c r="E12" i="229"/>
  <c r="E32" i="228"/>
  <c r="E12" i="228"/>
  <c r="E12" i="227"/>
  <c r="C36" i="229"/>
  <c r="D35" i="229"/>
  <c r="D36" i="229" s="1"/>
  <c r="C36" i="228"/>
  <c r="D35" i="228"/>
  <c r="D36" i="228" s="1"/>
  <c r="E32" i="227"/>
  <c r="C36" i="227"/>
  <c r="D35" i="227"/>
  <c r="D36" i="227" s="1"/>
  <c r="D32" i="226"/>
  <c r="E35" i="226" s="1"/>
  <c r="E36" i="226" s="1"/>
  <c r="E31" i="226"/>
  <c r="E30" i="226"/>
  <c r="E29" i="226"/>
  <c r="E28" i="226"/>
  <c r="E27" i="226"/>
  <c r="D22" i="226"/>
  <c r="E22" i="226" s="1"/>
  <c r="E21" i="226"/>
  <c r="E20" i="226"/>
  <c r="E19" i="226"/>
  <c r="E18" i="226"/>
  <c r="E17" i="226"/>
  <c r="D12" i="226"/>
  <c r="C35" i="226" s="1"/>
  <c r="E11" i="226"/>
  <c r="E10" i="226"/>
  <c r="E9" i="226"/>
  <c r="E8" i="226"/>
  <c r="E7" i="226"/>
  <c r="N40" i="246" l="1"/>
  <c r="AC42" i="194"/>
  <c r="N57" i="246"/>
  <c r="AC60" i="194"/>
  <c r="N18" i="246"/>
  <c r="AC18" i="194"/>
  <c r="N41" i="246"/>
  <c r="AC43" i="194"/>
  <c r="N33" i="246"/>
  <c r="AC34" i="194"/>
  <c r="N17" i="246"/>
  <c r="AC17" i="194"/>
  <c r="N56" i="246"/>
  <c r="AC59" i="194"/>
  <c r="N36" i="246"/>
  <c r="AC37" i="194"/>
  <c r="N26" i="246"/>
  <c r="AC27" i="194"/>
  <c r="N13" i="246"/>
  <c r="AC13" i="194"/>
  <c r="N35" i="246"/>
  <c r="AC36" i="194"/>
  <c r="N8" i="246"/>
  <c r="AC8" i="194"/>
  <c r="AH37" i="246"/>
  <c r="AK37" i="246"/>
  <c r="P61" i="246"/>
  <c r="Q61" i="246"/>
  <c r="AH53" i="246"/>
  <c r="AK53" i="246"/>
  <c r="O61" i="246"/>
  <c r="C38" i="229"/>
  <c r="C38" i="228"/>
  <c r="C38" i="227"/>
  <c r="C39" i="227" s="1"/>
  <c r="E39" i="227" s="1"/>
  <c r="E12" i="226"/>
  <c r="E32" i="226"/>
  <c r="C36" i="226"/>
  <c r="D35" i="226"/>
  <c r="D36" i="226" s="1"/>
  <c r="D32" i="225"/>
  <c r="E35" i="225" s="1"/>
  <c r="E36" i="225" s="1"/>
  <c r="E31" i="225"/>
  <c r="E30" i="225"/>
  <c r="E29" i="225"/>
  <c r="E28" i="225"/>
  <c r="E27" i="225"/>
  <c r="D22" i="225"/>
  <c r="E22" i="225" s="1"/>
  <c r="E21" i="225"/>
  <c r="E20" i="225"/>
  <c r="E19" i="225"/>
  <c r="E18" i="225"/>
  <c r="E17" i="225"/>
  <c r="D12" i="225"/>
  <c r="C35" i="225" s="1"/>
  <c r="E11" i="225"/>
  <c r="E10" i="225"/>
  <c r="E9" i="225"/>
  <c r="E8" i="225"/>
  <c r="E7" i="225"/>
  <c r="N61" i="246" l="1"/>
  <c r="M42" i="246"/>
  <c r="M44" i="246"/>
  <c r="M38" i="246"/>
  <c r="M4" i="246"/>
  <c r="M49" i="246"/>
  <c r="M25" i="246"/>
  <c r="AG25" i="246" s="1"/>
  <c r="AK25" i="246" s="1"/>
  <c r="M26" i="246"/>
  <c r="M18" i="246"/>
  <c r="M39" i="246"/>
  <c r="M54" i="246"/>
  <c r="M51" i="246"/>
  <c r="AB39" i="194"/>
  <c r="AB4" i="194"/>
  <c r="AB46" i="194"/>
  <c r="AB18" i="194"/>
  <c r="AB40" i="194"/>
  <c r="AB15" i="194"/>
  <c r="M15" i="246"/>
  <c r="AB54" i="194"/>
  <c r="AB44" i="194"/>
  <c r="AB27" i="194"/>
  <c r="AB52" i="194"/>
  <c r="AB26" i="194"/>
  <c r="AB57" i="194"/>
  <c r="E38" i="227"/>
  <c r="C39" i="229"/>
  <c r="E39" i="229" s="1"/>
  <c r="E38" i="229"/>
  <c r="C39" i="228"/>
  <c r="E39" i="228" s="1"/>
  <c r="E38" i="228"/>
  <c r="C38" i="226"/>
  <c r="E12" i="225"/>
  <c r="E32" i="225"/>
  <c r="C36" i="225"/>
  <c r="D35" i="225"/>
  <c r="D36" i="225" s="1"/>
  <c r="AH25" i="246" l="1"/>
  <c r="M61" i="246"/>
  <c r="P62" i="246"/>
  <c r="P63" i="246" s="1"/>
  <c r="AE65" i="194"/>
  <c r="Q62" i="246"/>
  <c r="Q63" i="246" s="1"/>
  <c r="AF65" i="194"/>
  <c r="E40" i="227"/>
  <c r="O62" i="246"/>
  <c r="O63" i="246" s="1"/>
  <c r="AD65" i="194"/>
  <c r="E40" i="228"/>
  <c r="E40" i="229"/>
  <c r="C39" i="226"/>
  <c r="E39" i="226" s="1"/>
  <c r="E38" i="226"/>
  <c r="C38" i="225"/>
  <c r="D32" i="224"/>
  <c r="E35" i="224" s="1"/>
  <c r="E36" i="224" s="1"/>
  <c r="E31" i="224"/>
  <c r="E30" i="224"/>
  <c r="E29" i="224"/>
  <c r="E28" i="224"/>
  <c r="E27" i="224"/>
  <c r="D22" i="224"/>
  <c r="E22" i="224" s="1"/>
  <c r="E21" i="224"/>
  <c r="E20" i="224"/>
  <c r="E19" i="224"/>
  <c r="E18" i="224"/>
  <c r="E17" i="224"/>
  <c r="D12" i="224"/>
  <c r="C35" i="224" s="1"/>
  <c r="E11" i="224"/>
  <c r="E10" i="224"/>
  <c r="E9" i="224"/>
  <c r="E8" i="224"/>
  <c r="E7" i="224"/>
  <c r="L44" i="246" l="1"/>
  <c r="AA46" i="194"/>
  <c r="L14" i="246"/>
  <c r="AA14" i="194"/>
  <c r="L7" i="246"/>
  <c r="AA7" i="194"/>
  <c r="L34" i="246"/>
  <c r="AA35" i="194"/>
  <c r="L18" i="246"/>
  <c r="AA18" i="194"/>
  <c r="L36" i="246"/>
  <c r="AA37" i="194"/>
  <c r="L57" i="246"/>
  <c r="AA60" i="194"/>
  <c r="L17" i="246"/>
  <c r="AA17" i="194"/>
  <c r="L39" i="246"/>
  <c r="AA40" i="194"/>
  <c r="N62" i="246"/>
  <c r="N63" i="246" s="1"/>
  <c r="AC65" i="194"/>
  <c r="L20" i="246"/>
  <c r="AA20" i="194"/>
  <c r="L54" i="246"/>
  <c r="AA57" i="194"/>
  <c r="L9" i="246"/>
  <c r="AA9" i="194"/>
  <c r="L38" i="246"/>
  <c r="AA39" i="194"/>
  <c r="E40" i="226"/>
  <c r="C39" i="225"/>
  <c r="E39" i="225" s="1"/>
  <c r="E38" i="225"/>
  <c r="E12" i="224"/>
  <c r="E32" i="224"/>
  <c r="C36" i="224"/>
  <c r="D35" i="224"/>
  <c r="D36" i="224" s="1"/>
  <c r="D32" i="223"/>
  <c r="E32" i="223" s="1"/>
  <c r="E31" i="223"/>
  <c r="E30" i="223"/>
  <c r="E29" i="223"/>
  <c r="E28" i="223"/>
  <c r="E27" i="223"/>
  <c r="D22" i="223"/>
  <c r="D35" i="223" s="1"/>
  <c r="D36" i="223" s="1"/>
  <c r="E21" i="223"/>
  <c r="E20" i="223"/>
  <c r="E19" i="223"/>
  <c r="E18" i="223"/>
  <c r="E17" i="223"/>
  <c r="D12" i="223"/>
  <c r="E12" i="223" s="1"/>
  <c r="E11" i="223"/>
  <c r="E10" i="223"/>
  <c r="E9" i="223"/>
  <c r="E8" i="223"/>
  <c r="E7" i="223"/>
  <c r="K4" i="246" l="1"/>
  <c r="K26" i="246"/>
  <c r="K54" i="246"/>
  <c r="K57" i="246"/>
  <c r="K39" i="246"/>
  <c r="K38" i="246"/>
  <c r="K42" i="246"/>
  <c r="K21" i="246"/>
  <c r="K35" i="246"/>
  <c r="K19" i="246"/>
  <c r="K17" i="246"/>
  <c r="K13" i="246"/>
  <c r="K14" i="246"/>
  <c r="K8" i="246"/>
  <c r="Z13" i="194"/>
  <c r="Z27" i="194"/>
  <c r="Z36" i="194"/>
  <c r="Z17" i="194"/>
  <c r="E22" i="223"/>
  <c r="Z4" i="194"/>
  <c r="Z14" i="194"/>
  <c r="Z19" i="194"/>
  <c r="Z60" i="194"/>
  <c r="Z40" i="194"/>
  <c r="Z39" i="194"/>
  <c r="Z44" i="194"/>
  <c r="Z21" i="194"/>
  <c r="Z57" i="194"/>
  <c r="Z8" i="194"/>
  <c r="AB65" i="194"/>
  <c r="M62" i="246"/>
  <c r="M63" i="246" s="1"/>
  <c r="L61" i="246"/>
  <c r="E40" i="225"/>
  <c r="C38" i="224"/>
  <c r="C35" i="223"/>
  <c r="E35" i="223"/>
  <c r="E36" i="223" s="1"/>
  <c r="K61" i="246" l="1"/>
  <c r="C39" i="224"/>
  <c r="E39" i="224" s="1"/>
  <c r="E38" i="224"/>
  <c r="C36" i="223"/>
  <c r="C38" i="223"/>
  <c r="L62" i="246" l="1"/>
  <c r="L63" i="246" s="1"/>
  <c r="AA65" i="194"/>
  <c r="E40" i="224"/>
  <c r="E38" i="223"/>
  <c r="C39" i="223"/>
  <c r="E39" i="223" s="1"/>
  <c r="E40" i="223" l="1"/>
  <c r="K62" i="246"/>
  <c r="K63" i="246" s="1"/>
  <c r="Z65" i="194"/>
  <c r="D32" i="222" l="1"/>
  <c r="E35" i="222" s="1"/>
  <c r="E36" i="222" s="1"/>
  <c r="E31" i="222"/>
  <c r="E30" i="222"/>
  <c r="E29" i="222"/>
  <c r="E28" i="222"/>
  <c r="E27" i="222"/>
  <c r="D22" i="222"/>
  <c r="E22" i="222" s="1"/>
  <c r="E21" i="222"/>
  <c r="E20" i="222"/>
  <c r="E19" i="222"/>
  <c r="E18" i="222"/>
  <c r="E17" i="222"/>
  <c r="D12" i="222"/>
  <c r="C35" i="222" s="1"/>
  <c r="E11" i="222"/>
  <c r="E10" i="222"/>
  <c r="E9" i="222"/>
  <c r="E8" i="222"/>
  <c r="E7" i="222"/>
  <c r="D32" i="221"/>
  <c r="E35" i="221" s="1"/>
  <c r="E36" i="221" s="1"/>
  <c r="E31" i="221"/>
  <c r="E30" i="221"/>
  <c r="E29" i="221"/>
  <c r="E28" i="221"/>
  <c r="E27" i="221"/>
  <c r="D22" i="221"/>
  <c r="E22" i="221" s="1"/>
  <c r="E21" i="221"/>
  <c r="E20" i="221"/>
  <c r="E19" i="221"/>
  <c r="E18" i="221"/>
  <c r="E17" i="221"/>
  <c r="D12" i="221"/>
  <c r="C35" i="221" s="1"/>
  <c r="E11" i="221"/>
  <c r="E10" i="221"/>
  <c r="E9" i="221"/>
  <c r="E8" i="221"/>
  <c r="E7" i="221"/>
  <c r="D32" i="220"/>
  <c r="E35" i="220" s="1"/>
  <c r="E36" i="220" s="1"/>
  <c r="E31" i="220"/>
  <c r="E30" i="220"/>
  <c r="E29" i="220"/>
  <c r="E28" i="220"/>
  <c r="E27" i="220"/>
  <c r="D22" i="220"/>
  <c r="E22" i="220" s="1"/>
  <c r="E21" i="220"/>
  <c r="E20" i="220"/>
  <c r="E19" i="220"/>
  <c r="E18" i="220"/>
  <c r="E17" i="220"/>
  <c r="D12" i="220"/>
  <c r="C35" i="220" s="1"/>
  <c r="E11" i="220"/>
  <c r="E10" i="220"/>
  <c r="E9" i="220"/>
  <c r="E8" i="220"/>
  <c r="E7" i="220"/>
  <c r="H42" i="246" l="1"/>
  <c r="H23" i="246"/>
  <c r="H51" i="246"/>
  <c r="H57" i="246"/>
  <c r="AG57" i="246" s="1"/>
  <c r="AH57" i="246" s="1"/>
  <c r="H7" i="246"/>
  <c r="AG7" i="246" s="1"/>
  <c r="H54" i="246"/>
  <c r="I46" i="246"/>
  <c r="I41" i="246"/>
  <c r="I38" i="246"/>
  <c r="I40" i="246"/>
  <c r="I44" i="246"/>
  <c r="I26" i="246"/>
  <c r="I36" i="246"/>
  <c r="I34" i="246"/>
  <c r="J40" i="246"/>
  <c r="J19" i="246"/>
  <c r="J4" i="246"/>
  <c r="AG4" i="246" s="1"/>
  <c r="AK4" i="246" s="1"/>
  <c r="J12" i="246"/>
  <c r="H39" i="246"/>
  <c r="H15" i="246"/>
  <c r="I3" i="246"/>
  <c r="I54" i="246"/>
  <c r="I15" i="246"/>
  <c r="I10" i="246"/>
  <c r="J34" i="246"/>
  <c r="J41" i="246"/>
  <c r="J21" i="246"/>
  <c r="J10" i="246"/>
  <c r="H20" i="246"/>
  <c r="E32" i="220"/>
  <c r="E32" i="221"/>
  <c r="W43" i="194"/>
  <c r="H41" i="246"/>
  <c r="H14" i="246"/>
  <c r="W14" i="194"/>
  <c r="E12" i="220"/>
  <c r="E12" i="221"/>
  <c r="Y13" i="194"/>
  <c r="J13" i="246"/>
  <c r="J5" i="246"/>
  <c r="Y5" i="194"/>
  <c r="W44" i="194"/>
  <c r="W40" i="194"/>
  <c r="W23" i="194"/>
  <c r="W7" i="194"/>
  <c r="W57" i="194"/>
  <c r="X3" i="194"/>
  <c r="X57" i="194"/>
  <c r="X42" i="194"/>
  <c r="X27" i="194"/>
  <c r="X15" i="194"/>
  <c r="X35" i="194"/>
  <c r="Y42" i="194"/>
  <c r="Y19" i="194"/>
  <c r="Y21" i="194"/>
  <c r="Y10" i="194"/>
  <c r="Y8" i="194"/>
  <c r="J8" i="246"/>
  <c r="Y15" i="194"/>
  <c r="J15" i="246"/>
  <c r="W20" i="194"/>
  <c r="W54" i="194"/>
  <c r="W60" i="194"/>
  <c r="W15" i="194"/>
  <c r="X49" i="194"/>
  <c r="X43" i="194"/>
  <c r="X39" i="194"/>
  <c r="X46" i="194"/>
  <c r="X37" i="194"/>
  <c r="X10" i="194"/>
  <c r="Y35" i="194"/>
  <c r="Y43" i="194"/>
  <c r="Y12" i="194"/>
  <c r="Y4" i="194"/>
  <c r="E32" i="222"/>
  <c r="E12" i="222"/>
  <c r="C36" i="220"/>
  <c r="C36" i="221"/>
  <c r="C36" i="222"/>
  <c r="D35" i="220"/>
  <c r="D36" i="220" s="1"/>
  <c r="D35" i="221"/>
  <c r="D36" i="221" s="1"/>
  <c r="D35" i="222"/>
  <c r="D36" i="222" s="1"/>
  <c r="L39" i="192"/>
  <c r="D39" i="192"/>
  <c r="N38" i="192"/>
  <c r="F38" i="192"/>
  <c r="N37" i="192"/>
  <c r="E37" i="192"/>
  <c r="G37" i="192" s="1"/>
  <c r="C39" i="192"/>
  <c r="B39" i="192"/>
  <c r="N36" i="192"/>
  <c r="G36" i="192"/>
  <c r="F36" i="192"/>
  <c r="N35" i="192"/>
  <c r="G35" i="192"/>
  <c r="F35" i="192"/>
  <c r="N34" i="192"/>
  <c r="G34" i="192"/>
  <c r="F34" i="192"/>
  <c r="O34" i="192" s="1"/>
  <c r="M33" i="192"/>
  <c r="N33" i="192" s="1"/>
  <c r="G33" i="192"/>
  <c r="F33" i="192"/>
  <c r="N32" i="192"/>
  <c r="G32" i="192"/>
  <c r="F32" i="192"/>
  <c r="M31" i="192"/>
  <c r="N31" i="192" s="1"/>
  <c r="G31" i="192"/>
  <c r="F31" i="192"/>
  <c r="M30" i="192"/>
  <c r="N30" i="192" s="1"/>
  <c r="G30" i="192"/>
  <c r="F30" i="192"/>
  <c r="K29" i="192"/>
  <c r="N29" i="192" s="1"/>
  <c r="G29" i="192"/>
  <c r="F29" i="192"/>
  <c r="P36" i="192" l="1"/>
  <c r="AK57" i="246"/>
  <c r="I61" i="246"/>
  <c r="H61" i="246"/>
  <c r="P38" i="192"/>
  <c r="O35" i="192"/>
  <c r="J61" i="246"/>
  <c r="O33" i="192"/>
  <c r="I35" i="192"/>
  <c r="E39" i="192"/>
  <c r="AH7" i="246"/>
  <c r="AK7" i="246"/>
  <c r="I29" i="192"/>
  <c r="I31" i="192"/>
  <c r="O30" i="192"/>
  <c r="O32" i="192"/>
  <c r="I30" i="192"/>
  <c r="O31" i="192"/>
  <c r="I32" i="192"/>
  <c r="I33" i="192"/>
  <c r="C38" i="222"/>
  <c r="C38" i="221"/>
  <c r="C38" i="220"/>
  <c r="N39" i="192"/>
  <c r="O29" i="192"/>
  <c r="I34" i="192"/>
  <c r="I36" i="192"/>
  <c r="F37" i="192"/>
  <c r="P37" i="192" s="1"/>
  <c r="I38" i="192"/>
  <c r="G39" i="192"/>
  <c r="K39" i="192"/>
  <c r="M39" i="192"/>
  <c r="IN3" i="194"/>
  <c r="IY3" i="194" s="1"/>
  <c r="IN4" i="194"/>
  <c r="IY4" i="194" s="1"/>
  <c r="IN6" i="194"/>
  <c r="IY6" i="194" s="1"/>
  <c r="IN7" i="194"/>
  <c r="IY7" i="194" s="1"/>
  <c r="IN8" i="194"/>
  <c r="IY8" i="194" s="1"/>
  <c r="IN9" i="194"/>
  <c r="IY9" i="194" s="1"/>
  <c r="IN10" i="194"/>
  <c r="IY10" i="194" s="1"/>
  <c r="IN11" i="194"/>
  <c r="IY11" i="194" s="1"/>
  <c r="IN12" i="194"/>
  <c r="IY12" i="194" s="1"/>
  <c r="IN13" i="194"/>
  <c r="IY13" i="194" s="1"/>
  <c r="IN14" i="194"/>
  <c r="IY14" i="194" s="1"/>
  <c r="IN15" i="194"/>
  <c r="IY15" i="194" s="1"/>
  <c r="IN16" i="194"/>
  <c r="IY16" i="194" s="1"/>
  <c r="IN17" i="194"/>
  <c r="IY17" i="194" s="1"/>
  <c r="IN18" i="194"/>
  <c r="IY18" i="194" s="1"/>
  <c r="IN19" i="194"/>
  <c r="IY19" i="194" s="1"/>
  <c r="IN20" i="194"/>
  <c r="IY20" i="194" s="1"/>
  <c r="IN21" i="194"/>
  <c r="IY21" i="194" s="1"/>
  <c r="IN22" i="194"/>
  <c r="IY22" i="194" s="1"/>
  <c r="IN23" i="194"/>
  <c r="IY23" i="194" s="1"/>
  <c r="IN25" i="194"/>
  <c r="IY25" i="194" s="1"/>
  <c r="IN26" i="194"/>
  <c r="IY26" i="194" s="1"/>
  <c r="IN27" i="194"/>
  <c r="IY27" i="194" s="1"/>
  <c r="IN28" i="194"/>
  <c r="IY28" i="194" s="1"/>
  <c r="IN29" i="194"/>
  <c r="IY29" i="194" s="1"/>
  <c r="IN30" i="194"/>
  <c r="IY30" i="194" s="1"/>
  <c r="IN31" i="194"/>
  <c r="IY31" i="194" s="1"/>
  <c r="IN32" i="194"/>
  <c r="IY32" i="194" s="1"/>
  <c r="IN33" i="194"/>
  <c r="IY33" i="194" s="1"/>
  <c r="IN34" i="194"/>
  <c r="IY34" i="194" s="1"/>
  <c r="IN35" i="194"/>
  <c r="IY35" i="194" s="1"/>
  <c r="IN36" i="194"/>
  <c r="IY36" i="194" s="1"/>
  <c r="IN37" i="194"/>
  <c r="IY37" i="194" s="1"/>
  <c r="IN38" i="194"/>
  <c r="IY38" i="194" s="1"/>
  <c r="IN39" i="194"/>
  <c r="IY39" i="194" s="1"/>
  <c r="IN40" i="194"/>
  <c r="IY40" i="194" s="1"/>
  <c r="IN42" i="194"/>
  <c r="IY42" i="194" s="1"/>
  <c r="IN43" i="194"/>
  <c r="IY43" i="194" s="1"/>
  <c r="IN44" i="194"/>
  <c r="IY44" i="194" s="1"/>
  <c r="IN45" i="194"/>
  <c r="IY45" i="194" s="1"/>
  <c r="IN46" i="194"/>
  <c r="IY46" i="194" s="1"/>
  <c r="IN47" i="194"/>
  <c r="IY47" i="194" s="1"/>
  <c r="IN49" i="194"/>
  <c r="IY49" i="194" s="1"/>
  <c r="IN50" i="194"/>
  <c r="IY50" i="194" s="1"/>
  <c r="IN52" i="194"/>
  <c r="IY52" i="194" s="1"/>
  <c r="IN53" i="194"/>
  <c r="IY53" i="194" s="1"/>
  <c r="IN54" i="194"/>
  <c r="IY54" i="194" s="1"/>
  <c r="IN55" i="194"/>
  <c r="IY55" i="194" s="1"/>
  <c r="IN56" i="194"/>
  <c r="IY56" i="194" s="1"/>
  <c r="IN57" i="194"/>
  <c r="IY57" i="194" s="1"/>
  <c r="IN58" i="194"/>
  <c r="IY58" i="194" s="1"/>
  <c r="IN59" i="194"/>
  <c r="IY59" i="194" s="1"/>
  <c r="IN60" i="194"/>
  <c r="IY60" i="194" s="1"/>
  <c r="P39" i="192" l="1"/>
  <c r="O39" i="192"/>
  <c r="C39" i="221"/>
  <c r="E39" i="221" s="1"/>
  <c r="E38" i="221"/>
  <c r="C39" i="220"/>
  <c r="E39" i="220" s="1"/>
  <c r="E38" i="220"/>
  <c r="C39" i="222"/>
  <c r="E39" i="222" s="1"/>
  <c r="E38" i="222"/>
  <c r="I37" i="192"/>
  <c r="I39" i="192" s="1"/>
  <c r="F39" i="192"/>
  <c r="C2" i="192"/>
  <c r="L2" i="192" s="1"/>
  <c r="J62" i="246" l="1"/>
  <c r="J63" i="246" s="1"/>
  <c r="H62" i="246"/>
  <c r="H63" i="246" s="1"/>
  <c r="E40" i="221"/>
  <c r="I62" i="246"/>
  <c r="I63" i="246" s="1"/>
  <c r="X65" i="194"/>
  <c r="E40" i="220"/>
  <c r="W65" i="194"/>
  <c r="E40" i="222"/>
  <c r="Y65" i="194"/>
  <c r="D32" i="218"/>
  <c r="E35" i="218" s="1"/>
  <c r="E36" i="218" s="1"/>
  <c r="E31" i="218"/>
  <c r="E30" i="218"/>
  <c r="E29" i="218"/>
  <c r="E28" i="218"/>
  <c r="E27" i="218"/>
  <c r="D22" i="218"/>
  <c r="E22" i="218" s="1"/>
  <c r="E21" i="218"/>
  <c r="E20" i="218"/>
  <c r="E19" i="218"/>
  <c r="E18" i="218"/>
  <c r="E17" i="218"/>
  <c r="D12" i="218"/>
  <c r="C35" i="218" s="1"/>
  <c r="E11" i="218"/>
  <c r="E10" i="218"/>
  <c r="E9" i="218"/>
  <c r="E8" i="218"/>
  <c r="E7" i="218"/>
  <c r="G46" i="246" l="1"/>
  <c r="AG46" i="246" s="1"/>
  <c r="AK46" i="246" s="1"/>
  <c r="V49" i="194"/>
  <c r="G26" i="246"/>
  <c r="V27" i="194"/>
  <c r="G18" i="246"/>
  <c r="V18" i="194"/>
  <c r="G13" i="246"/>
  <c r="V13" i="194"/>
  <c r="G44" i="246"/>
  <c r="V46" i="194"/>
  <c r="G41" i="246"/>
  <c r="V43" i="194"/>
  <c r="G38" i="246"/>
  <c r="V39" i="194"/>
  <c r="G54" i="246"/>
  <c r="AG54" i="246" s="1"/>
  <c r="V57" i="194"/>
  <c r="G36" i="246"/>
  <c r="V37" i="194"/>
  <c r="G3" i="246"/>
  <c r="V3" i="194"/>
  <c r="V54" i="194"/>
  <c r="G51" i="246"/>
  <c r="G33" i="246"/>
  <c r="V34" i="194"/>
  <c r="G56" i="246"/>
  <c r="V59" i="194"/>
  <c r="E12" i="218"/>
  <c r="E32" i="218"/>
  <c r="C36" i="218"/>
  <c r="D35" i="218"/>
  <c r="D36" i="218" s="1"/>
  <c r="D32" i="217"/>
  <c r="E35" i="217" s="1"/>
  <c r="E36" i="217" s="1"/>
  <c r="E31" i="217"/>
  <c r="E30" i="217"/>
  <c r="E29" i="217"/>
  <c r="E28" i="217"/>
  <c r="E27" i="217"/>
  <c r="D22" i="217"/>
  <c r="E22" i="217" s="1"/>
  <c r="E21" i="217"/>
  <c r="E20" i="217"/>
  <c r="E19" i="217"/>
  <c r="E18" i="217"/>
  <c r="E17" i="217"/>
  <c r="D12" i="217"/>
  <c r="C35" i="217" s="1"/>
  <c r="E11" i="217"/>
  <c r="E10" i="217"/>
  <c r="E9" i="217"/>
  <c r="E8" i="217"/>
  <c r="E7" i="217"/>
  <c r="G61" i="246" l="1"/>
  <c r="F20" i="246"/>
  <c r="U20" i="194"/>
  <c r="F8" i="246"/>
  <c r="U8" i="194"/>
  <c r="F51" i="246"/>
  <c r="U54" i="194"/>
  <c r="F9" i="246"/>
  <c r="U9" i="194"/>
  <c r="F39" i="246"/>
  <c r="U40" i="194"/>
  <c r="F40" i="246"/>
  <c r="U42" i="194"/>
  <c r="F42" i="246"/>
  <c r="U44" i="194"/>
  <c r="F13" i="246"/>
  <c r="U13" i="194"/>
  <c r="U37" i="194"/>
  <c r="F36" i="246"/>
  <c r="F23" i="246"/>
  <c r="AG23" i="246" s="1"/>
  <c r="U23" i="194"/>
  <c r="F34" i="246"/>
  <c r="U35" i="194"/>
  <c r="F10" i="246"/>
  <c r="U10" i="194"/>
  <c r="AK54" i="246"/>
  <c r="AH54" i="246"/>
  <c r="C38" i="218"/>
  <c r="E32" i="217"/>
  <c r="E12" i="217"/>
  <c r="C36" i="217"/>
  <c r="D35" i="217"/>
  <c r="D36" i="217" s="1"/>
  <c r="D32" i="216"/>
  <c r="E35" i="216" s="1"/>
  <c r="E36" i="216" s="1"/>
  <c r="E31" i="216"/>
  <c r="E30" i="216"/>
  <c r="E29" i="216"/>
  <c r="E28" i="216"/>
  <c r="E27" i="216"/>
  <c r="D22" i="216"/>
  <c r="D35" i="216" s="1"/>
  <c r="D36" i="216" s="1"/>
  <c r="E21" i="216"/>
  <c r="E20" i="216"/>
  <c r="E19" i="216"/>
  <c r="E18" i="216"/>
  <c r="E17" i="216"/>
  <c r="D12" i="216"/>
  <c r="C35" i="216" s="1"/>
  <c r="E11" i="216"/>
  <c r="E10" i="216"/>
  <c r="E9" i="216"/>
  <c r="E8" i="216"/>
  <c r="E7" i="216"/>
  <c r="E13" i="246" l="1"/>
  <c r="T13" i="194"/>
  <c r="E26" i="246"/>
  <c r="T27" i="194"/>
  <c r="E51" i="246"/>
  <c r="AG51" i="246" s="1"/>
  <c r="T54" i="194"/>
  <c r="E38" i="246"/>
  <c r="T39" i="194"/>
  <c r="E6" i="246"/>
  <c r="T6" i="194"/>
  <c r="E56" i="246"/>
  <c r="AG56" i="246" s="1"/>
  <c r="T59" i="194"/>
  <c r="E3" i="246"/>
  <c r="T3" i="194"/>
  <c r="E14" i="246"/>
  <c r="T14" i="194"/>
  <c r="E49" i="246"/>
  <c r="AG49" i="246" s="1"/>
  <c r="T52" i="194"/>
  <c r="E33" i="246"/>
  <c r="T34" i="194"/>
  <c r="E18" i="246"/>
  <c r="T18" i="194"/>
  <c r="E9" i="246"/>
  <c r="AG9" i="246" s="1"/>
  <c r="AK9" i="246" s="1"/>
  <c r="T9" i="194"/>
  <c r="AK23" i="246"/>
  <c r="AH23" i="246"/>
  <c r="F61" i="246"/>
  <c r="C39" i="218"/>
  <c r="E39" i="218" s="1"/>
  <c r="E38" i="218"/>
  <c r="C38" i="217"/>
  <c r="E22" i="216"/>
  <c r="C38" i="216"/>
  <c r="C36" i="216"/>
  <c r="E12" i="216"/>
  <c r="E32" i="216"/>
  <c r="C16" i="192"/>
  <c r="AG3" i="246" l="1"/>
  <c r="E61" i="246"/>
  <c r="V65" i="194"/>
  <c r="G62" i="246"/>
  <c r="G63" i="246" s="1"/>
  <c r="AH49" i="246"/>
  <c r="AK49" i="246"/>
  <c r="AK56" i="246"/>
  <c r="AH56" i="246"/>
  <c r="AH51" i="246"/>
  <c r="AK51" i="246"/>
  <c r="E40" i="218"/>
  <c r="C39" i="217"/>
  <c r="E39" i="217" s="1"/>
  <c r="E38" i="217"/>
  <c r="C39" i="216"/>
  <c r="E39" i="216" s="1"/>
  <c r="E38" i="216"/>
  <c r="Y60" i="215"/>
  <c r="U60" i="215"/>
  <c r="X59" i="215"/>
  <c r="Q59" i="215"/>
  <c r="R59" i="215" s="1"/>
  <c r="X58" i="215"/>
  <c r="Q58" i="215"/>
  <c r="R58" i="215" s="1"/>
  <c r="X57" i="215"/>
  <c r="Q57" i="215"/>
  <c r="R57" i="215" s="1"/>
  <c r="X56" i="215"/>
  <c r="S56" i="215"/>
  <c r="X55" i="215"/>
  <c r="S55" i="215"/>
  <c r="X54" i="215"/>
  <c r="S54" i="215"/>
  <c r="Q54" i="215"/>
  <c r="R54" i="215" s="1"/>
  <c r="X53" i="215"/>
  <c r="S53" i="215"/>
  <c r="X52" i="215"/>
  <c r="S52" i="215"/>
  <c r="X51" i="215"/>
  <c r="S51" i="215"/>
  <c r="Q51" i="215"/>
  <c r="R51" i="215" s="1"/>
  <c r="X50" i="215"/>
  <c r="S50" i="215"/>
  <c r="X49" i="215"/>
  <c r="S49" i="215"/>
  <c r="Q49" i="215"/>
  <c r="R49" i="215" s="1"/>
  <c r="X48" i="215"/>
  <c r="S48" i="215"/>
  <c r="X47" i="215"/>
  <c r="S47" i="215"/>
  <c r="Q47" i="215"/>
  <c r="R47" i="215" s="1"/>
  <c r="S46" i="215"/>
  <c r="X45" i="215"/>
  <c r="S45" i="215"/>
  <c r="Q45" i="215"/>
  <c r="R45" i="215" s="1"/>
  <c r="X44" i="215"/>
  <c r="S44" i="215"/>
  <c r="X43" i="215"/>
  <c r="S43" i="215"/>
  <c r="Q43" i="215"/>
  <c r="R43" i="215" s="1"/>
  <c r="S42" i="215"/>
  <c r="Q42" i="215"/>
  <c r="X41" i="215"/>
  <c r="S41" i="215"/>
  <c r="S40" i="215"/>
  <c r="X39" i="215"/>
  <c r="S39" i="215"/>
  <c r="X38" i="215"/>
  <c r="S38" i="215"/>
  <c r="X37" i="215"/>
  <c r="S37" i="215"/>
  <c r="X36" i="215"/>
  <c r="S36" i="215"/>
  <c r="X35" i="215"/>
  <c r="S35" i="215"/>
  <c r="X34" i="215"/>
  <c r="S34" i="215"/>
  <c r="X33" i="215"/>
  <c r="S33" i="215"/>
  <c r="X32" i="215"/>
  <c r="S32" i="215"/>
  <c r="Q32" i="215"/>
  <c r="R32" i="215" s="1"/>
  <c r="S31" i="215"/>
  <c r="Q31" i="215"/>
  <c r="X30" i="215"/>
  <c r="S30" i="215"/>
  <c r="Q30" i="215"/>
  <c r="R30" i="215" s="1"/>
  <c r="X29" i="215"/>
  <c r="S29" i="215"/>
  <c r="Q29" i="215"/>
  <c r="R29" i="215" s="1"/>
  <c r="X28" i="215"/>
  <c r="S28" i="215"/>
  <c r="Q28" i="215"/>
  <c r="R28" i="215" s="1"/>
  <c r="X27" i="215"/>
  <c r="S27" i="215"/>
  <c r="Q27" i="215"/>
  <c r="R27" i="215" s="1"/>
  <c r="X26" i="215"/>
  <c r="S26" i="215"/>
  <c r="X25" i="215"/>
  <c r="S25" i="215"/>
  <c r="S24" i="215"/>
  <c r="Q24" i="215"/>
  <c r="X23" i="215"/>
  <c r="S23" i="215"/>
  <c r="X22" i="215"/>
  <c r="S22" i="215"/>
  <c r="Q22" i="215"/>
  <c r="R22" i="215" s="1"/>
  <c r="S21" i="215"/>
  <c r="Q21" i="215"/>
  <c r="R21" i="215" s="1"/>
  <c r="X20" i="215"/>
  <c r="S20" i="215"/>
  <c r="X19" i="215"/>
  <c r="S19" i="215"/>
  <c r="S18" i="215"/>
  <c r="X17" i="215"/>
  <c r="S17" i="215"/>
  <c r="X16" i="215"/>
  <c r="S16" i="215"/>
  <c r="Q16" i="215"/>
  <c r="R16" i="215" s="1"/>
  <c r="X15" i="215"/>
  <c r="S15" i="215"/>
  <c r="X14" i="215"/>
  <c r="S14" i="215"/>
  <c r="X13" i="215"/>
  <c r="S13" i="215"/>
  <c r="X12" i="215"/>
  <c r="S12" i="215"/>
  <c r="X11" i="215"/>
  <c r="S11" i="215"/>
  <c r="X10" i="215"/>
  <c r="S10" i="215"/>
  <c r="S9" i="215"/>
  <c r="X8" i="215"/>
  <c r="S8" i="215"/>
  <c r="X7" i="215"/>
  <c r="S7" i="215"/>
  <c r="X6" i="215"/>
  <c r="S6" i="215"/>
  <c r="X5" i="215"/>
  <c r="S5" i="215"/>
  <c r="S4" i="215"/>
  <c r="X3" i="215"/>
  <c r="S3" i="215"/>
  <c r="X60" i="215" l="1"/>
  <c r="AH3" i="246"/>
  <c r="AK3" i="246"/>
  <c r="E62" i="246"/>
  <c r="T65" i="194"/>
  <c r="U65" i="194"/>
  <c r="F62" i="246"/>
  <c r="F63" i="246" s="1"/>
  <c r="E63" i="246"/>
  <c r="E40" i="217"/>
  <c r="E40" i="216"/>
  <c r="Q26" i="215"/>
  <c r="R26" i="215" s="1"/>
  <c r="D32" i="214"/>
  <c r="E35" i="214" s="1"/>
  <c r="E36" i="214" s="1"/>
  <c r="E31" i="214"/>
  <c r="E30" i="214"/>
  <c r="E29" i="214"/>
  <c r="E28" i="214"/>
  <c r="E27" i="214"/>
  <c r="D22" i="214"/>
  <c r="E22" i="214" s="1"/>
  <c r="E21" i="214"/>
  <c r="E20" i="214"/>
  <c r="E19" i="214"/>
  <c r="E18" i="214"/>
  <c r="E17" i="214"/>
  <c r="D12" i="214"/>
  <c r="C35" i="214" s="1"/>
  <c r="E11" i="214"/>
  <c r="E10" i="214"/>
  <c r="E9" i="214"/>
  <c r="E8" i="214"/>
  <c r="E7" i="214"/>
  <c r="D39" i="246" l="1"/>
  <c r="S40" i="194"/>
  <c r="D13" i="246"/>
  <c r="S13" i="194"/>
  <c r="D35" i="246"/>
  <c r="AG35" i="246" s="1"/>
  <c r="S36" i="194"/>
  <c r="D42" i="246"/>
  <c r="AG42" i="246" s="1"/>
  <c r="AK42" i="246" s="1"/>
  <c r="S44" i="194"/>
  <c r="D6" i="246"/>
  <c r="S6" i="194"/>
  <c r="D36" i="246"/>
  <c r="S37" i="194"/>
  <c r="D41" i="246"/>
  <c r="S43" i="194"/>
  <c r="D40" i="246"/>
  <c r="S42" i="194"/>
  <c r="D14" i="246"/>
  <c r="AG14" i="246" s="1"/>
  <c r="S14" i="194"/>
  <c r="D17" i="246"/>
  <c r="S17" i="194"/>
  <c r="D33" i="246"/>
  <c r="S34" i="194"/>
  <c r="D8" i="246"/>
  <c r="S8" i="194"/>
  <c r="D38" i="246"/>
  <c r="AG38" i="246" s="1"/>
  <c r="S39" i="194"/>
  <c r="E12" i="214"/>
  <c r="E32" i="214"/>
  <c r="C36" i="214"/>
  <c r="D35" i="214"/>
  <c r="D36" i="214" s="1"/>
  <c r="IQ44" i="194" l="1"/>
  <c r="IL44" i="194"/>
  <c r="AH38" i="246"/>
  <c r="AK38" i="246"/>
  <c r="AH14" i="246"/>
  <c r="AK14" i="246"/>
  <c r="D61" i="246"/>
  <c r="AG6" i="246"/>
  <c r="AK35" i="246"/>
  <c r="AH35" i="246"/>
  <c r="C38" i="214"/>
  <c r="AK6" i="246" l="1"/>
  <c r="AH6" i="246"/>
  <c r="C39" i="214"/>
  <c r="E39" i="214" s="1"/>
  <c r="E38" i="214"/>
  <c r="D22" i="213"/>
  <c r="D32" i="213"/>
  <c r="D22" i="212"/>
  <c r="D32" i="211"/>
  <c r="D22" i="211"/>
  <c r="E22" i="211" s="1"/>
  <c r="D62" i="246" l="1"/>
  <c r="D63" i="246" s="1"/>
  <c r="S65" i="194"/>
  <c r="E40" i="214"/>
  <c r="E35" i="213"/>
  <c r="E36" i="213" s="1"/>
  <c r="D35" i="213"/>
  <c r="D36" i="213" s="1"/>
  <c r="E32" i="213"/>
  <c r="E31" i="213"/>
  <c r="E30" i="213"/>
  <c r="E29" i="213"/>
  <c r="E28" i="213"/>
  <c r="E27" i="213"/>
  <c r="E22" i="213"/>
  <c r="E21" i="213"/>
  <c r="E20" i="213"/>
  <c r="E19" i="213"/>
  <c r="E18" i="213"/>
  <c r="E17" i="213"/>
  <c r="D12" i="213"/>
  <c r="C35" i="213" s="1"/>
  <c r="E11" i="213"/>
  <c r="E10" i="213"/>
  <c r="E9" i="213"/>
  <c r="E8" i="213"/>
  <c r="E7" i="213"/>
  <c r="D32" i="212"/>
  <c r="E35" i="212" s="1"/>
  <c r="E36" i="212" s="1"/>
  <c r="E31" i="212"/>
  <c r="E30" i="212"/>
  <c r="E29" i="212"/>
  <c r="E28" i="212"/>
  <c r="E27" i="212"/>
  <c r="E22" i="212"/>
  <c r="E21" i="212"/>
  <c r="E20" i="212"/>
  <c r="E19" i="212"/>
  <c r="E18" i="212"/>
  <c r="E17" i="212"/>
  <c r="D12" i="212"/>
  <c r="C35" i="212" s="1"/>
  <c r="E11" i="212"/>
  <c r="E10" i="212"/>
  <c r="E9" i="212"/>
  <c r="E8" i="212"/>
  <c r="E7" i="212"/>
  <c r="E35" i="211"/>
  <c r="E36" i="211" s="1"/>
  <c r="E31" i="211"/>
  <c r="E30" i="211"/>
  <c r="E29" i="211"/>
  <c r="E28" i="211"/>
  <c r="E27" i="211"/>
  <c r="D35" i="211"/>
  <c r="D36" i="211" s="1"/>
  <c r="E21" i="211"/>
  <c r="E20" i="211"/>
  <c r="E19" i="211"/>
  <c r="E18" i="211"/>
  <c r="E17" i="211"/>
  <c r="D12" i="211"/>
  <c r="C35" i="211" s="1"/>
  <c r="E11" i="211"/>
  <c r="E10" i="211"/>
  <c r="E9" i="211"/>
  <c r="E8" i="211"/>
  <c r="E7" i="211"/>
  <c r="B40" i="246" l="1"/>
  <c r="Q42" i="194"/>
  <c r="B12" i="246"/>
  <c r="AG12" i="246" s="1"/>
  <c r="Q12" i="194"/>
  <c r="B13" i="246"/>
  <c r="AG13" i="246" s="1"/>
  <c r="Q13" i="194"/>
  <c r="B36" i="246"/>
  <c r="Q37" i="194"/>
  <c r="B44" i="246"/>
  <c r="Q46" i="194"/>
  <c r="B21" i="246"/>
  <c r="AG21" i="246" s="1"/>
  <c r="Q21" i="194"/>
  <c r="B34" i="246"/>
  <c r="Q35" i="194"/>
  <c r="B26" i="246"/>
  <c r="Q27" i="194"/>
  <c r="P34" i="215"/>
  <c r="P35" i="194"/>
  <c r="P19" i="215"/>
  <c r="P19" i="194"/>
  <c r="P44" i="215"/>
  <c r="P46" i="194"/>
  <c r="P3" i="215"/>
  <c r="P3" i="194"/>
  <c r="P23" i="215"/>
  <c r="P23" i="194"/>
  <c r="P12" i="215"/>
  <c r="P12" i="194"/>
  <c r="P36" i="215"/>
  <c r="P37" i="194"/>
  <c r="C44" i="246"/>
  <c r="R46" i="194"/>
  <c r="C40" i="246"/>
  <c r="R42" i="194"/>
  <c r="C34" i="246"/>
  <c r="R35" i="194"/>
  <c r="C18" i="246"/>
  <c r="AG18" i="246" s="1"/>
  <c r="AK18" i="246" s="1"/>
  <c r="R18" i="194"/>
  <c r="C26" i="246"/>
  <c r="R27" i="194"/>
  <c r="C17" i="246"/>
  <c r="R17" i="194"/>
  <c r="C5" i="246"/>
  <c r="R5" i="194"/>
  <c r="C33" i="246"/>
  <c r="AG33" i="246" s="1"/>
  <c r="R34" i="194"/>
  <c r="C36" i="246"/>
  <c r="R37" i="194"/>
  <c r="B19" i="246"/>
  <c r="AG19" i="246" s="1"/>
  <c r="Q19" i="194"/>
  <c r="B10" i="246"/>
  <c r="Q10" i="194"/>
  <c r="B20" i="246"/>
  <c r="AG20" i="246" s="1"/>
  <c r="Q20" i="194"/>
  <c r="B15" i="246"/>
  <c r="Q15" i="194"/>
  <c r="B17" i="246"/>
  <c r="AG17" i="246" s="1"/>
  <c r="Q17" i="194"/>
  <c r="P20" i="215"/>
  <c r="P20" i="194"/>
  <c r="P55" i="215"/>
  <c r="P59" i="194"/>
  <c r="P10" i="215"/>
  <c r="P10" i="194"/>
  <c r="P15" i="215"/>
  <c r="P15" i="194"/>
  <c r="P37" i="215"/>
  <c r="P38" i="194"/>
  <c r="C41" i="246"/>
  <c r="AG41" i="246" s="1"/>
  <c r="R43" i="194"/>
  <c r="C39" i="246"/>
  <c r="AG39" i="246" s="1"/>
  <c r="R40" i="194"/>
  <c r="C8" i="246"/>
  <c r="AG8" i="246" s="1"/>
  <c r="R8" i="194"/>
  <c r="C10" i="246"/>
  <c r="R10" i="194"/>
  <c r="C15" i="246"/>
  <c r="R15" i="194"/>
  <c r="E12" i="213"/>
  <c r="E12" i="212"/>
  <c r="C38" i="213"/>
  <c r="C36" i="213"/>
  <c r="E32" i="212"/>
  <c r="C36" i="212"/>
  <c r="D35" i="212"/>
  <c r="D36" i="212" s="1"/>
  <c r="C38" i="211"/>
  <c r="C36" i="211"/>
  <c r="E12" i="211"/>
  <c r="E32" i="211"/>
  <c r="D22" i="210"/>
  <c r="IL27" i="194" l="1"/>
  <c r="IQ21" i="194"/>
  <c r="IL21" i="194"/>
  <c r="IP21" i="194" s="1"/>
  <c r="IX21" i="194" s="1"/>
  <c r="IW21" i="194" s="1"/>
  <c r="IQ27" i="194"/>
  <c r="AK8" i="246"/>
  <c r="AH8" i="246"/>
  <c r="AK39" i="246"/>
  <c r="AH39" i="246"/>
  <c r="AH41" i="246"/>
  <c r="AK41" i="246"/>
  <c r="AH17" i="246"/>
  <c r="AK17" i="246"/>
  <c r="AG15" i="246"/>
  <c r="AK20" i="246"/>
  <c r="AH20" i="246"/>
  <c r="AG10" i="246"/>
  <c r="B61" i="246"/>
  <c r="AH19" i="246"/>
  <c r="AK19" i="246"/>
  <c r="AK33" i="246"/>
  <c r="AH33" i="246"/>
  <c r="AG5" i="246"/>
  <c r="C61" i="246"/>
  <c r="P60" i="215"/>
  <c r="AG26" i="246"/>
  <c r="AG34" i="246"/>
  <c r="AK21" i="246"/>
  <c r="AH21" i="246"/>
  <c r="AG44" i="246"/>
  <c r="AG36" i="246"/>
  <c r="AK13" i="246"/>
  <c r="AH13" i="246"/>
  <c r="AH12" i="246"/>
  <c r="AK12" i="246"/>
  <c r="AG40" i="246"/>
  <c r="AK40" i="246" s="1"/>
  <c r="C39" i="213"/>
  <c r="E39" i="213" s="1"/>
  <c r="E38" i="213"/>
  <c r="C38" i="212"/>
  <c r="C39" i="211"/>
  <c r="E39" i="211" s="1"/>
  <c r="E38" i="211"/>
  <c r="D32" i="210"/>
  <c r="E31" i="210"/>
  <c r="E30" i="210"/>
  <c r="E29" i="210"/>
  <c r="E28" i="210"/>
  <c r="E27" i="210"/>
  <c r="E22" i="210"/>
  <c r="E21" i="210"/>
  <c r="E20" i="210"/>
  <c r="E19" i="210"/>
  <c r="E18" i="210"/>
  <c r="E17" i="210"/>
  <c r="D12" i="210"/>
  <c r="C35" i="210" s="1"/>
  <c r="E11" i="210"/>
  <c r="E10" i="210"/>
  <c r="E9" i="210"/>
  <c r="E8" i="210"/>
  <c r="E7" i="210"/>
  <c r="IM21" i="194" l="1"/>
  <c r="O56" i="215"/>
  <c r="O60" i="194"/>
  <c r="O44" i="215"/>
  <c r="O46" i="194"/>
  <c r="O11" i="215"/>
  <c r="O11" i="194"/>
  <c r="O48" i="215"/>
  <c r="O52" i="194"/>
  <c r="O35" i="215"/>
  <c r="O36" i="194"/>
  <c r="O18" i="215"/>
  <c r="O18" i="194"/>
  <c r="E35" i="210"/>
  <c r="E36" i="210" s="1"/>
  <c r="C62" i="246"/>
  <c r="R65" i="194"/>
  <c r="AK44" i="246"/>
  <c r="AH44" i="246"/>
  <c r="AH26" i="246"/>
  <c r="AK26" i="246"/>
  <c r="C63" i="246"/>
  <c r="AH15" i="246"/>
  <c r="AK15" i="246"/>
  <c r="O39" i="215"/>
  <c r="O40" i="194"/>
  <c r="O53" i="215"/>
  <c r="O57" i="194"/>
  <c r="O17" i="215"/>
  <c r="O17" i="194"/>
  <c r="O37" i="215"/>
  <c r="O38" i="194"/>
  <c r="O46" i="215"/>
  <c r="Q46" i="215" s="1"/>
  <c r="O49" i="194"/>
  <c r="O38" i="215"/>
  <c r="O39" i="194"/>
  <c r="B62" i="246"/>
  <c r="B63" i="246" s="1"/>
  <c r="Q65" i="194"/>
  <c r="AH36" i="246"/>
  <c r="AK36" i="246"/>
  <c r="AK34" i="246"/>
  <c r="AH34" i="246"/>
  <c r="AK5" i="246"/>
  <c r="AH5" i="246"/>
  <c r="AG61" i="246"/>
  <c r="AG63" i="246" s="1"/>
  <c r="AK10" i="246"/>
  <c r="AH10" i="246"/>
  <c r="O36" i="215"/>
  <c r="O37" i="194"/>
  <c r="E40" i="213"/>
  <c r="C39" i="212"/>
  <c r="E39" i="212" s="1"/>
  <c r="E38" i="212"/>
  <c r="E40" i="211"/>
  <c r="E32" i="210"/>
  <c r="E12" i="210"/>
  <c r="C36" i="210"/>
  <c r="D35" i="210"/>
  <c r="D36" i="210" s="1"/>
  <c r="IQ49" i="194" l="1"/>
  <c r="IL49" i="194"/>
  <c r="P61" i="215"/>
  <c r="P62" i="215" s="1"/>
  <c r="P65" i="194"/>
  <c r="AH61" i="246"/>
  <c r="O60" i="215"/>
  <c r="E40" i="212"/>
  <c r="C38" i="210"/>
  <c r="C39" i="210" l="1"/>
  <c r="E39" i="210" s="1"/>
  <c r="E38" i="210"/>
  <c r="O61" i="215" l="1"/>
  <c r="O62" i="215" s="1"/>
  <c r="O65" i="194"/>
  <c r="E40" i="210"/>
  <c r="D32" i="209" l="1"/>
  <c r="E35" i="209" s="1"/>
  <c r="E36" i="209" s="1"/>
  <c r="E31" i="209"/>
  <c r="E30" i="209"/>
  <c r="E29" i="209"/>
  <c r="E28" i="209"/>
  <c r="E27" i="209"/>
  <c r="D22" i="209"/>
  <c r="E22" i="209" s="1"/>
  <c r="E21" i="209"/>
  <c r="E20" i="209"/>
  <c r="E19" i="209"/>
  <c r="E18" i="209"/>
  <c r="E17" i="209"/>
  <c r="D12" i="209"/>
  <c r="C35" i="209" s="1"/>
  <c r="E11" i="209"/>
  <c r="E10" i="209"/>
  <c r="E9" i="209"/>
  <c r="E8" i="209"/>
  <c r="E7" i="209"/>
  <c r="N37" i="215" l="1"/>
  <c r="N53" i="215"/>
  <c r="N44" i="215"/>
  <c r="N6" i="215"/>
  <c r="N35" i="215"/>
  <c r="N7" i="215"/>
  <c r="N25" i="215"/>
  <c r="N11" i="215"/>
  <c r="N19" i="215"/>
  <c r="N38" i="215"/>
  <c r="N17" i="215"/>
  <c r="N55" i="215"/>
  <c r="N36" i="194"/>
  <c r="N46" i="194"/>
  <c r="N57" i="194"/>
  <c r="N7" i="194"/>
  <c r="N11" i="194"/>
  <c r="N39" i="194"/>
  <c r="N38" i="194"/>
  <c r="N19" i="194"/>
  <c r="N6" i="194"/>
  <c r="N17" i="194"/>
  <c r="N59" i="194"/>
  <c r="N26" i="194"/>
  <c r="E12" i="209"/>
  <c r="C36" i="209"/>
  <c r="E32" i="209"/>
  <c r="D35" i="209"/>
  <c r="D36" i="209" s="1"/>
  <c r="N60" i="215" l="1"/>
  <c r="C38" i="209"/>
  <c r="C39" i="209" l="1"/>
  <c r="E39" i="209" s="1"/>
  <c r="E38" i="209"/>
  <c r="E29" i="208"/>
  <c r="D32" i="208"/>
  <c r="E35" i="208" s="1"/>
  <c r="E36" i="208" s="1"/>
  <c r="E31" i="208"/>
  <c r="E30" i="208"/>
  <c r="E28" i="208"/>
  <c r="E27" i="208"/>
  <c r="D22" i="208"/>
  <c r="E22" i="208" s="1"/>
  <c r="E21" i="208"/>
  <c r="E20" i="208"/>
  <c r="E19" i="208"/>
  <c r="E18" i="208"/>
  <c r="E17" i="208"/>
  <c r="D12" i="208"/>
  <c r="C35" i="208" s="1"/>
  <c r="E11" i="208"/>
  <c r="E10" i="208"/>
  <c r="E9" i="208"/>
  <c r="E8" i="208"/>
  <c r="E7" i="208"/>
  <c r="M48" i="215" l="1"/>
  <c r="M52" i="194"/>
  <c r="M39" i="215"/>
  <c r="M40" i="194"/>
  <c r="M38" i="215"/>
  <c r="M39" i="194"/>
  <c r="M9" i="215"/>
  <c r="Q9" i="215" s="1"/>
  <c r="M9" i="194"/>
  <c r="M17" i="215"/>
  <c r="M17" i="194"/>
  <c r="M36" i="215"/>
  <c r="M37" i="194"/>
  <c r="M19" i="215"/>
  <c r="M19" i="194"/>
  <c r="M3" i="215"/>
  <c r="M3" i="194"/>
  <c r="M40" i="215"/>
  <c r="M42" i="194"/>
  <c r="M33" i="215"/>
  <c r="M34" i="194"/>
  <c r="M10" i="215"/>
  <c r="M10" i="194"/>
  <c r="M14" i="215"/>
  <c r="M14" i="194"/>
  <c r="N61" i="215"/>
  <c r="N62" i="215" s="1"/>
  <c r="N65" i="194"/>
  <c r="E40" i="209"/>
  <c r="E32" i="208"/>
  <c r="E12" i="208"/>
  <c r="C36" i="208"/>
  <c r="D35" i="208"/>
  <c r="D36" i="208" s="1"/>
  <c r="IQ9" i="194" l="1"/>
  <c r="IL9" i="194"/>
  <c r="M60" i="215"/>
  <c r="C38" i="208"/>
  <c r="D12" i="207"/>
  <c r="E11" i="207"/>
  <c r="D32" i="207"/>
  <c r="E35" i="207" s="1"/>
  <c r="E36" i="207" s="1"/>
  <c r="E31" i="207"/>
  <c r="E30" i="207"/>
  <c r="E29" i="207"/>
  <c r="E28" i="207"/>
  <c r="E27" i="207"/>
  <c r="D22" i="207"/>
  <c r="D35" i="207" s="1"/>
  <c r="D36" i="207" s="1"/>
  <c r="E21" i="207"/>
  <c r="E20" i="207"/>
  <c r="E19" i="207"/>
  <c r="E18" i="207"/>
  <c r="E17" i="207"/>
  <c r="C35" i="207"/>
  <c r="E10" i="207"/>
  <c r="E9" i="207"/>
  <c r="E8" i="207"/>
  <c r="E7" i="207"/>
  <c r="L56" i="215" l="1"/>
  <c r="L10" i="215"/>
  <c r="L12" i="215"/>
  <c r="L14" i="215"/>
  <c r="L20" i="215"/>
  <c r="L6" i="215"/>
  <c r="L36" i="215"/>
  <c r="L15" i="215"/>
  <c r="L33" i="215"/>
  <c r="L34" i="215"/>
  <c r="L13" i="215"/>
  <c r="L25" i="215"/>
  <c r="L6" i="194"/>
  <c r="L20" i="194"/>
  <c r="L15" i="194"/>
  <c r="L35" i="194"/>
  <c r="L19" i="215"/>
  <c r="Q19" i="215" s="1"/>
  <c r="R19" i="215" s="1"/>
  <c r="L14" i="194"/>
  <c r="L13" i="194"/>
  <c r="L10" i="194"/>
  <c r="L12" i="194"/>
  <c r="L19" i="194"/>
  <c r="L26" i="194"/>
  <c r="L60" i="194"/>
  <c r="L34" i="194"/>
  <c r="L37" i="194"/>
  <c r="C39" i="208"/>
  <c r="E39" i="208" s="1"/>
  <c r="E38" i="208"/>
  <c r="E22" i="207"/>
  <c r="C38" i="207"/>
  <c r="C36" i="207"/>
  <c r="E12" i="207"/>
  <c r="E32" i="207"/>
  <c r="C15" i="191"/>
  <c r="IQ19" i="194" l="1"/>
  <c r="IL19" i="194"/>
  <c r="G2" i="192"/>
  <c r="G2" i="383"/>
  <c r="G12" i="383" s="1"/>
  <c r="L60" i="215"/>
  <c r="M61" i="215"/>
  <c r="M62" i="215" s="1"/>
  <c r="M65" i="194"/>
  <c r="E40" i="208"/>
  <c r="C39" i="207"/>
  <c r="E39" i="207" s="1"/>
  <c r="E38" i="207"/>
  <c r="L61" i="215" l="1"/>
  <c r="L62" i="215" s="1"/>
  <c r="L65" i="194"/>
  <c r="E40" i="207"/>
  <c r="D31" i="206"/>
  <c r="E34" i="206" s="1"/>
  <c r="E35" i="206" s="1"/>
  <c r="E30" i="206"/>
  <c r="E29" i="206"/>
  <c r="E28" i="206"/>
  <c r="E27" i="206"/>
  <c r="E26" i="206"/>
  <c r="D21" i="206"/>
  <c r="E21" i="206" s="1"/>
  <c r="E20" i="206"/>
  <c r="E19" i="206"/>
  <c r="E18" i="206"/>
  <c r="E17" i="206"/>
  <c r="E16" i="206"/>
  <c r="D11" i="206"/>
  <c r="C34" i="206" s="1"/>
  <c r="E10" i="206"/>
  <c r="E9" i="206"/>
  <c r="E8" i="206"/>
  <c r="E7" i="206"/>
  <c r="D32" i="205"/>
  <c r="E35" i="205" s="1"/>
  <c r="E36" i="205" s="1"/>
  <c r="E31" i="205"/>
  <c r="E30" i="205"/>
  <c r="E29" i="205"/>
  <c r="E28" i="205"/>
  <c r="E27" i="205"/>
  <c r="D22" i="205"/>
  <c r="E22" i="205" s="1"/>
  <c r="E21" i="205"/>
  <c r="E20" i="205"/>
  <c r="E19" i="205"/>
  <c r="E18" i="205"/>
  <c r="E17" i="205"/>
  <c r="D12" i="205"/>
  <c r="C35" i="205" s="1"/>
  <c r="E11" i="205"/>
  <c r="E10" i="205"/>
  <c r="E9" i="205"/>
  <c r="E8" i="205"/>
  <c r="E7" i="205"/>
  <c r="D32" i="204"/>
  <c r="E35" i="204" s="1"/>
  <c r="E36" i="204" s="1"/>
  <c r="E31" i="204"/>
  <c r="E30" i="204"/>
  <c r="E29" i="204"/>
  <c r="E28" i="204"/>
  <c r="E27" i="204"/>
  <c r="D22" i="204"/>
  <c r="E22" i="204" s="1"/>
  <c r="E21" i="204"/>
  <c r="E20" i="204"/>
  <c r="E19" i="204"/>
  <c r="E18" i="204"/>
  <c r="E17" i="204"/>
  <c r="D12" i="204"/>
  <c r="C35" i="204" s="1"/>
  <c r="E11" i="204"/>
  <c r="E10" i="204"/>
  <c r="E9" i="204"/>
  <c r="E8" i="204"/>
  <c r="E7" i="204"/>
  <c r="K5" i="194" l="1"/>
  <c r="I7" i="215"/>
  <c r="I7" i="194"/>
  <c r="I20" i="215"/>
  <c r="I20" i="194"/>
  <c r="I40" i="215"/>
  <c r="I42" i="194"/>
  <c r="I48" i="215"/>
  <c r="I52" i="194"/>
  <c r="I17" i="215"/>
  <c r="I17" i="194"/>
  <c r="I36" i="215"/>
  <c r="I37" i="194"/>
  <c r="I8" i="215"/>
  <c r="Q8" i="215" s="1"/>
  <c r="R8" i="215" s="1"/>
  <c r="I8" i="194"/>
  <c r="J13" i="215"/>
  <c r="J13" i="194"/>
  <c r="J3" i="215"/>
  <c r="J3" i="194"/>
  <c r="J34" i="215"/>
  <c r="J35" i="194"/>
  <c r="J36" i="215"/>
  <c r="J37" i="194"/>
  <c r="J14" i="215"/>
  <c r="J14" i="194"/>
  <c r="J41" i="215"/>
  <c r="J43" i="194"/>
  <c r="K7" i="215"/>
  <c r="K7" i="194"/>
  <c r="K10" i="215"/>
  <c r="Q10" i="215" s="1"/>
  <c r="R10" i="215" s="1"/>
  <c r="K10" i="194"/>
  <c r="K33" i="215"/>
  <c r="K34" i="194"/>
  <c r="K52" i="215"/>
  <c r="K56" i="194"/>
  <c r="K36" i="215"/>
  <c r="K37" i="194"/>
  <c r="I13" i="215"/>
  <c r="I13" i="194"/>
  <c r="I14" i="215"/>
  <c r="I14" i="194"/>
  <c r="I33" i="215"/>
  <c r="I34" i="194"/>
  <c r="I37" i="215"/>
  <c r="I38" i="194"/>
  <c r="I35" i="215"/>
  <c r="I36" i="194"/>
  <c r="J53" i="215"/>
  <c r="J57" i="194"/>
  <c r="J40" i="215"/>
  <c r="J42" i="194"/>
  <c r="J20" i="215"/>
  <c r="J20" i="194"/>
  <c r="J15" i="215"/>
  <c r="J15" i="194"/>
  <c r="J38" i="215"/>
  <c r="J39" i="194"/>
  <c r="K13" i="215"/>
  <c r="K13" i="194"/>
  <c r="K40" i="215"/>
  <c r="K42" i="194"/>
  <c r="K4" i="215"/>
  <c r="K4" i="194"/>
  <c r="K53" i="215"/>
  <c r="K57" i="194"/>
  <c r="K39" i="215"/>
  <c r="K40" i="194"/>
  <c r="K5" i="215"/>
  <c r="E31" i="206"/>
  <c r="E11" i="206"/>
  <c r="E32" i="205"/>
  <c r="E12" i="205"/>
  <c r="E12" i="204"/>
  <c r="C35" i="206"/>
  <c r="D34" i="206"/>
  <c r="D35" i="206" s="1"/>
  <c r="C36" i="205"/>
  <c r="D35" i="205"/>
  <c r="D36" i="205" s="1"/>
  <c r="E32" i="204"/>
  <c r="C36" i="204"/>
  <c r="D35" i="204"/>
  <c r="D36" i="204" s="1"/>
  <c r="IQ10" i="194" l="1"/>
  <c r="IL10" i="194"/>
  <c r="IQ8" i="194"/>
  <c r="IL8" i="194"/>
  <c r="IQ5" i="194"/>
  <c r="IL5" i="194"/>
  <c r="IP5" i="194" s="1"/>
  <c r="IX5" i="194" s="1"/>
  <c r="IW5" i="194" s="1"/>
  <c r="J60" i="215"/>
  <c r="I60" i="215"/>
  <c r="Q5" i="215"/>
  <c r="K60" i="215"/>
  <c r="C37" i="206"/>
  <c r="C38" i="205"/>
  <c r="C38" i="204"/>
  <c r="IM5" i="194" l="1"/>
  <c r="R5" i="215"/>
  <c r="C38" i="206"/>
  <c r="E38" i="206" s="1"/>
  <c r="E37" i="206"/>
  <c r="C39" i="205"/>
  <c r="E39" i="205" s="1"/>
  <c r="E38" i="205"/>
  <c r="C39" i="204"/>
  <c r="E39" i="204" s="1"/>
  <c r="E38" i="204"/>
  <c r="I61" i="215" l="1"/>
  <c r="I62" i="215" s="1"/>
  <c r="I65" i="194"/>
  <c r="J61" i="215"/>
  <c r="J62" i="215" s="1"/>
  <c r="J65" i="194"/>
  <c r="K65" i="194"/>
  <c r="K61" i="215"/>
  <c r="K62" i="215" s="1"/>
  <c r="E40" i="205"/>
  <c r="E39" i="206"/>
  <c r="E40" i="204"/>
  <c r="D32" i="203" l="1"/>
  <c r="E32" i="203" s="1"/>
  <c r="E31" i="203"/>
  <c r="E30" i="203"/>
  <c r="E29" i="203"/>
  <c r="E28" i="203"/>
  <c r="E27" i="203"/>
  <c r="D22" i="203"/>
  <c r="D35" i="203" s="1"/>
  <c r="D36" i="203" s="1"/>
  <c r="E21" i="203"/>
  <c r="E20" i="203"/>
  <c r="E19" i="203"/>
  <c r="E18" i="203"/>
  <c r="E17" i="203"/>
  <c r="D12" i="203"/>
  <c r="C35" i="203" s="1"/>
  <c r="E11" i="203"/>
  <c r="E10" i="203"/>
  <c r="E9" i="203"/>
  <c r="E8" i="203"/>
  <c r="E7" i="203"/>
  <c r="H50" i="215" l="1"/>
  <c r="Q50" i="215" s="1"/>
  <c r="R50" i="215" s="1"/>
  <c r="H56" i="215"/>
  <c r="H13" i="215"/>
  <c r="H7" i="215"/>
  <c r="H18" i="215"/>
  <c r="Q18" i="215" s="1"/>
  <c r="H44" i="215"/>
  <c r="H11" i="215"/>
  <c r="H53" i="215"/>
  <c r="H52" i="215"/>
  <c r="H23" i="215"/>
  <c r="H36" i="215"/>
  <c r="H14" i="215"/>
  <c r="H13" i="194"/>
  <c r="H54" i="194"/>
  <c r="H18" i="194"/>
  <c r="H57" i="194"/>
  <c r="H7" i="194"/>
  <c r="H37" i="194"/>
  <c r="H43" i="194"/>
  <c r="H41" i="215"/>
  <c r="H11" i="194"/>
  <c r="H14" i="194"/>
  <c r="H23" i="194"/>
  <c r="H46" i="194"/>
  <c r="H56" i="194"/>
  <c r="H60" i="194"/>
  <c r="E12" i="203"/>
  <c r="C36" i="203"/>
  <c r="E35" i="203"/>
  <c r="E36" i="203" s="1"/>
  <c r="E22" i="203"/>
  <c r="IQ54" i="194" l="1"/>
  <c r="IL54" i="194"/>
  <c r="IQ18" i="194"/>
  <c r="IL18" i="194"/>
  <c r="H60" i="215"/>
  <c r="C38" i="203"/>
  <c r="C39" i="203" s="1"/>
  <c r="E39" i="203" s="1"/>
  <c r="E9" i="202"/>
  <c r="E20" i="202"/>
  <c r="D31" i="202"/>
  <c r="E31" i="202" s="1"/>
  <c r="E30" i="202"/>
  <c r="E29" i="202"/>
  <c r="E28" i="202"/>
  <c r="E27" i="202"/>
  <c r="D22" i="202"/>
  <c r="D34" i="202" s="1"/>
  <c r="D35" i="202" s="1"/>
  <c r="E21" i="202"/>
  <c r="E19" i="202"/>
  <c r="E18" i="202"/>
  <c r="E17" i="202"/>
  <c r="D12" i="202"/>
  <c r="E12" i="202" s="1"/>
  <c r="E11" i="202"/>
  <c r="E10" i="202"/>
  <c r="E8" i="202"/>
  <c r="E7" i="202"/>
  <c r="G38" i="215" l="1"/>
  <c r="G39" i="215"/>
  <c r="G37" i="215"/>
  <c r="G15" i="215"/>
  <c r="G6" i="215"/>
  <c r="G11" i="215"/>
  <c r="G25" i="215"/>
  <c r="E38" i="203"/>
  <c r="G40" i="194"/>
  <c r="G6" i="194"/>
  <c r="G57" i="194"/>
  <c r="G38" i="194"/>
  <c r="G53" i="215"/>
  <c r="G39" i="194"/>
  <c r="G11" i="194"/>
  <c r="G15" i="194"/>
  <c r="G26" i="194"/>
  <c r="E40" i="203"/>
  <c r="C34" i="202"/>
  <c r="E34" i="202"/>
  <c r="E35" i="202" s="1"/>
  <c r="E22" i="202"/>
  <c r="H61" i="215" l="1"/>
  <c r="H62" i="215" s="1"/>
  <c r="H65" i="194"/>
  <c r="G60" i="215"/>
  <c r="C35" i="202"/>
  <c r="C37" i="202"/>
  <c r="C38" i="202" s="1"/>
  <c r="E37" i="202" l="1"/>
  <c r="E38" i="202"/>
  <c r="G61" i="215" l="1"/>
  <c r="G62" i="215" s="1"/>
  <c r="G65" i="194"/>
  <c r="E39" i="202"/>
  <c r="D29" i="201" l="1"/>
  <c r="E32" i="201" s="1"/>
  <c r="E33" i="201" s="1"/>
  <c r="E28" i="201"/>
  <c r="E27" i="201"/>
  <c r="E26" i="201"/>
  <c r="E25" i="201"/>
  <c r="D20" i="201"/>
  <c r="D32" i="201" s="1"/>
  <c r="D33" i="201" s="1"/>
  <c r="E19" i="201"/>
  <c r="E18" i="201"/>
  <c r="E17" i="201"/>
  <c r="E16" i="201"/>
  <c r="D11" i="201"/>
  <c r="C32" i="201" s="1"/>
  <c r="E10" i="201"/>
  <c r="E9" i="201"/>
  <c r="E8" i="201"/>
  <c r="E7" i="201"/>
  <c r="F56" i="215" l="1"/>
  <c r="Q56" i="215" s="1"/>
  <c r="R56" i="215" s="1"/>
  <c r="F44" i="215"/>
  <c r="F55" i="215"/>
  <c r="Q55" i="215" s="1"/>
  <c r="R55" i="215" s="1"/>
  <c r="F15" i="215"/>
  <c r="F14" i="215"/>
  <c r="F34" i="215"/>
  <c r="F15" i="194"/>
  <c r="F46" i="194"/>
  <c r="F60" i="194"/>
  <c r="F12" i="215"/>
  <c r="E29" i="201"/>
  <c r="F12" i="194"/>
  <c r="F14" i="194"/>
  <c r="F35" i="194"/>
  <c r="F59" i="194"/>
  <c r="E20" i="201"/>
  <c r="E11" i="201"/>
  <c r="C35" i="201"/>
  <c r="C33" i="201"/>
  <c r="IQ59" i="194" l="1"/>
  <c r="IL59" i="194"/>
  <c r="IQ60" i="194"/>
  <c r="IL60" i="194"/>
  <c r="F60" i="215"/>
  <c r="F62" i="215" s="1"/>
  <c r="E35" i="201"/>
  <c r="C36" i="201"/>
  <c r="E36" i="201" s="1"/>
  <c r="D29" i="200"/>
  <c r="E29" i="200" s="1"/>
  <c r="E28" i="200"/>
  <c r="E27" i="200"/>
  <c r="E26" i="200"/>
  <c r="E25" i="200"/>
  <c r="D20" i="200"/>
  <c r="D32" i="200" s="1"/>
  <c r="D33" i="200" s="1"/>
  <c r="E19" i="200"/>
  <c r="E18" i="200"/>
  <c r="E17" i="200"/>
  <c r="E16" i="200"/>
  <c r="D11" i="200"/>
  <c r="C32" i="200" s="1"/>
  <c r="C33" i="200" s="1"/>
  <c r="E10" i="200"/>
  <c r="E9" i="200"/>
  <c r="E8" i="200"/>
  <c r="E7" i="200"/>
  <c r="E7" i="199"/>
  <c r="E8" i="199"/>
  <c r="E9" i="199"/>
  <c r="E10" i="199"/>
  <c r="E11" i="199"/>
  <c r="E12" i="199"/>
  <c r="E13" i="199"/>
  <c r="E14" i="199"/>
  <c r="E15" i="199"/>
  <c r="D16" i="199"/>
  <c r="E16" i="199" s="1"/>
  <c r="E21" i="199"/>
  <c r="E22" i="199"/>
  <c r="E23" i="199"/>
  <c r="E24" i="199"/>
  <c r="E25" i="199"/>
  <c r="E26" i="199"/>
  <c r="D17" i="194" s="1"/>
  <c r="E27" i="199"/>
  <c r="E28" i="199"/>
  <c r="E29" i="199"/>
  <c r="D30" i="199"/>
  <c r="E30" i="199" s="1"/>
  <c r="E35" i="199"/>
  <c r="E36" i="199"/>
  <c r="E37" i="199"/>
  <c r="E38" i="199"/>
  <c r="D39" i="199"/>
  <c r="E39" i="199" s="1"/>
  <c r="C42" i="199"/>
  <c r="C43" i="199" s="1"/>
  <c r="E42" i="199"/>
  <c r="E43" i="199" s="1"/>
  <c r="E7" i="198"/>
  <c r="E8" i="198"/>
  <c r="E9" i="198"/>
  <c r="E10" i="198"/>
  <c r="E11" i="198"/>
  <c r="E12" i="198"/>
  <c r="E13" i="198"/>
  <c r="E14" i="198"/>
  <c r="E15" i="198"/>
  <c r="D16" i="198"/>
  <c r="E16" i="198" s="1"/>
  <c r="E21" i="198"/>
  <c r="E22" i="198"/>
  <c r="E23" i="198"/>
  <c r="E24" i="198"/>
  <c r="E25" i="198"/>
  <c r="E26" i="198"/>
  <c r="E27" i="198"/>
  <c r="E28" i="198"/>
  <c r="E29" i="198"/>
  <c r="D30" i="198"/>
  <c r="E30" i="198" s="1"/>
  <c r="E35" i="198"/>
  <c r="E36" i="198"/>
  <c r="E37" i="198"/>
  <c r="E38" i="198"/>
  <c r="D39" i="198"/>
  <c r="E39" i="198" s="1"/>
  <c r="C42" i="198"/>
  <c r="C43" i="198" s="1"/>
  <c r="E42" i="198"/>
  <c r="E43" i="198" s="1"/>
  <c r="E7" i="197"/>
  <c r="E8" i="197"/>
  <c r="E9" i="197"/>
  <c r="E10" i="197"/>
  <c r="E11" i="197"/>
  <c r="E12" i="197"/>
  <c r="E13" i="197"/>
  <c r="E14" i="197"/>
  <c r="E15" i="197"/>
  <c r="D16" i="197"/>
  <c r="E16" i="197" s="1"/>
  <c r="E21" i="197"/>
  <c r="E22" i="197"/>
  <c r="E23" i="197"/>
  <c r="E24" i="197"/>
  <c r="E25" i="197"/>
  <c r="E26" i="197"/>
  <c r="E27" i="197"/>
  <c r="E28" i="197"/>
  <c r="E29" i="197"/>
  <c r="D30" i="197"/>
  <c r="E30" i="197" s="1"/>
  <c r="E35" i="197"/>
  <c r="E36" i="197"/>
  <c r="E37" i="197"/>
  <c r="E38" i="197"/>
  <c r="D39" i="197"/>
  <c r="E39" i="197" s="1"/>
  <c r="D42" i="197" l="1"/>
  <c r="D43" i="197" s="1"/>
  <c r="D42" i="198"/>
  <c r="D43" i="198" s="1"/>
  <c r="E42" i="197"/>
  <c r="E43" i="197" s="1"/>
  <c r="B23" i="215"/>
  <c r="B23" i="194"/>
  <c r="B17" i="215"/>
  <c r="B17" i="194"/>
  <c r="B15" i="215"/>
  <c r="B15" i="194"/>
  <c r="B41" i="215"/>
  <c r="B43" i="194"/>
  <c r="B52" i="215"/>
  <c r="Q52" i="215" s="1"/>
  <c r="R52" i="215" s="1"/>
  <c r="B56" i="194"/>
  <c r="B25" i="215"/>
  <c r="B26" i="194"/>
  <c r="B34" i="215"/>
  <c r="B35" i="194"/>
  <c r="B14" i="215"/>
  <c r="B14" i="194"/>
  <c r="C4" i="215"/>
  <c r="C4" i="194"/>
  <c r="C38" i="215"/>
  <c r="C39" i="194"/>
  <c r="C37" i="215"/>
  <c r="Q37" i="215" s="1"/>
  <c r="R37" i="215" s="1"/>
  <c r="C38" i="194"/>
  <c r="C44" i="215"/>
  <c r="Q44" i="215" s="1"/>
  <c r="R44" i="215" s="1"/>
  <c r="C46" i="194"/>
  <c r="C36" i="215"/>
  <c r="C37" i="194"/>
  <c r="D15" i="215"/>
  <c r="D15" i="194"/>
  <c r="D34" i="194"/>
  <c r="D33" i="215"/>
  <c r="Q33" i="215" s="1"/>
  <c r="R33" i="215" s="1"/>
  <c r="D17" i="215"/>
  <c r="D3" i="215"/>
  <c r="D3" i="194"/>
  <c r="IQ3" i="194" s="1"/>
  <c r="D41" i="215"/>
  <c r="D43" i="194"/>
  <c r="E48" i="215"/>
  <c r="Q48" i="215" s="1"/>
  <c r="R48" i="215" s="1"/>
  <c r="E52" i="194"/>
  <c r="E14" i="215"/>
  <c r="E14" i="194"/>
  <c r="E35" i="215"/>
  <c r="Q35" i="215" s="1"/>
  <c r="R35" i="215" s="1"/>
  <c r="E36" i="194"/>
  <c r="B12" i="215"/>
  <c r="B12" i="194"/>
  <c r="B6" i="215"/>
  <c r="B6" i="194"/>
  <c r="B11" i="215"/>
  <c r="Q11" i="215" s="1"/>
  <c r="R11" i="215" s="1"/>
  <c r="B11" i="194"/>
  <c r="B38" i="215"/>
  <c r="B39" i="194"/>
  <c r="B13" i="215"/>
  <c r="B13" i="194"/>
  <c r="B39" i="215"/>
  <c r="B40" i="194"/>
  <c r="B7" i="215"/>
  <c r="Q7" i="215" s="1"/>
  <c r="R7" i="215" s="1"/>
  <c r="B7" i="194"/>
  <c r="C20" i="215"/>
  <c r="Q20" i="215" s="1"/>
  <c r="R20" i="215" s="1"/>
  <c r="C20" i="194"/>
  <c r="C41" i="215"/>
  <c r="C43" i="194"/>
  <c r="C53" i="215"/>
  <c r="Q53" i="215" s="1"/>
  <c r="R53" i="215" s="1"/>
  <c r="C57" i="194"/>
  <c r="C40" i="215"/>
  <c r="C42" i="194"/>
  <c r="C12" i="215"/>
  <c r="C12" i="194"/>
  <c r="C15" i="215"/>
  <c r="C15" i="194"/>
  <c r="D34" i="215"/>
  <c r="D35" i="194"/>
  <c r="D39" i="215"/>
  <c r="D40" i="194"/>
  <c r="D40" i="215"/>
  <c r="D42" i="194"/>
  <c r="D13" i="194"/>
  <c r="D13" i="215"/>
  <c r="D36" i="215"/>
  <c r="D37" i="194"/>
  <c r="E39" i="215"/>
  <c r="E40" i="194"/>
  <c r="E25" i="215"/>
  <c r="E26" i="194"/>
  <c r="E6" i="215"/>
  <c r="E6" i="194"/>
  <c r="E23" i="215"/>
  <c r="E23" i="194"/>
  <c r="E37" i="201"/>
  <c r="E11" i="200"/>
  <c r="E32" i="200"/>
  <c r="E33" i="200" s="1"/>
  <c r="E20" i="200"/>
  <c r="D42" i="199"/>
  <c r="C45" i="198"/>
  <c r="C42" i="197"/>
  <c r="IL37" i="194" l="1"/>
  <c r="IL14" i="194"/>
  <c r="IL35" i="194"/>
  <c r="IL26" i="194"/>
  <c r="IL43" i="194"/>
  <c r="IL23" i="194"/>
  <c r="IQ46" i="194"/>
  <c r="IL46" i="194"/>
  <c r="IQ38" i="194"/>
  <c r="IL38" i="194"/>
  <c r="IQ4" i="194"/>
  <c r="IL4" i="194"/>
  <c r="IQ56" i="194"/>
  <c r="IL56" i="194"/>
  <c r="IL15" i="194"/>
  <c r="IQ17" i="194"/>
  <c r="IL17" i="194"/>
  <c r="IL42" i="194"/>
  <c r="IQ57" i="194"/>
  <c r="IL57" i="194"/>
  <c r="IQ20" i="194"/>
  <c r="IL20" i="194"/>
  <c r="IQ7" i="194"/>
  <c r="IL7" i="194"/>
  <c r="IL40" i="194"/>
  <c r="IL13" i="194"/>
  <c r="IL39" i="194"/>
  <c r="IQ11" i="194"/>
  <c r="IL11" i="194"/>
  <c r="IL6" i="194"/>
  <c r="IL12" i="194"/>
  <c r="IQ36" i="194"/>
  <c r="IL36" i="194"/>
  <c r="IQ52" i="194"/>
  <c r="IL52" i="194"/>
  <c r="IQ34" i="194"/>
  <c r="IL34" i="194"/>
  <c r="IQ39" i="194"/>
  <c r="IQ13" i="194"/>
  <c r="IQ42" i="194"/>
  <c r="IQ40" i="194"/>
  <c r="IQ37" i="194"/>
  <c r="IQ14" i="194"/>
  <c r="IQ26" i="194"/>
  <c r="IQ15" i="194"/>
  <c r="IQ23" i="194"/>
  <c r="IQ6" i="194"/>
  <c r="IQ12" i="194"/>
  <c r="IQ35" i="194"/>
  <c r="IQ43" i="194"/>
  <c r="Q36" i="215"/>
  <c r="R36" i="215" s="1"/>
  <c r="Q38" i="215"/>
  <c r="R38" i="215" s="1"/>
  <c r="Q14" i="215"/>
  <c r="R14" i="215" s="1"/>
  <c r="Q34" i="215"/>
  <c r="R34" i="215" s="1"/>
  <c r="Q25" i="215"/>
  <c r="R25" i="215" s="1"/>
  <c r="Q41" i="215"/>
  <c r="R41" i="215" s="1"/>
  <c r="Q23" i="215"/>
  <c r="R23" i="215" s="1"/>
  <c r="Q4" i="215"/>
  <c r="C60" i="215"/>
  <c r="C62" i="215" s="1"/>
  <c r="Q15" i="215"/>
  <c r="R15" i="215" s="1"/>
  <c r="Q17" i="215"/>
  <c r="R17" i="215" s="1"/>
  <c r="E45" i="198"/>
  <c r="C46" i="198"/>
  <c r="E46" i="198" s="1"/>
  <c r="E60" i="215"/>
  <c r="Q40" i="215"/>
  <c r="Q39" i="215"/>
  <c r="R39" i="215" s="1"/>
  <c r="Q13" i="215"/>
  <c r="R13" i="215" s="1"/>
  <c r="B60" i="215"/>
  <c r="B62" i="215" s="1"/>
  <c r="Q6" i="215"/>
  <c r="R6" i="215" s="1"/>
  <c r="Q12" i="215"/>
  <c r="R12" i="215" s="1"/>
  <c r="D60" i="215"/>
  <c r="Q3" i="215"/>
  <c r="C35" i="200"/>
  <c r="C36" i="200" s="1"/>
  <c r="D43" i="199"/>
  <c r="C45" i="199"/>
  <c r="C46" i="199" s="1"/>
  <c r="C45" i="197"/>
  <c r="C46" i="197" s="1"/>
  <c r="C43" i="197"/>
  <c r="E47" i="198" l="1"/>
  <c r="R3" i="215"/>
  <c r="R60" i="215" s="1"/>
  <c r="Q60" i="215"/>
  <c r="E35" i="200"/>
  <c r="E36" i="200"/>
  <c r="E45" i="199"/>
  <c r="E46" i="199"/>
  <c r="E45" i="197"/>
  <c r="E46" i="197"/>
  <c r="K2" i="192" l="1"/>
  <c r="B2" i="192" s="1"/>
  <c r="F2" i="192" s="1"/>
  <c r="I2" i="192" s="1"/>
  <c r="K2" i="383"/>
  <c r="D65" i="194"/>
  <c r="D61" i="215"/>
  <c r="D62" i="215" s="1"/>
  <c r="E61" i="215"/>
  <c r="E62" i="215" s="1"/>
  <c r="E65" i="194"/>
  <c r="E37" i="200"/>
  <c r="E47" i="199"/>
  <c r="E47" i="197"/>
  <c r="B16" i="192" l="1"/>
  <c r="B2" i="383"/>
  <c r="K12" i="383"/>
  <c r="N2" i="383"/>
  <c r="J48" i="196"/>
  <c r="J47" i="196"/>
  <c r="J45" i="196"/>
  <c r="J43" i="196"/>
  <c r="J42" i="196"/>
  <c r="J41" i="196"/>
  <c r="J40" i="196"/>
  <c r="J38" i="196"/>
  <c r="J37" i="196"/>
  <c r="J36" i="196"/>
  <c r="J2" i="196"/>
  <c r="J33" i="196"/>
  <c r="J30" i="196"/>
  <c r="J29" i="196"/>
  <c r="J26" i="196"/>
  <c r="J25" i="196"/>
  <c r="J22" i="196"/>
  <c r="J21" i="196"/>
  <c r="J17" i="196"/>
  <c r="J11" i="196"/>
  <c r="J9" i="196"/>
  <c r="J8" i="196"/>
  <c r="N12" i="383" l="1"/>
  <c r="O2" i="383"/>
  <c r="O12" i="383" s="1"/>
  <c r="F2" i="383"/>
  <c r="B12" i="383"/>
  <c r="IP4" i="194"/>
  <c r="IP6" i="194"/>
  <c r="IP7" i="194"/>
  <c r="IP8" i="194"/>
  <c r="IP9" i="194"/>
  <c r="IP10" i="194"/>
  <c r="IP11" i="194"/>
  <c r="IP12" i="194"/>
  <c r="IP13" i="194"/>
  <c r="IP14" i="194"/>
  <c r="IP15" i="194"/>
  <c r="IP16" i="194"/>
  <c r="IP18" i="194"/>
  <c r="IP19" i="194"/>
  <c r="IP20" i="194"/>
  <c r="IP22" i="194"/>
  <c r="IP23" i="194"/>
  <c r="IP25" i="194"/>
  <c r="IP26" i="194"/>
  <c r="IP27" i="194"/>
  <c r="IP28" i="194"/>
  <c r="IP29" i="194"/>
  <c r="IP30" i="194"/>
  <c r="IP31" i="194"/>
  <c r="IP32" i="194"/>
  <c r="IP33" i="194"/>
  <c r="IP34" i="194"/>
  <c r="IP35" i="194"/>
  <c r="IP36" i="194"/>
  <c r="IP37" i="194"/>
  <c r="IP38" i="194"/>
  <c r="IP39" i="194"/>
  <c r="IP40" i="194"/>
  <c r="IP43" i="194"/>
  <c r="IP45" i="194"/>
  <c r="IP46" i="194"/>
  <c r="IP47" i="194"/>
  <c r="IP49" i="194"/>
  <c r="IP50" i="194"/>
  <c r="IP52" i="194"/>
  <c r="IP53" i="194"/>
  <c r="IP54" i="194"/>
  <c r="IP55" i="194"/>
  <c r="IP56" i="194"/>
  <c r="IP57" i="194"/>
  <c r="IP58" i="194"/>
  <c r="IP59" i="194"/>
  <c r="IP60" i="194"/>
  <c r="IP61" i="194"/>
  <c r="IP62" i="194"/>
  <c r="IL63" i="194"/>
  <c r="IP63" i="194" s="1"/>
  <c r="I2" i="383" l="1"/>
  <c r="I12" i="383" s="1"/>
  <c r="F12" i="383"/>
  <c r="IX62" i="194"/>
  <c r="IW62" i="194" s="1"/>
  <c r="IX63" i="194"/>
  <c r="IW63" i="194" s="1"/>
  <c r="IX61" i="194"/>
  <c r="IW61" i="194" s="1"/>
  <c r="IX59" i="194"/>
  <c r="IW59" i="194" s="1"/>
  <c r="IX57" i="194"/>
  <c r="IW57" i="194" s="1"/>
  <c r="IX55" i="194"/>
  <c r="IW55" i="194" s="1"/>
  <c r="IX53" i="194"/>
  <c r="IW53" i="194" s="1"/>
  <c r="IX50" i="194"/>
  <c r="IW50" i="194" s="1"/>
  <c r="IX47" i="194"/>
  <c r="IW47" i="194" s="1"/>
  <c r="IX45" i="194"/>
  <c r="IW45" i="194" s="1"/>
  <c r="IX43" i="194"/>
  <c r="IW43" i="194" s="1"/>
  <c r="IX40" i="194"/>
  <c r="IW40" i="194" s="1"/>
  <c r="IX38" i="194"/>
  <c r="IW38" i="194" s="1"/>
  <c r="IX36" i="194"/>
  <c r="IW36" i="194" s="1"/>
  <c r="IX34" i="194"/>
  <c r="IW34" i="194" s="1"/>
  <c r="IX32" i="194"/>
  <c r="IW32" i="194" s="1"/>
  <c r="IX30" i="194"/>
  <c r="IW30" i="194" s="1"/>
  <c r="IX28" i="194"/>
  <c r="IW28" i="194" s="1"/>
  <c r="IX26" i="194"/>
  <c r="IW26" i="194" s="1"/>
  <c r="IX23" i="194"/>
  <c r="IW23" i="194" s="1"/>
  <c r="IX20" i="194"/>
  <c r="IW20" i="194" s="1"/>
  <c r="IX18" i="194"/>
  <c r="IW18" i="194" s="1"/>
  <c r="IX16" i="194"/>
  <c r="IW16" i="194" s="1"/>
  <c r="IX14" i="194"/>
  <c r="IW14" i="194" s="1"/>
  <c r="IX12" i="194"/>
  <c r="IW12" i="194" s="1"/>
  <c r="IX10" i="194"/>
  <c r="IW10" i="194" s="1"/>
  <c r="IX8" i="194"/>
  <c r="IW8" i="194" s="1"/>
  <c r="IX6" i="194"/>
  <c r="IW6" i="194" s="1"/>
  <c r="IX60" i="194"/>
  <c r="IW60" i="194" s="1"/>
  <c r="IX58" i="194"/>
  <c r="IW58" i="194" s="1"/>
  <c r="IX56" i="194"/>
  <c r="IW56" i="194" s="1"/>
  <c r="IX54" i="194"/>
  <c r="IW54" i="194" s="1"/>
  <c r="IX52" i="194"/>
  <c r="IW52" i="194" s="1"/>
  <c r="IX49" i="194"/>
  <c r="IW49" i="194" s="1"/>
  <c r="IX46" i="194"/>
  <c r="IW46" i="194" s="1"/>
  <c r="IX39" i="194"/>
  <c r="IW39" i="194" s="1"/>
  <c r="IX37" i="194"/>
  <c r="IW37" i="194" s="1"/>
  <c r="IX35" i="194"/>
  <c r="IW35" i="194" s="1"/>
  <c r="IX33" i="194"/>
  <c r="IW33" i="194" s="1"/>
  <c r="IX31" i="194"/>
  <c r="IW31" i="194" s="1"/>
  <c r="IX29" i="194"/>
  <c r="IW29" i="194" s="1"/>
  <c r="IX27" i="194"/>
  <c r="IW27" i="194" s="1"/>
  <c r="IX25" i="194"/>
  <c r="IW25" i="194" s="1"/>
  <c r="IX22" i="194"/>
  <c r="IW22" i="194" s="1"/>
  <c r="IX19" i="194"/>
  <c r="IW19" i="194" s="1"/>
  <c r="IX15" i="194"/>
  <c r="IW15" i="194" s="1"/>
  <c r="IX13" i="194"/>
  <c r="IW13" i="194" s="1"/>
  <c r="IX11" i="194"/>
  <c r="IW11" i="194" s="1"/>
  <c r="IX9" i="194"/>
  <c r="IW9" i="194" s="1"/>
  <c r="IX7" i="194"/>
  <c r="IW7" i="194" s="1"/>
  <c r="IX4" i="194"/>
  <c r="IW4" i="194" s="1"/>
  <c r="IM44" i="194"/>
  <c r="IP44" i="194"/>
  <c r="IM42" i="194"/>
  <c r="IP42" i="194"/>
  <c r="IM17" i="194"/>
  <c r="IP17" i="194"/>
  <c r="AR64" i="194"/>
  <c r="AR66" i="194" s="1"/>
  <c r="AQ64" i="194"/>
  <c r="AQ66" i="194" s="1"/>
  <c r="IK64" i="194"/>
  <c r="IK66" i="194" s="1"/>
  <c r="CA64" i="194"/>
  <c r="CA66" i="194" s="1"/>
  <c r="BZ64" i="194"/>
  <c r="BZ66" i="194" s="1"/>
  <c r="BY64" i="194"/>
  <c r="BY66" i="194" s="1"/>
  <c r="BX64" i="194"/>
  <c r="BX66" i="194" s="1"/>
  <c r="BM66" i="194"/>
  <c r="BL66" i="194"/>
  <c r="B64" i="194"/>
  <c r="B66" i="194" s="1"/>
  <c r="IM58" i="194"/>
  <c r="Z64" i="194"/>
  <c r="Z66" i="194" s="1"/>
  <c r="IM55" i="194"/>
  <c r="IM50" i="194"/>
  <c r="IM47" i="194"/>
  <c r="IM46" i="194"/>
  <c r="BH64" i="194"/>
  <c r="BH66" i="194" s="1"/>
  <c r="AV64" i="194"/>
  <c r="AV66" i="194" s="1"/>
  <c r="IM63" i="194"/>
  <c r="CF64" i="194"/>
  <c r="CF66" i="194" s="1"/>
  <c r="IM33" i="194"/>
  <c r="IM31" i="194"/>
  <c r="IM62" i="194"/>
  <c r="AU64" i="194"/>
  <c r="AU66" i="194" s="1"/>
  <c r="IM61" i="194"/>
  <c r="IM22" i="194"/>
  <c r="E64" i="194"/>
  <c r="E66" i="194" s="1"/>
  <c r="BN64" i="194"/>
  <c r="BN66" i="194" s="1"/>
  <c r="BI64" i="194"/>
  <c r="BI66" i="194" s="1"/>
  <c r="BD64" i="194"/>
  <c r="BD66" i="194" s="1"/>
  <c r="AD64" i="194"/>
  <c r="AD66" i="194" s="1"/>
  <c r="H64" i="194"/>
  <c r="H66" i="194" s="1"/>
  <c r="CE64" i="194"/>
  <c r="CE66" i="194" s="1"/>
  <c r="L64" i="194"/>
  <c r="L66" i="194" s="1"/>
  <c r="CC64" i="194"/>
  <c r="CC66" i="194" s="1"/>
  <c r="F64" i="194"/>
  <c r="F66" i="194" s="1"/>
  <c r="J64" i="194"/>
  <c r="J66" i="194" s="1"/>
  <c r="BK64" i="194"/>
  <c r="BK66" i="194" s="1"/>
  <c r="BB64" i="194"/>
  <c r="BB66" i="194" s="1"/>
  <c r="BP64" i="194"/>
  <c r="BP66" i="194" s="1"/>
  <c r="AO64" i="194"/>
  <c r="AO66" i="194" s="1"/>
  <c r="K64" i="194"/>
  <c r="K66" i="194" s="1"/>
  <c r="AF64" i="194"/>
  <c r="AF66" i="194" s="1"/>
  <c r="BU64" i="194"/>
  <c r="BU66" i="194" s="1"/>
  <c r="BW64" i="194"/>
  <c r="BW66" i="194" s="1"/>
  <c r="BF64" i="194"/>
  <c r="BF66" i="194" s="1"/>
  <c r="AK64" i="194"/>
  <c r="AK66" i="194" s="1"/>
  <c r="P64" i="194"/>
  <c r="P66" i="194" s="1"/>
  <c r="BV64" i="194"/>
  <c r="BV66" i="194" s="1"/>
  <c r="BJ64" i="194"/>
  <c r="BJ66" i="194" s="1"/>
  <c r="BA64" i="194"/>
  <c r="BA66" i="194" s="1"/>
  <c r="AT64" i="194"/>
  <c r="AT66" i="194" s="1"/>
  <c r="AH64" i="194"/>
  <c r="AH66" i="194" s="1"/>
  <c r="V64" i="194"/>
  <c r="V66" i="194" s="1"/>
  <c r="R64" i="194"/>
  <c r="R66" i="194" s="1"/>
  <c r="F17" i="192"/>
  <c r="F18" i="192"/>
  <c r="F19" i="192"/>
  <c r="F20" i="192"/>
  <c r="F21" i="192"/>
  <c r="F22" i="192"/>
  <c r="F24" i="192"/>
  <c r="F25" i="192"/>
  <c r="N7" i="192"/>
  <c r="O7" i="192" s="1"/>
  <c r="N6" i="192"/>
  <c r="O6" i="192" s="1"/>
  <c r="N5" i="192"/>
  <c r="O5" i="192" s="1"/>
  <c r="N4" i="192"/>
  <c r="O4" i="192" s="1"/>
  <c r="N3" i="192"/>
  <c r="O3" i="192" s="1"/>
  <c r="N2" i="192"/>
  <c r="O2" i="192" s="1"/>
  <c r="F7" i="192"/>
  <c r="I7" i="192" s="1"/>
  <c r="F6" i="192"/>
  <c r="I6" i="192" s="1"/>
  <c r="F5" i="192"/>
  <c r="I5" i="192" s="1"/>
  <c r="F4" i="192"/>
  <c r="I4" i="192" s="1"/>
  <c r="D26" i="192"/>
  <c r="F16" i="192"/>
  <c r="E12" i="192"/>
  <c r="C107" i="191"/>
  <c r="C76" i="191"/>
  <c r="IX17" i="194" l="1"/>
  <c r="IW17" i="194" s="1"/>
  <c r="IX42" i="194"/>
  <c r="IW42" i="194" s="1"/>
  <c r="IX44" i="194"/>
  <c r="IW44" i="194" s="1"/>
  <c r="IM16" i="194"/>
  <c r="IM23" i="194"/>
  <c r="IM34" i="194"/>
  <c r="IM36" i="194"/>
  <c r="IM37" i="194"/>
  <c r="IM39" i="194"/>
  <c r="IM52" i="194"/>
  <c r="IM28" i="194"/>
  <c r="IM35" i="194"/>
  <c r="IM38" i="194"/>
  <c r="IM40" i="194"/>
  <c r="IM45" i="194"/>
  <c r="IM7" i="194"/>
  <c r="IM12" i="194"/>
  <c r="D64" i="194"/>
  <c r="D66" i="194" s="1"/>
  <c r="IM19" i="194"/>
  <c r="IM20" i="194"/>
  <c r="IM27" i="194"/>
  <c r="IM59" i="194"/>
  <c r="T64" i="194"/>
  <c r="T66" i="194" s="1"/>
  <c r="AJ64" i="194"/>
  <c r="AJ66" i="194" s="1"/>
  <c r="BT64" i="194"/>
  <c r="BT66" i="194" s="1"/>
  <c r="AB64" i="194"/>
  <c r="AB66" i="194" s="1"/>
  <c r="AP64" i="194"/>
  <c r="AP66" i="194" s="1"/>
  <c r="BC64" i="194"/>
  <c r="BC66" i="194" s="1"/>
  <c r="X64" i="194"/>
  <c r="X66" i="194" s="1"/>
  <c r="AI64" i="194"/>
  <c r="AI66" i="194" s="1"/>
  <c r="AL64" i="194"/>
  <c r="AL66" i="194" s="1"/>
  <c r="AZ64" i="194"/>
  <c r="AZ66" i="194" s="1"/>
  <c r="S64" i="194"/>
  <c r="S66" i="194" s="1"/>
  <c r="BG64" i="194"/>
  <c r="BG66" i="194" s="1"/>
  <c r="N64" i="194"/>
  <c r="N66" i="194" s="1"/>
  <c r="CD64" i="194"/>
  <c r="CD66" i="194" s="1"/>
  <c r="M64" i="194"/>
  <c r="M66" i="194" s="1"/>
  <c r="AX64" i="194"/>
  <c r="AX66" i="194" s="1"/>
  <c r="BR64" i="194"/>
  <c r="BR66" i="194" s="1"/>
  <c r="AN64" i="194"/>
  <c r="AN66" i="194" s="1"/>
  <c r="CB64" i="194"/>
  <c r="CB66" i="194" s="1"/>
  <c r="IM26" i="194"/>
  <c r="IM29" i="194"/>
  <c r="IM43" i="194"/>
  <c r="IM53" i="194"/>
  <c r="IM54" i="194"/>
  <c r="IM56" i="194"/>
  <c r="IM57" i="194"/>
  <c r="IM60" i="194"/>
  <c r="O64" i="194"/>
  <c r="O66" i="194" s="1"/>
  <c r="AA64" i="194"/>
  <c r="AA66" i="194" s="1"/>
  <c r="BE64" i="194"/>
  <c r="BE66" i="194" s="1"/>
  <c r="BO64" i="194"/>
  <c r="BO66" i="194" s="1"/>
  <c r="IL3" i="194"/>
  <c r="I64" i="194"/>
  <c r="I66" i="194" s="1"/>
  <c r="AY64" i="194"/>
  <c r="AY66" i="194" s="1"/>
  <c r="AE64" i="194"/>
  <c r="AE66" i="194" s="1"/>
  <c r="AW64" i="194"/>
  <c r="AW66" i="194" s="1"/>
  <c r="AC64" i="194"/>
  <c r="AC66" i="194" s="1"/>
  <c r="AS64" i="194"/>
  <c r="AS66" i="194" s="1"/>
  <c r="BQ64" i="194"/>
  <c r="BQ66" i="194" s="1"/>
  <c r="U64" i="194"/>
  <c r="U66" i="194" s="1"/>
  <c r="AM64" i="194"/>
  <c r="AM66" i="194" s="1"/>
  <c r="C64" i="194"/>
  <c r="C66" i="194" s="1"/>
  <c r="G64" i="194"/>
  <c r="G66" i="194" s="1"/>
  <c r="Q64" i="194"/>
  <c r="Q66" i="194" s="1"/>
  <c r="BS64" i="194"/>
  <c r="BS66" i="194" s="1"/>
  <c r="Y64" i="194"/>
  <c r="Y66" i="194" s="1"/>
  <c r="W64" i="194"/>
  <c r="W66" i="194" s="1"/>
  <c r="AG64" i="194"/>
  <c r="AG66" i="194" s="1"/>
  <c r="P4" i="192"/>
  <c r="P6" i="192"/>
  <c r="P3" i="192"/>
  <c r="P5" i="192"/>
  <c r="P7" i="192"/>
  <c r="F8" i="192"/>
  <c r="I8" i="192" s="1"/>
  <c r="N8" i="192"/>
  <c r="O8" i="192" s="1"/>
  <c r="IP3" i="194" l="1"/>
  <c r="IX3" i="194" s="1"/>
  <c r="IL64" i="194"/>
  <c r="IM3" i="194"/>
  <c r="IM30" i="194"/>
  <c r="IM13" i="194"/>
  <c r="IM11" i="194"/>
  <c r="IM6" i="194"/>
  <c r="IM14" i="194"/>
  <c r="IM15" i="194"/>
  <c r="IM8" i="194"/>
  <c r="IM10" i="194"/>
  <c r="P2" i="192"/>
  <c r="P8" i="192"/>
  <c r="F19" i="77"/>
  <c r="F18" i="77"/>
  <c r="IW3" i="194" l="1"/>
  <c r="IW64" i="194" s="1"/>
  <c r="IX64" i="194"/>
  <c r="IT64" i="194"/>
  <c r="IM64" i="194"/>
  <c r="M11" i="148"/>
  <c r="D6" i="77"/>
  <c r="E24" i="77" s="1"/>
  <c r="L6" i="77"/>
  <c r="K6" i="77"/>
  <c r="C24" i="77"/>
  <c r="G6" i="77" l="1"/>
  <c r="G11" i="148" s="1"/>
  <c r="CQ8" i="103"/>
  <c r="CQ15" i="103"/>
  <c r="CQ25" i="103"/>
  <c r="CQ35" i="103"/>
  <c r="CQ33" i="103"/>
  <c r="CQ42" i="103"/>
  <c r="CQ37" i="103"/>
  <c r="CQ17" i="103"/>
  <c r="CQ20" i="103"/>
  <c r="CQ7" i="103"/>
  <c r="CQ29" i="103"/>
  <c r="CQ24" i="103"/>
  <c r="CQ12" i="103"/>
  <c r="CQ27" i="103"/>
  <c r="CQ43" i="103"/>
  <c r="CQ34" i="103"/>
  <c r="CQ50" i="103"/>
  <c r="CQ5" i="103"/>
  <c r="CQ44" i="103"/>
  <c r="CQ39" i="103"/>
  <c r="CQ36" i="103"/>
  <c r="CQ49" i="103"/>
  <c r="CQ38" i="103"/>
  <c r="CQ21" i="103"/>
  <c r="CQ40" i="103"/>
  <c r="CQ18" i="103"/>
  <c r="CQ10" i="103"/>
  <c r="CQ11" i="103"/>
  <c r="CQ46" i="103"/>
  <c r="CQ16" i="103"/>
  <c r="CQ19" i="103"/>
  <c r="CQ6" i="103"/>
  <c r="CQ14" i="103"/>
  <c r="CQ28" i="103"/>
  <c r="CQ30" i="103"/>
  <c r="CQ13" i="103"/>
  <c r="CQ41" i="103"/>
  <c r="CQ47" i="103"/>
  <c r="CQ9" i="103"/>
  <c r="CQ22" i="103"/>
  <c r="CQ23" i="103"/>
  <c r="CQ48" i="103"/>
  <c r="CQ31" i="103"/>
  <c r="CQ3" i="103"/>
  <c r="CQ45" i="103"/>
  <c r="CQ26" i="103"/>
  <c r="CQ32" i="103"/>
  <c r="CQ4" i="103"/>
  <c r="B6" i="77"/>
  <c r="F6" i="77" s="1"/>
  <c r="AD51" i="190"/>
  <c r="Y51" i="190"/>
  <c r="T51" i="190"/>
  <c r="T53" i="190" s="1"/>
  <c r="S51" i="190"/>
  <c r="S53" i="190" s="1"/>
  <c r="M51" i="190"/>
  <c r="M53" i="190" s="1"/>
  <c r="L51" i="190"/>
  <c r="L53" i="190" s="1"/>
  <c r="K51" i="190"/>
  <c r="K53" i="190" s="1"/>
  <c r="J51" i="190"/>
  <c r="J53" i="190" s="1"/>
  <c r="AC50" i="190"/>
  <c r="U50" i="190"/>
  <c r="AC49" i="190"/>
  <c r="AC48" i="190"/>
  <c r="U48" i="190"/>
  <c r="V48" i="190" s="1"/>
  <c r="AC47" i="190"/>
  <c r="AC46" i="190"/>
  <c r="AC45" i="190"/>
  <c r="U45" i="190"/>
  <c r="Z45" i="190" s="1"/>
  <c r="AC44" i="190"/>
  <c r="AC43" i="190"/>
  <c r="AC42" i="190"/>
  <c r="AC41" i="190"/>
  <c r="U41" i="190"/>
  <c r="Z41" i="190" s="1"/>
  <c r="AC40" i="190"/>
  <c r="U40" i="190"/>
  <c r="Z40" i="190" s="1"/>
  <c r="AC39" i="190"/>
  <c r="AC38" i="190"/>
  <c r="U38" i="190"/>
  <c r="AC37" i="190"/>
  <c r="AC36" i="190"/>
  <c r="AC35" i="190"/>
  <c r="AC34" i="190"/>
  <c r="AC33" i="190"/>
  <c r="AC32" i="190"/>
  <c r="U32" i="190"/>
  <c r="V32" i="190" s="1"/>
  <c r="AC31" i="190"/>
  <c r="AC30" i="190"/>
  <c r="AC29" i="190"/>
  <c r="AC28" i="190"/>
  <c r="U28" i="190"/>
  <c r="Z28" i="190" s="1"/>
  <c r="AC27" i="190"/>
  <c r="U27" i="190"/>
  <c r="Z27" i="190" s="1"/>
  <c r="AC26" i="190"/>
  <c r="U26" i="190"/>
  <c r="Z26" i="190" s="1"/>
  <c r="AC25" i="190"/>
  <c r="U25" i="190"/>
  <c r="Z25" i="190" s="1"/>
  <c r="AC24" i="190"/>
  <c r="U24" i="190"/>
  <c r="AC23" i="190"/>
  <c r="AC22" i="190"/>
  <c r="U22" i="190"/>
  <c r="Z22" i="190" s="1"/>
  <c r="AC21" i="190"/>
  <c r="AC20" i="190"/>
  <c r="U20" i="190"/>
  <c r="V20" i="190" s="1"/>
  <c r="AC19" i="190"/>
  <c r="AC18" i="190"/>
  <c r="U18" i="190"/>
  <c r="Z18" i="190" s="1"/>
  <c r="AC17" i="190"/>
  <c r="AC16" i="190"/>
  <c r="AC15" i="190"/>
  <c r="AC14" i="190"/>
  <c r="U14" i="190"/>
  <c r="AC13" i="190"/>
  <c r="AC12" i="190"/>
  <c r="AC11" i="190"/>
  <c r="AC10" i="190"/>
  <c r="AC9" i="190"/>
  <c r="AC8" i="190"/>
  <c r="AC7" i="190"/>
  <c r="AC6" i="190"/>
  <c r="AC5" i="190"/>
  <c r="AC4" i="190"/>
  <c r="AC3" i="190"/>
  <c r="B24" i="77" l="1"/>
  <c r="V27" i="190"/>
  <c r="V40" i="190"/>
  <c r="V45" i="190"/>
  <c r="V18" i="190"/>
  <c r="V22" i="190"/>
  <c r="V25" i="190"/>
  <c r="V28" i="190"/>
  <c r="V41" i="190"/>
  <c r="V38" i="190"/>
  <c r="Z38" i="190"/>
  <c r="V14" i="190"/>
  <c r="Z14" i="190"/>
  <c r="V24" i="190"/>
  <c r="Z24" i="190"/>
  <c r="V26" i="190"/>
  <c r="AC51" i="190"/>
  <c r="U10" i="190"/>
  <c r="Z20" i="190"/>
  <c r="Z32" i="190"/>
  <c r="V50" i="190"/>
  <c r="Z50" i="190"/>
  <c r="Z48" i="190"/>
  <c r="Z10" i="190" l="1"/>
  <c r="V10" i="190"/>
  <c r="R34" i="190" l="1"/>
  <c r="U34" i="190" s="1"/>
  <c r="CF34" i="103"/>
  <c r="R30" i="190"/>
  <c r="CF30" i="103"/>
  <c r="R51" i="190" l="1"/>
  <c r="R53" i="190" s="1"/>
  <c r="Z34" i="190"/>
  <c r="V34" i="190"/>
  <c r="C42" i="188"/>
  <c r="D498" i="43"/>
  <c r="C498" i="43"/>
  <c r="B498" i="43"/>
  <c r="E497" i="43"/>
  <c r="E496" i="43"/>
  <c r="D492" i="43"/>
  <c r="C492" i="43"/>
  <c r="B492" i="43"/>
  <c r="E491" i="43"/>
  <c r="E490" i="43"/>
  <c r="E9" i="188"/>
  <c r="E10" i="188"/>
  <c r="E11" i="188"/>
  <c r="E12" i="188"/>
  <c r="E13" i="188"/>
  <c r="D34" i="188"/>
  <c r="E34" i="188" s="1"/>
  <c r="E33" i="188"/>
  <c r="E32" i="188"/>
  <c r="E31" i="188"/>
  <c r="E30" i="188"/>
  <c r="D25" i="188"/>
  <c r="D37" i="188" s="1"/>
  <c r="D38" i="188" s="1"/>
  <c r="E24" i="188"/>
  <c r="E23" i="188"/>
  <c r="E22" i="188"/>
  <c r="E21" i="188"/>
  <c r="E20" i="188"/>
  <c r="D15" i="188"/>
  <c r="C37" i="188" s="1"/>
  <c r="C38" i="188" s="1"/>
  <c r="E14" i="188"/>
  <c r="E498" i="43" l="1"/>
  <c r="Q47" i="190"/>
  <c r="U47" i="190" s="1"/>
  <c r="CE47" i="103"/>
  <c r="Q15" i="190"/>
  <c r="CE15" i="103"/>
  <c r="Q23" i="190"/>
  <c r="CE23" i="103"/>
  <c r="Q12" i="190"/>
  <c r="CE12" i="103"/>
  <c r="Q33" i="190"/>
  <c r="CE33" i="103"/>
  <c r="E492" i="43"/>
  <c r="E15" i="188"/>
  <c r="E37" i="188"/>
  <c r="E38" i="188" s="1"/>
  <c r="E25" i="188"/>
  <c r="C40" i="187"/>
  <c r="D32" i="187"/>
  <c r="E32" i="187" s="1"/>
  <c r="E31" i="187"/>
  <c r="E30" i="187"/>
  <c r="E29" i="187"/>
  <c r="E28" i="187"/>
  <c r="D23" i="187"/>
  <c r="D35" i="187" s="1"/>
  <c r="D36" i="187" s="1"/>
  <c r="E22" i="187"/>
  <c r="E21" i="187"/>
  <c r="E20" i="187"/>
  <c r="E19" i="187"/>
  <c r="E18" i="187"/>
  <c r="D13" i="187"/>
  <c r="C35" i="187" s="1"/>
  <c r="E12" i="187"/>
  <c r="E11" i="187"/>
  <c r="E10" i="187"/>
  <c r="E9" i="187"/>
  <c r="P42" i="190" l="1"/>
  <c r="CD42" i="103"/>
  <c r="P33" i="190"/>
  <c r="CD33" i="103"/>
  <c r="P9" i="190"/>
  <c r="P51" i="190" s="1"/>
  <c r="CD9" i="103"/>
  <c r="C40" i="188"/>
  <c r="C41" i="188" s="1"/>
  <c r="E41" i="188" s="1"/>
  <c r="Q51" i="190"/>
  <c r="Z47" i="190"/>
  <c r="V47" i="190"/>
  <c r="E13" i="187"/>
  <c r="C36" i="187"/>
  <c r="E35" i="187"/>
  <c r="E36" i="187" s="1"/>
  <c r="E23" i="187"/>
  <c r="E40" i="188" l="1"/>
  <c r="CE52" i="103" s="1"/>
  <c r="C38" i="187"/>
  <c r="C39" i="187" s="1"/>
  <c r="E39" i="187" s="1"/>
  <c r="Q52" i="190" l="1"/>
  <c r="Q53" i="190" s="1"/>
  <c r="E42" i="188"/>
  <c r="E38" i="187"/>
  <c r="P52" i="190" s="1"/>
  <c r="P53" i="190" s="1"/>
  <c r="E40" i="187" l="1"/>
  <c r="CD52" i="103"/>
  <c r="C40" i="186"/>
  <c r="D32" i="186"/>
  <c r="E32" i="186" s="1"/>
  <c r="E31" i="186"/>
  <c r="E30" i="186"/>
  <c r="E29" i="186"/>
  <c r="E28" i="186"/>
  <c r="D23" i="186"/>
  <c r="D35" i="186" s="1"/>
  <c r="D36" i="186" s="1"/>
  <c r="E22" i="186"/>
  <c r="E21" i="186"/>
  <c r="E20" i="186"/>
  <c r="E19" i="186"/>
  <c r="E18" i="186"/>
  <c r="D13" i="186"/>
  <c r="C35" i="186" s="1"/>
  <c r="C36" i="186" s="1"/>
  <c r="E12" i="186"/>
  <c r="E11" i="186"/>
  <c r="E10" i="186"/>
  <c r="E9" i="186"/>
  <c r="O36" i="190" l="1"/>
  <c r="CC36" i="103"/>
  <c r="O11" i="190"/>
  <c r="CC11" i="103"/>
  <c r="O35" i="190"/>
  <c r="CC35" i="103"/>
  <c r="E13" i="186"/>
  <c r="E35" i="186"/>
  <c r="E36" i="186" s="1"/>
  <c r="E23" i="186"/>
  <c r="C38" i="186" l="1"/>
  <c r="C39" i="186" s="1"/>
  <c r="E39" i="186" s="1"/>
  <c r="O51" i="190"/>
  <c r="C40" i="185"/>
  <c r="D486" i="43"/>
  <c r="C486" i="43"/>
  <c r="B486" i="43"/>
  <c r="E485" i="43"/>
  <c r="E484" i="43"/>
  <c r="D480" i="43"/>
  <c r="C480" i="43"/>
  <c r="B480" i="43"/>
  <c r="E479" i="43"/>
  <c r="E478" i="43"/>
  <c r="D474" i="43"/>
  <c r="C474" i="43"/>
  <c r="B474" i="43"/>
  <c r="E473" i="43"/>
  <c r="E472" i="43"/>
  <c r="D468" i="43"/>
  <c r="C468" i="43"/>
  <c r="B468" i="43"/>
  <c r="E467" i="43"/>
  <c r="E466" i="43"/>
  <c r="D462" i="43"/>
  <c r="C462" i="43"/>
  <c r="B462" i="43"/>
  <c r="E461" i="43"/>
  <c r="E460" i="43"/>
  <c r="E38" i="186" l="1"/>
  <c r="O52" i="190" s="1"/>
  <c r="O53" i="190" s="1"/>
  <c r="E474" i="43"/>
  <c r="E486" i="43"/>
  <c r="E468" i="43"/>
  <c r="E480" i="43"/>
  <c r="E462" i="43"/>
  <c r="CC52" i="103" l="1"/>
  <c r="E40" i="186"/>
  <c r="D32" i="185"/>
  <c r="E32" i="185" s="1"/>
  <c r="E31" i="185"/>
  <c r="E30" i="185"/>
  <c r="E29" i="185"/>
  <c r="E28" i="185"/>
  <c r="D23" i="185"/>
  <c r="D35" i="185" s="1"/>
  <c r="D36" i="185" s="1"/>
  <c r="E22" i="185"/>
  <c r="E21" i="185"/>
  <c r="E20" i="185"/>
  <c r="E19" i="185"/>
  <c r="E18" i="185"/>
  <c r="D13" i="185"/>
  <c r="C35" i="185" s="1"/>
  <c r="C36" i="185" s="1"/>
  <c r="E12" i="185"/>
  <c r="E11" i="185"/>
  <c r="E10" i="185"/>
  <c r="E9" i="185"/>
  <c r="C40" i="184"/>
  <c r="D32" i="184"/>
  <c r="E32" i="184" s="1"/>
  <c r="E31" i="184"/>
  <c r="E30" i="184"/>
  <c r="E29" i="184"/>
  <c r="E28" i="184"/>
  <c r="D23" i="184"/>
  <c r="D35" i="184" s="1"/>
  <c r="D36" i="184" s="1"/>
  <c r="E22" i="184"/>
  <c r="E21" i="184"/>
  <c r="E20" i="184"/>
  <c r="E19" i="184"/>
  <c r="E18" i="184"/>
  <c r="D13" i="184"/>
  <c r="C35" i="184" s="1"/>
  <c r="C36" i="184" s="1"/>
  <c r="E12" i="184"/>
  <c r="E11" i="184"/>
  <c r="E10" i="184"/>
  <c r="E9" i="184"/>
  <c r="C40" i="183"/>
  <c r="C40" i="182"/>
  <c r="D32" i="183"/>
  <c r="E32" i="183" s="1"/>
  <c r="E31" i="183"/>
  <c r="E30" i="183"/>
  <c r="E29" i="183"/>
  <c r="E28" i="183"/>
  <c r="D23" i="183"/>
  <c r="D35" i="183" s="1"/>
  <c r="D36" i="183" s="1"/>
  <c r="E22" i="183"/>
  <c r="E21" i="183"/>
  <c r="E20" i="183"/>
  <c r="E19" i="183"/>
  <c r="E18" i="183"/>
  <c r="D13" i="183"/>
  <c r="C35" i="183" s="1"/>
  <c r="C36" i="183" s="1"/>
  <c r="E12" i="183"/>
  <c r="E11" i="183"/>
  <c r="E10" i="183"/>
  <c r="E9" i="183"/>
  <c r="D32" i="182"/>
  <c r="E32" i="182" s="1"/>
  <c r="E31" i="182"/>
  <c r="E30" i="182"/>
  <c r="E29" i="182"/>
  <c r="E28" i="182"/>
  <c r="D23" i="182"/>
  <c r="D35" i="182" s="1"/>
  <c r="D36" i="182" s="1"/>
  <c r="E22" i="182"/>
  <c r="E21" i="182"/>
  <c r="E20" i="182"/>
  <c r="E19" i="182"/>
  <c r="E18" i="182"/>
  <c r="D13" i="182"/>
  <c r="C35" i="182" s="1"/>
  <c r="C36" i="182" s="1"/>
  <c r="E12" i="182"/>
  <c r="E11" i="182"/>
  <c r="E10" i="182"/>
  <c r="E9" i="182"/>
  <c r="C40" i="181"/>
  <c r="D32" i="181"/>
  <c r="E35" i="181" s="1"/>
  <c r="E36" i="181" s="1"/>
  <c r="E31" i="181"/>
  <c r="E30" i="181"/>
  <c r="E29" i="181"/>
  <c r="E28" i="181"/>
  <c r="D23" i="181"/>
  <c r="E23" i="181" s="1"/>
  <c r="E22" i="181"/>
  <c r="E21" i="181"/>
  <c r="E20" i="181"/>
  <c r="E19" i="181"/>
  <c r="E18" i="181"/>
  <c r="D13" i="181"/>
  <c r="C35" i="181" s="1"/>
  <c r="E12" i="181"/>
  <c r="E11" i="181"/>
  <c r="E10" i="181"/>
  <c r="E9" i="181"/>
  <c r="E32" i="181" l="1"/>
  <c r="N16" i="190"/>
  <c r="CB16" i="103"/>
  <c r="E13" i="182"/>
  <c r="E13" i="183"/>
  <c r="E13" i="184"/>
  <c r="N49" i="190"/>
  <c r="CB49" i="103"/>
  <c r="N37" i="190"/>
  <c r="U37" i="190" s="1"/>
  <c r="CB37" i="103"/>
  <c r="E13" i="185"/>
  <c r="E35" i="185"/>
  <c r="E36" i="185" s="1"/>
  <c r="E23" i="185"/>
  <c r="E35" i="184"/>
  <c r="E36" i="184" s="1"/>
  <c r="E23" i="184"/>
  <c r="E35" i="183"/>
  <c r="E36" i="183" s="1"/>
  <c r="E23" i="183"/>
  <c r="E35" i="182"/>
  <c r="E36" i="182" s="1"/>
  <c r="E23" i="182"/>
  <c r="D35" i="181"/>
  <c r="D36" i="181" s="1"/>
  <c r="C36" i="181"/>
  <c r="E13" i="181"/>
  <c r="BX51" i="103"/>
  <c r="BY51" i="103"/>
  <c r="BZ51" i="103"/>
  <c r="CA51" i="103"/>
  <c r="CA53" i="103" s="1"/>
  <c r="CC51" i="103"/>
  <c r="CC53" i="103" s="1"/>
  <c r="CD51" i="103"/>
  <c r="CD53" i="103" s="1"/>
  <c r="CE51" i="103"/>
  <c r="CE53" i="103" s="1"/>
  <c r="CF51" i="103"/>
  <c r="CF53" i="103" s="1"/>
  <c r="CG51" i="103"/>
  <c r="CG53" i="103" s="1"/>
  <c r="CH51" i="103"/>
  <c r="CH53" i="103" s="1"/>
  <c r="CB51" i="103" l="1"/>
  <c r="CB53" i="103" s="1"/>
  <c r="N51" i="190"/>
  <c r="N53" i="190" s="1"/>
  <c r="C38" i="181"/>
  <c r="C39" i="181" s="1"/>
  <c r="E39" i="181" s="1"/>
  <c r="C38" i="185"/>
  <c r="E38" i="185" s="1"/>
  <c r="Z37" i="190"/>
  <c r="V37" i="190"/>
  <c r="C38" i="184"/>
  <c r="C38" i="183"/>
  <c r="C38" i="182"/>
  <c r="E38" i="181" l="1"/>
  <c r="E40" i="181" s="1"/>
  <c r="C39" i="185"/>
  <c r="E39" i="185" s="1"/>
  <c r="E40" i="185" s="1"/>
  <c r="E38" i="184"/>
  <c r="C39" i="184"/>
  <c r="E39" i="184" s="1"/>
  <c r="E38" i="183"/>
  <c r="C39" i="183"/>
  <c r="E39" i="183" s="1"/>
  <c r="E38" i="182"/>
  <c r="C39" i="182"/>
  <c r="E39" i="182" s="1"/>
  <c r="E40" i="184" l="1"/>
  <c r="E40" i="183"/>
  <c r="E40" i="182"/>
  <c r="C40" i="179"/>
  <c r="D32" i="179"/>
  <c r="E32" i="179" s="1"/>
  <c r="E31" i="179"/>
  <c r="E30" i="179"/>
  <c r="I31" i="190" s="1"/>
  <c r="U31" i="190" s="1"/>
  <c r="E29" i="179"/>
  <c r="E28" i="179"/>
  <c r="D23" i="179"/>
  <c r="D35" i="179" s="1"/>
  <c r="D36" i="179" s="1"/>
  <c r="E22" i="179"/>
  <c r="E21" i="179"/>
  <c r="E20" i="179"/>
  <c r="E19" i="179"/>
  <c r="E18" i="179"/>
  <c r="D13" i="179"/>
  <c r="C35" i="179" s="1"/>
  <c r="C36" i="179" s="1"/>
  <c r="E12" i="179"/>
  <c r="E11" i="179"/>
  <c r="E10" i="179"/>
  <c r="E9" i="179"/>
  <c r="E13" i="179" l="1"/>
  <c r="I17" i="190"/>
  <c r="BW17" i="103"/>
  <c r="I5" i="190"/>
  <c r="BW5" i="103"/>
  <c r="I23" i="190"/>
  <c r="U23" i="190" s="1"/>
  <c r="BW23" i="103"/>
  <c r="I42" i="190"/>
  <c r="BW42" i="103"/>
  <c r="I29" i="190"/>
  <c r="BW29" i="103"/>
  <c r="I39" i="190"/>
  <c r="U39" i="190" s="1"/>
  <c r="BW39" i="103"/>
  <c r="Z31" i="190"/>
  <c r="V31" i="190"/>
  <c r="BW31" i="103"/>
  <c r="E35" i="179"/>
  <c r="E36" i="179" s="1"/>
  <c r="E23" i="179"/>
  <c r="F11" i="148"/>
  <c r="Z39" i="190" l="1"/>
  <c r="V39" i="190"/>
  <c r="Z23" i="190"/>
  <c r="V23" i="190"/>
  <c r="I51" i="190"/>
  <c r="U5" i="190"/>
  <c r="F13" i="148"/>
  <c r="O11" i="148"/>
  <c r="H11" i="148"/>
  <c r="C38" i="179"/>
  <c r="E38" i="179" s="1"/>
  <c r="I52" i="190" s="1"/>
  <c r="C40" i="178"/>
  <c r="D32" i="178"/>
  <c r="E35" i="178" s="1"/>
  <c r="E36" i="178" s="1"/>
  <c r="E31" i="178"/>
  <c r="E30" i="178"/>
  <c r="E29" i="178"/>
  <c r="E28" i="178"/>
  <c r="D23" i="178"/>
  <c r="E23" i="178" s="1"/>
  <c r="E22" i="178"/>
  <c r="E21" i="178"/>
  <c r="E20" i="178"/>
  <c r="E19" i="178"/>
  <c r="E18" i="178"/>
  <c r="D13" i="178"/>
  <c r="C35" i="178" s="1"/>
  <c r="E12" i="178"/>
  <c r="E11" i="178"/>
  <c r="E10" i="178"/>
  <c r="E9" i="178"/>
  <c r="I53" i="190" l="1"/>
  <c r="H49" i="190"/>
  <c r="BV49" i="103"/>
  <c r="H3" i="190"/>
  <c r="BV3" i="103"/>
  <c r="H13" i="190"/>
  <c r="BV13" i="103"/>
  <c r="H21" i="190"/>
  <c r="U21" i="190" s="1"/>
  <c r="BV21" i="103"/>
  <c r="H33" i="190"/>
  <c r="BV33" i="103"/>
  <c r="H35" i="190"/>
  <c r="BV35" i="103"/>
  <c r="Z5" i="190"/>
  <c r="V5" i="190"/>
  <c r="BW52" i="103"/>
  <c r="C39" i="179"/>
  <c r="E39" i="179" s="1"/>
  <c r="E40" i="179" s="1"/>
  <c r="E32" i="178"/>
  <c r="D35" i="178"/>
  <c r="D36" i="178" s="1"/>
  <c r="C36" i="178"/>
  <c r="E13" i="178"/>
  <c r="Z21" i="190" l="1"/>
  <c r="V21" i="190"/>
  <c r="H51" i="190"/>
  <c r="H53" i="190" s="1"/>
  <c r="U3" i="190"/>
  <c r="C38" i="178"/>
  <c r="C39" i="178" s="1"/>
  <c r="E39" i="178" s="1"/>
  <c r="Z3" i="190" l="1"/>
  <c r="V3" i="190"/>
  <c r="E38" i="178"/>
  <c r="E40" i="178" s="1"/>
  <c r="C40" i="177"/>
  <c r="D32" i="177"/>
  <c r="E32" i="177" s="1"/>
  <c r="E31" i="177"/>
  <c r="E30" i="177"/>
  <c r="E29" i="177"/>
  <c r="E28" i="177"/>
  <c r="D23" i="177"/>
  <c r="D35" i="177" s="1"/>
  <c r="D36" i="177" s="1"/>
  <c r="E22" i="177"/>
  <c r="E21" i="177"/>
  <c r="E20" i="177"/>
  <c r="E19" i="177"/>
  <c r="E18" i="177"/>
  <c r="D13" i="177"/>
  <c r="C35" i="177" s="1"/>
  <c r="E12" i="177"/>
  <c r="E11" i="177"/>
  <c r="E10" i="177"/>
  <c r="E9" i="177"/>
  <c r="G11" i="190" l="1"/>
  <c r="BU11" i="103"/>
  <c r="G30" i="190"/>
  <c r="U30" i="190" s="1"/>
  <c r="BU30" i="103"/>
  <c r="G13" i="190"/>
  <c r="BU13" i="103"/>
  <c r="G8" i="190"/>
  <c r="BU8" i="103"/>
  <c r="G36" i="190"/>
  <c r="U36" i="190" s="1"/>
  <c r="BU36" i="103"/>
  <c r="G6" i="190"/>
  <c r="BU6" i="103"/>
  <c r="E13" i="177"/>
  <c r="C36" i="177"/>
  <c r="E35" i="177"/>
  <c r="E36" i="177" s="1"/>
  <c r="E23" i="177"/>
  <c r="BV51" i="103"/>
  <c r="BW51" i="103"/>
  <c r="BU51" i="103" l="1"/>
  <c r="G51" i="190"/>
  <c r="U6" i="190"/>
  <c r="Z36" i="190"/>
  <c r="V36" i="190"/>
  <c r="V30" i="190"/>
  <c r="Z30" i="190"/>
  <c r="C38" i="177"/>
  <c r="C40" i="176"/>
  <c r="D32" i="176"/>
  <c r="E32" i="176" s="1"/>
  <c r="E31" i="176"/>
  <c r="E30" i="176"/>
  <c r="E29" i="176"/>
  <c r="E28" i="176"/>
  <c r="D23" i="176"/>
  <c r="D35" i="176" s="1"/>
  <c r="D36" i="176" s="1"/>
  <c r="E22" i="176"/>
  <c r="E21" i="176"/>
  <c r="E20" i="176"/>
  <c r="E19" i="176"/>
  <c r="E18" i="176"/>
  <c r="D13" i="176"/>
  <c r="C35" i="176" s="1"/>
  <c r="C36" i="176" s="1"/>
  <c r="E12" i="176"/>
  <c r="E11" i="176"/>
  <c r="E10" i="176"/>
  <c r="E9" i="176"/>
  <c r="C40" i="175"/>
  <c r="D32" i="175"/>
  <c r="E32" i="175" s="1"/>
  <c r="E31" i="175"/>
  <c r="E30" i="175"/>
  <c r="E29" i="175"/>
  <c r="E28" i="175"/>
  <c r="D23" i="175"/>
  <c r="D35" i="175" s="1"/>
  <c r="D36" i="175" s="1"/>
  <c r="E22" i="175"/>
  <c r="E21" i="175"/>
  <c r="E20" i="175"/>
  <c r="E19" i="175"/>
  <c r="E18" i="175"/>
  <c r="D13" i="175"/>
  <c r="C35" i="175" s="1"/>
  <c r="C36" i="175" s="1"/>
  <c r="E12" i="175"/>
  <c r="E11" i="175"/>
  <c r="E10" i="175"/>
  <c r="E9" i="175"/>
  <c r="C40" i="174"/>
  <c r="D32" i="174"/>
  <c r="E32" i="174" s="1"/>
  <c r="E31" i="174"/>
  <c r="E30" i="174"/>
  <c r="E29" i="174"/>
  <c r="E28" i="174"/>
  <c r="D23" i="174"/>
  <c r="D35" i="174" s="1"/>
  <c r="D36" i="174" s="1"/>
  <c r="E22" i="174"/>
  <c r="E21" i="174"/>
  <c r="E20" i="174"/>
  <c r="E19" i="174"/>
  <c r="E18" i="174"/>
  <c r="D13" i="174"/>
  <c r="C35" i="174" s="1"/>
  <c r="E12" i="174"/>
  <c r="E11" i="174"/>
  <c r="E10" i="174"/>
  <c r="E9" i="174"/>
  <c r="D33" i="190" l="1"/>
  <c r="BR33" i="103"/>
  <c r="D11" i="190"/>
  <c r="BR11" i="103"/>
  <c r="D13" i="190"/>
  <c r="BR13" i="103"/>
  <c r="E17" i="190"/>
  <c r="U17" i="190" s="1"/>
  <c r="BS17" i="103"/>
  <c r="E33" i="190"/>
  <c r="BS33" i="103"/>
  <c r="E13" i="190"/>
  <c r="BS13" i="103"/>
  <c r="F4" i="190"/>
  <c r="BT4" i="103"/>
  <c r="F16" i="190"/>
  <c r="BT16" i="103"/>
  <c r="E13" i="174"/>
  <c r="D43" i="190"/>
  <c r="U43" i="190" s="1"/>
  <c r="BR43" i="103"/>
  <c r="D16" i="190"/>
  <c r="BR16" i="103"/>
  <c r="E13" i="175"/>
  <c r="E11" i="190"/>
  <c r="E51" i="190" s="1"/>
  <c r="BS11" i="103"/>
  <c r="BS51" i="103" s="1"/>
  <c r="F15" i="190"/>
  <c r="U15" i="190" s="1"/>
  <c r="BT15" i="103"/>
  <c r="F33" i="190"/>
  <c r="BT33" i="103"/>
  <c r="F46" i="190"/>
  <c r="BT46" i="103"/>
  <c r="Z6" i="190"/>
  <c r="V6" i="190"/>
  <c r="E38" i="177"/>
  <c r="C39" i="177"/>
  <c r="E39" i="177" s="1"/>
  <c r="E13" i="176"/>
  <c r="E35" i="176"/>
  <c r="E36" i="176" s="1"/>
  <c r="E23" i="176"/>
  <c r="E35" i="175"/>
  <c r="E36" i="175" s="1"/>
  <c r="E23" i="175"/>
  <c r="C36" i="174"/>
  <c r="E35" i="174"/>
  <c r="E36" i="174" s="1"/>
  <c r="E23" i="174"/>
  <c r="C40" i="173"/>
  <c r="D32" i="173"/>
  <c r="E32" i="173" s="1"/>
  <c r="E31" i="173"/>
  <c r="E30" i="173"/>
  <c r="E29" i="173"/>
  <c r="E28" i="173"/>
  <c r="D23" i="173"/>
  <c r="D35" i="173" s="1"/>
  <c r="D36" i="173" s="1"/>
  <c r="E22" i="173"/>
  <c r="E21" i="173"/>
  <c r="E20" i="173"/>
  <c r="E19" i="173"/>
  <c r="E18" i="173"/>
  <c r="D13" i="173"/>
  <c r="C35" i="173" s="1"/>
  <c r="E12" i="173"/>
  <c r="E11" i="173"/>
  <c r="E10" i="173"/>
  <c r="E9" i="173"/>
  <c r="C35" i="190" l="1"/>
  <c r="U35" i="190" s="1"/>
  <c r="BQ35" i="103"/>
  <c r="C29" i="190"/>
  <c r="U29" i="190" s="1"/>
  <c r="BQ29" i="103"/>
  <c r="C44" i="190"/>
  <c r="U44" i="190" s="1"/>
  <c r="BQ44" i="103"/>
  <c r="C46" i="190"/>
  <c r="U46" i="190" s="1"/>
  <c r="BQ46" i="103"/>
  <c r="Z15" i="190"/>
  <c r="V15" i="190"/>
  <c r="U4" i="190"/>
  <c r="F51" i="190"/>
  <c r="Z17" i="190"/>
  <c r="V17" i="190"/>
  <c r="D51" i="190"/>
  <c r="U11" i="190"/>
  <c r="U33" i="190"/>
  <c r="C49" i="190"/>
  <c r="U49" i="190" s="1"/>
  <c r="BQ49" i="103"/>
  <c r="C7" i="190"/>
  <c r="BQ7" i="103"/>
  <c r="G52" i="190"/>
  <c r="G53" i="190" s="1"/>
  <c r="BU52" i="103"/>
  <c r="U16" i="190"/>
  <c r="V43" i="190"/>
  <c r="Z43" i="190"/>
  <c r="BT51" i="103"/>
  <c r="E40" i="177"/>
  <c r="C38" i="176"/>
  <c r="C38" i="175"/>
  <c r="C38" i="174"/>
  <c r="E23" i="173"/>
  <c r="C36" i="173"/>
  <c r="E13" i="173"/>
  <c r="E35" i="173"/>
  <c r="E36" i="173" s="1"/>
  <c r="E10" i="148"/>
  <c r="G10" i="148" s="1"/>
  <c r="M9" i="148"/>
  <c r="M8" i="148"/>
  <c r="M7" i="148"/>
  <c r="M5" i="148"/>
  <c r="L5" i="77"/>
  <c r="D5" i="77" s="1"/>
  <c r="E23" i="77" s="1"/>
  <c r="M6" i="77"/>
  <c r="O6" i="77" s="1"/>
  <c r="C5" i="77"/>
  <c r="C23" i="77" s="1"/>
  <c r="C10" i="148" l="1"/>
  <c r="Z16" i="190"/>
  <c r="V16" i="190"/>
  <c r="U7" i="190"/>
  <c r="C51" i="190"/>
  <c r="Z49" i="190"/>
  <c r="V49" i="190"/>
  <c r="V11" i="190"/>
  <c r="Z11" i="190"/>
  <c r="V46" i="190"/>
  <c r="Z46" i="190"/>
  <c r="V44" i="190"/>
  <c r="Z44" i="190"/>
  <c r="Z29" i="190"/>
  <c r="V29" i="190"/>
  <c r="Z35" i="190"/>
  <c r="V35" i="190"/>
  <c r="G5" i="77"/>
  <c r="Z33" i="190"/>
  <c r="V33" i="190"/>
  <c r="V4" i="190"/>
  <c r="Z4" i="190"/>
  <c r="E38" i="176"/>
  <c r="C39" i="176"/>
  <c r="E39" i="176" s="1"/>
  <c r="E38" i="175"/>
  <c r="C39" i="175"/>
  <c r="E39" i="175" s="1"/>
  <c r="E38" i="174"/>
  <c r="C39" i="174"/>
  <c r="E39" i="174" s="1"/>
  <c r="C38" i="173"/>
  <c r="C40" i="172"/>
  <c r="C40" i="171"/>
  <c r="D32" i="172"/>
  <c r="E32" i="172" s="1"/>
  <c r="E31" i="172"/>
  <c r="E30" i="172"/>
  <c r="E29" i="172"/>
  <c r="E28" i="172"/>
  <c r="D23" i="172"/>
  <c r="D35" i="172" s="1"/>
  <c r="D36" i="172" s="1"/>
  <c r="E22" i="172"/>
  <c r="E21" i="172"/>
  <c r="E20" i="172"/>
  <c r="E19" i="172"/>
  <c r="E18" i="172"/>
  <c r="D13" i="172"/>
  <c r="C35" i="172" s="1"/>
  <c r="C36" i="172" s="1"/>
  <c r="E12" i="172"/>
  <c r="E11" i="172"/>
  <c r="E10" i="172"/>
  <c r="E9" i="172"/>
  <c r="E13" i="172" l="1"/>
  <c r="B12" i="190"/>
  <c r="U12" i="190" s="1"/>
  <c r="BP12" i="103"/>
  <c r="B42" i="190"/>
  <c r="U42" i="190" s="1"/>
  <c r="BP42" i="103"/>
  <c r="B13" i="190"/>
  <c r="U13" i="190" s="1"/>
  <c r="BP13" i="103"/>
  <c r="B9" i="190"/>
  <c r="U9" i="190" s="1"/>
  <c r="BP9" i="103"/>
  <c r="B8" i="190"/>
  <c r="BP8" i="103"/>
  <c r="B19" i="190"/>
  <c r="U19" i="190" s="1"/>
  <c r="BP19" i="103"/>
  <c r="D52" i="190"/>
  <c r="D53" i="190" s="1"/>
  <c r="BR52" i="103"/>
  <c r="E52" i="190"/>
  <c r="E53" i="190" s="1"/>
  <c r="BS52" i="103"/>
  <c r="F52" i="190"/>
  <c r="F53" i="190" s="1"/>
  <c r="BT52" i="103"/>
  <c r="V7" i="190"/>
  <c r="Z7" i="190"/>
  <c r="E40" i="176"/>
  <c r="E40" i="175"/>
  <c r="E40" i="174"/>
  <c r="E38" i="173"/>
  <c r="C39" i="173"/>
  <c r="E39" i="173" s="1"/>
  <c r="E35" i="172"/>
  <c r="E36" i="172" s="1"/>
  <c r="E23" i="172"/>
  <c r="C52" i="190" l="1"/>
  <c r="C53" i="190" s="1"/>
  <c r="BQ52" i="103"/>
  <c r="Z19" i="190"/>
  <c r="V19" i="190"/>
  <c r="B51" i="190"/>
  <c r="B53" i="190" s="1"/>
  <c r="U8" i="190"/>
  <c r="Z9" i="190"/>
  <c r="V9" i="190"/>
  <c r="Z13" i="190"/>
  <c r="V13" i="190"/>
  <c r="Z42" i="190"/>
  <c r="V42" i="190"/>
  <c r="Z12" i="190"/>
  <c r="V12" i="190"/>
  <c r="E40" i="173"/>
  <c r="C38" i="172"/>
  <c r="E38" i="172" s="1"/>
  <c r="C39" i="172" l="1"/>
  <c r="E39" i="172" s="1"/>
  <c r="V8" i="190"/>
  <c r="V51" i="190" s="1"/>
  <c r="Z8" i="190"/>
  <c r="Z51" i="190" s="1"/>
  <c r="U51" i="190"/>
  <c r="E40" i="172"/>
  <c r="D32" i="171"/>
  <c r="E32" i="171" s="1"/>
  <c r="E31" i="171"/>
  <c r="E30" i="171"/>
  <c r="BO31" i="103" s="1"/>
  <c r="E29" i="171"/>
  <c r="E28" i="171"/>
  <c r="BO14" i="103" s="1"/>
  <c r="D23" i="171"/>
  <c r="D35" i="171" s="1"/>
  <c r="D36" i="171" s="1"/>
  <c r="E22" i="171"/>
  <c r="BO50" i="103" s="1"/>
  <c r="E21" i="171"/>
  <c r="BO3" i="103" s="1"/>
  <c r="E20" i="171"/>
  <c r="E19" i="171"/>
  <c r="BO23" i="103" s="1"/>
  <c r="E18" i="171"/>
  <c r="D13" i="171"/>
  <c r="C35" i="171" s="1"/>
  <c r="C36" i="171" s="1"/>
  <c r="E12" i="171"/>
  <c r="E11" i="171"/>
  <c r="E10" i="171"/>
  <c r="E9" i="171"/>
  <c r="E13" i="171" l="1"/>
  <c r="BO34" i="103"/>
  <c r="E35" i="171"/>
  <c r="E36" i="171" s="1"/>
  <c r="E23" i="171"/>
  <c r="M394" i="43"/>
  <c r="AM53" i="170"/>
  <c r="AL53" i="170"/>
  <c r="AK53" i="170"/>
  <c r="AJ53" i="170"/>
  <c r="AI53" i="170"/>
  <c r="AH53" i="170"/>
  <c r="AG53" i="170"/>
  <c r="AF53" i="170"/>
  <c r="AE53" i="170"/>
  <c r="AR51" i="170"/>
  <c r="AD51" i="170"/>
  <c r="AD53" i="170" s="1"/>
  <c r="AC51" i="170"/>
  <c r="AC53" i="170" s="1"/>
  <c r="I51" i="170"/>
  <c r="I53" i="170" s="1"/>
  <c r="H51" i="170"/>
  <c r="H53" i="170" s="1"/>
  <c r="AN48" i="170"/>
  <c r="AO48" i="170" s="1"/>
  <c r="AN45" i="170"/>
  <c r="AS45" i="170" s="1"/>
  <c r="AN43" i="170"/>
  <c r="AO43" i="170" s="1"/>
  <c r="AN41" i="170"/>
  <c r="AN40" i="170"/>
  <c r="AS40" i="170" s="1"/>
  <c r="AN32" i="170"/>
  <c r="AS32" i="170" s="1"/>
  <c r="AN28" i="170"/>
  <c r="AO28" i="170" s="1"/>
  <c r="AN27" i="170"/>
  <c r="AS27" i="170" s="1"/>
  <c r="AN25" i="170"/>
  <c r="AS25" i="170" s="1"/>
  <c r="AN22" i="170"/>
  <c r="AS22" i="170" s="1"/>
  <c r="AN20" i="170"/>
  <c r="AS20" i="170" s="1"/>
  <c r="AN18" i="170"/>
  <c r="AS18" i="170" s="1"/>
  <c r="AN16" i="170"/>
  <c r="AS16" i="170" s="1"/>
  <c r="C38" i="171" l="1"/>
  <c r="E38" i="171" s="1"/>
  <c r="BO52" i="103" s="1"/>
  <c r="AO18" i="170"/>
  <c r="AO22" i="170"/>
  <c r="AS43" i="170"/>
  <c r="AO20" i="170"/>
  <c r="AO27" i="170"/>
  <c r="AO32" i="170"/>
  <c r="AO40" i="170"/>
  <c r="AO45" i="170"/>
  <c r="AS48" i="170"/>
  <c r="AO16" i="170"/>
  <c r="AO25" i="170"/>
  <c r="AS28" i="170"/>
  <c r="AO41" i="170"/>
  <c r="AS41" i="170"/>
  <c r="C40" i="169"/>
  <c r="D32" i="169"/>
  <c r="E32" i="169" s="1"/>
  <c r="E31" i="169"/>
  <c r="E30" i="169"/>
  <c r="BN31" i="103" s="1"/>
  <c r="E29" i="169"/>
  <c r="E28" i="169"/>
  <c r="D23" i="169"/>
  <c r="D35" i="169" s="1"/>
  <c r="D36" i="169" s="1"/>
  <c r="E22" i="169"/>
  <c r="BN30" i="103" s="1"/>
  <c r="E21" i="169"/>
  <c r="E20" i="169"/>
  <c r="E19" i="169"/>
  <c r="BN6" i="103" s="1"/>
  <c r="E18" i="169"/>
  <c r="D13" i="169"/>
  <c r="C35" i="169" s="1"/>
  <c r="C36" i="169" s="1"/>
  <c r="E12" i="169"/>
  <c r="E11" i="169"/>
  <c r="E10" i="169"/>
  <c r="E9" i="169"/>
  <c r="C40" i="168"/>
  <c r="D32" i="168"/>
  <c r="E32" i="168" s="1"/>
  <c r="E31" i="168"/>
  <c r="E30" i="168"/>
  <c r="E29" i="168"/>
  <c r="E28" i="168"/>
  <c r="D23" i="168"/>
  <c r="D35" i="168" s="1"/>
  <c r="D36" i="168" s="1"/>
  <c r="E22" i="168"/>
  <c r="E21" i="168"/>
  <c r="E20" i="168"/>
  <c r="E19" i="168"/>
  <c r="E18" i="168"/>
  <c r="D13" i="168"/>
  <c r="C35" i="168" s="1"/>
  <c r="C36" i="168" s="1"/>
  <c r="E12" i="168"/>
  <c r="E11" i="168"/>
  <c r="E10" i="168"/>
  <c r="E9" i="168"/>
  <c r="C40" i="167"/>
  <c r="C40" i="166"/>
  <c r="D32" i="167"/>
  <c r="E35" i="167" s="1"/>
  <c r="E36" i="167" s="1"/>
  <c r="E31" i="167"/>
  <c r="E30" i="167"/>
  <c r="E29" i="167"/>
  <c r="E28" i="167"/>
  <c r="D23" i="167"/>
  <c r="E23" i="167" s="1"/>
  <c r="E22" i="167"/>
  <c r="E21" i="167"/>
  <c r="E20" i="167"/>
  <c r="E19" i="167"/>
  <c r="E18" i="167"/>
  <c r="D13" i="167"/>
  <c r="C35" i="167" s="1"/>
  <c r="E12" i="167"/>
  <c r="E11" i="167"/>
  <c r="E10" i="167"/>
  <c r="E9" i="167"/>
  <c r="BN15" i="103" l="1"/>
  <c r="E13" i="168"/>
  <c r="BN36" i="103"/>
  <c r="AA15" i="170"/>
  <c r="BJ15" i="103"/>
  <c r="AA34" i="170"/>
  <c r="BJ34" i="103"/>
  <c r="BJ47" i="103"/>
  <c r="AA47" i="170"/>
  <c r="AB34" i="170"/>
  <c r="BK34" i="103"/>
  <c r="AB42" i="170"/>
  <c r="BK42" i="103"/>
  <c r="AB15" i="170"/>
  <c r="BK15" i="103"/>
  <c r="AA23" i="170"/>
  <c r="BJ23" i="103"/>
  <c r="BJ3" i="103"/>
  <c r="AA3" i="170"/>
  <c r="BJ31" i="103"/>
  <c r="AA31" i="170"/>
  <c r="AB9" i="170"/>
  <c r="BK9" i="103"/>
  <c r="BK46" i="103"/>
  <c r="AB46" i="170"/>
  <c r="E13" i="169"/>
  <c r="C39" i="171"/>
  <c r="E39" i="171" s="1"/>
  <c r="E40" i="171" s="1"/>
  <c r="E35" i="169"/>
  <c r="E36" i="169" s="1"/>
  <c r="E23" i="169"/>
  <c r="E35" i="168"/>
  <c r="E36" i="168" s="1"/>
  <c r="E23" i="168"/>
  <c r="E32" i="167"/>
  <c r="D35" i="167"/>
  <c r="D36" i="167" s="1"/>
  <c r="C36" i="167"/>
  <c r="E13" i="167"/>
  <c r="G9" i="148"/>
  <c r="G8" i="148"/>
  <c r="G7" i="148"/>
  <c r="G6" i="148"/>
  <c r="G5" i="148"/>
  <c r="G4" i="148"/>
  <c r="G3" i="148"/>
  <c r="G2" i="148"/>
  <c r="AB51" i="170" l="1"/>
  <c r="AB53" i="170" s="1"/>
  <c r="AA51" i="170"/>
  <c r="C38" i="169"/>
  <c r="E38" i="169" s="1"/>
  <c r="BN52" i="103" s="1"/>
  <c r="C38" i="168"/>
  <c r="C38" i="167"/>
  <c r="C39" i="167" s="1"/>
  <c r="E39" i="167" s="1"/>
  <c r="C39" i="169" l="1"/>
  <c r="E39" i="169" s="1"/>
  <c r="E40" i="169" s="1"/>
  <c r="E38" i="168"/>
  <c r="C39" i="168"/>
  <c r="E39" i="168" s="1"/>
  <c r="E38" i="167"/>
  <c r="BP51" i="103"/>
  <c r="BQ51" i="103"/>
  <c r="BR51" i="103"/>
  <c r="E40" i="167" l="1"/>
  <c r="AA52" i="170"/>
  <c r="AA53" i="170" s="1"/>
  <c r="BJ52" i="103"/>
  <c r="E40" i="168"/>
  <c r="D32" i="166"/>
  <c r="E32" i="166" s="1"/>
  <c r="E31" i="166"/>
  <c r="E30" i="166"/>
  <c r="E29" i="166"/>
  <c r="E28" i="166"/>
  <c r="D23" i="166"/>
  <c r="D35" i="166" s="1"/>
  <c r="D36" i="166" s="1"/>
  <c r="E22" i="166"/>
  <c r="E21" i="166"/>
  <c r="E20" i="166"/>
  <c r="E19" i="166"/>
  <c r="E18" i="166"/>
  <c r="D13" i="166"/>
  <c r="C35" i="166" s="1"/>
  <c r="C36" i="166" s="1"/>
  <c r="E12" i="166"/>
  <c r="E11" i="166"/>
  <c r="E10" i="166"/>
  <c r="E9" i="166"/>
  <c r="E13" i="166" l="1"/>
  <c r="Z17" i="170"/>
  <c r="BI17" i="103"/>
  <c r="Z14" i="170"/>
  <c r="BI14" i="103"/>
  <c r="Z21" i="170"/>
  <c r="BI21" i="103"/>
  <c r="Z39" i="170"/>
  <c r="BI39" i="103"/>
  <c r="Z44" i="170"/>
  <c r="BI44" i="103"/>
  <c r="Z31" i="170"/>
  <c r="BI31" i="103"/>
  <c r="E35" i="166"/>
  <c r="E36" i="166" s="1"/>
  <c r="E23" i="166"/>
  <c r="C40" i="165"/>
  <c r="D32" i="165"/>
  <c r="E32" i="165" s="1"/>
  <c r="E31" i="165"/>
  <c r="E30" i="165"/>
  <c r="E29" i="165"/>
  <c r="E28" i="165"/>
  <c r="D23" i="165"/>
  <c r="D35" i="165" s="1"/>
  <c r="D36" i="165" s="1"/>
  <c r="E22" i="165"/>
  <c r="E21" i="165"/>
  <c r="E20" i="165"/>
  <c r="E19" i="165"/>
  <c r="E18" i="165"/>
  <c r="D13" i="165"/>
  <c r="C35" i="165" s="1"/>
  <c r="C36" i="165" s="1"/>
  <c r="E12" i="165"/>
  <c r="E11" i="165"/>
  <c r="E10" i="165"/>
  <c r="E9" i="165"/>
  <c r="E13" i="165" l="1"/>
  <c r="Y36" i="170"/>
  <c r="BH36" i="103"/>
  <c r="Y5" i="170"/>
  <c r="BH5" i="103"/>
  <c r="Y33" i="170"/>
  <c r="BH33" i="103"/>
  <c r="Y47" i="170"/>
  <c r="BH47" i="103"/>
  <c r="Y35" i="170"/>
  <c r="BH35" i="103"/>
  <c r="Y50" i="170"/>
  <c r="BH50" i="103"/>
  <c r="Y13" i="170"/>
  <c r="BH13" i="103"/>
  <c r="Z51" i="170"/>
  <c r="Z53" i="170" s="1"/>
  <c r="C38" i="166"/>
  <c r="E38" i="166" s="1"/>
  <c r="E35" i="165"/>
  <c r="E36" i="165" s="1"/>
  <c r="E23" i="165"/>
  <c r="Y51" i="170" l="1"/>
  <c r="Y53" i="170" s="1"/>
  <c r="C39" i="166"/>
  <c r="E39" i="166" s="1"/>
  <c r="E40" i="166" s="1"/>
  <c r="C38" i="165"/>
  <c r="E38" i="165" s="1"/>
  <c r="C40" i="164"/>
  <c r="D32" i="164"/>
  <c r="E32" i="164" s="1"/>
  <c r="E31" i="164"/>
  <c r="E30" i="164"/>
  <c r="E29" i="164"/>
  <c r="E28" i="164"/>
  <c r="D23" i="164"/>
  <c r="D35" i="164" s="1"/>
  <c r="D36" i="164" s="1"/>
  <c r="E22" i="164"/>
  <c r="E21" i="164"/>
  <c r="E20" i="164"/>
  <c r="E19" i="164"/>
  <c r="E18" i="164"/>
  <c r="D13" i="164"/>
  <c r="C35" i="164" s="1"/>
  <c r="C36" i="164" s="1"/>
  <c r="E12" i="164"/>
  <c r="E11" i="164"/>
  <c r="E10" i="164"/>
  <c r="E9" i="164"/>
  <c r="BG21" i="103" l="1"/>
  <c r="X21" i="170"/>
  <c r="BG7" i="103"/>
  <c r="X7" i="170"/>
  <c r="X35" i="170"/>
  <c r="BG35" i="103"/>
  <c r="X13" i="170"/>
  <c r="BG13" i="103"/>
  <c r="E13" i="164"/>
  <c r="X10" i="170"/>
  <c r="BG10" i="103"/>
  <c r="X49" i="170"/>
  <c r="BG49" i="103"/>
  <c r="C39" i="165"/>
  <c r="E39" i="165" s="1"/>
  <c r="E40" i="165" s="1"/>
  <c r="E35" i="164"/>
  <c r="E36" i="164" s="1"/>
  <c r="E23" i="164"/>
  <c r="X51" i="170" l="1"/>
  <c r="C38" i="164"/>
  <c r="E38" i="164" s="1"/>
  <c r="X52" i="170" l="1"/>
  <c r="X53" i="170" s="1"/>
  <c r="BG52" i="103"/>
  <c r="C39" i="164"/>
  <c r="E39" i="164" s="1"/>
  <c r="E40" i="164" s="1"/>
  <c r="C40" i="163"/>
  <c r="D32" i="163"/>
  <c r="E32" i="163" s="1"/>
  <c r="E31" i="163"/>
  <c r="E30" i="163"/>
  <c r="E29" i="163"/>
  <c r="E28" i="163"/>
  <c r="D23" i="163"/>
  <c r="D35" i="163" s="1"/>
  <c r="D36" i="163" s="1"/>
  <c r="E22" i="163"/>
  <c r="E21" i="163"/>
  <c r="E20" i="163"/>
  <c r="E19" i="163"/>
  <c r="E18" i="163"/>
  <c r="D13" i="163"/>
  <c r="C35" i="163" s="1"/>
  <c r="C36" i="163" s="1"/>
  <c r="E12" i="163"/>
  <c r="E11" i="163"/>
  <c r="E10" i="163"/>
  <c r="E9" i="163"/>
  <c r="C40" i="162"/>
  <c r="D32" i="162"/>
  <c r="E32" i="162" s="1"/>
  <c r="E31" i="162"/>
  <c r="E30" i="162"/>
  <c r="E29" i="162"/>
  <c r="E28" i="162"/>
  <c r="D23" i="162"/>
  <c r="D35" i="162" s="1"/>
  <c r="D36" i="162" s="1"/>
  <c r="E22" i="162"/>
  <c r="E21" i="162"/>
  <c r="E20" i="162"/>
  <c r="E19" i="162"/>
  <c r="E18" i="162"/>
  <c r="D13" i="162"/>
  <c r="C35" i="162" s="1"/>
  <c r="C36" i="162" s="1"/>
  <c r="E12" i="162"/>
  <c r="E11" i="162"/>
  <c r="E10" i="162"/>
  <c r="E9" i="162"/>
  <c r="D23" i="161"/>
  <c r="D35" i="161" s="1"/>
  <c r="D36" i="161" s="1"/>
  <c r="C40" i="161"/>
  <c r="D32" i="161"/>
  <c r="E32" i="161" s="1"/>
  <c r="E31" i="161"/>
  <c r="E30" i="161"/>
  <c r="E29" i="161"/>
  <c r="E28" i="161"/>
  <c r="E22" i="161"/>
  <c r="E21" i="161"/>
  <c r="E20" i="161"/>
  <c r="E19" i="161"/>
  <c r="E18" i="161"/>
  <c r="D13" i="161"/>
  <c r="C35" i="161" s="1"/>
  <c r="C36" i="161" s="1"/>
  <c r="E12" i="161"/>
  <c r="E11" i="161"/>
  <c r="E10" i="161"/>
  <c r="E9" i="161"/>
  <c r="E13" i="162" l="1"/>
  <c r="E13" i="161"/>
  <c r="U33" i="170"/>
  <c r="BD33" i="103"/>
  <c r="U35" i="170"/>
  <c r="BD35" i="103"/>
  <c r="U13" i="170"/>
  <c r="BD13" i="103"/>
  <c r="V39" i="170"/>
  <c r="BE39" i="103"/>
  <c r="V33" i="170"/>
  <c r="BE33" i="103"/>
  <c r="V34" i="170"/>
  <c r="BE34" i="103"/>
  <c r="V46" i="170"/>
  <c r="BE46" i="103"/>
  <c r="W38" i="170"/>
  <c r="BF38" i="103"/>
  <c r="W13" i="170"/>
  <c r="BF13" i="103"/>
  <c r="U30" i="170"/>
  <c r="BD30" i="103"/>
  <c r="U42" i="170"/>
  <c r="BD42" i="103"/>
  <c r="U8" i="170"/>
  <c r="U51" i="170" s="1"/>
  <c r="BD8" i="103"/>
  <c r="V3" i="170"/>
  <c r="BE3" i="103"/>
  <c r="V7" i="170"/>
  <c r="AN7" i="170" s="1"/>
  <c r="BE7" i="103"/>
  <c r="W33" i="170"/>
  <c r="BF33" i="103"/>
  <c r="W29" i="170"/>
  <c r="BF29" i="103"/>
  <c r="W4" i="170"/>
  <c r="BF4" i="103"/>
  <c r="E13" i="163"/>
  <c r="E35" i="163"/>
  <c r="E36" i="163" s="1"/>
  <c r="E23" i="163"/>
  <c r="E35" i="162"/>
  <c r="E36" i="162" s="1"/>
  <c r="E23" i="162"/>
  <c r="E35" i="161"/>
  <c r="E36" i="161" s="1"/>
  <c r="E23" i="161"/>
  <c r="W51" i="170" l="1"/>
  <c r="W53" i="170" s="1"/>
  <c r="AO7" i="170"/>
  <c r="AS7" i="170"/>
  <c r="V51" i="170"/>
  <c r="C38" i="163"/>
  <c r="E38" i="163" s="1"/>
  <c r="C38" i="162"/>
  <c r="E38" i="162" s="1"/>
  <c r="C38" i="161"/>
  <c r="E38" i="161" s="1"/>
  <c r="V52" i="170" l="1"/>
  <c r="BE52" i="103"/>
  <c r="U52" i="170"/>
  <c r="U53" i="170" s="1"/>
  <c r="BD52" i="103"/>
  <c r="V53" i="170"/>
  <c r="C39" i="163"/>
  <c r="E39" i="163" s="1"/>
  <c r="E40" i="163" s="1"/>
  <c r="C39" i="162"/>
  <c r="E39" i="162" s="1"/>
  <c r="E40" i="162" s="1"/>
  <c r="C39" i="161"/>
  <c r="E39" i="161" s="1"/>
  <c r="E40" i="161" s="1"/>
  <c r="J2" i="148"/>
  <c r="M2" i="148" s="1"/>
  <c r="F3" i="148"/>
  <c r="H3" i="148" s="1"/>
  <c r="F4" i="148"/>
  <c r="H4" i="148" s="1"/>
  <c r="F5" i="148"/>
  <c r="N5" i="148" s="1"/>
  <c r="F6" i="148"/>
  <c r="H6" i="148" s="1"/>
  <c r="F7" i="148"/>
  <c r="N7" i="148" s="1"/>
  <c r="F8" i="148"/>
  <c r="N8" i="148" s="1"/>
  <c r="F9" i="148"/>
  <c r="O9" i="148" s="1"/>
  <c r="F2" i="148"/>
  <c r="H2" i="148" s="1"/>
  <c r="N2" i="148" l="1"/>
  <c r="H9" i="148"/>
  <c r="H7" i="148"/>
  <c r="H5" i="148"/>
  <c r="H8" i="148"/>
  <c r="C40" i="160"/>
  <c r="C40" i="159"/>
  <c r="D32" i="160"/>
  <c r="E32" i="160" s="1"/>
  <c r="E31" i="160"/>
  <c r="E30" i="160"/>
  <c r="E29" i="160"/>
  <c r="E28" i="160"/>
  <c r="D23" i="160"/>
  <c r="D35" i="160" s="1"/>
  <c r="D36" i="160" s="1"/>
  <c r="E22" i="160"/>
  <c r="E21" i="160"/>
  <c r="E20" i="160"/>
  <c r="E19" i="160"/>
  <c r="E18" i="160"/>
  <c r="D13" i="160"/>
  <c r="C35" i="160" s="1"/>
  <c r="C36" i="160" s="1"/>
  <c r="E12" i="160"/>
  <c r="E11" i="160"/>
  <c r="E10" i="160"/>
  <c r="E9" i="160"/>
  <c r="E13" i="160" l="1"/>
  <c r="T47" i="170"/>
  <c r="BC47" i="103"/>
  <c r="T44" i="170"/>
  <c r="AN44" i="170" s="1"/>
  <c r="BC44" i="103"/>
  <c r="BC50" i="103"/>
  <c r="T50" i="170"/>
  <c r="T24" i="170"/>
  <c r="BC24" i="103"/>
  <c r="T5" i="170"/>
  <c r="BC5" i="103"/>
  <c r="T15" i="170"/>
  <c r="BC15" i="103"/>
  <c r="T31" i="170"/>
  <c r="BC31" i="103"/>
  <c r="E35" i="160"/>
  <c r="E36" i="160" s="1"/>
  <c r="E23" i="160"/>
  <c r="T51" i="170" l="1"/>
  <c r="T53" i="170" s="1"/>
  <c r="BC51" i="103"/>
  <c r="AO44" i="170"/>
  <c r="AS44" i="170"/>
  <c r="C38" i="160"/>
  <c r="E38" i="160" s="1"/>
  <c r="D32" i="159"/>
  <c r="E32" i="159" s="1"/>
  <c r="E31" i="159"/>
  <c r="E30" i="159"/>
  <c r="E29" i="159"/>
  <c r="E28" i="159"/>
  <c r="D23" i="159"/>
  <c r="D35" i="159" s="1"/>
  <c r="D36" i="159" s="1"/>
  <c r="E22" i="159"/>
  <c r="E21" i="159"/>
  <c r="E20" i="159"/>
  <c r="E19" i="159"/>
  <c r="E18" i="159"/>
  <c r="D13" i="159"/>
  <c r="C35" i="159" s="1"/>
  <c r="E12" i="159"/>
  <c r="E11" i="159"/>
  <c r="E10" i="159"/>
  <c r="E9" i="159"/>
  <c r="S39" i="170" l="1"/>
  <c r="BB39" i="103"/>
  <c r="S42" i="170"/>
  <c r="BB42" i="103"/>
  <c r="S31" i="170"/>
  <c r="BB31" i="103"/>
  <c r="S49" i="170"/>
  <c r="BB49" i="103"/>
  <c r="S9" i="170"/>
  <c r="BB9" i="103"/>
  <c r="S14" i="170"/>
  <c r="BB14" i="103"/>
  <c r="S24" i="170"/>
  <c r="AN24" i="170" s="1"/>
  <c r="BB24" i="103"/>
  <c r="C39" i="160"/>
  <c r="E39" i="160" s="1"/>
  <c r="E40" i="160" s="1"/>
  <c r="C36" i="159"/>
  <c r="E13" i="159"/>
  <c r="E35" i="159"/>
  <c r="E36" i="159" s="1"/>
  <c r="E23" i="159"/>
  <c r="AS24" i="170" l="1"/>
  <c r="AO24" i="170"/>
  <c r="AN9" i="170"/>
  <c r="S51" i="170"/>
  <c r="C38" i="159"/>
  <c r="C40" i="158"/>
  <c r="C40" i="157"/>
  <c r="AS9" i="170" l="1"/>
  <c r="AO9" i="170"/>
  <c r="E38" i="159"/>
  <c r="C39" i="159"/>
  <c r="E39" i="159" s="1"/>
  <c r="D32" i="158"/>
  <c r="E32" i="158" s="1"/>
  <c r="E31" i="158"/>
  <c r="E30" i="158"/>
  <c r="E29" i="158"/>
  <c r="E28" i="158"/>
  <c r="D23" i="158"/>
  <c r="D35" i="158" s="1"/>
  <c r="D36" i="158" s="1"/>
  <c r="E22" i="158"/>
  <c r="E21" i="158"/>
  <c r="E20" i="158"/>
  <c r="E19" i="158"/>
  <c r="E18" i="158"/>
  <c r="D13" i="158"/>
  <c r="C35" i="158" s="1"/>
  <c r="C36" i="158" s="1"/>
  <c r="E12" i="158"/>
  <c r="E11" i="158"/>
  <c r="E10" i="158"/>
  <c r="E9" i="158"/>
  <c r="D32" i="157"/>
  <c r="E32" i="157" s="1"/>
  <c r="E31" i="157"/>
  <c r="E30" i="157"/>
  <c r="E29" i="157"/>
  <c r="E28" i="157"/>
  <c r="D23" i="157"/>
  <c r="D35" i="157" s="1"/>
  <c r="D36" i="157" s="1"/>
  <c r="E22" i="157"/>
  <c r="E21" i="157"/>
  <c r="E20" i="157"/>
  <c r="E19" i="157"/>
  <c r="E18" i="157"/>
  <c r="D13" i="157"/>
  <c r="C35" i="157" s="1"/>
  <c r="C36" i="157" s="1"/>
  <c r="E12" i="157"/>
  <c r="E11" i="157"/>
  <c r="E10" i="157"/>
  <c r="E9" i="157"/>
  <c r="E13" i="158" l="1"/>
  <c r="Q6" i="170"/>
  <c r="AZ6" i="103"/>
  <c r="Q17" i="170"/>
  <c r="AZ17" i="103"/>
  <c r="Q31" i="170"/>
  <c r="AZ31" i="103"/>
  <c r="R19" i="170"/>
  <c r="BA19" i="103"/>
  <c r="R23" i="170"/>
  <c r="BA23" i="103"/>
  <c r="S52" i="170"/>
  <c r="S53" i="170" s="1"/>
  <c r="BB52" i="103"/>
  <c r="Q8" i="170"/>
  <c r="AZ8" i="103"/>
  <c r="Q35" i="170"/>
  <c r="AZ35" i="103"/>
  <c r="Q10" i="170"/>
  <c r="AZ10" i="103"/>
  <c r="Q29" i="170"/>
  <c r="AZ29" i="103"/>
  <c r="R3" i="170"/>
  <c r="BA3" i="103"/>
  <c r="R36" i="170"/>
  <c r="AN36" i="170" s="1"/>
  <c r="BA36" i="103"/>
  <c r="R13" i="170"/>
  <c r="BA13" i="103"/>
  <c r="E40" i="159"/>
  <c r="E35" i="158"/>
  <c r="E36" i="158" s="1"/>
  <c r="E23" i="158"/>
  <c r="E13" i="157"/>
  <c r="E35" i="157"/>
  <c r="E36" i="157" s="1"/>
  <c r="E23" i="157"/>
  <c r="D456" i="43"/>
  <c r="C456" i="43"/>
  <c r="B456" i="43"/>
  <c r="E455" i="43"/>
  <c r="E454" i="43"/>
  <c r="D450" i="43"/>
  <c r="C450" i="43"/>
  <c r="B450" i="43"/>
  <c r="E449" i="43"/>
  <c r="E448" i="43"/>
  <c r="D444" i="43"/>
  <c r="C444" i="43"/>
  <c r="B444" i="43"/>
  <c r="E443" i="43"/>
  <c r="E442" i="43"/>
  <c r="D438" i="43"/>
  <c r="C438" i="43"/>
  <c r="B438" i="43"/>
  <c r="E437" i="43"/>
  <c r="E436" i="43"/>
  <c r="D432" i="43"/>
  <c r="C432" i="43"/>
  <c r="B432" i="43"/>
  <c r="E431" i="43"/>
  <c r="E430" i="43"/>
  <c r="D426" i="43"/>
  <c r="C426" i="43"/>
  <c r="B426" i="43"/>
  <c r="E425" i="43"/>
  <c r="E424" i="43"/>
  <c r="D420" i="43"/>
  <c r="C420" i="43"/>
  <c r="B420" i="43"/>
  <c r="E419" i="43"/>
  <c r="E418" i="43"/>
  <c r="D414" i="43"/>
  <c r="C414" i="43"/>
  <c r="B414" i="43"/>
  <c r="E413" i="43"/>
  <c r="E412" i="43"/>
  <c r="D408" i="43"/>
  <c r="C408" i="43"/>
  <c r="B408" i="43"/>
  <c r="E407" i="43"/>
  <c r="E406" i="43"/>
  <c r="D402" i="43"/>
  <c r="C402" i="43"/>
  <c r="B402" i="43"/>
  <c r="E401" i="43"/>
  <c r="E400" i="43"/>
  <c r="D396" i="43"/>
  <c r="C396" i="43"/>
  <c r="B396" i="43"/>
  <c r="E395" i="43"/>
  <c r="E394" i="43"/>
  <c r="D390" i="43"/>
  <c r="C390" i="43"/>
  <c r="B390" i="43"/>
  <c r="E389" i="43"/>
  <c r="E388" i="43"/>
  <c r="D384" i="43"/>
  <c r="C384" i="43"/>
  <c r="B384" i="43"/>
  <c r="E383" i="43"/>
  <c r="E382" i="43"/>
  <c r="D378" i="43"/>
  <c r="C378" i="43"/>
  <c r="B378" i="43"/>
  <c r="E377" i="43"/>
  <c r="E376" i="43"/>
  <c r="D372" i="43"/>
  <c r="C372" i="43"/>
  <c r="B372" i="43"/>
  <c r="E371" i="43"/>
  <c r="E370" i="43"/>
  <c r="D366" i="43"/>
  <c r="C366" i="43"/>
  <c r="B366" i="43"/>
  <c r="E365" i="43"/>
  <c r="E364" i="43"/>
  <c r="D360" i="43"/>
  <c r="C360" i="43"/>
  <c r="B360" i="43"/>
  <c r="E359" i="43"/>
  <c r="E358" i="43"/>
  <c r="D354" i="43"/>
  <c r="C354" i="43"/>
  <c r="B354" i="43"/>
  <c r="E353" i="43"/>
  <c r="E352" i="43"/>
  <c r="D348" i="43"/>
  <c r="C348" i="43"/>
  <c r="B348" i="43"/>
  <c r="E347" i="43"/>
  <c r="E346" i="43"/>
  <c r="D342" i="43"/>
  <c r="C342" i="43"/>
  <c r="B342" i="43"/>
  <c r="E341" i="43"/>
  <c r="E340" i="43"/>
  <c r="D336" i="43"/>
  <c r="C336" i="43"/>
  <c r="B336" i="43"/>
  <c r="E335" i="43"/>
  <c r="E334" i="43"/>
  <c r="D330" i="43"/>
  <c r="C330" i="43"/>
  <c r="B330" i="43"/>
  <c r="E329" i="43"/>
  <c r="E328" i="43"/>
  <c r="D324" i="43"/>
  <c r="C324" i="43"/>
  <c r="B324" i="43"/>
  <c r="E323" i="43"/>
  <c r="E322" i="43"/>
  <c r="E336" i="43" l="1"/>
  <c r="E396" i="43"/>
  <c r="E408" i="43"/>
  <c r="E420" i="43"/>
  <c r="E444" i="43"/>
  <c r="E366" i="43"/>
  <c r="E402" i="43"/>
  <c r="E414" i="43"/>
  <c r="E456" i="43"/>
  <c r="E360" i="43"/>
  <c r="E390" i="43"/>
  <c r="E450" i="43"/>
  <c r="AO36" i="170"/>
  <c r="AS36" i="170"/>
  <c r="R51" i="170"/>
  <c r="R53" i="170" s="1"/>
  <c r="Q51" i="170"/>
  <c r="Q53" i="170" s="1"/>
  <c r="E438" i="43"/>
  <c r="E432" i="43"/>
  <c r="E384" i="43"/>
  <c r="E378" i="43"/>
  <c r="E372" i="43"/>
  <c r="E354" i="43"/>
  <c r="E348" i="43"/>
  <c r="E342" i="43"/>
  <c r="E330" i="43"/>
  <c r="E324" i="43"/>
  <c r="C38" i="158"/>
  <c r="C38" i="157"/>
  <c r="E426" i="43"/>
  <c r="C40" i="156"/>
  <c r="C40" i="155"/>
  <c r="C40" i="154"/>
  <c r="C40" i="152"/>
  <c r="C40" i="153"/>
  <c r="D32" i="156"/>
  <c r="E32" i="156" s="1"/>
  <c r="E31" i="156"/>
  <c r="E30" i="156"/>
  <c r="E29" i="156"/>
  <c r="E28" i="156"/>
  <c r="D23" i="156"/>
  <c r="D35" i="156" s="1"/>
  <c r="D36" i="156" s="1"/>
  <c r="E22" i="156"/>
  <c r="E21" i="156"/>
  <c r="E20" i="156"/>
  <c r="E19" i="156"/>
  <c r="E18" i="156"/>
  <c r="D13" i="156"/>
  <c r="C35" i="156" s="1"/>
  <c r="C36" i="156" s="1"/>
  <c r="E12" i="156"/>
  <c r="E11" i="156"/>
  <c r="E10" i="156"/>
  <c r="E9" i="156"/>
  <c r="D32" i="155"/>
  <c r="E32" i="155" s="1"/>
  <c r="E31" i="155"/>
  <c r="E30" i="155"/>
  <c r="E29" i="155"/>
  <c r="E28" i="155"/>
  <c r="D23" i="155"/>
  <c r="D35" i="155" s="1"/>
  <c r="D36" i="155" s="1"/>
  <c r="E22" i="155"/>
  <c r="E21" i="155"/>
  <c r="E20" i="155"/>
  <c r="E19" i="155"/>
  <c r="E18" i="155"/>
  <c r="D13" i="155"/>
  <c r="C35" i="155" s="1"/>
  <c r="C36" i="155" s="1"/>
  <c r="E12" i="155"/>
  <c r="E11" i="155"/>
  <c r="E10" i="155"/>
  <c r="E9" i="155"/>
  <c r="D32" i="154"/>
  <c r="E35" i="154" s="1"/>
  <c r="E36" i="154" s="1"/>
  <c r="E31" i="154"/>
  <c r="E30" i="154"/>
  <c r="E29" i="154"/>
  <c r="E28" i="154"/>
  <c r="D23" i="154"/>
  <c r="E23" i="154" s="1"/>
  <c r="E22" i="154"/>
  <c r="E21" i="154"/>
  <c r="E20" i="154"/>
  <c r="E19" i="154"/>
  <c r="E18" i="154"/>
  <c r="D13" i="154"/>
  <c r="C35" i="154" s="1"/>
  <c r="E12" i="154"/>
  <c r="E11" i="154"/>
  <c r="E10" i="154"/>
  <c r="E9" i="154"/>
  <c r="N30" i="170" l="1"/>
  <c r="AW30" i="103"/>
  <c r="N39" i="170"/>
  <c r="AW39" i="103"/>
  <c r="N49" i="170"/>
  <c r="AW49" i="103"/>
  <c r="O42" i="170"/>
  <c r="AX42" i="103"/>
  <c r="AX30" i="103"/>
  <c r="O30" i="170"/>
  <c r="O11" i="170"/>
  <c r="AX11" i="103"/>
  <c r="O46" i="170"/>
  <c r="AX46" i="103"/>
  <c r="P11" i="170"/>
  <c r="AY11" i="103"/>
  <c r="P33" i="170"/>
  <c r="AY33" i="103"/>
  <c r="P38" i="170"/>
  <c r="AY38" i="103"/>
  <c r="N5" i="170"/>
  <c r="AW5" i="103"/>
  <c r="N26" i="170"/>
  <c r="AW26" i="103"/>
  <c r="N47" i="170"/>
  <c r="AW47" i="103"/>
  <c r="N31" i="170"/>
  <c r="AW31" i="103"/>
  <c r="E13" i="155"/>
  <c r="O33" i="170"/>
  <c r="AX33" i="103"/>
  <c r="O29" i="170"/>
  <c r="AX29" i="103"/>
  <c r="P4" i="170"/>
  <c r="AY4" i="103"/>
  <c r="P47" i="170"/>
  <c r="AY47" i="103"/>
  <c r="P13" i="170"/>
  <c r="AY13" i="103"/>
  <c r="E38" i="158"/>
  <c r="C39" i="158"/>
  <c r="E39" i="158" s="1"/>
  <c r="E38" i="157"/>
  <c r="C39" i="157"/>
  <c r="E39" i="157" s="1"/>
  <c r="E13" i="156"/>
  <c r="E32" i="154"/>
  <c r="D35" i="154"/>
  <c r="D36" i="154" s="1"/>
  <c r="E35" i="156"/>
  <c r="E36" i="156" s="1"/>
  <c r="E23" i="156"/>
  <c r="E35" i="155"/>
  <c r="E36" i="155" s="1"/>
  <c r="E23" i="155"/>
  <c r="C36" i="154"/>
  <c r="E13" i="154"/>
  <c r="P51" i="170" l="1"/>
  <c r="P53" i="170" s="1"/>
  <c r="N51" i="170"/>
  <c r="N53" i="170" s="1"/>
  <c r="O51" i="170"/>
  <c r="O53" i="170" s="1"/>
  <c r="AN30" i="170"/>
  <c r="C38" i="154"/>
  <c r="C39" i="154" s="1"/>
  <c r="E39" i="154" s="1"/>
  <c r="E40" i="158"/>
  <c r="E40" i="157"/>
  <c r="C38" i="156"/>
  <c r="C39" i="156" s="1"/>
  <c r="E39" i="156" s="1"/>
  <c r="C38" i="155"/>
  <c r="C39" i="155" s="1"/>
  <c r="E39" i="155" s="1"/>
  <c r="D32" i="153"/>
  <c r="E32" i="153" s="1"/>
  <c r="E31" i="153"/>
  <c r="E30" i="153"/>
  <c r="E29" i="153"/>
  <c r="E28" i="153"/>
  <c r="D23" i="153"/>
  <c r="D35" i="153" s="1"/>
  <c r="D36" i="153" s="1"/>
  <c r="E22" i="153"/>
  <c r="E21" i="153"/>
  <c r="E20" i="153"/>
  <c r="E19" i="153"/>
  <c r="E18" i="153"/>
  <c r="D13" i="153"/>
  <c r="C35" i="153" s="1"/>
  <c r="C36" i="153" s="1"/>
  <c r="E12" i="153"/>
  <c r="E11" i="153"/>
  <c r="E10" i="153"/>
  <c r="E9" i="153"/>
  <c r="E38" i="156" l="1"/>
  <c r="E13" i="153"/>
  <c r="M3" i="170"/>
  <c r="AV3" i="103"/>
  <c r="M50" i="170"/>
  <c r="AV50" i="103"/>
  <c r="M42" i="170"/>
  <c r="AV42" i="103"/>
  <c r="M35" i="170"/>
  <c r="AV35" i="103"/>
  <c r="M13" i="170"/>
  <c r="AV13" i="103"/>
  <c r="AS30" i="170"/>
  <c r="AO30" i="170"/>
  <c r="M23" i="170"/>
  <c r="AN23" i="170" s="1"/>
  <c r="AV23" i="103"/>
  <c r="E38" i="155"/>
  <c r="E40" i="155" s="1"/>
  <c r="E38" i="154"/>
  <c r="E40" i="154" s="1"/>
  <c r="E40" i="156"/>
  <c r="E35" i="153"/>
  <c r="E36" i="153" s="1"/>
  <c r="E23" i="153"/>
  <c r="D318" i="43"/>
  <c r="C318" i="43"/>
  <c r="B318" i="43"/>
  <c r="E317" i="43"/>
  <c r="E316" i="43"/>
  <c r="D312" i="43"/>
  <c r="C312" i="43"/>
  <c r="B312" i="43"/>
  <c r="E311" i="43"/>
  <c r="E310" i="43"/>
  <c r="D306" i="43"/>
  <c r="C306" i="43"/>
  <c r="B306" i="43"/>
  <c r="E305" i="43"/>
  <c r="E304" i="43"/>
  <c r="D300" i="43"/>
  <c r="C300" i="43"/>
  <c r="B300" i="43"/>
  <c r="E299" i="43"/>
  <c r="E298" i="43"/>
  <c r="D294" i="43"/>
  <c r="C294" i="43"/>
  <c r="B294" i="43"/>
  <c r="E293" i="43"/>
  <c r="E292" i="43"/>
  <c r="D288" i="43"/>
  <c r="C288" i="43"/>
  <c r="B288" i="43"/>
  <c r="E287" i="43"/>
  <c r="E286" i="43"/>
  <c r="D282" i="43"/>
  <c r="C282" i="43"/>
  <c r="B282" i="43"/>
  <c r="E281" i="43"/>
  <c r="E280" i="43"/>
  <c r="AS23" i="170" l="1"/>
  <c r="AO23" i="170"/>
  <c r="M51" i="170"/>
  <c r="E294" i="43"/>
  <c r="E312" i="43"/>
  <c r="E318" i="43"/>
  <c r="E306" i="43"/>
  <c r="E300" i="43"/>
  <c r="E288" i="43"/>
  <c r="C38" i="153"/>
  <c r="E282" i="43"/>
  <c r="E38" i="153" l="1"/>
  <c r="C39" i="153"/>
  <c r="E39" i="153" s="1"/>
  <c r="D32" i="152"/>
  <c r="D23" i="152"/>
  <c r="M52" i="170" l="1"/>
  <c r="M53" i="170" s="1"/>
  <c r="AV52" i="103"/>
  <c r="E40" i="153"/>
  <c r="E32" i="152"/>
  <c r="E31" i="152"/>
  <c r="E30" i="152"/>
  <c r="E29" i="152"/>
  <c r="E28" i="152"/>
  <c r="D35" i="152"/>
  <c r="D36" i="152" s="1"/>
  <c r="E22" i="152"/>
  <c r="E21" i="152"/>
  <c r="E20" i="152"/>
  <c r="E19" i="152"/>
  <c r="E18" i="152"/>
  <c r="D13" i="152"/>
  <c r="C35" i="152" s="1"/>
  <c r="E12" i="152"/>
  <c r="E11" i="152"/>
  <c r="E10" i="152"/>
  <c r="E9" i="152"/>
  <c r="E13" i="152" l="1"/>
  <c r="C36" i="152"/>
  <c r="L35" i="170"/>
  <c r="AU35" i="103"/>
  <c r="L38" i="170"/>
  <c r="AU38" i="103"/>
  <c r="L21" i="170"/>
  <c r="AU21" i="103"/>
  <c r="L26" i="170"/>
  <c r="AU26" i="103"/>
  <c r="L47" i="170"/>
  <c r="AN47" i="170" s="1"/>
  <c r="AU47" i="103"/>
  <c r="L46" i="170"/>
  <c r="AU46" i="103"/>
  <c r="E35" i="152"/>
  <c r="E36" i="152" s="1"/>
  <c r="E23" i="152"/>
  <c r="CM51" i="103"/>
  <c r="C38" i="152" l="1"/>
  <c r="C39" i="152" s="1"/>
  <c r="E39" i="152" s="1"/>
  <c r="AS47" i="170"/>
  <c r="AO47" i="170"/>
  <c r="L51" i="170"/>
  <c r="E38" i="152" l="1"/>
  <c r="L52" i="170" s="1"/>
  <c r="L53" i="170" s="1"/>
  <c r="C40" i="151"/>
  <c r="D276" i="43"/>
  <c r="C276" i="43"/>
  <c r="B276" i="43"/>
  <c r="E275" i="43"/>
  <c r="E274" i="43"/>
  <c r="D270" i="43"/>
  <c r="C270" i="43"/>
  <c r="B270" i="43"/>
  <c r="E269" i="43"/>
  <c r="E268" i="43"/>
  <c r="AU52" i="103" l="1"/>
  <c r="E40" i="152"/>
  <c r="E270" i="43"/>
  <c r="E276" i="43"/>
  <c r="D32" i="151" l="1"/>
  <c r="E35" i="151" s="1"/>
  <c r="E36" i="151" s="1"/>
  <c r="E31" i="151"/>
  <c r="E30" i="151"/>
  <c r="E29" i="151"/>
  <c r="E28" i="151"/>
  <c r="D23" i="151"/>
  <c r="E23" i="151" s="1"/>
  <c r="E22" i="151"/>
  <c r="E21" i="151"/>
  <c r="E20" i="151"/>
  <c r="E19" i="151"/>
  <c r="E18" i="151"/>
  <c r="D13" i="151"/>
  <c r="C35" i="151" s="1"/>
  <c r="E12" i="151"/>
  <c r="E11" i="151"/>
  <c r="E10" i="151"/>
  <c r="E9" i="151"/>
  <c r="K29" i="170" l="1"/>
  <c r="AT29" i="103"/>
  <c r="K49" i="170"/>
  <c r="AT49" i="103"/>
  <c r="K33" i="170"/>
  <c r="AT33" i="103"/>
  <c r="K3" i="170"/>
  <c r="AT3" i="103"/>
  <c r="K14" i="170"/>
  <c r="AT14" i="103"/>
  <c r="K11" i="170"/>
  <c r="AN11" i="170" s="1"/>
  <c r="AT11" i="103"/>
  <c r="K31" i="170"/>
  <c r="AT31" i="103"/>
  <c r="E32" i="151"/>
  <c r="D35" i="151"/>
  <c r="D36" i="151" s="1"/>
  <c r="C36" i="151"/>
  <c r="E13" i="151"/>
  <c r="AR51" i="103"/>
  <c r="AO11" i="170" l="1"/>
  <c r="AS11" i="170"/>
  <c r="K51" i="170"/>
  <c r="AN3" i="170"/>
  <c r="C38" i="151"/>
  <c r="C39" i="151" s="1"/>
  <c r="E39" i="151" s="1"/>
  <c r="C40" i="150"/>
  <c r="AS3" i="170" l="1"/>
  <c r="AO3" i="170"/>
  <c r="E38" i="151"/>
  <c r="D32" i="150"/>
  <c r="E32" i="150" s="1"/>
  <c r="E31" i="150"/>
  <c r="E30" i="150"/>
  <c r="E29" i="150"/>
  <c r="E28" i="150"/>
  <c r="D23" i="150"/>
  <c r="D35" i="150" s="1"/>
  <c r="D36" i="150" s="1"/>
  <c r="E22" i="150"/>
  <c r="E21" i="150"/>
  <c r="E20" i="150"/>
  <c r="E19" i="150"/>
  <c r="E18" i="150"/>
  <c r="D13" i="150"/>
  <c r="C35" i="150" s="1"/>
  <c r="C36" i="150" s="1"/>
  <c r="E12" i="150"/>
  <c r="E11" i="150"/>
  <c r="E10" i="150"/>
  <c r="E9" i="150"/>
  <c r="E13" i="150" l="1"/>
  <c r="J10" i="170"/>
  <c r="AS10" i="103"/>
  <c r="J17" i="170"/>
  <c r="AS17" i="103"/>
  <c r="J21" i="170"/>
  <c r="AN21" i="170" s="1"/>
  <c r="AS21" i="103"/>
  <c r="J6" i="170"/>
  <c r="AS6" i="103"/>
  <c r="J8" i="170"/>
  <c r="AS8" i="103"/>
  <c r="J31" i="170"/>
  <c r="AS31" i="103"/>
  <c r="E40" i="151"/>
  <c r="K52" i="170"/>
  <c r="K53" i="170" s="1"/>
  <c r="AT52" i="103"/>
  <c r="E35" i="150"/>
  <c r="E36" i="150" s="1"/>
  <c r="E23" i="150"/>
  <c r="D264" i="43"/>
  <c r="C264" i="43"/>
  <c r="B264" i="43"/>
  <c r="E263" i="43"/>
  <c r="E262" i="43"/>
  <c r="D258" i="43"/>
  <c r="C258" i="43"/>
  <c r="B258" i="43"/>
  <c r="E257" i="43"/>
  <c r="E256" i="43"/>
  <c r="D252" i="43"/>
  <c r="C252" i="43"/>
  <c r="B252" i="43"/>
  <c r="E251" i="43"/>
  <c r="E250" i="43"/>
  <c r="J51" i="170" l="1"/>
  <c r="J53" i="170" s="1"/>
  <c r="AO21" i="170"/>
  <c r="AS21" i="170"/>
  <c r="C38" i="150"/>
  <c r="E264" i="43"/>
  <c r="E258" i="43"/>
  <c r="E252" i="43"/>
  <c r="E38" i="150" l="1"/>
  <c r="C39" i="150"/>
  <c r="E39" i="150" s="1"/>
  <c r="E40" i="150" l="1"/>
  <c r="C40" i="149"/>
  <c r="D32" i="149" l="1"/>
  <c r="E32" i="149" s="1"/>
  <c r="E31" i="149"/>
  <c r="E30" i="149"/>
  <c r="E29" i="149"/>
  <c r="E28" i="149"/>
  <c r="D23" i="149"/>
  <c r="D35" i="149" s="1"/>
  <c r="D36" i="149" s="1"/>
  <c r="E22" i="149"/>
  <c r="E21" i="149"/>
  <c r="E20" i="149"/>
  <c r="E19" i="149"/>
  <c r="E18" i="149"/>
  <c r="D13" i="149"/>
  <c r="C35" i="149" s="1"/>
  <c r="C36" i="149" s="1"/>
  <c r="E12" i="149"/>
  <c r="E11" i="149"/>
  <c r="E10" i="149"/>
  <c r="E9" i="149"/>
  <c r="G42" i="170" l="1"/>
  <c r="AP42" i="103"/>
  <c r="G26" i="170"/>
  <c r="AP26" i="103"/>
  <c r="G5" i="170"/>
  <c r="AP5" i="103"/>
  <c r="G12" i="170"/>
  <c r="AN12" i="170" s="1"/>
  <c r="AP12" i="103"/>
  <c r="G15" i="170"/>
  <c r="AP15" i="103"/>
  <c r="G13" i="170"/>
  <c r="AP13" i="103"/>
  <c r="E13" i="149"/>
  <c r="E35" i="149"/>
  <c r="E36" i="149" s="1"/>
  <c r="E23" i="149"/>
  <c r="L3" i="148"/>
  <c r="L4" i="148"/>
  <c r="M4" i="148" s="1"/>
  <c r="N4" i="148" s="1"/>
  <c r="L6" i="148"/>
  <c r="M6" i="148" s="1"/>
  <c r="N6" i="148" s="1"/>
  <c r="K12" i="148"/>
  <c r="C12" i="148"/>
  <c r="D12" i="148"/>
  <c r="E12" i="148"/>
  <c r="G12" i="148"/>
  <c r="L12" i="148" l="1"/>
  <c r="M3" i="148"/>
  <c r="N3" i="148" s="1"/>
  <c r="N12" i="148" s="1"/>
  <c r="AO12" i="170"/>
  <c r="AS12" i="170"/>
  <c r="G51" i="170"/>
  <c r="AN5" i="170"/>
  <c r="C38" i="149"/>
  <c r="L4" i="77"/>
  <c r="AO5" i="170" l="1"/>
  <c r="AS5" i="170"/>
  <c r="E38" i="149"/>
  <c r="C39" i="149"/>
  <c r="E39" i="149" s="1"/>
  <c r="D23" i="145"/>
  <c r="C40" i="145"/>
  <c r="D246" i="43"/>
  <c r="C246" i="43"/>
  <c r="B246" i="43"/>
  <c r="E245" i="43"/>
  <c r="E244" i="43"/>
  <c r="D240" i="43"/>
  <c r="C240" i="43"/>
  <c r="B240" i="43"/>
  <c r="E239" i="43"/>
  <c r="E238" i="43"/>
  <c r="G52" i="170" l="1"/>
  <c r="G53" i="170" s="1"/>
  <c r="AP52" i="103"/>
  <c r="E40" i="149"/>
  <c r="E240" i="43"/>
  <c r="E246" i="43"/>
  <c r="D32" i="145" l="1"/>
  <c r="E35" i="145" s="1"/>
  <c r="E36" i="145" s="1"/>
  <c r="E31" i="145"/>
  <c r="E30" i="145"/>
  <c r="E29" i="145"/>
  <c r="E28" i="145"/>
  <c r="E23" i="145"/>
  <c r="E22" i="145"/>
  <c r="E21" i="145"/>
  <c r="E20" i="145"/>
  <c r="E19" i="145"/>
  <c r="E18" i="145"/>
  <c r="D13" i="145"/>
  <c r="C35" i="145" s="1"/>
  <c r="E12" i="145"/>
  <c r="E11" i="145"/>
  <c r="E10" i="145"/>
  <c r="E9" i="145"/>
  <c r="F29" i="170" l="1"/>
  <c r="AO29" i="103"/>
  <c r="F49" i="170"/>
  <c r="AO49" i="103"/>
  <c r="F38" i="170"/>
  <c r="AN38" i="170" s="1"/>
  <c r="AO38" i="103"/>
  <c r="F35" i="170"/>
  <c r="AO35" i="103"/>
  <c r="F8" i="170"/>
  <c r="AO8" i="103"/>
  <c r="F46" i="170"/>
  <c r="AO46" i="103"/>
  <c r="E32" i="145"/>
  <c r="D35" i="145"/>
  <c r="D36" i="145" s="1"/>
  <c r="C36" i="145"/>
  <c r="E13" i="145"/>
  <c r="M208" i="43"/>
  <c r="D4" i="77"/>
  <c r="C4" i="77"/>
  <c r="C22" i="77" s="1"/>
  <c r="G4" i="77" l="1"/>
  <c r="E22" i="77"/>
  <c r="F51" i="170"/>
  <c r="AN8" i="170"/>
  <c r="AO38" i="170"/>
  <c r="AS38" i="170"/>
  <c r="C38" i="145"/>
  <c r="C39" i="145" s="1"/>
  <c r="E39" i="145" s="1"/>
  <c r="E38" i="145" l="1"/>
  <c r="F52" i="170" s="1"/>
  <c r="F53" i="170" s="1"/>
  <c r="AS8" i="170"/>
  <c r="AO8" i="170"/>
  <c r="C40" i="144"/>
  <c r="D234" i="43"/>
  <c r="C234" i="43"/>
  <c r="B234" i="43"/>
  <c r="E233" i="43"/>
  <c r="E232" i="43"/>
  <c r="D32" i="144"/>
  <c r="E32" i="144" s="1"/>
  <c r="E31" i="144"/>
  <c r="E30" i="144"/>
  <c r="E29" i="144"/>
  <c r="E28" i="144"/>
  <c r="D23" i="144"/>
  <c r="D35" i="144" s="1"/>
  <c r="D36" i="144" s="1"/>
  <c r="E22" i="144"/>
  <c r="E21" i="144"/>
  <c r="E20" i="144"/>
  <c r="E19" i="144"/>
  <c r="E18" i="144"/>
  <c r="D13" i="144"/>
  <c r="C35" i="144" s="1"/>
  <c r="C36" i="144" s="1"/>
  <c r="E12" i="144"/>
  <c r="E11" i="144"/>
  <c r="E10" i="144"/>
  <c r="E9" i="144"/>
  <c r="E40" i="145" l="1"/>
  <c r="AO52" i="103"/>
  <c r="E17" i="170"/>
  <c r="AN17" i="103"/>
  <c r="E26" i="170"/>
  <c r="AN26" i="170" s="1"/>
  <c r="AN26" i="103"/>
  <c r="E14" i="170"/>
  <c r="AN14" i="103"/>
  <c r="E46" i="170"/>
  <c r="AN46" i="170" s="1"/>
  <c r="AN46" i="103"/>
  <c r="E34" i="170"/>
  <c r="AN34" i="103"/>
  <c r="E13" i="144"/>
  <c r="E33" i="170"/>
  <c r="AN33" i="103"/>
  <c r="E39" i="170"/>
  <c r="AN39" i="170" s="1"/>
  <c r="AN39" i="103"/>
  <c r="E19" i="170"/>
  <c r="AN19" i="170" s="1"/>
  <c r="AN19" i="103"/>
  <c r="E234" i="43"/>
  <c r="E35" i="144"/>
  <c r="E36" i="144" s="1"/>
  <c r="E23" i="144"/>
  <c r="AO46" i="170" l="1"/>
  <c r="AS46" i="170"/>
  <c r="E51" i="170"/>
  <c r="E53" i="170" s="1"/>
  <c r="AO26" i="170"/>
  <c r="AS26" i="170"/>
  <c r="AO19" i="170"/>
  <c r="AS19" i="170"/>
  <c r="AO39" i="170"/>
  <c r="AS39" i="170"/>
  <c r="C38" i="144"/>
  <c r="C40" i="143"/>
  <c r="D228" i="43"/>
  <c r="C228" i="43"/>
  <c r="B228" i="43"/>
  <c r="E227" i="43"/>
  <c r="E226" i="43"/>
  <c r="D32" i="143"/>
  <c r="E32" i="143" s="1"/>
  <c r="E31" i="143"/>
  <c r="E30" i="143"/>
  <c r="E29" i="143"/>
  <c r="E28" i="143"/>
  <c r="D23" i="143"/>
  <c r="D35" i="143" s="1"/>
  <c r="D36" i="143" s="1"/>
  <c r="E22" i="143"/>
  <c r="E21" i="143"/>
  <c r="E20" i="143"/>
  <c r="E19" i="143"/>
  <c r="E18" i="143"/>
  <c r="D13" i="143"/>
  <c r="C35" i="143" s="1"/>
  <c r="C36" i="143" s="1"/>
  <c r="E12" i="143"/>
  <c r="E11" i="143"/>
  <c r="E10" i="143"/>
  <c r="E9" i="143"/>
  <c r="E13" i="143" l="1"/>
  <c r="D35" i="170"/>
  <c r="AM35" i="103"/>
  <c r="D42" i="170"/>
  <c r="AN42" i="170" s="1"/>
  <c r="AM42" i="103"/>
  <c r="D10" i="170"/>
  <c r="AM10" i="103"/>
  <c r="D50" i="170"/>
  <c r="AN50" i="170" s="1"/>
  <c r="AM50" i="103"/>
  <c r="D17" i="170"/>
  <c r="AM17" i="103"/>
  <c r="D31" i="170"/>
  <c r="AM31" i="103"/>
  <c r="E228" i="43"/>
  <c r="E38" i="144"/>
  <c r="C39" i="144"/>
  <c r="E39" i="144" s="1"/>
  <c r="E35" i="143"/>
  <c r="E36" i="143" s="1"/>
  <c r="E23" i="143"/>
  <c r="AS50" i="170" l="1"/>
  <c r="AO50" i="170"/>
  <c r="D51" i="170"/>
  <c r="D53" i="170" s="1"/>
  <c r="AN10" i="170"/>
  <c r="AS42" i="170"/>
  <c r="AO42" i="170"/>
  <c r="E40" i="144"/>
  <c r="C38" i="143"/>
  <c r="E38" i="143" s="1"/>
  <c r="C40" i="142"/>
  <c r="C222" i="43"/>
  <c r="D222" i="43"/>
  <c r="B222" i="43"/>
  <c r="E221" i="43"/>
  <c r="E220" i="43"/>
  <c r="D32" i="142"/>
  <c r="E32" i="142" s="1"/>
  <c r="E31" i="142"/>
  <c r="E30" i="142"/>
  <c r="E29" i="142"/>
  <c r="E28" i="142"/>
  <c r="D23" i="142"/>
  <c r="D35" i="142" s="1"/>
  <c r="D36" i="142" s="1"/>
  <c r="E22" i="142"/>
  <c r="E21" i="142"/>
  <c r="E20" i="142"/>
  <c r="E19" i="142"/>
  <c r="E18" i="142"/>
  <c r="D13" i="142"/>
  <c r="C35" i="142" s="1"/>
  <c r="C36" i="142" s="1"/>
  <c r="E12" i="142"/>
  <c r="E11" i="142"/>
  <c r="E10" i="142"/>
  <c r="E9" i="142"/>
  <c r="E222" i="43" l="1"/>
  <c r="E13" i="142"/>
  <c r="C49" i="170"/>
  <c r="AN49" i="170" s="1"/>
  <c r="AL49" i="103"/>
  <c r="AO10" i="170"/>
  <c r="AS10" i="170"/>
  <c r="C6" i="170"/>
  <c r="AL6" i="103"/>
  <c r="C17" i="170"/>
  <c r="AN17" i="170" s="1"/>
  <c r="AL17" i="103"/>
  <c r="C37" i="170"/>
  <c r="AL37" i="103"/>
  <c r="C29" i="170"/>
  <c r="AN29" i="170" s="1"/>
  <c r="AL29" i="103"/>
  <c r="C14" i="170"/>
  <c r="AN14" i="170" s="1"/>
  <c r="AL14" i="103"/>
  <c r="C15" i="170"/>
  <c r="AN15" i="170" s="1"/>
  <c r="AL15" i="103"/>
  <c r="C31" i="170"/>
  <c r="AN31" i="170" s="1"/>
  <c r="AL31" i="103"/>
  <c r="C39" i="143"/>
  <c r="E39" i="143" s="1"/>
  <c r="E40" i="143" s="1"/>
  <c r="E35" i="142"/>
  <c r="E36" i="142" s="1"/>
  <c r="E23" i="142"/>
  <c r="BW53" i="141"/>
  <c r="BV53" i="141"/>
  <c r="BU53" i="141"/>
  <c r="BT53" i="141"/>
  <c r="BS53" i="141"/>
  <c r="BR53" i="141"/>
  <c r="BQ53" i="141"/>
  <c r="BP53" i="141"/>
  <c r="BO53" i="141"/>
  <c r="BN53" i="141"/>
  <c r="BM53" i="141"/>
  <c r="BL53" i="141"/>
  <c r="BK53" i="141"/>
  <c r="BJ51" i="141"/>
  <c r="BJ53" i="141" s="1"/>
  <c r="BI51" i="141"/>
  <c r="BI53" i="141" s="1"/>
  <c r="BH51" i="141"/>
  <c r="BH53" i="141" s="1"/>
  <c r="BG51" i="141"/>
  <c r="BG53" i="141" s="1"/>
  <c r="BF51" i="141"/>
  <c r="BF53" i="141" s="1"/>
  <c r="BE51" i="141"/>
  <c r="BE53" i="141" s="1"/>
  <c r="BD51" i="141"/>
  <c r="BD53" i="141" s="1"/>
  <c r="BC51" i="141"/>
  <c r="BC53" i="141" s="1"/>
  <c r="BB51" i="141"/>
  <c r="BB53" i="141" s="1"/>
  <c r="BA51" i="141"/>
  <c r="BA53" i="141" s="1"/>
  <c r="AZ51" i="141"/>
  <c r="AZ53" i="141" s="1"/>
  <c r="AY51" i="141"/>
  <c r="AY53" i="141" s="1"/>
  <c r="AX51" i="141"/>
  <c r="AX53" i="141" s="1"/>
  <c r="AW51" i="141"/>
  <c r="AW53" i="141" s="1"/>
  <c r="AV51" i="141"/>
  <c r="AV53" i="141" s="1"/>
  <c r="AU51" i="141"/>
  <c r="AU53" i="141" s="1"/>
  <c r="AT51" i="141"/>
  <c r="AT53" i="141" s="1"/>
  <c r="AS51" i="141"/>
  <c r="AS53" i="141" s="1"/>
  <c r="AR51" i="141"/>
  <c r="AR53" i="141" s="1"/>
  <c r="AQ51" i="141"/>
  <c r="AQ53" i="141" s="1"/>
  <c r="AP51" i="141"/>
  <c r="AP53" i="141" s="1"/>
  <c r="AO51" i="141"/>
  <c r="AO53" i="141" s="1"/>
  <c r="AN51" i="141"/>
  <c r="AN53" i="141" s="1"/>
  <c r="AM51" i="141"/>
  <c r="AM53" i="141" s="1"/>
  <c r="AL51" i="141"/>
  <c r="AL53" i="141" s="1"/>
  <c r="AK51" i="141"/>
  <c r="AK53" i="141" s="1"/>
  <c r="AJ51" i="141"/>
  <c r="AJ53" i="141" s="1"/>
  <c r="AI51" i="141"/>
  <c r="AI53" i="141" s="1"/>
  <c r="AH51" i="141"/>
  <c r="AH53" i="141" s="1"/>
  <c r="AG51" i="141"/>
  <c r="AG53" i="141" s="1"/>
  <c r="AF51" i="141"/>
  <c r="AF53" i="141" s="1"/>
  <c r="BX48" i="141"/>
  <c r="BY48" i="141" s="1"/>
  <c r="BX45" i="141"/>
  <c r="BY45" i="141" s="1"/>
  <c r="BX43" i="141"/>
  <c r="BY43" i="141" s="1"/>
  <c r="BX41" i="141"/>
  <c r="BY41" i="141" s="1"/>
  <c r="BX40" i="141"/>
  <c r="BY40" i="141" s="1"/>
  <c r="BX32" i="141"/>
  <c r="BY32" i="141" s="1"/>
  <c r="BX28" i="141"/>
  <c r="BY28" i="141" s="1"/>
  <c r="BX27" i="141"/>
  <c r="BY27" i="141" s="1"/>
  <c r="BX22" i="141"/>
  <c r="BY22" i="141" s="1"/>
  <c r="BX20" i="141"/>
  <c r="BY20" i="141" s="1"/>
  <c r="BX18" i="141"/>
  <c r="BY18" i="141" s="1"/>
  <c r="AO31" i="170" l="1"/>
  <c r="AS31" i="170"/>
  <c r="AS15" i="170"/>
  <c r="AO15" i="170"/>
  <c r="AS14" i="170"/>
  <c r="AO14" i="170"/>
  <c r="AO29" i="170"/>
  <c r="AS29" i="170"/>
  <c r="AO17" i="170"/>
  <c r="AS17" i="170"/>
  <c r="C51" i="170"/>
  <c r="AN6" i="170"/>
  <c r="AO49" i="170"/>
  <c r="AS49" i="170"/>
  <c r="C38" i="142"/>
  <c r="E38" i="142" s="1"/>
  <c r="C52" i="170" l="1"/>
  <c r="C53" i="170" s="1"/>
  <c r="AL52" i="103"/>
  <c r="AO6" i="170"/>
  <c r="AS6" i="170"/>
  <c r="C39" i="142"/>
  <c r="E39" i="142" s="1"/>
  <c r="E40" i="142" s="1"/>
  <c r="C39" i="140" l="1"/>
  <c r="C39" i="139"/>
  <c r="C40" i="138"/>
  <c r="D31" i="140" l="1"/>
  <c r="E31" i="140" s="1"/>
  <c r="E30" i="140"/>
  <c r="E29" i="140"/>
  <c r="E28" i="140"/>
  <c r="D23" i="140"/>
  <c r="D34" i="140" s="1"/>
  <c r="D35" i="140" s="1"/>
  <c r="E22" i="140"/>
  <c r="E21" i="140"/>
  <c r="E20" i="140"/>
  <c r="E19" i="140"/>
  <c r="E18" i="140"/>
  <c r="D13" i="140"/>
  <c r="E13" i="140" s="1"/>
  <c r="E12" i="140"/>
  <c r="E11" i="140"/>
  <c r="E10" i="140"/>
  <c r="E9" i="140"/>
  <c r="D31" i="139"/>
  <c r="E31" i="139" s="1"/>
  <c r="E30" i="139"/>
  <c r="E29" i="139"/>
  <c r="E28" i="139"/>
  <c r="D23" i="139"/>
  <c r="D34" i="139" s="1"/>
  <c r="D35" i="139" s="1"/>
  <c r="E22" i="139"/>
  <c r="E21" i="139"/>
  <c r="E20" i="139"/>
  <c r="E19" i="139"/>
  <c r="E18" i="139"/>
  <c r="D13" i="139"/>
  <c r="E13" i="139" s="1"/>
  <c r="E12" i="139"/>
  <c r="E11" i="139"/>
  <c r="E10" i="139"/>
  <c r="E9" i="139"/>
  <c r="D32" i="138"/>
  <c r="E35" i="138" s="1"/>
  <c r="E36" i="138" s="1"/>
  <c r="E31" i="138"/>
  <c r="E30" i="138"/>
  <c r="E29" i="138"/>
  <c r="E28" i="138"/>
  <c r="D23" i="138"/>
  <c r="D35" i="138" s="1"/>
  <c r="D36" i="138" s="1"/>
  <c r="E22" i="138"/>
  <c r="E21" i="138"/>
  <c r="E20" i="138"/>
  <c r="E19" i="138"/>
  <c r="E18" i="138"/>
  <c r="D13" i="138"/>
  <c r="C35" i="138" s="1"/>
  <c r="E12" i="138"/>
  <c r="E11" i="138"/>
  <c r="E10" i="138"/>
  <c r="E9" i="138"/>
  <c r="AI19" i="103" l="1"/>
  <c r="AD19" i="141"/>
  <c r="AD37" i="141"/>
  <c r="AI37" i="103"/>
  <c r="AD6" i="141"/>
  <c r="AI6" i="103"/>
  <c r="AE49" i="141"/>
  <c r="AJ49" i="103"/>
  <c r="B37" i="170"/>
  <c r="AN37" i="170" s="1"/>
  <c r="AK37" i="103"/>
  <c r="B33" i="170"/>
  <c r="AN33" i="170" s="1"/>
  <c r="AK33" i="103"/>
  <c r="B13" i="170"/>
  <c r="AN13" i="170" s="1"/>
  <c r="AK13" i="103"/>
  <c r="AD30" i="141"/>
  <c r="AI30" i="103"/>
  <c r="AD26" i="141"/>
  <c r="AI26" i="103"/>
  <c r="AD34" i="141"/>
  <c r="AI34" i="103"/>
  <c r="AD13" i="141"/>
  <c r="AI13" i="103"/>
  <c r="AE3" i="141"/>
  <c r="AJ3" i="103"/>
  <c r="AJ33" i="103"/>
  <c r="AE33" i="141"/>
  <c r="AE6" i="141"/>
  <c r="AJ6" i="103"/>
  <c r="AE46" i="141"/>
  <c r="AJ46" i="103"/>
  <c r="B35" i="170"/>
  <c r="AN35" i="170" s="1"/>
  <c r="AK35" i="103"/>
  <c r="B4" i="170"/>
  <c r="AK4" i="103"/>
  <c r="B34" i="170"/>
  <c r="AN34" i="170" s="1"/>
  <c r="AK34" i="103"/>
  <c r="E23" i="140"/>
  <c r="E23" i="139"/>
  <c r="E23" i="138"/>
  <c r="C34" i="140"/>
  <c r="E34" i="140"/>
  <c r="E35" i="140" s="1"/>
  <c r="E32" i="138"/>
  <c r="C34" i="139"/>
  <c r="E34" i="139"/>
  <c r="E35" i="139" s="1"/>
  <c r="C38" i="138"/>
  <c r="C36" i="138"/>
  <c r="E13" i="138"/>
  <c r="AS34" i="170" l="1"/>
  <c r="AO34" i="170"/>
  <c r="B51" i="170"/>
  <c r="B53" i="170" s="1"/>
  <c r="AN4" i="170"/>
  <c r="AS35" i="170"/>
  <c r="AO35" i="170"/>
  <c r="AE51" i="141"/>
  <c r="AO13" i="170"/>
  <c r="AS13" i="170"/>
  <c r="AO33" i="170"/>
  <c r="AS33" i="170"/>
  <c r="AS37" i="170"/>
  <c r="AO37" i="170"/>
  <c r="AD51" i="141"/>
  <c r="C35" i="140"/>
  <c r="C37" i="140"/>
  <c r="C35" i="139"/>
  <c r="C37" i="139"/>
  <c r="C39" i="138"/>
  <c r="E39" i="138" s="1"/>
  <c r="E38" i="138"/>
  <c r="C40" i="137"/>
  <c r="D32" i="137"/>
  <c r="E32" i="137" s="1"/>
  <c r="E31" i="137"/>
  <c r="E30" i="137"/>
  <c r="E29" i="137"/>
  <c r="E28" i="137"/>
  <c r="D23" i="137"/>
  <c r="D35" i="137" s="1"/>
  <c r="D36" i="137" s="1"/>
  <c r="E22" i="137"/>
  <c r="E21" i="137"/>
  <c r="E20" i="137"/>
  <c r="E19" i="137"/>
  <c r="E18" i="137"/>
  <c r="D13" i="137"/>
  <c r="C35" i="137" s="1"/>
  <c r="C36" i="137" s="1"/>
  <c r="E12" i="137"/>
  <c r="E11" i="137"/>
  <c r="E10" i="137"/>
  <c r="E9" i="137"/>
  <c r="E13" i="137" l="1"/>
  <c r="AC3" i="141"/>
  <c r="AH3" i="103"/>
  <c r="AI52" i="103"/>
  <c r="AD52" i="141"/>
  <c r="AD53" i="141" s="1"/>
  <c r="AS4" i="170"/>
  <c r="AS51" i="170" s="1"/>
  <c r="AO4" i="170"/>
  <c r="AO51" i="170" s="1"/>
  <c r="AN51" i="170"/>
  <c r="J5" i="77" s="1"/>
  <c r="AC33" i="141"/>
  <c r="AH33" i="103"/>
  <c r="AC24" i="141"/>
  <c r="AH24" i="103"/>
  <c r="AC38" i="141"/>
  <c r="AH38" i="103"/>
  <c r="AC39" i="141"/>
  <c r="AH39" i="103"/>
  <c r="AC9" i="141"/>
  <c r="AH9" i="103"/>
  <c r="AC31" i="141"/>
  <c r="AH31" i="103"/>
  <c r="E40" i="138"/>
  <c r="E37" i="140"/>
  <c r="C38" i="140"/>
  <c r="E38" i="140" s="1"/>
  <c r="E37" i="139"/>
  <c r="C38" i="139"/>
  <c r="E38" i="139" s="1"/>
  <c r="E35" i="137"/>
  <c r="E36" i="137" s="1"/>
  <c r="E23" i="137"/>
  <c r="C40" i="136"/>
  <c r="D32" i="136"/>
  <c r="E32" i="136" s="1"/>
  <c r="E31" i="136"/>
  <c r="E30" i="136"/>
  <c r="E29" i="136"/>
  <c r="E28" i="136"/>
  <c r="D23" i="136"/>
  <c r="D35" i="136" s="1"/>
  <c r="D36" i="136" s="1"/>
  <c r="E22" i="136"/>
  <c r="E21" i="136"/>
  <c r="E20" i="136"/>
  <c r="E19" i="136"/>
  <c r="E18" i="136"/>
  <c r="D13" i="136"/>
  <c r="C35" i="136" s="1"/>
  <c r="C36" i="136" s="1"/>
  <c r="E12" i="136"/>
  <c r="E11" i="136"/>
  <c r="E10" i="136"/>
  <c r="E9" i="136"/>
  <c r="E13" i="136" l="1"/>
  <c r="M5" i="77"/>
  <c r="J10" i="148"/>
  <c r="B5" i="77"/>
  <c r="AB33" i="141"/>
  <c r="AG33" i="103"/>
  <c r="AB44" i="141"/>
  <c r="AG44" i="103"/>
  <c r="AB24" i="141"/>
  <c r="AG24" i="103"/>
  <c r="AB14" i="141"/>
  <c r="AG14" i="103"/>
  <c r="AB23" i="141"/>
  <c r="AG23" i="103"/>
  <c r="AB35" i="141"/>
  <c r="AG35" i="103"/>
  <c r="AB31" i="141"/>
  <c r="AG31" i="103"/>
  <c r="AE52" i="141"/>
  <c r="AE53" i="141" s="1"/>
  <c r="AJ52" i="103"/>
  <c r="E39" i="140"/>
  <c r="AC51" i="141"/>
  <c r="AC53" i="141" s="1"/>
  <c r="E39" i="139"/>
  <c r="C38" i="137"/>
  <c r="E38" i="137" s="1"/>
  <c r="E35" i="136"/>
  <c r="E36" i="136" s="1"/>
  <c r="E23" i="136"/>
  <c r="C40" i="135"/>
  <c r="AB51" i="141" l="1"/>
  <c r="AB53" i="141" s="1"/>
  <c r="M10" i="148"/>
  <c r="J12" i="148"/>
  <c r="F5" i="77"/>
  <c r="B23" i="77"/>
  <c r="B10" i="148"/>
  <c r="C39" i="137"/>
  <c r="E39" i="137" s="1"/>
  <c r="E40" i="137" s="1"/>
  <c r="C38" i="136"/>
  <c r="E38" i="136" s="1"/>
  <c r="D32" i="135"/>
  <c r="E32" i="135" s="1"/>
  <c r="E31" i="135"/>
  <c r="E30" i="135"/>
  <c r="E29" i="135"/>
  <c r="E28" i="135"/>
  <c r="D23" i="135"/>
  <c r="D35" i="135" s="1"/>
  <c r="D36" i="135" s="1"/>
  <c r="E22" i="135"/>
  <c r="E21" i="135"/>
  <c r="E20" i="135"/>
  <c r="E19" i="135"/>
  <c r="E18" i="135"/>
  <c r="D13" i="135"/>
  <c r="C35" i="135" s="1"/>
  <c r="C36" i="135" s="1"/>
  <c r="E12" i="135"/>
  <c r="E11" i="135"/>
  <c r="E10" i="135"/>
  <c r="E9" i="135"/>
  <c r="AA7" i="141" l="1"/>
  <c r="AF7" i="103"/>
  <c r="AA42" i="141"/>
  <c r="AF42" i="103"/>
  <c r="AA34" i="141"/>
  <c r="AF34" i="103"/>
  <c r="AA13" i="141"/>
  <c r="AF13" i="103"/>
  <c r="F10" i="148"/>
  <c r="O10" i="148" s="1"/>
  <c r="O12" i="148" s="1"/>
  <c r="B12" i="148"/>
  <c r="M12" i="148"/>
  <c r="E13" i="135"/>
  <c r="AA36" i="141"/>
  <c r="AF36" i="103"/>
  <c r="AA8" i="141"/>
  <c r="AF8" i="103"/>
  <c r="AA15" i="141"/>
  <c r="AF15" i="103"/>
  <c r="C39" i="136"/>
  <c r="E39" i="136" s="1"/>
  <c r="E40" i="136" s="1"/>
  <c r="E35" i="135"/>
  <c r="E36" i="135" s="1"/>
  <c r="E23" i="135"/>
  <c r="C40" i="134"/>
  <c r="D32" i="134"/>
  <c r="E32" i="134" s="1"/>
  <c r="D23" i="134"/>
  <c r="D35" i="134" s="1"/>
  <c r="D36" i="134" s="1"/>
  <c r="E31" i="134"/>
  <c r="E30" i="134"/>
  <c r="E29" i="134"/>
  <c r="E28" i="134"/>
  <c r="E22" i="134"/>
  <c r="E21" i="134"/>
  <c r="E20" i="134"/>
  <c r="E19" i="134"/>
  <c r="E18" i="134"/>
  <c r="D13" i="134"/>
  <c r="C35" i="134" s="1"/>
  <c r="C36" i="134" s="1"/>
  <c r="E12" i="134"/>
  <c r="E11" i="134"/>
  <c r="E10" i="134"/>
  <c r="E9" i="134"/>
  <c r="E13" i="134" l="1"/>
  <c r="Z17" i="141"/>
  <c r="AE17" i="103"/>
  <c r="Z16" i="141"/>
  <c r="AE16" i="103"/>
  <c r="Z50" i="141"/>
  <c r="AE50" i="103"/>
  <c r="Z47" i="141"/>
  <c r="AE47" i="103"/>
  <c r="Z5" i="141"/>
  <c r="AE5" i="103"/>
  <c r="Z37" i="141"/>
  <c r="AE37" i="103"/>
  <c r="Z46" i="141"/>
  <c r="AE46" i="103"/>
  <c r="H10" i="148"/>
  <c r="H12" i="148" s="1"/>
  <c r="F12" i="148"/>
  <c r="F14" i="148" s="1"/>
  <c r="F16" i="148" s="1"/>
  <c r="AA51" i="141"/>
  <c r="AA53" i="141" s="1"/>
  <c r="C38" i="135"/>
  <c r="E38" i="135" s="1"/>
  <c r="E35" i="134"/>
  <c r="E36" i="134" s="1"/>
  <c r="E23" i="134"/>
  <c r="Z51" i="141" l="1"/>
  <c r="Z53" i="141" s="1"/>
  <c r="C39" i="135"/>
  <c r="E39" i="135" s="1"/>
  <c r="E40" i="135" s="1"/>
  <c r="C38" i="134"/>
  <c r="E38" i="134" s="1"/>
  <c r="C39" i="133"/>
  <c r="C39" i="132"/>
  <c r="C40" i="131"/>
  <c r="C40" i="130"/>
  <c r="D31" i="133"/>
  <c r="E31" i="133" s="1"/>
  <c r="E30" i="133"/>
  <c r="E29" i="133"/>
  <c r="E28" i="133"/>
  <c r="D23" i="133"/>
  <c r="D34" i="133" s="1"/>
  <c r="D35" i="133" s="1"/>
  <c r="E22" i="133"/>
  <c r="E21" i="133"/>
  <c r="E20" i="133"/>
  <c r="E19" i="133"/>
  <c r="E18" i="133"/>
  <c r="D13" i="133"/>
  <c r="E13" i="133" s="1"/>
  <c r="E12" i="133"/>
  <c r="E11" i="133"/>
  <c r="E10" i="133"/>
  <c r="E9" i="133"/>
  <c r="D31" i="132"/>
  <c r="E31" i="132" s="1"/>
  <c r="E30" i="132"/>
  <c r="E29" i="132"/>
  <c r="E28" i="132"/>
  <c r="D23" i="132"/>
  <c r="D34" i="132" s="1"/>
  <c r="D35" i="132" s="1"/>
  <c r="E22" i="132"/>
  <c r="E21" i="132"/>
  <c r="E20" i="132"/>
  <c r="E19" i="132"/>
  <c r="E18" i="132"/>
  <c r="D13" i="132"/>
  <c r="E13" i="132" s="1"/>
  <c r="E12" i="132"/>
  <c r="E11" i="132"/>
  <c r="E10" i="132"/>
  <c r="E9" i="132"/>
  <c r="D32" i="131"/>
  <c r="E32" i="131" s="1"/>
  <c r="E31" i="131"/>
  <c r="E30" i="131"/>
  <c r="E29" i="131"/>
  <c r="E28" i="131"/>
  <c r="D23" i="131"/>
  <c r="D35" i="131" s="1"/>
  <c r="D36" i="131" s="1"/>
  <c r="E22" i="131"/>
  <c r="E21" i="131"/>
  <c r="E20" i="131"/>
  <c r="E19" i="131"/>
  <c r="E18" i="131"/>
  <c r="D13" i="131"/>
  <c r="C35" i="131" s="1"/>
  <c r="C36" i="131" s="1"/>
  <c r="E12" i="131"/>
  <c r="E11" i="131"/>
  <c r="E10" i="131"/>
  <c r="E9" i="131"/>
  <c r="D32" i="130"/>
  <c r="E32" i="130" s="1"/>
  <c r="E31" i="130"/>
  <c r="E30" i="130"/>
  <c r="E29" i="130"/>
  <c r="E28" i="130"/>
  <c r="D23" i="130"/>
  <c r="D35" i="130" s="1"/>
  <c r="D36" i="130" s="1"/>
  <c r="E22" i="130"/>
  <c r="E21" i="130"/>
  <c r="E20" i="130"/>
  <c r="E19" i="130"/>
  <c r="E18" i="130"/>
  <c r="D13" i="130"/>
  <c r="C35" i="130" s="1"/>
  <c r="C36" i="130" s="1"/>
  <c r="E12" i="130"/>
  <c r="E11" i="130"/>
  <c r="E10" i="130"/>
  <c r="E9" i="130"/>
  <c r="E13" i="131" l="1"/>
  <c r="E13" i="130"/>
  <c r="W47" i="141"/>
  <c r="AB47" i="103"/>
  <c r="W5" i="141"/>
  <c r="AB5" i="103"/>
  <c r="W19" i="141"/>
  <c r="AB19" i="103"/>
  <c r="X33" i="141"/>
  <c r="AC33" i="103"/>
  <c r="X9" i="141"/>
  <c r="AC9" i="103"/>
  <c r="X13" i="141"/>
  <c r="AC13" i="103"/>
  <c r="X6" i="141"/>
  <c r="AC6" i="103"/>
  <c r="Y30" i="141"/>
  <c r="AD30" i="103"/>
  <c r="Y29" i="141"/>
  <c r="AD29" i="103"/>
  <c r="V3" i="141"/>
  <c r="AA3" i="103"/>
  <c r="V42" i="141"/>
  <c r="AA42" i="103"/>
  <c r="V47" i="141"/>
  <c r="AA47" i="103"/>
  <c r="V49" i="141"/>
  <c r="AA49" i="103"/>
  <c r="V14" i="141"/>
  <c r="AA14" i="103"/>
  <c r="V44" i="141"/>
  <c r="AA44" i="103"/>
  <c r="V31" i="141"/>
  <c r="AA31" i="103"/>
  <c r="W11" i="141"/>
  <c r="AB11" i="103"/>
  <c r="W26" i="141"/>
  <c r="BX26" i="141" s="1"/>
  <c r="BY26" i="141" s="1"/>
  <c r="AB26" i="103"/>
  <c r="W16" i="141"/>
  <c r="AB16" i="103"/>
  <c r="W31" i="141"/>
  <c r="AB31" i="103"/>
  <c r="X39" i="141"/>
  <c r="AC39" i="103"/>
  <c r="X29" i="141"/>
  <c r="AC29" i="103"/>
  <c r="X34" i="141"/>
  <c r="AC34" i="103"/>
  <c r="Y42" i="141"/>
  <c r="AD42" i="103"/>
  <c r="Y33" i="141"/>
  <c r="AD33" i="103"/>
  <c r="Y4" i="141"/>
  <c r="AD4" i="103"/>
  <c r="Y13" i="141"/>
  <c r="AD13" i="103"/>
  <c r="C39" i="134"/>
  <c r="E39" i="134" s="1"/>
  <c r="E40" i="134" s="1"/>
  <c r="E23" i="133"/>
  <c r="E23" i="132"/>
  <c r="C34" i="133"/>
  <c r="E34" i="133"/>
  <c r="E35" i="133" s="1"/>
  <c r="C34" i="132"/>
  <c r="E34" i="132"/>
  <c r="E35" i="132" s="1"/>
  <c r="E35" i="131"/>
  <c r="E36" i="131" s="1"/>
  <c r="E23" i="131"/>
  <c r="E35" i="130"/>
  <c r="E36" i="130" s="1"/>
  <c r="E23" i="130"/>
  <c r="BP53" i="103"/>
  <c r="BQ53" i="103"/>
  <c r="BR53" i="103"/>
  <c r="BS53" i="103"/>
  <c r="BT53" i="103"/>
  <c r="BU53" i="103"/>
  <c r="BV53" i="103"/>
  <c r="BW53" i="103"/>
  <c r="BX53" i="103"/>
  <c r="BY53" i="103"/>
  <c r="BZ53" i="103"/>
  <c r="C38" i="131" l="1"/>
  <c r="C39" i="131" s="1"/>
  <c r="E39" i="131" s="1"/>
  <c r="Y51" i="141"/>
  <c r="Y53" i="141" s="1"/>
  <c r="V51" i="141"/>
  <c r="X51" i="141"/>
  <c r="X53" i="141" s="1"/>
  <c r="W51" i="141"/>
  <c r="W53" i="141" s="1"/>
  <c r="BX5" i="141"/>
  <c r="BY5" i="141" s="1"/>
  <c r="C35" i="133"/>
  <c r="C37" i="133"/>
  <c r="C35" i="132"/>
  <c r="C37" i="132"/>
  <c r="E38" i="131"/>
  <c r="C38" i="130"/>
  <c r="E38" i="130" s="1"/>
  <c r="V52" i="141" l="1"/>
  <c r="V53" i="141" s="1"/>
  <c r="AA52" i="103"/>
  <c r="E40" i="131"/>
  <c r="C39" i="130"/>
  <c r="E39" i="130" s="1"/>
  <c r="E40" i="130" s="1"/>
  <c r="E37" i="133"/>
  <c r="C38" i="133"/>
  <c r="E38" i="133" s="1"/>
  <c r="E37" i="132"/>
  <c r="C38" i="132"/>
  <c r="E38" i="132" s="1"/>
  <c r="C40" i="129"/>
  <c r="C40" i="128"/>
  <c r="C40" i="127"/>
  <c r="D32" i="127"/>
  <c r="D23" i="127"/>
  <c r="D32" i="129"/>
  <c r="E32" i="129" s="1"/>
  <c r="E31" i="129"/>
  <c r="E30" i="129"/>
  <c r="E29" i="129"/>
  <c r="E28" i="129"/>
  <c r="D23" i="129"/>
  <c r="D35" i="129" s="1"/>
  <c r="D36" i="129" s="1"/>
  <c r="E22" i="129"/>
  <c r="E21" i="129"/>
  <c r="E20" i="129"/>
  <c r="E19" i="129"/>
  <c r="E18" i="129"/>
  <c r="D13" i="129"/>
  <c r="C35" i="129" s="1"/>
  <c r="C36" i="129" s="1"/>
  <c r="E12" i="129"/>
  <c r="E11" i="129"/>
  <c r="E10" i="129"/>
  <c r="E9" i="129"/>
  <c r="D32" i="128"/>
  <c r="E32" i="128" s="1"/>
  <c r="E31" i="128"/>
  <c r="E30" i="128"/>
  <c r="E29" i="128"/>
  <c r="E28" i="128"/>
  <c r="D23" i="128"/>
  <c r="D35" i="128" s="1"/>
  <c r="D36" i="128" s="1"/>
  <c r="E22" i="128"/>
  <c r="E21" i="128"/>
  <c r="E20" i="128"/>
  <c r="E19" i="128"/>
  <c r="E18" i="128"/>
  <c r="D13" i="128"/>
  <c r="C35" i="128" s="1"/>
  <c r="C36" i="128" s="1"/>
  <c r="E12" i="128"/>
  <c r="E11" i="128"/>
  <c r="E10" i="128"/>
  <c r="E9" i="128"/>
  <c r="E32" i="127"/>
  <c r="E31" i="127"/>
  <c r="E30" i="127"/>
  <c r="E29" i="127"/>
  <c r="E28" i="127"/>
  <c r="D35" i="127"/>
  <c r="D36" i="127" s="1"/>
  <c r="E22" i="127"/>
  <c r="E21" i="127"/>
  <c r="E20" i="127"/>
  <c r="E19" i="127"/>
  <c r="E18" i="127"/>
  <c r="D13" i="127"/>
  <c r="C35" i="127" s="1"/>
  <c r="C36" i="127" s="1"/>
  <c r="E12" i="127"/>
  <c r="E11" i="127"/>
  <c r="E10" i="127"/>
  <c r="E9" i="127"/>
  <c r="S35" i="141" l="1"/>
  <c r="X35" i="103"/>
  <c r="S50" i="141"/>
  <c r="BX50" i="141" s="1"/>
  <c r="BY50" i="141" s="1"/>
  <c r="X50" i="103"/>
  <c r="S13" i="141"/>
  <c r="X13" i="103"/>
  <c r="T12" i="141"/>
  <c r="Y12" i="103"/>
  <c r="T14" i="141"/>
  <c r="Y14" i="103"/>
  <c r="T35" i="141"/>
  <c r="Y35" i="103"/>
  <c r="U17" i="141"/>
  <c r="Z17" i="103"/>
  <c r="U7" i="141"/>
  <c r="Z7" i="103"/>
  <c r="U24" i="141"/>
  <c r="Z24" i="103"/>
  <c r="E13" i="127"/>
  <c r="S6" i="141"/>
  <c r="X6" i="103"/>
  <c r="S8" i="141"/>
  <c r="X8" i="103"/>
  <c r="E13" i="128"/>
  <c r="T36" i="141"/>
  <c r="Y36" i="103"/>
  <c r="T30" i="141"/>
  <c r="Y30" i="103"/>
  <c r="T39" i="141"/>
  <c r="Y39" i="103"/>
  <c r="E13" i="129"/>
  <c r="U23" i="141"/>
  <c r="Z23" i="103"/>
  <c r="U21" i="141"/>
  <c r="Z21" i="103"/>
  <c r="U46" i="141"/>
  <c r="Z46" i="103"/>
  <c r="E39" i="133"/>
  <c r="E39" i="132"/>
  <c r="E35" i="129"/>
  <c r="E36" i="129" s="1"/>
  <c r="E23" i="129"/>
  <c r="E35" i="128"/>
  <c r="E36" i="128" s="1"/>
  <c r="E23" i="128"/>
  <c r="E35" i="127"/>
  <c r="E36" i="127" s="1"/>
  <c r="E23" i="127"/>
  <c r="S51" i="141" l="1"/>
  <c r="U51" i="141"/>
  <c r="T51" i="141"/>
  <c r="C38" i="129"/>
  <c r="C38" i="128"/>
  <c r="E38" i="128" s="1"/>
  <c r="C38" i="127"/>
  <c r="E38" i="127" s="1"/>
  <c r="C39" i="126"/>
  <c r="C39" i="125"/>
  <c r="C40" i="124"/>
  <c r="D13" i="125"/>
  <c r="E13" i="125" s="1"/>
  <c r="D23" i="124"/>
  <c r="D32" i="124"/>
  <c r="D31" i="126"/>
  <c r="E31" i="126" s="1"/>
  <c r="E30" i="126"/>
  <c r="E29" i="126"/>
  <c r="E28" i="126"/>
  <c r="D23" i="126"/>
  <c r="D34" i="126" s="1"/>
  <c r="D35" i="126" s="1"/>
  <c r="E22" i="126"/>
  <c r="E21" i="126"/>
  <c r="E20" i="126"/>
  <c r="E19" i="126"/>
  <c r="E18" i="126"/>
  <c r="D13" i="126"/>
  <c r="E13" i="126" s="1"/>
  <c r="E12" i="126"/>
  <c r="E11" i="126"/>
  <c r="E10" i="126"/>
  <c r="E9" i="126"/>
  <c r="D31" i="125"/>
  <c r="E31" i="125" s="1"/>
  <c r="E30" i="125"/>
  <c r="E29" i="125"/>
  <c r="E28" i="125"/>
  <c r="D23" i="125"/>
  <c r="D34" i="125" s="1"/>
  <c r="D35" i="125" s="1"/>
  <c r="E22" i="125"/>
  <c r="E21" i="125"/>
  <c r="E20" i="125"/>
  <c r="E19" i="125"/>
  <c r="E18" i="125"/>
  <c r="E12" i="125"/>
  <c r="E11" i="125"/>
  <c r="E10" i="125"/>
  <c r="E9" i="125"/>
  <c r="E32" i="124"/>
  <c r="E31" i="124"/>
  <c r="E30" i="124"/>
  <c r="E29" i="124"/>
  <c r="E28" i="124"/>
  <c r="D35" i="124"/>
  <c r="D36" i="124" s="1"/>
  <c r="E22" i="124"/>
  <c r="E21" i="124"/>
  <c r="E20" i="124"/>
  <c r="E19" i="124"/>
  <c r="E18" i="124"/>
  <c r="D13" i="124"/>
  <c r="C35" i="124" s="1"/>
  <c r="C36" i="124" s="1"/>
  <c r="E12" i="124"/>
  <c r="E11" i="124"/>
  <c r="E10" i="124"/>
  <c r="E9" i="124"/>
  <c r="E13" i="124" l="1"/>
  <c r="Q39" i="141"/>
  <c r="V39" i="103"/>
  <c r="R34" i="141"/>
  <c r="W34" i="103"/>
  <c r="R33" i="141"/>
  <c r="W33" i="103"/>
  <c r="R42" i="141"/>
  <c r="W42" i="103"/>
  <c r="R37" i="141"/>
  <c r="W37" i="103"/>
  <c r="S52" i="141"/>
  <c r="S53" i="141" s="1"/>
  <c r="X52" i="103"/>
  <c r="P42" i="141"/>
  <c r="U42" i="103"/>
  <c r="P49" i="141"/>
  <c r="U49" i="103"/>
  <c r="Q34" i="141"/>
  <c r="V34" i="103"/>
  <c r="P21" i="141"/>
  <c r="U21" i="103"/>
  <c r="P8" i="141"/>
  <c r="U8" i="103"/>
  <c r="P16" i="141"/>
  <c r="U16" i="103"/>
  <c r="P13" i="141"/>
  <c r="U13" i="103"/>
  <c r="Q33" i="141"/>
  <c r="V33" i="103"/>
  <c r="Q3" i="141"/>
  <c r="V3" i="103"/>
  <c r="Q31" i="141"/>
  <c r="V31" i="103"/>
  <c r="Q16" i="141"/>
  <c r="V16" i="103"/>
  <c r="R15" i="141"/>
  <c r="W15" i="103"/>
  <c r="R16" i="141"/>
  <c r="W16" i="103"/>
  <c r="R13" i="141"/>
  <c r="W13" i="103"/>
  <c r="T52" i="141"/>
  <c r="Y52" i="103"/>
  <c r="T53" i="141"/>
  <c r="C39" i="128"/>
  <c r="E39" i="128" s="1"/>
  <c r="E40" i="128" s="1"/>
  <c r="E38" i="129"/>
  <c r="C39" i="129"/>
  <c r="E39" i="129" s="1"/>
  <c r="C39" i="127"/>
  <c r="E39" i="127" s="1"/>
  <c r="E40" i="127" s="1"/>
  <c r="E23" i="126"/>
  <c r="E23" i="125"/>
  <c r="C34" i="126"/>
  <c r="E34" i="126"/>
  <c r="E35" i="126" s="1"/>
  <c r="C34" i="125"/>
  <c r="E34" i="125"/>
  <c r="E35" i="125" s="1"/>
  <c r="E35" i="124"/>
  <c r="E36" i="124" s="1"/>
  <c r="E23" i="124"/>
  <c r="R51" i="141" l="1"/>
  <c r="R53" i="141" s="1"/>
  <c r="Q51" i="141"/>
  <c r="P51" i="141"/>
  <c r="U52" i="141"/>
  <c r="U53" i="141" s="1"/>
  <c r="Z52" i="103"/>
  <c r="E40" i="129"/>
  <c r="C35" i="126"/>
  <c r="C37" i="126"/>
  <c r="C35" i="125"/>
  <c r="C37" i="125"/>
  <c r="C38" i="124"/>
  <c r="E38" i="124" s="1"/>
  <c r="C40" i="123"/>
  <c r="D32" i="123"/>
  <c r="E32" i="123" s="1"/>
  <c r="E31" i="123"/>
  <c r="E30" i="123"/>
  <c r="E29" i="123"/>
  <c r="E28" i="123"/>
  <c r="D23" i="123"/>
  <c r="D35" i="123" s="1"/>
  <c r="D36" i="123" s="1"/>
  <c r="E22" i="123"/>
  <c r="E21" i="123"/>
  <c r="E20" i="123"/>
  <c r="E19" i="123"/>
  <c r="E18" i="123"/>
  <c r="D13" i="123"/>
  <c r="C35" i="123" s="1"/>
  <c r="C36" i="123" s="1"/>
  <c r="E12" i="123"/>
  <c r="E11" i="123"/>
  <c r="E10" i="123"/>
  <c r="E9" i="123"/>
  <c r="O3" i="141" l="1"/>
  <c r="T3" i="103"/>
  <c r="O8" i="141"/>
  <c r="T8" i="103"/>
  <c r="E13" i="123"/>
  <c r="O35" i="141"/>
  <c r="T35" i="103"/>
  <c r="O21" i="141"/>
  <c r="T21" i="103"/>
  <c r="O31" i="141"/>
  <c r="T31" i="103"/>
  <c r="P52" i="141"/>
  <c r="P53" i="141" s="1"/>
  <c r="U52" i="103"/>
  <c r="C39" i="124"/>
  <c r="E39" i="124" s="1"/>
  <c r="E40" i="124" s="1"/>
  <c r="E37" i="126"/>
  <c r="C38" i="126"/>
  <c r="E38" i="126" s="1"/>
  <c r="E37" i="125"/>
  <c r="C38" i="125"/>
  <c r="E38" i="125" s="1"/>
  <c r="E35" i="123"/>
  <c r="E36" i="123" s="1"/>
  <c r="E23" i="123"/>
  <c r="O51" i="141" l="1"/>
  <c r="O53" i="141" s="1"/>
  <c r="Q52" i="141"/>
  <c r="Q53" i="141" s="1"/>
  <c r="V52" i="103"/>
  <c r="E39" i="125"/>
  <c r="E39" i="126"/>
  <c r="C38" i="123"/>
  <c r="D32" i="122"/>
  <c r="E35" i="122" s="1"/>
  <c r="E36" i="122" s="1"/>
  <c r="D23" i="122"/>
  <c r="D35" i="122" s="1"/>
  <c r="D36" i="122" s="1"/>
  <c r="E38" i="123" l="1"/>
  <c r="C39" i="123"/>
  <c r="E39" i="123" s="1"/>
  <c r="C40" i="122"/>
  <c r="E32" i="122"/>
  <c r="E31" i="122"/>
  <c r="E30" i="122"/>
  <c r="E29" i="122"/>
  <c r="E28" i="122"/>
  <c r="E22" i="122"/>
  <c r="E21" i="122"/>
  <c r="E20" i="122"/>
  <c r="E19" i="122"/>
  <c r="E18" i="122"/>
  <c r="D13" i="122"/>
  <c r="C35" i="122" s="1"/>
  <c r="E12" i="122"/>
  <c r="E11" i="122"/>
  <c r="E10" i="122"/>
  <c r="E9" i="122"/>
  <c r="N30" i="141" l="1"/>
  <c r="S30" i="103"/>
  <c r="N23" i="141"/>
  <c r="S23" i="103"/>
  <c r="N46" i="141"/>
  <c r="S46" i="103"/>
  <c r="N19" i="141"/>
  <c r="S19" i="103"/>
  <c r="N49" i="141"/>
  <c r="S49" i="103"/>
  <c r="N39" i="141"/>
  <c r="S39" i="103"/>
  <c r="N7" i="141"/>
  <c r="N51" i="141" s="1"/>
  <c r="S7" i="103"/>
  <c r="E40" i="123"/>
  <c r="C36" i="122"/>
  <c r="E13" i="122"/>
  <c r="E23" i="122"/>
  <c r="C38" i="122" l="1"/>
  <c r="C40" i="121"/>
  <c r="C39" i="120"/>
  <c r="D32" i="121"/>
  <c r="E35" i="121" s="1"/>
  <c r="E36" i="121" s="1"/>
  <c r="D23" i="121"/>
  <c r="D35" i="121" s="1"/>
  <c r="D36" i="121" s="1"/>
  <c r="D31" i="120"/>
  <c r="E34" i="120" s="1"/>
  <c r="E35" i="120" s="1"/>
  <c r="D23" i="120"/>
  <c r="D34" i="120" s="1"/>
  <c r="D35" i="120" s="1"/>
  <c r="E20" i="120"/>
  <c r="E29" i="121"/>
  <c r="E31" i="121"/>
  <c r="E30" i="121"/>
  <c r="E28" i="121"/>
  <c r="E22" i="121"/>
  <c r="E21" i="121"/>
  <c r="E20" i="121"/>
  <c r="E19" i="121"/>
  <c r="E18" i="121"/>
  <c r="D13" i="121"/>
  <c r="E13" i="121" s="1"/>
  <c r="E12" i="121"/>
  <c r="E11" i="121"/>
  <c r="E10" i="121"/>
  <c r="E9" i="121"/>
  <c r="E30" i="120"/>
  <c r="E29" i="120"/>
  <c r="E28" i="120"/>
  <c r="E22" i="120"/>
  <c r="E21" i="120"/>
  <c r="E19" i="120"/>
  <c r="E18" i="120"/>
  <c r="D13" i="120"/>
  <c r="E13" i="120" s="1"/>
  <c r="E12" i="120"/>
  <c r="E11" i="120"/>
  <c r="E10" i="120"/>
  <c r="E9" i="120"/>
  <c r="M13" i="141" l="1"/>
  <c r="R13" i="103"/>
  <c r="L19" i="141"/>
  <c r="Q19" i="103"/>
  <c r="L14" i="141"/>
  <c r="Q14" i="103"/>
  <c r="M36" i="141"/>
  <c r="R36" i="103"/>
  <c r="M7" i="141"/>
  <c r="BX7" i="141" s="1"/>
  <c r="BY7" i="141" s="1"/>
  <c r="R7" i="103"/>
  <c r="M47" i="141"/>
  <c r="R47" i="103"/>
  <c r="L21" i="141"/>
  <c r="BX21" i="141" s="1"/>
  <c r="BY21" i="141" s="1"/>
  <c r="Q21" i="103"/>
  <c r="L37" i="141"/>
  <c r="Q37" i="103"/>
  <c r="L11" i="141"/>
  <c r="Q11" i="103"/>
  <c r="L46" i="141"/>
  <c r="Q46" i="103"/>
  <c r="M3" i="141"/>
  <c r="R3" i="103"/>
  <c r="M14" i="141"/>
  <c r="R14" i="103"/>
  <c r="M8" i="141"/>
  <c r="R8" i="103"/>
  <c r="M24" i="141"/>
  <c r="R24" i="103"/>
  <c r="E31" i="120"/>
  <c r="E38" i="122"/>
  <c r="C39" i="122"/>
  <c r="E39" i="122" s="1"/>
  <c r="E32" i="121"/>
  <c r="E23" i="121"/>
  <c r="E23" i="120"/>
  <c r="C35" i="121"/>
  <c r="C34" i="120"/>
  <c r="E10" i="119"/>
  <c r="E9" i="119"/>
  <c r="E11" i="119"/>
  <c r="D31" i="118"/>
  <c r="E31" i="118" s="1"/>
  <c r="D23" i="118"/>
  <c r="E23" i="118" s="1"/>
  <c r="D13" i="118"/>
  <c r="E13" i="118" s="1"/>
  <c r="E9" i="118"/>
  <c r="E10" i="118"/>
  <c r="E12" i="118"/>
  <c r="E11" i="118"/>
  <c r="C39" i="119"/>
  <c r="C39" i="118"/>
  <c r="C40" i="117"/>
  <c r="D32" i="117"/>
  <c r="E32" i="117" s="1"/>
  <c r="E29" i="117"/>
  <c r="E28" i="117"/>
  <c r="D31" i="119"/>
  <c r="E31" i="119" s="1"/>
  <c r="E30" i="119"/>
  <c r="E29" i="119"/>
  <c r="E28" i="119"/>
  <c r="D23" i="119"/>
  <c r="D34" i="119" s="1"/>
  <c r="D35" i="119" s="1"/>
  <c r="E22" i="119"/>
  <c r="E21" i="119"/>
  <c r="E20" i="119"/>
  <c r="E19" i="119"/>
  <c r="E18" i="119"/>
  <c r="D13" i="119"/>
  <c r="E13" i="119" s="1"/>
  <c r="E12" i="119"/>
  <c r="E30" i="118"/>
  <c r="E29" i="118"/>
  <c r="E28" i="118"/>
  <c r="E22" i="118"/>
  <c r="E21" i="118"/>
  <c r="E20" i="118"/>
  <c r="E19" i="118"/>
  <c r="E18" i="118"/>
  <c r="E31" i="117"/>
  <c r="E30" i="117"/>
  <c r="D23" i="117"/>
  <c r="E23" i="117" s="1"/>
  <c r="E22" i="117"/>
  <c r="E21" i="117"/>
  <c r="E20" i="117"/>
  <c r="E19" i="117"/>
  <c r="E18" i="117"/>
  <c r="D13" i="117"/>
  <c r="C35" i="117" s="1"/>
  <c r="E12" i="117"/>
  <c r="E11" i="117"/>
  <c r="E10" i="117"/>
  <c r="E9" i="117"/>
  <c r="E35" i="117" l="1"/>
  <c r="E36" i="117" s="1"/>
  <c r="D34" i="118"/>
  <c r="D35" i="118" s="1"/>
  <c r="E13" i="117"/>
  <c r="I37" i="141"/>
  <c r="N37" i="103"/>
  <c r="I23" i="141"/>
  <c r="BX23" i="141" s="1"/>
  <c r="BY23" i="141" s="1"/>
  <c r="N23" i="103"/>
  <c r="I31" i="141"/>
  <c r="N31" i="103"/>
  <c r="J17" i="141"/>
  <c r="O17" i="103"/>
  <c r="K42" i="141"/>
  <c r="P42" i="103"/>
  <c r="K29" i="141"/>
  <c r="P29" i="103"/>
  <c r="K12" i="141"/>
  <c r="P12" i="103"/>
  <c r="K4" i="141"/>
  <c r="P4" i="103"/>
  <c r="K13" i="141"/>
  <c r="P13" i="103"/>
  <c r="I19" i="141"/>
  <c r="N19" i="103"/>
  <c r="J33" i="141"/>
  <c r="O33" i="103"/>
  <c r="J29" i="141"/>
  <c r="O29" i="103"/>
  <c r="N52" i="141"/>
  <c r="N53" i="141" s="1"/>
  <c r="S52" i="103"/>
  <c r="I34" i="141"/>
  <c r="N34" i="103"/>
  <c r="I9" i="141"/>
  <c r="N9" i="103"/>
  <c r="I15" i="141"/>
  <c r="BX15" i="141" s="1"/>
  <c r="BY15" i="141" s="1"/>
  <c r="N15" i="103"/>
  <c r="J3" i="141"/>
  <c r="O3" i="103"/>
  <c r="CI3" i="103" s="1"/>
  <c r="CN3" i="103" s="1"/>
  <c r="J30" i="141"/>
  <c r="BX30" i="141" s="1"/>
  <c r="BY30" i="141" s="1"/>
  <c r="O30" i="103"/>
  <c r="J46" i="141"/>
  <c r="O46" i="103"/>
  <c r="K37" i="141"/>
  <c r="P37" i="103"/>
  <c r="K38" i="141"/>
  <c r="P38" i="103"/>
  <c r="I33" i="141"/>
  <c r="N33" i="103"/>
  <c r="J13" i="141"/>
  <c r="O13" i="103"/>
  <c r="K33" i="141"/>
  <c r="P33" i="103"/>
  <c r="M51" i="141"/>
  <c r="M53" i="141" s="1"/>
  <c r="L51" i="141"/>
  <c r="L53" i="141" s="1"/>
  <c r="BX14" i="141"/>
  <c r="BY14" i="141" s="1"/>
  <c r="E40" i="122"/>
  <c r="C36" i="121"/>
  <c r="C38" i="121"/>
  <c r="C35" i="120"/>
  <c r="C37" i="120"/>
  <c r="E23" i="119"/>
  <c r="C34" i="118"/>
  <c r="C35" i="118" s="1"/>
  <c r="D35" i="117"/>
  <c r="C34" i="119"/>
  <c r="E34" i="119"/>
  <c r="E35" i="119" s="1"/>
  <c r="E34" i="118"/>
  <c r="E35" i="118" s="1"/>
  <c r="C36" i="117"/>
  <c r="C39" i="116"/>
  <c r="D31" i="116"/>
  <c r="E31" i="116" s="1"/>
  <c r="E30" i="116"/>
  <c r="E29" i="116"/>
  <c r="E28" i="116"/>
  <c r="D23" i="116"/>
  <c r="D34" i="116" s="1"/>
  <c r="D35" i="116" s="1"/>
  <c r="E22" i="116"/>
  <c r="E21" i="116"/>
  <c r="E20" i="116"/>
  <c r="E19" i="116"/>
  <c r="E18" i="116"/>
  <c r="D13" i="116"/>
  <c r="E13" i="116" s="1"/>
  <c r="E12" i="116"/>
  <c r="E11" i="116"/>
  <c r="E10" i="116"/>
  <c r="E9" i="116"/>
  <c r="H47" i="141" l="1"/>
  <c r="M47" i="103"/>
  <c r="H11" i="141"/>
  <c r="M11" i="103"/>
  <c r="H19" i="141"/>
  <c r="BX19" i="141" s="1"/>
  <c r="BY19" i="141" s="1"/>
  <c r="M19" i="103"/>
  <c r="H44" i="141"/>
  <c r="BX44" i="141" s="1"/>
  <c r="BY44" i="141" s="1"/>
  <c r="M44" i="103"/>
  <c r="H13" i="141"/>
  <c r="M13" i="103"/>
  <c r="H29" i="141"/>
  <c r="M29" i="103"/>
  <c r="J51" i="141"/>
  <c r="J53" i="141" s="1"/>
  <c r="BX3" i="141"/>
  <c r="I51" i="141"/>
  <c r="BX9" i="141"/>
  <c r="BY9" i="141" s="1"/>
  <c r="K51" i="141"/>
  <c r="K53" i="141" s="1"/>
  <c r="E38" i="121"/>
  <c r="C39" i="121"/>
  <c r="E39" i="121" s="1"/>
  <c r="E37" i="120"/>
  <c r="C38" i="120"/>
  <c r="E38" i="120" s="1"/>
  <c r="D36" i="117"/>
  <c r="C38" i="117"/>
  <c r="C35" i="119"/>
  <c r="C37" i="119"/>
  <c r="C37" i="118"/>
  <c r="E23" i="116"/>
  <c r="C34" i="116"/>
  <c r="E34" i="116"/>
  <c r="E35" i="116" s="1"/>
  <c r="BY3" i="141" l="1"/>
  <c r="H51" i="141"/>
  <c r="E40" i="121"/>
  <c r="E39" i="120"/>
  <c r="E38" i="117"/>
  <c r="C39" i="117"/>
  <c r="E39" i="117" s="1"/>
  <c r="E37" i="119"/>
  <c r="C38" i="119"/>
  <c r="E38" i="119" s="1"/>
  <c r="E37" i="118"/>
  <c r="C38" i="118"/>
  <c r="E38" i="118" s="1"/>
  <c r="C35" i="116"/>
  <c r="C37" i="116"/>
  <c r="C39" i="115"/>
  <c r="D31" i="115"/>
  <c r="E31" i="115" s="1"/>
  <c r="E30" i="115"/>
  <c r="E29" i="115"/>
  <c r="E28" i="115"/>
  <c r="D23" i="115"/>
  <c r="D34" i="115" s="1"/>
  <c r="D35" i="115" s="1"/>
  <c r="E22" i="115"/>
  <c r="E21" i="115"/>
  <c r="E20" i="115"/>
  <c r="E19" i="115"/>
  <c r="E18" i="115"/>
  <c r="D13" i="115"/>
  <c r="E13" i="115" s="1"/>
  <c r="E12" i="115"/>
  <c r="E11" i="115"/>
  <c r="E10" i="115"/>
  <c r="E9" i="115"/>
  <c r="G16" i="141" l="1"/>
  <c r="L16" i="103"/>
  <c r="G17" i="141"/>
  <c r="BX17" i="141" s="1"/>
  <c r="BY17" i="141" s="1"/>
  <c r="L17" i="103"/>
  <c r="G49" i="141"/>
  <c r="BX49" i="141" s="1"/>
  <c r="BY49" i="141" s="1"/>
  <c r="L49" i="103"/>
  <c r="G38" i="141"/>
  <c r="BX38" i="141" s="1"/>
  <c r="BY38" i="141" s="1"/>
  <c r="L38" i="103"/>
  <c r="G12" i="141"/>
  <c r="L12" i="103"/>
  <c r="G35" i="141"/>
  <c r="L35" i="103"/>
  <c r="G46" i="141"/>
  <c r="BX46" i="141" s="1"/>
  <c r="BY46" i="141" s="1"/>
  <c r="L46" i="103"/>
  <c r="I52" i="141"/>
  <c r="I53" i="141" s="1"/>
  <c r="N52" i="103"/>
  <c r="E39" i="119"/>
  <c r="E39" i="118"/>
  <c r="E40" i="117"/>
  <c r="E37" i="116"/>
  <c r="C38" i="116"/>
  <c r="E38" i="116" s="1"/>
  <c r="E23" i="115"/>
  <c r="C34" i="115"/>
  <c r="E34" i="115"/>
  <c r="E35" i="115" s="1"/>
  <c r="D3" i="77"/>
  <c r="E21" i="77" l="1"/>
  <c r="G3" i="77"/>
  <c r="H52" i="141"/>
  <c r="H53" i="141" s="1"/>
  <c r="M52" i="103"/>
  <c r="L3" i="77"/>
  <c r="G51" i="141"/>
  <c r="BX12" i="141"/>
  <c r="BY12" i="141" s="1"/>
  <c r="E39" i="116"/>
  <c r="C35" i="115"/>
  <c r="C37" i="115"/>
  <c r="E37" i="115" l="1"/>
  <c r="C38" i="115"/>
  <c r="E38" i="115" s="1"/>
  <c r="O5" i="77"/>
  <c r="F7" i="77"/>
  <c r="F8" i="77"/>
  <c r="F9" i="77"/>
  <c r="F10" i="77"/>
  <c r="F11" i="77"/>
  <c r="F12" i="77"/>
  <c r="F13" i="77"/>
  <c r="F2" i="77"/>
  <c r="J2" i="77"/>
  <c r="K3" i="77"/>
  <c r="G52" i="141" l="1"/>
  <c r="G53" i="141" s="1"/>
  <c r="L52" i="103"/>
  <c r="E39" i="115"/>
  <c r="C39" i="114" l="1"/>
  <c r="D31" i="114"/>
  <c r="E31" i="114" s="1"/>
  <c r="E30" i="114"/>
  <c r="E29" i="114"/>
  <c r="E28" i="114"/>
  <c r="D23" i="114"/>
  <c r="D34" i="114" s="1"/>
  <c r="D35" i="114" s="1"/>
  <c r="E22" i="114"/>
  <c r="E21" i="114"/>
  <c r="E20" i="114"/>
  <c r="E19" i="114"/>
  <c r="E18" i="114"/>
  <c r="D13" i="114"/>
  <c r="E13" i="114" s="1"/>
  <c r="E12" i="114"/>
  <c r="E11" i="114"/>
  <c r="E10" i="114"/>
  <c r="E9" i="114"/>
  <c r="F8" i="141" l="1"/>
  <c r="K8" i="103"/>
  <c r="F34" i="141"/>
  <c r="K34" i="103"/>
  <c r="F36" i="141"/>
  <c r="K36" i="103"/>
  <c r="F42" i="141"/>
  <c r="BX42" i="141" s="1"/>
  <c r="BY42" i="141" s="1"/>
  <c r="K42" i="103"/>
  <c r="F25" i="141"/>
  <c r="BX25" i="141" s="1"/>
  <c r="BY25" i="141" s="1"/>
  <c r="K25" i="103"/>
  <c r="CI25" i="103" s="1"/>
  <c r="F13" i="141"/>
  <c r="K13" i="103"/>
  <c r="F24" i="141"/>
  <c r="BX24" i="141" s="1"/>
  <c r="BY24" i="141" s="1"/>
  <c r="K24" i="103"/>
  <c r="E23" i="114"/>
  <c r="C34" i="114"/>
  <c r="E34" i="114"/>
  <c r="E35" i="114" s="1"/>
  <c r="C39" i="113"/>
  <c r="E30" i="113"/>
  <c r="E29" i="113"/>
  <c r="E28" i="113"/>
  <c r="D23" i="113"/>
  <c r="E23" i="113" s="1"/>
  <c r="E22" i="113"/>
  <c r="E21" i="113"/>
  <c r="E19" i="113"/>
  <c r="E18" i="113"/>
  <c r="E12" i="113"/>
  <c r="E11" i="110"/>
  <c r="D31" i="113"/>
  <c r="E31" i="113" s="1"/>
  <c r="E20" i="113"/>
  <c r="D13" i="113"/>
  <c r="C34" i="113" s="1"/>
  <c r="C35" i="113" s="1"/>
  <c r="E11" i="113"/>
  <c r="E10" i="113"/>
  <c r="E9" i="113"/>
  <c r="E13" i="113" l="1"/>
  <c r="E6" i="141"/>
  <c r="J6" i="103"/>
  <c r="E10" i="141"/>
  <c r="BX10" i="141" s="1"/>
  <c r="BY10" i="141" s="1"/>
  <c r="J10" i="103"/>
  <c r="E31" i="141"/>
  <c r="J31" i="103"/>
  <c r="CJ25" i="103"/>
  <c r="CN25" i="103"/>
  <c r="E11" i="141"/>
  <c r="J11" i="103"/>
  <c r="E36" i="141"/>
  <c r="BX36" i="141" s="1"/>
  <c r="BY36" i="141" s="1"/>
  <c r="J36" i="103"/>
  <c r="E37" i="141"/>
  <c r="J37" i="103"/>
  <c r="F51" i="141"/>
  <c r="BX8" i="141"/>
  <c r="BY8" i="141" s="1"/>
  <c r="C35" i="114"/>
  <c r="C37" i="114"/>
  <c r="D34" i="113"/>
  <c r="D35" i="113" s="1"/>
  <c r="E34" i="113"/>
  <c r="E35" i="113" s="1"/>
  <c r="BP52" i="112"/>
  <c r="BO50" i="112"/>
  <c r="BO52" i="112" s="1"/>
  <c r="BN50" i="112"/>
  <c r="BN52" i="112" s="1"/>
  <c r="BM50" i="112"/>
  <c r="BM52" i="112" s="1"/>
  <c r="BL50" i="112"/>
  <c r="BL52" i="112" s="1"/>
  <c r="BK50" i="112"/>
  <c r="BK52" i="112" s="1"/>
  <c r="BJ50" i="112"/>
  <c r="BJ52" i="112" s="1"/>
  <c r="BI50" i="112"/>
  <c r="BI52" i="112" s="1"/>
  <c r="BH50" i="112"/>
  <c r="BH52" i="112" s="1"/>
  <c r="BG50" i="112"/>
  <c r="BG52" i="112" s="1"/>
  <c r="BF50" i="112"/>
  <c r="BF52" i="112" s="1"/>
  <c r="BE50" i="112"/>
  <c r="BE52" i="112" s="1"/>
  <c r="BD50" i="112"/>
  <c r="BD52" i="112" s="1"/>
  <c r="BC50" i="112"/>
  <c r="BC52" i="112" s="1"/>
  <c r="BB50" i="112"/>
  <c r="BB52" i="112" s="1"/>
  <c r="BA50" i="112"/>
  <c r="BA52" i="112" s="1"/>
  <c r="AZ50" i="112"/>
  <c r="AZ52" i="112" s="1"/>
  <c r="AY50" i="112"/>
  <c r="AY52" i="112" s="1"/>
  <c r="AX50" i="112"/>
  <c r="AX52" i="112" s="1"/>
  <c r="AW50" i="112"/>
  <c r="AW52" i="112" s="1"/>
  <c r="AV50" i="112"/>
  <c r="AV52" i="112" s="1"/>
  <c r="AU50" i="112"/>
  <c r="AU52" i="112" s="1"/>
  <c r="AT50" i="112"/>
  <c r="AT52" i="112" s="1"/>
  <c r="AS50" i="112"/>
  <c r="AS52" i="112" s="1"/>
  <c r="AR50" i="112"/>
  <c r="AR52" i="112" s="1"/>
  <c r="AQ50" i="112"/>
  <c r="AQ52" i="112" s="1"/>
  <c r="AP50" i="112"/>
  <c r="AP52" i="112" s="1"/>
  <c r="AO50" i="112"/>
  <c r="AO52" i="112" s="1"/>
  <c r="AN50" i="112"/>
  <c r="AN52" i="112" s="1"/>
  <c r="AM50" i="112"/>
  <c r="AM52" i="112" s="1"/>
  <c r="AL50" i="112"/>
  <c r="AL52" i="112" s="1"/>
  <c r="AK50" i="112"/>
  <c r="AK52" i="112" s="1"/>
  <c r="AJ50" i="112"/>
  <c r="AJ52" i="112" s="1"/>
  <c r="AI50" i="112"/>
  <c r="AI52" i="112" s="1"/>
  <c r="AH50" i="112"/>
  <c r="AH52" i="112" s="1"/>
  <c r="AG50" i="112"/>
  <c r="AG52" i="112" s="1"/>
  <c r="AF50" i="112"/>
  <c r="AF52" i="112" s="1"/>
  <c r="AE50" i="112"/>
  <c r="AE52" i="112" s="1"/>
  <c r="AD50" i="112"/>
  <c r="AD52" i="112" s="1"/>
  <c r="AC50" i="112"/>
  <c r="AC52" i="112" s="1"/>
  <c r="AB50" i="112"/>
  <c r="AB52" i="112" s="1"/>
  <c r="AA50" i="112"/>
  <c r="AA52" i="112" s="1"/>
  <c r="Z50" i="112"/>
  <c r="Z52" i="112" s="1"/>
  <c r="Y50" i="112"/>
  <c r="Y52" i="112" s="1"/>
  <c r="X50" i="112"/>
  <c r="X52" i="112" s="1"/>
  <c r="W50" i="112"/>
  <c r="W52" i="112" s="1"/>
  <c r="V50" i="112"/>
  <c r="V52" i="112" s="1"/>
  <c r="U50" i="112"/>
  <c r="U52" i="112" s="1"/>
  <c r="T50" i="112"/>
  <c r="T52" i="112" s="1"/>
  <c r="S50" i="112"/>
  <c r="S52" i="112" s="1"/>
  <c r="R50" i="112"/>
  <c r="R52" i="112" s="1"/>
  <c r="Q50" i="112"/>
  <c r="Q52" i="112" s="1"/>
  <c r="P50" i="112"/>
  <c r="P52" i="112" s="1"/>
  <c r="O50" i="112"/>
  <c r="O52" i="112" s="1"/>
  <c r="N50" i="112"/>
  <c r="N52" i="112" s="1"/>
  <c r="M50" i="112"/>
  <c r="M52" i="112" s="1"/>
  <c r="L50" i="112"/>
  <c r="L52" i="112" s="1"/>
  <c r="K50" i="112"/>
  <c r="K52" i="112" s="1"/>
  <c r="J50" i="112"/>
  <c r="J52" i="112" s="1"/>
  <c r="BQ49" i="112"/>
  <c r="BR49" i="112" s="1"/>
  <c r="BQ48" i="112"/>
  <c r="BR48" i="112" s="1"/>
  <c r="BQ47" i="112"/>
  <c r="BR47" i="112" s="1"/>
  <c r="BQ44" i="112"/>
  <c r="BR44" i="112" s="1"/>
  <c r="BQ42" i="112"/>
  <c r="BR42" i="112" s="1"/>
  <c r="BQ40" i="112"/>
  <c r="BR40" i="112" s="1"/>
  <c r="BQ39" i="112"/>
  <c r="BR39" i="112" s="1"/>
  <c r="BQ38" i="112"/>
  <c r="BR38" i="112" s="1"/>
  <c r="BQ37" i="112"/>
  <c r="BR37" i="112" s="1"/>
  <c r="BQ31" i="112"/>
  <c r="BR31" i="112" s="1"/>
  <c r="BQ30" i="112"/>
  <c r="BR30" i="112" s="1"/>
  <c r="BQ27" i="112"/>
  <c r="BR27" i="112" s="1"/>
  <c r="BQ26" i="112"/>
  <c r="BR26" i="112" s="1"/>
  <c r="BQ25" i="112"/>
  <c r="BR25" i="112" s="1"/>
  <c r="BQ24" i="112"/>
  <c r="BR24" i="112" s="1"/>
  <c r="BQ23" i="112"/>
  <c r="BR23" i="112" s="1"/>
  <c r="BQ22" i="112"/>
  <c r="BR22" i="112" s="1"/>
  <c r="BQ21" i="112"/>
  <c r="BR21" i="112" s="1"/>
  <c r="BQ20" i="112"/>
  <c r="BR20" i="112" s="1"/>
  <c r="BQ19" i="112"/>
  <c r="BR19" i="112" s="1"/>
  <c r="BQ18" i="112"/>
  <c r="BR18" i="112" s="1"/>
  <c r="BQ16" i="112"/>
  <c r="BR16" i="112" s="1"/>
  <c r="BQ15" i="112"/>
  <c r="BR15" i="112" s="1"/>
  <c r="BQ14" i="112"/>
  <c r="BR14" i="112" s="1"/>
  <c r="BQ9" i="112"/>
  <c r="BR9" i="112" s="1"/>
  <c r="BQ8" i="112"/>
  <c r="BR8" i="112" s="1"/>
  <c r="BQ7" i="112"/>
  <c r="BR7" i="112" s="1"/>
  <c r="BQ6" i="112"/>
  <c r="BR6" i="112" s="1"/>
  <c r="BQ5" i="112"/>
  <c r="BR5" i="112" s="1"/>
  <c r="BQ4" i="112"/>
  <c r="I50" i="112"/>
  <c r="I52" i="112" s="1"/>
  <c r="BQ3" i="112"/>
  <c r="BR3" i="112" s="1"/>
  <c r="E12" i="111"/>
  <c r="D16" i="141" s="1"/>
  <c r="BX16" i="141" s="1"/>
  <c r="BY16" i="141" s="1"/>
  <c r="E12" i="110"/>
  <c r="C37" i="141" s="1"/>
  <c r="H37" i="103" l="1"/>
  <c r="I16" i="103"/>
  <c r="E51" i="141"/>
  <c r="E53" i="141" s="1"/>
  <c r="BX6" i="141"/>
  <c r="BY6" i="141" s="1"/>
  <c r="E37" i="114"/>
  <c r="C38" i="114"/>
  <c r="E38" i="114" s="1"/>
  <c r="C37" i="113"/>
  <c r="E37" i="113" s="1"/>
  <c r="BR4" i="112"/>
  <c r="G50" i="112"/>
  <c r="G52" i="112" s="1"/>
  <c r="H50" i="112"/>
  <c r="H52" i="112" s="1"/>
  <c r="D23" i="110"/>
  <c r="D34" i="110" s="1"/>
  <c r="D35" i="110" s="1"/>
  <c r="D13" i="110"/>
  <c r="E13" i="110" s="1"/>
  <c r="C39" i="111"/>
  <c r="C39" i="110"/>
  <c r="C39" i="109"/>
  <c r="D31" i="111"/>
  <c r="E31" i="111" s="1"/>
  <c r="E30" i="111"/>
  <c r="E29" i="111"/>
  <c r="E28" i="111"/>
  <c r="D23" i="111"/>
  <c r="D34" i="111" s="1"/>
  <c r="D35" i="111" s="1"/>
  <c r="E22" i="111"/>
  <c r="E21" i="111"/>
  <c r="E20" i="111"/>
  <c r="E19" i="111"/>
  <c r="E18" i="111"/>
  <c r="D13" i="111"/>
  <c r="E13" i="111" s="1"/>
  <c r="E11" i="111"/>
  <c r="E10" i="111"/>
  <c r="E9" i="111"/>
  <c r="D31" i="110"/>
  <c r="E31" i="110" s="1"/>
  <c r="E30" i="110"/>
  <c r="E29" i="110"/>
  <c r="E28" i="110"/>
  <c r="E22" i="110"/>
  <c r="E21" i="110"/>
  <c r="E20" i="110"/>
  <c r="E19" i="110"/>
  <c r="E18" i="110"/>
  <c r="E10" i="110"/>
  <c r="E9" i="110"/>
  <c r="D31" i="109"/>
  <c r="E31" i="109" s="1"/>
  <c r="E30" i="109"/>
  <c r="E29" i="109"/>
  <c r="E28" i="109"/>
  <c r="D23" i="109"/>
  <c r="D34" i="109" s="1"/>
  <c r="D35" i="109" s="1"/>
  <c r="E22" i="109"/>
  <c r="E21" i="109"/>
  <c r="E20" i="109"/>
  <c r="E19" i="109"/>
  <c r="E18" i="109"/>
  <c r="D13" i="109"/>
  <c r="E13" i="109" s="1"/>
  <c r="E12" i="109"/>
  <c r="E11" i="109"/>
  <c r="E10" i="109"/>
  <c r="E9" i="109"/>
  <c r="B34" i="141" l="1"/>
  <c r="G34" i="103"/>
  <c r="B33" i="141"/>
  <c r="G33" i="103"/>
  <c r="B11" i="141"/>
  <c r="G11" i="103"/>
  <c r="C39" i="141"/>
  <c r="H39" i="103"/>
  <c r="C13" i="141"/>
  <c r="H13" i="103"/>
  <c r="D11" i="141"/>
  <c r="I11" i="103"/>
  <c r="D33" i="141"/>
  <c r="I33" i="103"/>
  <c r="B37" i="141"/>
  <c r="BX37" i="141" s="1"/>
  <c r="BY37" i="141" s="1"/>
  <c r="G37" i="103"/>
  <c r="B39" i="141"/>
  <c r="BX39" i="141" s="1"/>
  <c r="BY39" i="141" s="1"/>
  <c r="G39" i="103"/>
  <c r="B31" i="141"/>
  <c r="BX31" i="141" s="1"/>
  <c r="BY31" i="141" s="1"/>
  <c r="G31" i="103"/>
  <c r="C33" i="141"/>
  <c r="H33" i="103"/>
  <c r="C29" i="141"/>
  <c r="BX29" i="141" s="1"/>
  <c r="BY29" i="141" s="1"/>
  <c r="H29" i="103"/>
  <c r="D4" i="141"/>
  <c r="I4" i="103"/>
  <c r="D35" i="141"/>
  <c r="BX35" i="141" s="1"/>
  <c r="BY35" i="141" s="1"/>
  <c r="I35" i="103"/>
  <c r="D34" i="141"/>
  <c r="I34" i="103"/>
  <c r="D47" i="141"/>
  <c r="BX47" i="141" s="1"/>
  <c r="BY47" i="141" s="1"/>
  <c r="I47" i="103"/>
  <c r="F52" i="141"/>
  <c r="F53" i="141" s="1"/>
  <c r="K52" i="103"/>
  <c r="E39" i="114"/>
  <c r="C38" i="113"/>
  <c r="E38" i="113" s="1"/>
  <c r="E23" i="111"/>
  <c r="E23" i="110"/>
  <c r="E23" i="109"/>
  <c r="C34" i="111"/>
  <c r="E34" i="111"/>
  <c r="E35" i="111" s="1"/>
  <c r="C34" i="110"/>
  <c r="E34" i="110"/>
  <c r="E35" i="110" s="1"/>
  <c r="C34" i="109"/>
  <c r="E34" i="109"/>
  <c r="E35" i="109" s="1"/>
  <c r="H2" i="77"/>
  <c r="C2" i="71"/>
  <c r="H13" i="77"/>
  <c r="H12" i="77"/>
  <c r="H11" i="77"/>
  <c r="H10" i="77"/>
  <c r="H9" i="77"/>
  <c r="H8" i="77"/>
  <c r="H7" i="77"/>
  <c r="H6" i="77"/>
  <c r="H5" i="77"/>
  <c r="C37" i="109" l="1"/>
  <c r="C37" i="110"/>
  <c r="E37" i="110" s="1"/>
  <c r="C52" i="141" s="1"/>
  <c r="D51" i="141"/>
  <c r="BX4" i="141"/>
  <c r="C51" i="141"/>
  <c r="BX13" i="141"/>
  <c r="BY13" i="141" s="1"/>
  <c r="B51" i="141"/>
  <c r="B53" i="141" s="1"/>
  <c r="BX11" i="141"/>
  <c r="BY11" i="141" s="1"/>
  <c r="BX33" i="141"/>
  <c r="BY33" i="141" s="1"/>
  <c r="BX34" i="141"/>
  <c r="BY34" i="141" s="1"/>
  <c r="E39" i="113"/>
  <c r="C35" i="111"/>
  <c r="C37" i="111"/>
  <c r="C35" i="110"/>
  <c r="C35" i="109"/>
  <c r="H52" i="103" l="1"/>
  <c r="C53" i="141"/>
  <c r="BY4" i="141"/>
  <c r="BY51" i="141" s="1"/>
  <c r="BX51" i="141"/>
  <c r="J4" i="77" s="1"/>
  <c r="E37" i="111"/>
  <c r="C38" i="111"/>
  <c r="E38" i="111" s="1"/>
  <c r="C38" i="110"/>
  <c r="E38" i="110" s="1"/>
  <c r="E37" i="109"/>
  <c r="C38" i="109"/>
  <c r="E38" i="109" s="1"/>
  <c r="M2" i="77"/>
  <c r="M4" i="77" l="1"/>
  <c r="B4" i="77"/>
  <c r="D52" i="141"/>
  <c r="D53" i="141" s="1"/>
  <c r="I52" i="103"/>
  <c r="E39" i="111"/>
  <c r="E39" i="110"/>
  <c r="E39" i="109"/>
  <c r="C21" i="77"/>
  <c r="B22" i="77" l="1"/>
  <c r="F4" i="77"/>
  <c r="C39" i="108"/>
  <c r="D31" i="108"/>
  <c r="E34" i="108" s="1"/>
  <c r="E35" i="108" s="1"/>
  <c r="E30" i="108"/>
  <c r="E29" i="108"/>
  <c r="E28" i="108"/>
  <c r="D23" i="108"/>
  <c r="E23" i="108" s="1"/>
  <c r="E22" i="108"/>
  <c r="E21" i="108"/>
  <c r="E20" i="108"/>
  <c r="E19" i="108"/>
  <c r="E18" i="108"/>
  <c r="D13" i="108"/>
  <c r="C34" i="108" s="1"/>
  <c r="E12" i="108"/>
  <c r="E11" i="108"/>
  <c r="E10" i="108"/>
  <c r="E9" i="108"/>
  <c r="E13" i="108" l="1"/>
  <c r="O4" i="77"/>
  <c r="H4" i="77"/>
  <c r="F28" i="112"/>
  <c r="BQ28" i="112" s="1"/>
  <c r="BR28" i="112" s="1"/>
  <c r="F29" i="103"/>
  <c r="F32" i="112"/>
  <c r="F33" i="103"/>
  <c r="F46" i="112"/>
  <c r="F47" i="103"/>
  <c r="F41" i="112"/>
  <c r="F42" i="103"/>
  <c r="F10" i="112"/>
  <c r="F10" i="103"/>
  <c r="F13" i="112"/>
  <c r="F13" i="103"/>
  <c r="F11" i="112"/>
  <c r="F11" i="103"/>
  <c r="E31" i="108"/>
  <c r="C35" i="108"/>
  <c r="D34" i="108"/>
  <c r="D35" i="108" s="1"/>
  <c r="F50" i="112" l="1"/>
  <c r="BQ10" i="112"/>
  <c r="C37" i="108"/>
  <c r="C39" i="107"/>
  <c r="D31" i="107"/>
  <c r="E31" i="107" s="1"/>
  <c r="E30" i="107"/>
  <c r="E29" i="107"/>
  <c r="E28" i="107"/>
  <c r="D23" i="107"/>
  <c r="D34" i="107" s="1"/>
  <c r="D35" i="107" s="1"/>
  <c r="E22" i="107"/>
  <c r="E21" i="107"/>
  <c r="E20" i="107"/>
  <c r="E19" i="107"/>
  <c r="E18" i="107"/>
  <c r="D13" i="107"/>
  <c r="E13" i="107" s="1"/>
  <c r="E12" i="107"/>
  <c r="E11" i="107"/>
  <c r="E10" i="107"/>
  <c r="E9" i="107"/>
  <c r="E17" i="112" l="1"/>
  <c r="E17" i="103"/>
  <c r="E34" i="112"/>
  <c r="E35" i="103"/>
  <c r="E29" i="112"/>
  <c r="BQ29" i="112" s="1"/>
  <c r="BR29" i="112" s="1"/>
  <c r="E30" i="103"/>
  <c r="BR10" i="112"/>
  <c r="E35" i="112"/>
  <c r="E36" i="103"/>
  <c r="E33" i="112"/>
  <c r="E34" i="103"/>
  <c r="E43" i="112"/>
  <c r="E44" i="103"/>
  <c r="E45" i="112"/>
  <c r="BQ45" i="112" s="1"/>
  <c r="BR45" i="112" s="1"/>
  <c r="E46" i="103"/>
  <c r="CI46" i="103" s="1"/>
  <c r="C38" i="108"/>
  <c r="E38" i="108" s="1"/>
  <c r="E37" i="108"/>
  <c r="E23" i="107"/>
  <c r="C34" i="107"/>
  <c r="E34" i="107"/>
  <c r="E35" i="107" s="1"/>
  <c r="C39" i="106"/>
  <c r="D31" i="106"/>
  <c r="E31" i="106" s="1"/>
  <c r="E30" i="106"/>
  <c r="E29" i="106"/>
  <c r="E28" i="106"/>
  <c r="D23" i="106"/>
  <c r="D34" i="106" s="1"/>
  <c r="D35" i="106" s="1"/>
  <c r="E22" i="106"/>
  <c r="E21" i="106"/>
  <c r="E20" i="106"/>
  <c r="E19" i="106"/>
  <c r="E18" i="106"/>
  <c r="D13" i="106"/>
  <c r="E13" i="106" s="1"/>
  <c r="E12" i="106"/>
  <c r="E11" i="106"/>
  <c r="E10" i="106"/>
  <c r="E9" i="106"/>
  <c r="D12" i="112" l="1"/>
  <c r="BQ12" i="112" s="1"/>
  <c r="BR12" i="112" s="1"/>
  <c r="D12" i="103"/>
  <c r="CJ46" i="103"/>
  <c r="CN46" i="103"/>
  <c r="D43" i="112"/>
  <c r="BQ43" i="112" s="1"/>
  <c r="BR43" i="112" s="1"/>
  <c r="D44" i="103"/>
  <c r="D32" i="112"/>
  <c r="BQ32" i="112" s="1"/>
  <c r="BR32" i="112" s="1"/>
  <c r="D33" i="103"/>
  <c r="D41" i="112"/>
  <c r="D42" i="103"/>
  <c r="D46" i="112"/>
  <c r="BQ46" i="112" s="1"/>
  <c r="BR46" i="112" s="1"/>
  <c r="D47" i="103"/>
  <c r="D17" i="112"/>
  <c r="D17" i="103"/>
  <c r="C34" i="106"/>
  <c r="C35" i="106" s="1"/>
  <c r="F51" i="112"/>
  <c r="F52" i="112" s="1"/>
  <c r="F52" i="103"/>
  <c r="E50" i="112"/>
  <c r="E52" i="112" s="1"/>
  <c r="E39" i="108"/>
  <c r="C35" i="107"/>
  <c r="C37" i="107"/>
  <c r="E23" i="106"/>
  <c r="E34" i="106"/>
  <c r="E35" i="106" s="1"/>
  <c r="E30" i="105"/>
  <c r="E29" i="105"/>
  <c r="E28" i="105"/>
  <c r="E22" i="105"/>
  <c r="E21" i="105"/>
  <c r="C34" i="112" s="1"/>
  <c r="BQ34" i="112" s="1"/>
  <c r="BR34" i="112" s="1"/>
  <c r="E19" i="105"/>
  <c r="E18" i="105"/>
  <c r="E30" i="104"/>
  <c r="B17" i="112" s="1"/>
  <c r="E29" i="104"/>
  <c r="B13" i="112" s="1"/>
  <c r="E28" i="104"/>
  <c r="C35" i="103"/>
  <c r="C37" i="103" l="1"/>
  <c r="C36" i="112"/>
  <c r="BQ36" i="112" s="1"/>
  <c r="BR36" i="112" s="1"/>
  <c r="C34" i="103"/>
  <c r="C33" i="112"/>
  <c r="BQ33" i="112" s="1"/>
  <c r="BR33" i="112" s="1"/>
  <c r="B17" i="103"/>
  <c r="C36" i="103"/>
  <c r="C35" i="112"/>
  <c r="BQ35" i="112" s="1"/>
  <c r="BR35" i="112" s="1"/>
  <c r="B50" i="112"/>
  <c r="B52" i="112" s="1"/>
  <c r="C17" i="103"/>
  <c r="C17" i="112"/>
  <c r="BQ17" i="112" s="1"/>
  <c r="BR17" i="112" s="1"/>
  <c r="C13" i="103"/>
  <c r="C13" i="112"/>
  <c r="BQ13" i="112" s="1"/>
  <c r="BR13" i="112" s="1"/>
  <c r="C11" i="103"/>
  <c r="C11" i="112"/>
  <c r="B13" i="103"/>
  <c r="B51" i="103" s="1"/>
  <c r="B53" i="103" s="1"/>
  <c r="D50" i="112"/>
  <c r="D52" i="112" s="1"/>
  <c r="BQ41" i="112"/>
  <c r="BR41" i="112" s="1"/>
  <c r="E37" i="107"/>
  <c r="C38" i="107"/>
  <c r="E38" i="107" s="1"/>
  <c r="C37" i="106"/>
  <c r="C39" i="105"/>
  <c r="C39" i="104"/>
  <c r="BQ11" i="112" l="1"/>
  <c r="C50" i="112"/>
  <c r="C52" i="112" s="1"/>
  <c r="E39" i="107"/>
  <c r="E37" i="106"/>
  <c r="C38" i="106"/>
  <c r="E38" i="106" s="1"/>
  <c r="D31" i="105"/>
  <c r="D23" i="105"/>
  <c r="E23" i="105" s="1"/>
  <c r="E20" i="105"/>
  <c r="D13" i="105"/>
  <c r="C34" i="105" s="1"/>
  <c r="C35" i="105" s="1"/>
  <c r="E12" i="105"/>
  <c r="E11" i="105"/>
  <c r="E10" i="105"/>
  <c r="E9" i="105"/>
  <c r="E13" i="105" l="1"/>
  <c r="E34" i="105"/>
  <c r="E35" i="105" s="1"/>
  <c r="E31" i="105"/>
  <c r="BR11" i="112"/>
  <c r="BR50" i="112" s="1"/>
  <c r="BQ50" i="112"/>
  <c r="E39" i="106"/>
  <c r="D34" i="105"/>
  <c r="D35" i="105" s="1"/>
  <c r="C51" i="103"/>
  <c r="D51" i="103"/>
  <c r="E51" i="103"/>
  <c r="F51" i="103"/>
  <c r="G51" i="103"/>
  <c r="H51" i="103"/>
  <c r="I51" i="103"/>
  <c r="J51" i="103"/>
  <c r="K51" i="103"/>
  <c r="L51" i="103"/>
  <c r="M51" i="103"/>
  <c r="N51" i="103"/>
  <c r="O51" i="103"/>
  <c r="P51" i="103"/>
  <c r="Q51" i="103"/>
  <c r="R51" i="103"/>
  <c r="S51" i="103"/>
  <c r="T51" i="103"/>
  <c r="U51" i="103"/>
  <c r="V51" i="103"/>
  <c r="W51" i="103"/>
  <c r="X51" i="103"/>
  <c r="Y51" i="103"/>
  <c r="Z51" i="103"/>
  <c r="AA51" i="103"/>
  <c r="AB51" i="103"/>
  <c r="AC51" i="103"/>
  <c r="AD51" i="103"/>
  <c r="AE51" i="103"/>
  <c r="AF51" i="103"/>
  <c r="AG51" i="103"/>
  <c r="AH51" i="103"/>
  <c r="AI51" i="103"/>
  <c r="AJ51" i="103"/>
  <c r="AK51" i="103"/>
  <c r="AL51" i="103"/>
  <c r="AM51" i="103"/>
  <c r="AN51" i="103"/>
  <c r="AO51" i="103"/>
  <c r="AP51" i="103"/>
  <c r="AQ51" i="103"/>
  <c r="AS51" i="103"/>
  <c r="AT51" i="103"/>
  <c r="AU51" i="103"/>
  <c r="AV51" i="103"/>
  <c r="AW51" i="103"/>
  <c r="AX51" i="103"/>
  <c r="AY51" i="103"/>
  <c r="AZ51" i="103"/>
  <c r="BA51" i="103"/>
  <c r="BB51" i="103"/>
  <c r="BD51" i="103"/>
  <c r="BE51" i="103"/>
  <c r="BF51" i="103"/>
  <c r="BG51" i="103"/>
  <c r="BH51" i="103"/>
  <c r="BI51" i="103"/>
  <c r="BJ51" i="103"/>
  <c r="BK51" i="103"/>
  <c r="BL51" i="103"/>
  <c r="BM51" i="103"/>
  <c r="BN51" i="103"/>
  <c r="BO51" i="103"/>
  <c r="B3" i="77" l="1"/>
  <c r="BQ52" i="112"/>
  <c r="C37" i="105"/>
  <c r="E37" i="105" s="1"/>
  <c r="F3" i="77" l="1"/>
  <c r="J3" i="77"/>
  <c r="M3" i="77" s="1"/>
  <c r="C38" i="105"/>
  <c r="E38" i="105" s="1"/>
  <c r="D31" i="104"/>
  <c r="E31" i="104" s="1"/>
  <c r="O3" i="77" l="1"/>
  <c r="O14" i="77" s="1"/>
  <c r="N3" i="77"/>
  <c r="E39" i="105"/>
  <c r="B20" i="77"/>
  <c r="F20" i="77" s="1"/>
  <c r="C53" i="103" l="1"/>
  <c r="D53" i="103"/>
  <c r="E53" i="103"/>
  <c r="F53" i="103"/>
  <c r="G53" i="103"/>
  <c r="H53" i="103"/>
  <c r="I53" i="103"/>
  <c r="J53" i="103"/>
  <c r="K53" i="103"/>
  <c r="L53" i="103"/>
  <c r="M53" i="103"/>
  <c r="N53" i="103"/>
  <c r="O53" i="103"/>
  <c r="P53" i="103"/>
  <c r="Q53" i="103"/>
  <c r="R53" i="103"/>
  <c r="S53" i="103"/>
  <c r="T53" i="103"/>
  <c r="U53" i="103"/>
  <c r="V53" i="103"/>
  <c r="W53" i="103"/>
  <c r="X53" i="103"/>
  <c r="Y53" i="103"/>
  <c r="Z53" i="103"/>
  <c r="AA53" i="103"/>
  <c r="AB53" i="103"/>
  <c r="AC53" i="103"/>
  <c r="AD53" i="103"/>
  <c r="AE53" i="103"/>
  <c r="AF53" i="103"/>
  <c r="AG53" i="103"/>
  <c r="AH53" i="103"/>
  <c r="AI53" i="103"/>
  <c r="AJ53" i="103"/>
  <c r="AK53" i="103"/>
  <c r="AL53" i="103"/>
  <c r="AM53" i="103"/>
  <c r="AN53" i="103"/>
  <c r="AO53" i="103"/>
  <c r="AP53" i="103"/>
  <c r="AQ53" i="103"/>
  <c r="AR53" i="103"/>
  <c r="AS53" i="103"/>
  <c r="AT53" i="103"/>
  <c r="AU53" i="103"/>
  <c r="AV53" i="103"/>
  <c r="AW53" i="103"/>
  <c r="AX53" i="103"/>
  <c r="AY53" i="103"/>
  <c r="AZ53" i="103"/>
  <c r="BA53" i="103"/>
  <c r="BB53" i="103"/>
  <c r="BC53" i="103"/>
  <c r="BD53" i="103"/>
  <c r="BE53" i="103"/>
  <c r="BF53" i="103"/>
  <c r="BG53" i="103"/>
  <c r="BH53" i="103"/>
  <c r="BI53" i="103"/>
  <c r="BJ53" i="103"/>
  <c r="BK53" i="103"/>
  <c r="BL53" i="103"/>
  <c r="BM53" i="103"/>
  <c r="BN53" i="103"/>
  <c r="BO53" i="103"/>
  <c r="CI10" i="103" l="1"/>
  <c r="CJ10" i="103" l="1"/>
  <c r="CN10" i="103"/>
  <c r="CI33" i="103"/>
  <c r="CJ33" i="103" s="1"/>
  <c r="CN33" i="103" l="1"/>
  <c r="E14" i="77"/>
  <c r="D216" i="43" l="1"/>
  <c r="C216" i="43"/>
  <c r="B216" i="43"/>
  <c r="E215" i="43"/>
  <c r="E214" i="43"/>
  <c r="D210" i="43"/>
  <c r="C210" i="43"/>
  <c r="B210" i="43"/>
  <c r="E209" i="43"/>
  <c r="E208" i="43"/>
  <c r="D204" i="43"/>
  <c r="C204" i="43"/>
  <c r="B204" i="43"/>
  <c r="E203" i="43"/>
  <c r="E202" i="43"/>
  <c r="D198" i="43"/>
  <c r="C198" i="43"/>
  <c r="B198" i="43"/>
  <c r="E197" i="43"/>
  <c r="E196" i="43"/>
  <c r="D192" i="43"/>
  <c r="C192" i="43"/>
  <c r="B192" i="43"/>
  <c r="E191" i="43"/>
  <c r="E190" i="43"/>
  <c r="D186" i="43"/>
  <c r="C186" i="43"/>
  <c r="B186" i="43"/>
  <c r="E185" i="43"/>
  <c r="E184" i="43"/>
  <c r="D180" i="43"/>
  <c r="C180" i="43"/>
  <c r="B180" i="43"/>
  <c r="E179" i="43"/>
  <c r="E178" i="43"/>
  <c r="D174" i="43"/>
  <c r="C174" i="43"/>
  <c r="B174" i="43"/>
  <c r="E173" i="43"/>
  <c r="E172" i="43"/>
  <c r="D168" i="43"/>
  <c r="C168" i="43"/>
  <c r="B168" i="43"/>
  <c r="E167" i="43"/>
  <c r="E166" i="43"/>
  <c r="D162" i="43"/>
  <c r="C162" i="43"/>
  <c r="B162" i="43"/>
  <c r="E161" i="43"/>
  <c r="E160" i="43"/>
  <c r="D156" i="43"/>
  <c r="C156" i="43"/>
  <c r="B156" i="43"/>
  <c r="E155" i="43"/>
  <c r="E154" i="43"/>
  <c r="D150" i="43"/>
  <c r="C150" i="43"/>
  <c r="B150" i="43"/>
  <c r="E149" i="43"/>
  <c r="E148" i="43"/>
  <c r="D144" i="43"/>
  <c r="C144" i="43"/>
  <c r="B144" i="43"/>
  <c r="E143" i="43"/>
  <c r="E142" i="43"/>
  <c r="D138" i="43"/>
  <c r="C138" i="43"/>
  <c r="B138" i="43"/>
  <c r="E137" i="43"/>
  <c r="E136" i="43"/>
  <c r="D132" i="43"/>
  <c r="C132" i="43"/>
  <c r="B132" i="43"/>
  <c r="E131" i="43"/>
  <c r="E130" i="43"/>
  <c r="D126" i="43"/>
  <c r="C126" i="43"/>
  <c r="B126" i="43"/>
  <c r="E125" i="43"/>
  <c r="E124" i="43"/>
  <c r="D120" i="43"/>
  <c r="C120" i="43"/>
  <c r="B120" i="43"/>
  <c r="E119" i="43"/>
  <c r="E118" i="43"/>
  <c r="D114" i="43"/>
  <c r="C114" i="43"/>
  <c r="B114" i="43"/>
  <c r="E113" i="43"/>
  <c r="E112" i="43"/>
  <c r="D108" i="43"/>
  <c r="C108" i="43"/>
  <c r="B108" i="43"/>
  <c r="E107" i="43"/>
  <c r="E106" i="43"/>
  <c r="D102" i="43"/>
  <c r="C102" i="43"/>
  <c r="B102" i="43"/>
  <c r="E101" i="43"/>
  <c r="E100" i="43"/>
  <c r="D96" i="43"/>
  <c r="C96" i="43"/>
  <c r="B96" i="43"/>
  <c r="E95" i="43"/>
  <c r="E94" i="43"/>
  <c r="D90" i="43"/>
  <c r="C90" i="43"/>
  <c r="B90" i="43"/>
  <c r="E89" i="43"/>
  <c r="E88" i="43"/>
  <c r="D84" i="43"/>
  <c r="C84" i="43"/>
  <c r="B84" i="43"/>
  <c r="E83" i="43"/>
  <c r="E82" i="43"/>
  <c r="D78" i="43"/>
  <c r="C78" i="43"/>
  <c r="B78" i="43"/>
  <c r="E77" i="43"/>
  <c r="E76" i="43"/>
  <c r="D72" i="43"/>
  <c r="C72" i="43"/>
  <c r="B72" i="43"/>
  <c r="E71" i="43"/>
  <c r="E70" i="43"/>
  <c r="D66" i="43"/>
  <c r="C66" i="43"/>
  <c r="B66" i="43"/>
  <c r="E65" i="43"/>
  <c r="E64" i="43"/>
  <c r="D60" i="43"/>
  <c r="C60" i="43"/>
  <c r="B60" i="43"/>
  <c r="E59" i="43"/>
  <c r="E58" i="43"/>
  <c r="D54" i="43"/>
  <c r="C54" i="43"/>
  <c r="B54" i="43"/>
  <c r="E53" i="43"/>
  <c r="E52" i="43"/>
  <c r="D48" i="43"/>
  <c r="C48" i="43"/>
  <c r="B48" i="43"/>
  <c r="E47" i="43"/>
  <c r="E46" i="43"/>
  <c r="D42" i="43"/>
  <c r="C42" i="43"/>
  <c r="B42" i="43"/>
  <c r="E41" i="43"/>
  <c r="E40" i="43"/>
  <c r="D36" i="43"/>
  <c r="C36" i="43"/>
  <c r="B36" i="43"/>
  <c r="E35" i="43"/>
  <c r="E34" i="43"/>
  <c r="E174" i="43" l="1"/>
  <c r="E186" i="43"/>
  <c r="E210" i="43"/>
  <c r="E198" i="43"/>
  <c r="E162" i="43"/>
  <c r="E150" i="43"/>
  <c r="E138" i="43"/>
  <c r="E126" i="43"/>
  <c r="E114" i="43"/>
  <c r="E102" i="43"/>
  <c r="E66" i="43"/>
  <c r="E72" i="43"/>
  <c r="E120" i="43"/>
  <c r="E132" i="43"/>
  <c r="E144" i="43"/>
  <c r="E156" i="43"/>
  <c r="E168" i="43"/>
  <c r="E180" i="43"/>
  <c r="E192" i="43"/>
  <c r="E204" i="43"/>
  <c r="E216" i="43"/>
  <c r="E108" i="43"/>
  <c r="E96" i="43"/>
  <c r="E90" i="43"/>
  <c r="E84" i="43"/>
  <c r="E78" i="43"/>
  <c r="E60" i="43"/>
  <c r="E54" i="43"/>
  <c r="E48" i="43"/>
  <c r="E36" i="43"/>
  <c r="E42" i="43"/>
  <c r="CI49" i="103" l="1"/>
  <c r="CJ49" i="103" l="1"/>
  <c r="CN49" i="103"/>
  <c r="CI15" i="103"/>
  <c r="CJ15" i="103" l="1"/>
  <c r="CN15" i="103"/>
  <c r="CI31" i="103"/>
  <c r="CJ31" i="103" l="1"/>
  <c r="CN31" i="103"/>
  <c r="D30" i="43"/>
  <c r="C30" i="43"/>
  <c r="B30" i="43"/>
  <c r="E29" i="43"/>
  <c r="E28" i="43"/>
  <c r="D24" i="43"/>
  <c r="C24" i="43"/>
  <c r="B24" i="43"/>
  <c r="E23" i="43"/>
  <c r="E22" i="43"/>
  <c r="D18" i="43"/>
  <c r="C18" i="43"/>
  <c r="B18" i="43"/>
  <c r="E17" i="43"/>
  <c r="E16" i="43"/>
  <c r="D12" i="43"/>
  <c r="C12" i="43"/>
  <c r="B12" i="43"/>
  <c r="E11" i="43"/>
  <c r="E10" i="43"/>
  <c r="D6" i="43"/>
  <c r="J6" i="43" s="1"/>
  <c r="C6" i="43"/>
  <c r="I6" i="43" s="1"/>
  <c r="B6" i="43"/>
  <c r="H6" i="43" s="1"/>
  <c r="E5" i="43"/>
  <c r="K5" i="43" s="1"/>
  <c r="I10" i="43"/>
  <c r="I16" i="43" s="1"/>
  <c r="I22" i="43" s="1"/>
  <c r="I28" i="43" s="1"/>
  <c r="I34" i="43" s="1"/>
  <c r="I40" i="43" s="1"/>
  <c r="I46" i="43" s="1"/>
  <c r="I52" i="43" s="1"/>
  <c r="I58" i="43" s="1"/>
  <c r="I64" i="43" s="1"/>
  <c r="I70" i="43" s="1"/>
  <c r="I76" i="43" s="1"/>
  <c r="I82" i="43" s="1"/>
  <c r="I88" i="43" s="1"/>
  <c r="I94" i="43" s="1"/>
  <c r="I100" i="43" s="1"/>
  <c r="I106" i="43" s="1"/>
  <c r="I112" i="43" s="1"/>
  <c r="I118" i="43" s="1"/>
  <c r="I124" i="43" s="1"/>
  <c r="I130" i="43" s="1"/>
  <c r="I136" i="43" s="1"/>
  <c r="I142" i="43" s="1"/>
  <c r="I148" i="43" s="1"/>
  <c r="I154" i="43" s="1"/>
  <c r="I160" i="43" s="1"/>
  <c r="I166" i="43" s="1"/>
  <c r="I172" i="43" s="1"/>
  <c r="I178" i="43" s="1"/>
  <c r="I184" i="43" s="1"/>
  <c r="I190" i="43" s="1"/>
  <c r="I196" i="43" s="1"/>
  <c r="I202" i="43" s="1"/>
  <c r="I208" i="43" s="1"/>
  <c r="I214" i="43" s="1"/>
  <c r="I220" i="43" s="1"/>
  <c r="I226" i="43" s="1"/>
  <c r="I232" i="43" s="1"/>
  <c r="I238" i="43" s="1"/>
  <c r="I244" i="43" s="1"/>
  <c r="I250" i="43" s="1"/>
  <c r="I256" i="43" s="1"/>
  <c r="I262" i="43" s="1"/>
  <c r="I268" i="43" s="1"/>
  <c r="I274" i="43" s="1"/>
  <c r="I280" i="43" s="1"/>
  <c r="I286" i="43" s="1"/>
  <c r="I292" i="43" s="1"/>
  <c r="I298" i="43" s="1"/>
  <c r="I304" i="43" s="1"/>
  <c r="I310" i="43" s="1"/>
  <c r="I316" i="43" s="1"/>
  <c r="I322" i="43" s="1"/>
  <c r="I328" i="43" s="1"/>
  <c r="I334" i="43" s="1"/>
  <c r="I340" i="43" s="1"/>
  <c r="I346" i="43" s="1"/>
  <c r="I352" i="43" s="1"/>
  <c r="I358" i="43" s="1"/>
  <c r="I364" i="43" s="1"/>
  <c r="I370" i="43" s="1"/>
  <c r="I376" i="43" s="1"/>
  <c r="I382" i="43" s="1"/>
  <c r="I388" i="43" s="1"/>
  <c r="I394" i="43" s="1"/>
  <c r="I400" i="43" s="1"/>
  <c r="I406" i="43" s="1"/>
  <c r="I412" i="43" s="1"/>
  <c r="I418" i="43" s="1"/>
  <c r="I424" i="43" s="1"/>
  <c r="I430" i="43" s="1"/>
  <c r="I436" i="43" s="1"/>
  <c r="I442" i="43" s="1"/>
  <c r="I448" i="43" s="1"/>
  <c r="I454" i="43" s="1"/>
  <c r="I460" i="43" s="1"/>
  <c r="I466" i="43" s="1"/>
  <c r="I472" i="43" s="1"/>
  <c r="I478" i="43" s="1"/>
  <c r="I484" i="43" s="1"/>
  <c r="I490" i="43" s="1"/>
  <c r="I496" i="43" s="1"/>
  <c r="H10" i="43"/>
  <c r="H16" i="43" s="1"/>
  <c r="H22" i="43" s="1"/>
  <c r="H28" i="43" s="1"/>
  <c r="H34" i="43" s="1"/>
  <c r="H40" i="43" s="1"/>
  <c r="H46" i="43" s="1"/>
  <c r="H52" i="43" s="1"/>
  <c r="H58" i="43" s="1"/>
  <c r="H64" i="43" s="1"/>
  <c r="H70" i="43" s="1"/>
  <c r="H76" i="43" s="1"/>
  <c r="H82" i="43" s="1"/>
  <c r="H88" i="43" s="1"/>
  <c r="H94" i="43" s="1"/>
  <c r="H100" i="43" s="1"/>
  <c r="H106" i="43" s="1"/>
  <c r="H112" i="43" s="1"/>
  <c r="H118" i="43" s="1"/>
  <c r="H124" i="43" s="1"/>
  <c r="H130" i="43" s="1"/>
  <c r="H136" i="43" s="1"/>
  <c r="H142" i="43" s="1"/>
  <c r="H148" i="43" s="1"/>
  <c r="H154" i="43" s="1"/>
  <c r="H160" i="43" s="1"/>
  <c r="H166" i="43" s="1"/>
  <c r="H172" i="43" s="1"/>
  <c r="H178" i="43" s="1"/>
  <c r="H184" i="43" s="1"/>
  <c r="H190" i="43" s="1"/>
  <c r="H196" i="43" s="1"/>
  <c r="H202" i="43" s="1"/>
  <c r="H208" i="43" s="1"/>
  <c r="H214" i="43" s="1"/>
  <c r="H220" i="43" s="1"/>
  <c r="H226" i="43" s="1"/>
  <c r="H232" i="43" s="1"/>
  <c r="H238" i="43" s="1"/>
  <c r="H244" i="43" s="1"/>
  <c r="H250" i="43" s="1"/>
  <c r="H256" i="43" s="1"/>
  <c r="H262" i="43" s="1"/>
  <c r="H268" i="43" s="1"/>
  <c r="H274" i="43" s="1"/>
  <c r="H280" i="43" s="1"/>
  <c r="H286" i="43" s="1"/>
  <c r="H292" i="43" s="1"/>
  <c r="H298" i="43" s="1"/>
  <c r="H304" i="43" s="1"/>
  <c r="H310" i="43" s="1"/>
  <c r="H316" i="43" s="1"/>
  <c r="H322" i="43" s="1"/>
  <c r="H328" i="43" s="1"/>
  <c r="H334" i="43" s="1"/>
  <c r="H340" i="43" s="1"/>
  <c r="H346" i="43" s="1"/>
  <c r="H352" i="43" s="1"/>
  <c r="H358" i="43" s="1"/>
  <c r="H364" i="43" s="1"/>
  <c r="H370" i="43" s="1"/>
  <c r="H376" i="43" s="1"/>
  <c r="H382" i="43" s="1"/>
  <c r="H388" i="43" s="1"/>
  <c r="H394" i="43" s="1"/>
  <c r="H400" i="43" s="1"/>
  <c r="H406" i="43" s="1"/>
  <c r="H412" i="43" s="1"/>
  <c r="H418" i="43" s="1"/>
  <c r="H424" i="43" s="1"/>
  <c r="H430" i="43" s="1"/>
  <c r="H436" i="43" s="1"/>
  <c r="H442" i="43" s="1"/>
  <c r="H448" i="43" s="1"/>
  <c r="H454" i="43" s="1"/>
  <c r="H460" i="43" s="1"/>
  <c r="H466" i="43" s="1"/>
  <c r="H472" i="43" s="1"/>
  <c r="H478" i="43" s="1"/>
  <c r="H484" i="43" s="1"/>
  <c r="H490" i="43" s="1"/>
  <c r="H496" i="43" s="1"/>
  <c r="E4" i="43"/>
  <c r="K4" i="43" s="1"/>
  <c r="A9" i="43"/>
  <c r="A15" i="43" s="1"/>
  <c r="A21" i="43" s="1"/>
  <c r="A27" i="43" s="1"/>
  <c r="A33" i="43" s="1"/>
  <c r="A39" i="43" s="1"/>
  <c r="A45" i="43" s="1"/>
  <c r="A51" i="43" s="1"/>
  <c r="A57" i="43" s="1"/>
  <c r="A63" i="43" s="1"/>
  <c r="A69" i="43" s="1"/>
  <c r="A75" i="43" s="1"/>
  <c r="A81" i="43" s="1"/>
  <c r="A87" i="43" s="1"/>
  <c r="A93" i="43" s="1"/>
  <c r="A99" i="43" s="1"/>
  <c r="A105" i="43" s="1"/>
  <c r="A111" i="43" s="1"/>
  <c r="A117" i="43" s="1"/>
  <c r="A123" i="43" s="1"/>
  <c r="A129" i="43" s="1"/>
  <c r="A135" i="43" s="1"/>
  <c r="A141" i="43" s="1"/>
  <c r="A147" i="43" s="1"/>
  <c r="A153" i="43" s="1"/>
  <c r="A159" i="43" s="1"/>
  <c r="A165" i="43" s="1"/>
  <c r="A171" i="43" s="1"/>
  <c r="A177" i="43" s="1"/>
  <c r="A183" i="43" s="1"/>
  <c r="A189" i="43" s="1"/>
  <c r="A195" i="43" s="1"/>
  <c r="A201" i="43" s="1"/>
  <c r="A207" i="43" s="1"/>
  <c r="A213" i="43" s="1"/>
  <c r="A219" i="43" s="1"/>
  <c r="A225" i="43" s="1"/>
  <c r="A231" i="43" s="1"/>
  <c r="A237" i="43" s="1"/>
  <c r="A243" i="43" s="1"/>
  <c r="A249" i="43" s="1"/>
  <c r="A255" i="43" s="1"/>
  <c r="A261" i="43" s="1"/>
  <c r="A267" i="43" s="1"/>
  <c r="A273" i="43" s="1"/>
  <c r="A279" i="43" s="1"/>
  <c r="A285" i="43" s="1"/>
  <c r="A291" i="43" s="1"/>
  <c r="A297" i="43" s="1"/>
  <c r="A303" i="43" s="1"/>
  <c r="A309" i="43" s="1"/>
  <c r="A315" i="43" s="1"/>
  <c r="A321" i="43" s="1"/>
  <c r="A327" i="43" s="1"/>
  <c r="A333" i="43" s="1"/>
  <c r="A339" i="43" s="1"/>
  <c r="A345" i="43" s="1"/>
  <c r="A351" i="43" s="1"/>
  <c r="A357" i="43" s="1"/>
  <c r="A363" i="43" s="1"/>
  <c r="A369" i="43" s="1"/>
  <c r="A375" i="43" s="1"/>
  <c r="A381" i="43" s="1"/>
  <c r="A387" i="43" s="1"/>
  <c r="A393" i="43" s="1"/>
  <c r="A399" i="43" s="1"/>
  <c r="A405" i="43" s="1"/>
  <c r="A411" i="43" s="1"/>
  <c r="A417" i="43" s="1"/>
  <c r="A423" i="43" s="1"/>
  <c r="A429" i="43" s="1"/>
  <c r="A435" i="43" s="1"/>
  <c r="A441" i="43" s="1"/>
  <c r="A447" i="43" s="1"/>
  <c r="A453" i="43" s="1"/>
  <c r="A459" i="43" s="1"/>
  <c r="A465" i="43" s="1"/>
  <c r="A471" i="43" s="1"/>
  <c r="A477" i="43" s="1"/>
  <c r="A483" i="43" s="1"/>
  <c r="A489" i="43" s="1"/>
  <c r="A495" i="43" s="1"/>
  <c r="E6" i="43" l="1"/>
  <c r="K6" i="43" s="1"/>
  <c r="E12" i="43"/>
  <c r="E18" i="43"/>
  <c r="E24" i="43"/>
  <c r="E30" i="43"/>
  <c r="CI45" i="103" l="1"/>
  <c r="CJ45" i="103" l="1"/>
  <c r="CN45" i="103"/>
  <c r="CI8" i="103"/>
  <c r="CJ8" i="103" l="1"/>
  <c r="CN8" i="103"/>
  <c r="CI19" i="103"/>
  <c r="CJ19" i="103" l="1"/>
  <c r="CN19" i="103"/>
  <c r="C10" i="71"/>
  <c r="C9" i="71"/>
  <c r="C8" i="71"/>
  <c r="C7" i="71"/>
  <c r="C6" i="71"/>
  <c r="C5" i="71"/>
  <c r="C4" i="71"/>
  <c r="C3" i="71"/>
  <c r="C11" i="71" l="1"/>
  <c r="E34" i="104"/>
  <c r="E35" i="104" s="1"/>
  <c r="D23" i="104"/>
  <c r="E23" i="104" s="1"/>
  <c r="E22" i="104"/>
  <c r="E21" i="104"/>
  <c r="E20" i="104"/>
  <c r="E19" i="104"/>
  <c r="E18" i="104"/>
  <c r="D13" i="104"/>
  <c r="C34" i="104" s="1"/>
  <c r="C35" i="104" s="1"/>
  <c r="E12" i="104"/>
  <c r="E11" i="104"/>
  <c r="E10" i="104"/>
  <c r="E9" i="104"/>
  <c r="E13" i="104" l="1"/>
  <c r="D34" i="104"/>
  <c r="D35" i="104" s="1"/>
  <c r="C37" i="104" l="1"/>
  <c r="E37" i="104" l="1"/>
  <c r="C38" i="104"/>
  <c r="E38" i="104" s="1"/>
  <c r="CI32" i="103"/>
  <c r="CI23" i="103"/>
  <c r="CI20" i="103"/>
  <c r="E39" i="104" l="1"/>
  <c r="CJ20" i="103"/>
  <c r="CN20" i="103"/>
  <c r="CJ32" i="103"/>
  <c r="CN32" i="103"/>
  <c r="CJ23" i="103"/>
  <c r="CN23" i="103"/>
  <c r="CI12" i="103"/>
  <c r="CI24" i="103"/>
  <c r="CI28" i="103"/>
  <c r="CI29" i="103"/>
  <c r="CI39" i="103"/>
  <c r="CI40" i="103"/>
  <c r="CI41" i="103"/>
  <c r="CI42" i="103"/>
  <c r="CI43" i="103"/>
  <c r="CI44" i="103"/>
  <c r="CI47" i="103"/>
  <c r="CI7" i="103"/>
  <c r="CI11" i="103"/>
  <c r="CI17" i="103"/>
  <c r="CI22" i="103"/>
  <c r="CI26" i="103"/>
  <c r="CI27" i="103"/>
  <c r="CI34" i="103"/>
  <c r="CJ34" i="103" s="1"/>
  <c r="CI37" i="103"/>
  <c r="CI38" i="103"/>
  <c r="CI48" i="103"/>
  <c r="CI50" i="103"/>
  <c r="CI18" i="103"/>
  <c r="CI5" i="103"/>
  <c r="CI6" i="103"/>
  <c r="CI9" i="103"/>
  <c r="CI14" i="103"/>
  <c r="CJ40" i="103" l="1"/>
  <c r="CN40" i="103"/>
  <c r="CJ18" i="103"/>
  <c r="CN18" i="103"/>
  <c r="CJ48" i="103"/>
  <c r="CN48" i="103"/>
  <c r="CJ27" i="103"/>
  <c r="CN27" i="103"/>
  <c r="CJ22" i="103"/>
  <c r="CN22" i="103"/>
  <c r="CJ43" i="103"/>
  <c r="CN43" i="103"/>
  <c r="CJ41" i="103"/>
  <c r="CN41" i="103"/>
  <c r="CJ28" i="103"/>
  <c r="CN28" i="103"/>
  <c r="CJ9" i="103"/>
  <c r="CN9" i="103"/>
  <c r="CJ38" i="103"/>
  <c r="CN38" i="103"/>
  <c r="CJ26" i="103"/>
  <c r="CN26" i="103"/>
  <c r="CJ7" i="103"/>
  <c r="CN7" i="103"/>
  <c r="CJ44" i="103"/>
  <c r="CN44" i="103"/>
  <c r="CJ42" i="103"/>
  <c r="CN42" i="103"/>
  <c r="CJ29" i="103"/>
  <c r="CN29" i="103"/>
  <c r="CJ24" i="103"/>
  <c r="CN24" i="103"/>
  <c r="CJ5" i="103"/>
  <c r="CN5" i="103"/>
  <c r="CJ50" i="103"/>
  <c r="CN50" i="103"/>
  <c r="CN34" i="103"/>
  <c r="CJ17" i="103"/>
  <c r="CN17" i="103"/>
  <c r="CJ14" i="103"/>
  <c r="CN14" i="103"/>
  <c r="CJ6" i="103"/>
  <c r="CN6" i="103"/>
  <c r="CJ37" i="103"/>
  <c r="CN37" i="103"/>
  <c r="CJ11" i="103"/>
  <c r="CN11" i="103"/>
  <c r="CJ47" i="103"/>
  <c r="CN47" i="103"/>
  <c r="CJ39" i="103"/>
  <c r="CN39" i="103"/>
  <c r="CJ12" i="103"/>
  <c r="CN12" i="103"/>
  <c r="D31" i="101"/>
  <c r="E31" i="101" s="1"/>
  <c r="E30" i="101"/>
  <c r="E29" i="101"/>
  <c r="E28" i="101"/>
  <c r="D23" i="101"/>
  <c r="D34" i="101" s="1"/>
  <c r="D35" i="101" s="1"/>
  <c r="E22" i="101"/>
  <c r="E21" i="101"/>
  <c r="E20" i="101"/>
  <c r="E19" i="101"/>
  <c r="E18" i="101"/>
  <c r="D13" i="101"/>
  <c r="E13" i="101" s="1"/>
  <c r="E12" i="101"/>
  <c r="E11" i="101"/>
  <c r="E10" i="101"/>
  <c r="E9" i="101"/>
  <c r="E23" i="101" l="1"/>
  <c r="CI13" i="103"/>
  <c r="CI36" i="103"/>
  <c r="CJ3" i="103"/>
  <c r="CI30" i="103"/>
  <c r="CI21" i="103"/>
  <c r="CI16" i="103"/>
  <c r="CI35" i="103"/>
  <c r="CI4" i="103"/>
  <c r="CN4" i="103" s="1"/>
  <c r="C34" i="101"/>
  <c r="E34" i="101"/>
  <c r="E35" i="101" s="1"/>
  <c r="D31" i="99"/>
  <c r="E31" i="99" s="1"/>
  <c r="E30" i="99"/>
  <c r="E29" i="99"/>
  <c r="E28" i="99"/>
  <c r="D23" i="99"/>
  <c r="D34" i="99" s="1"/>
  <c r="D35" i="99" s="1"/>
  <c r="E22" i="99"/>
  <c r="E21" i="99"/>
  <c r="E20" i="99"/>
  <c r="E19" i="99"/>
  <c r="E18" i="99"/>
  <c r="D13" i="99"/>
  <c r="C34" i="99" s="1"/>
  <c r="E12" i="99"/>
  <c r="E11" i="99"/>
  <c r="E10" i="99"/>
  <c r="E9" i="99"/>
  <c r="CJ16" i="103" l="1"/>
  <c r="CN16" i="103"/>
  <c r="CJ30" i="103"/>
  <c r="CN30" i="103"/>
  <c r="CJ36" i="103"/>
  <c r="CN36" i="103"/>
  <c r="CJ35" i="103"/>
  <c r="CN35" i="103"/>
  <c r="CJ21" i="103"/>
  <c r="CN21" i="103"/>
  <c r="CJ13" i="103"/>
  <c r="CN13" i="103"/>
  <c r="C35" i="101"/>
  <c r="C37" i="101"/>
  <c r="E13" i="99"/>
  <c r="C35" i="99"/>
  <c r="E23" i="99"/>
  <c r="E34" i="99"/>
  <c r="E35" i="99" s="1"/>
  <c r="CN51" i="103" l="1"/>
  <c r="CJ4" i="103"/>
  <c r="CJ51" i="103" s="1"/>
  <c r="CI51" i="103"/>
  <c r="E37" i="101"/>
  <c r="C37" i="99"/>
  <c r="N14" i="77" l="1"/>
  <c r="E37" i="99"/>
  <c r="D31" i="98"/>
  <c r="E31" i="98" s="1"/>
  <c r="E30" i="98"/>
  <c r="E29" i="98"/>
  <c r="E28" i="98"/>
  <c r="D23" i="98"/>
  <c r="D34" i="98" s="1"/>
  <c r="D35" i="98" s="1"/>
  <c r="E22" i="98"/>
  <c r="E21" i="98"/>
  <c r="E20" i="98"/>
  <c r="E19" i="98"/>
  <c r="E18" i="98"/>
  <c r="D13" i="98"/>
  <c r="E13" i="98" s="1"/>
  <c r="E12" i="98"/>
  <c r="E11" i="98"/>
  <c r="E10" i="98"/>
  <c r="E9" i="98"/>
  <c r="H3" i="77" l="1"/>
  <c r="B21" i="77"/>
  <c r="F21" i="77" s="1"/>
  <c r="E23" i="98"/>
  <c r="C34" i="98"/>
  <c r="E34" i="98"/>
  <c r="E35" i="98" s="1"/>
  <c r="C35" i="98" l="1"/>
  <c r="C37" i="98"/>
  <c r="E37" i="98" l="1"/>
  <c r="D31" i="97"/>
  <c r="E31" i="97" s="1"/>
  <c r="D23" i="97"/>
  <c r="D34" i="97" s="1"/>
  <c r="D35" i="97" s="1"/>
  <c r="E30" i="97"/>
  <c r="E29" i="97"/>
  <c r="E28" i="97"/>
  <c r="E22" i="97"/>
  <c r="E21" i="97"/>
  <c r="E20" i="97"/>
  <c r="E19" i="97"/>
  <c r="E18" i="97"/>
  <c r="D13" i="97"/>
  <c r="C34" i="97" s="1"/>
  <c r="E12" i="97"/>
  <c r="E11" i="97"/>
  <c r="E10" i="97"/>
  <c r="E9" i="97"/>
  <c r="E13" i="97" l="1"/>
  <c r="C35" i="97"/>
  <c r="E23" i="97"/>
  <c r="E34" i="97"/>
  <c r="E35" i="97" s="1"/>
  <c r="D31" i="94"/>
  <c r="E31" i="94" s="1"/>
  <c r="D13" i="94"/>
  <c r="E13" i="94" s="1"/>
  <c r="D23" i="94"/>
  <c r="D34" i="94" s="1"/>
  <c r="D35" i="94" s="1"/>
  <c r="D25" i="96"/>
  <c r="E25" i="96" s="1"/>
  <c r="E24" i="96"/>
  <c r="E23" i="96"/>
  <c r="D18" i="96"/>
  <c r="D29" i="96" s="1"/>
  <c r="D30" i="96" s="1"/>
  <c r="E17" i="96"/>
  <c r="E16" i="96"/>
  <c r="D11" i="96"/>
  <c r="E11" i="96" s="1"/>
  <c r="E10" i="96"/>
  <c r="E9" i="96"/>
  <c r="D25" i="95"/>
  <c r="E25" i="95" s="1"/>
  <c r="E24" i="95"/>
  <c r="E23" i="95"/>
  <c r="D18" i="95"/>
  <c r="D29" i="95" s="1"/>
  <c r="D30" i="95" s="1"/>
  <c r="E17" i="95"/>
  <c r="E16" i="95"/>
  <c r="D11" i="95"/>
  <c r="E11" i="95" s="1"/>
  <c r="E10" i="95"/>
  <c r="E9" i="95"/>
  <c r="E30" i="94"/>
  <c r="E29" i="94"/>
  <c r="E28" i="94"/>
  <c r="E22" i="94"/>
  <c r="E21" i="94"/>
  <c r="E20" i="94"/>
  <c r="E19" i="94"/>
  <c r="E18" i="94"/>
  <c r="E12" i="94"/>
  <c r="E11" i="94"/>
  <c r="E10" i="94"/>
  <c r="E9" i="94"/>
  <c r="C37" i="97" l="1"/>
  <c r="E23" i="94"/>
  <c r="C29" i="96"/>
  <c r="E29" i="96"/>
  <c r="E30" i="96" s="1"/>
  <c r="E18" i="96"/>
  <c r="C29" i="95"/>
  <c r="E29" i="95"/>
  <c r="E30" i="95" s="1"/>
  <c r="E18" i="95"/>
  <c r="C34" i="94"/>
  <c r="E34" i="94"/>
  <c r="E35" i="94" s="1"/>
  <c r="E37" i="97" l="1"/>
  <c r="C30" i="96"/>
  <c r="C32" i="96"/>
  <c r="C30" i="95"/>
  <c r="C32" i="95"/>
  <c r="C35" i="94"/>
  <c r="C37" i="94"/>
  <c r="E32" i="96" l="1"/>
  <c r="E32" i="95"/>
  <c r="E37" i="94"/>
  <c r="D31" i="93"/>
  <c r="E31" i="93" s="1"/>
  <c r="E30" i="93"/>
  <c r="E29" i="93"/>
  <c r="E28" i="93"/>
  <c r="D23" i="93"/>
  <c r="D34" i="93" s="1"/>
  <c r="D35" i="93" s="1"/>
  <c r="E22" i="93"/>
  <c r="E21" i="93"/>
  <c r="E20" i="93"/>
  <c r="E19" i="93"/>
  <c r="E18" i="93"/>
  <c r="D13" i="93"/>
  <c r="E13" i="93" s="1"/>
  <c r="E12" i="93"/>
  <c r="E11" i="93"/>
  <c r="E10" i="93"/>
  <c r="E9" i="93"/>
  <c r="E23" i="93" l="1"/>
  <c r="C34" i="93"/>
  <c r="E34" i="93"/>
  <c r="E35" i="93" s="1"/>
  <c r="C35" i="93" l="1"/>
  <c r="C37" i="93"/>
  <c r="E37" i="93" l="1"/>
  <c r="D13" i="92" l="1"/>
  <c r="D31" i="92" l="1"/>
  <c r="E31" i="92" s="1"/>
  <c r="E30" i="92"/>
  <c r="E29" i="92"/>
  <c r="E28" i="92"/>
  <c r="D23" i="92"/>
  <c r="D34" i="92" s="1"/>
  <c r="D35" i="92" s="1"/>
  <c r="E22" i="92"/>
  <c r="E21" i="92"/>
  <c r="E20" i="92"/>
  <c r="E19" i="92"/>
  <c r="E18" i="92"/>
  <c r="E13" i="92"/>
  <c r="E12" i="92"/>
  <c r="E11" i="92"/>
  <c r="E10" i="92"/>
  <c r="E9" i="92"/>
  <c r="E23" i="92" l="1"/>
  <c r="C34" i="92"/>
  <c r="E34" i="92"/>
  <c r="E35" i="92" s="1"/>
  <c r="C35" i="92" l="1"/>
  <c r="C37" i="92"/>
  <c r="D31" i="90"/>
  <c r="E34" i="90" s="1"/>
  <c r="D23" i="90"/>
  <c r="D34" i="90" s="1"/>
  <c r="D13" i="90"/>
  <c r="C34" i="90" s="1"/>
  <c r="C39" i="90"/>
  <c r="E30" i="90"/>
  <c r="E29" i="90"/>
  <c r="E28" i="90"/>
  <c r="E22" i="90"/>
  <c r="E21" i="90"/>
  <c r="E20" i="90"/>
  <c r="E19" i="90"/>
  <c r="E18" i="90"/>
  <c r="E12" i="90"/>
  <c r="E11" i="90"/>
  <c r="E10" i="90"/>
  <c r="E9" i="90"/>
  <c r="E37" i="92" l="1"/>
  <c r="C35" i="90"/>
  <c r="E31" i="90"/>
  <c r="E13" i="90"/>
  <c r="D35" i="90"/>
  <c r="E35" i="90"/>
  <c r="E23" i="90"/>
  <c r="D30" i="89"/>
  <c r="E30" i="89" s="1"/>
  <c r="E29" i="89"/>
  <c r="E28" i="89"/>
  <c r="D23" i="89"/>
  <c r="D34" i="89" s="1"/>
  <c r="D35" i="89" s="1"/>
  <c r="E22" i="89"/>
  <c r="E21" i="89"/>
  <c r="E20" i="89"/>
  <c r="E19" i="89"/>
  <c r="E18" i="89"/>
  <c r="D13" i="89"/>
  <c r="C34" i="89" s="1"/>
  <c r="C35" i="89" s="1"/>
  <c r="E12" i="89"/>
  <c r="E11" i="89"/>
  <c r="E10" i="89"/>
  <c r="E9" i="89"/>
  <c r="C37" i="90" l="1"/>
  <c r="E37" i="90" s="1"/>
  <c r="E13" i="89"/>
  <c r="E34" i="89"/>
  <c r="E35" i="89" s="1"/>
  <c r="E23" i="89"/>
  <c r="C34" i="88"/>
  <c r="C39" i="87"/>
  <c r="D13" i="87"/>
  <c r="C34" i="87" s="1"/>
  <c r="D25" i="88"/>
  <c r="E25" i="88" s="1"/>
  <c r="E24" i="88"/>
  <c r="E23" i="88"/>
  <c r="D18" i="88"/>
  <c r="D29" i="88" s="1"/>
  <c r="D30" i="88" s="1"/>
  <c r="E17" i="88"/>
  <c r="E16" i="88"/>
  <c r="D11" i="88"/>
  <c r="E11" i="88" s="1"/>
  <c r="E10" i="88"/>
  <c r="E9" i="88"/>
  <c r="D30" i="87"/>
  <c r="E30" i="87" s="1"/>
  <c r="E29" i="87"/>
  <c r="E28" i="87"/>
  <c r="D23" i="87"/>
  <c r="D34" i="87" s="1"/>
  <c r="D35" i="87" s="1"/>
  <c r="E22" i="87"/>
  <c r="E21" i="87"/>
  <c r="E20" i="87"/>
  <c r="E19" i="87"/>
  <c r="E18" i="87"/>
  <c r="E12" i="87"/>
  <c r="E11" i="87"/>
  <c r="E10" i="87"/>
  <c r="E9" i="87"/>
  <c r="C38" i="90" l="1"/>
  <c r="E38" i="90" s="1"/>
  <c r="E39" i="90" s="1"/>
  <c r="C37" i="89"/>
  <c r="E37" i="89" s="1"/>
  <c r="C29" i="88"/>
  <c r="E29" i="88"/>
  <c r="E30" i="88" s="1"/>
  <c r="E18" i="88"/>
  <c r="E13" i="87"/>
  <c r="C35" i="87"/>
  <c r="E34" i="87"/>
  <c r="E35" i="87" s="1"/>
  <c r="E23" i="87"/>
  <c r="C30" i="88" l="1"/>
  <c r="C32" i="88"/>
  <c r="C37" i="87"/>
  <c r="D30" i="86"/>
  <c r="E34" i="86" s="1"/>
  <c r="E35" i="86" s="1"/>
  <c r="E29" i="86"/>
  <c r="E28" i="86"/>
  <c r="D23" i="86"/>
  <c r="E23" i="86" s="1"/>
  <c r="E22" i="86"/>
  <c r="E21" i="86"/>
  <c r="E20" i="86"/>
  <c r="E19" i="86"/>
  <c r="E18" i="86"/>
  <c r="D13" i="86"/>
  <c r="C34" i="86" s="1"/>
  <c r="E12" i="86"/>
  <c r="E11" i="86"/>
  <c r="E10" i="86"/>
  <c r="E9" i="86"/>
  <c r="E32" i="88" l="1"/>
  <c r="C33" i="88"/>
  <c r="E33" i="88" s="1"/>
  <c r="E37" i="87"/>
  <c r="C38" i="87"/>
  <c r="E38" i="87" s="1"/>
  <c r="E30" i="86"/>
  <c r="D34" i="86"/>
  <c r="D35" i="86" s="1"/>
  <c r="C35" i="86"/>
  <c r="E13" i="86"/>
  <c r="E39" i="87" l="1"/>
  <c r="E34" i="88"/>
  <c r="C37" i="86"/>
  <c r="E37" i="86" l="1"/>
  <c r="D30" i="85"/>
  <c r="E30" i="85" s="1"/>
  <c r="E29" i="85"/>
  <c r="E28" i="85"/>
  <c r="D23" i="85"/>
  <c r="D34" i="85" s="1"/>
  <c r="D35" i="85" s="1"/>
  <c r="E22" i="85"/>
  <c r="E21" i="85"/>
  <c r="E20" i="85"/>
  <c r="E19" i="85"/>
  <c r="E18" i="85"/>
  <c r="D13" i="85"/>
  <c r="C34" i="85" s="1"/>
  <c r="C35" i="85" s="1"/>
  <c r="E12" i="85"/>
  <c r="E11" i="85"/>
  <c r="E10" i="85"/>
  <c r="E9" i="85"/>
  <c r="E13" i="85" l="1"/>
  <c r="E34" i="85"/>
  <c r="E35" i="85" s="1"/>
  <c r="E23" i="85"/>
  <c r="C37" i="85" l="1"/>
  <c r="E37" i="85" s="1"/>
  <c r="D23" i="83" l="1"/>
  <c r="D34" i="83" s="1"/>
  <c r="D35" i="83" s="1"/>
  <c r="D30" i="83"/>
  <c r="E30" i="83" s="1"/>
  <c r="E29" i="83"/>
  <c r="E28" i="83"/>
  <c r="E22" i="83"/>
  <c r="E21" i="83"/>
  <c r="E20" i="83"/>
  <c r="E19" i="83"/>
  <c r="E18" i="83"/>
  <c r="D13" i="83"/>
  <c r="C34" i="83" s="1"/>
  <c r="C35" i="83" s="1"/>
  <c r="E12" i="83"/>
  <c r="E11" i="83"/>
  <c r="E10" i="83"/>
  <c r="E9" i="83"/>
  <c r="D25" i="82"/>
  <c r="E25" i="82" s="1"/>
  <c r="E24" i="82"/>
  <c r="E23" i="82"/>
  <c r="D18" i="82"/>
  <c r="D29" i="82" s="1"/>
  <c r="D30" i="82" s="1"/>
  <c r="E17" i="82"/>
  <c r="E16" i="82"/>
  <c r="D11" i="82"/>
  <c r="E11" i="82" s="1"/>
  <c r="E10" i="82"/>
  <c r="E9" i="82"/>
  <c r="D25" i="81"/>
  <c r="E25" i="81" s="1"/>
  <c r="E24" i="81"/>
  <c r="E23" i="81"/>
  <c r="D18" i="81"/>
  <c r="D29" i="81" s="1"/>
  <c r="D30" i="81" s="1"/>
  <c r="E17" i="81"/>
  <c r="E16" i="81"/>
  <c r="D11" i="81"/>
  <c r="E11" i="81" s="1"/>
  <c r="E10" i="81"/>
  <c r="E9" i="81"/>
  <c r="E13" i="83" l="1"/>
  <c r="E34" i="83"/>
  <c r="E35" i="83" s="1"/>
  <c r="E23" i="83"/>
  <c r="C29" i="82"/>
  <c r="E29" i="82"/>
  <c r="E30" i="82" s="1"/>
  <c r="E18" i="82"/>
  <c r="C29" i="81"/>
  <c r="E29" i="81"/>
  <c r="E30" i="81" s="1"/>
  <c r="E18" i="81"/>
  <c r="C37" i="83" l="1"/>
  <c r="E37" i="83" s="1"/>
  <c r="C30" i="82"/>
  <c r="C32" i="82"/>
  <c r="C30" i="81"/>
  <c r="C32" i="81"/>
  <c r="F27" i="77"/>
  <c r="D31" i="77"/>
  <c r="F30" i="77" l="1"/>
  <c r="F29" i="77"/>
  <c r="F28" i="77"/>
  <c r="F26" i="77"/>
  <c r="H2" i="71" s="1"/>
  <c r="F24" i="77"/>
  <c r="E32" i="82"/>
  <c r="E32" i="81"/>
  <c r="C31" i="77"/>
  <c r="E31" i="77"/>
  <c r="D30" i="80" l="1"/>
  <c r="E30" i="80" s="1"/>
  <c r="E29" i="80"/>
  <c r="E28" i="80"/>
  <c r="D23" i="80"/>
  <c r="D34" i="80" s="1"/>
  <c r="D35" i="80" s="1"/>
  <c r="E22" i="80"/>
  <c r="E21" i="80"/>
  <c r="E20" i="80"/>
  <c r="E19" i="80"/>
  <c r="E18" i="80"/>
  <c r="D13" i="80"/>
  <c r="C34" i="80" s="1"/>
  <c r="E12" i="80"/>
  <c r="E11" i="80"/>
  <c r="E10" i="80"/>
  <c r="E9" i="80"/>
  <c r="E13" i="80" l="1"/>
  <c r="C35" i="80"/>
  <c r="E34" i="80"/>
  <c r="E35" i="80" s="1"/>
  <c r="E23" i="80"/>
  <c r="C37" i="80" l="1"/>
  <c r="L14" i="77"/>
  <c r="D30" i="79"/>
  <c r="E30" i="79" s="1"/>
  <c r="E29" i="79"/>
  <c r="E28" i="79"/>
  <c r="D23" i="79"/>
  <c r="D34" i="79" s="1"/>
  <c r="D35" i="79" s="1"/>
  <c r="E22" i="79"/>
  <c r="E21" i="79"/>
  <c r="E20" i="79"/>
  <c r="E19" i="79"/>
  <c r="E18" i="79"/>
  <c r="D13" i="79"/>
  <c r="C34" i="79" s="1"/>
  <c r="C35" i="79" s="1"/>
  <c r="E12" i="79"/>
  <c r="E11" i="79"/>
  <c r="E10" i="79"/>
  <c r="E9" i="79"/>
  <c r="E37" i="80" l="1"/>
  <c r="E13" i="79"/>
  <c r="E34" i="79"/>
  <c r="E35" i="79" s="1"/>
  <c r="E23" i="79"/>
  <c r="C37" i="79" l="1"/>
  <c r="E37" i="79" s="1"/>
  <c r="D30" i="78" l="1"/>
  <c r="E30" i="78" s="1"/>
  <c r="E29" i="78"/>
  <c r="E28" i="78"/>
  <c r="D23" i="78"/>
  <c r="D34" i="78" s="1"/>
  <c r="D35" i="78" s="1"/>
  <c r="E22" i="78"/>
  <c r="E21" i="78"/>
  <c r="E20" i="78"/>
  <c r="E19" i="78"/>
  <c r="E18" i="78"/>
  <c r="D13" i="78"/>
  <c r="C34" i="78" s="1"/>
  <c r="C35" i="78" s="1"/>
  <c r="E12" i="78"/>
  <c r="E11" i="78"/>
  <c r="E10" i="78"/>
  <c r="E9" i="78"/>
  <c r="E13" i="78" l="1"/>
  <c r="E34" i="78"/>
  <c r="E35" i="78" s="1"/>
  <c r="E23" i="78"/>
  <c r="C37" i="78" l="1"/>
  <c r="E37" i="78" s="1"/>
  <c r="K14" i="77"/>
  <c r="C14" i="77"/>
  <c r="D14" i="77"/>
  <c r="D30" i="76" l="1"/>
  <c r="E30" i="76" s="1"/>
  <c r="E29" i="76"/>
  <c r="E28" i="76"/>
  <c r="D23" i="76"/>
  <c r="D34" i="76" s="1"/>
  <c r="D35" i="76" s="1"/>
  <c r="E22" i="76"/>
  <c r="E21" i="76"/>
  <c r="E20" i="76"/>
  <c r="E19" i="76"/>
  <c r="E18" i="76"/>
  <c r="D13" i="76"/>
  <c r="C34" i="76" s="1"/>
  <c r="C35" i="76" s="1"/>
  <c r="E12" i="76"/>
  <c r="E11" i="76"/>
  <c r="E10" i="76"/>
  <c r="E9" i="76"/>
  <c r="E13" i="76" l="1"/>
  <c r="E34" i="76"/>
  <c r="E35" i="76" s="1"/>
  <c r="E23" i="76"/>
  <c r="C37" i="76" l="1"/>
  <c r="E37" i="76" s="1"/>
  <c r="D30" i="74" l="1"/>
  <c r="E30" i="74" s="1"/>
  <c r="E29" i="74"/>
  <c r="E28" i="74"/>
  <c r="D23" i="74"/>
  <c r="D34" i="74" s="1"/>
  <c r="D35" i="74" s="1"/>
  <c r="E22" i="74"/>
  <c r="E21" i="74"/>
  <c r="E20" i="74"/>
  <c r="E19" i="74"/>
  <c r="E18" i="74"/>
  <c r="D13" i="74"/>
  <c r="C34" i="74" s="1"/>
  <c r="C35" i="74" s="1"/>
  <c r="E12" i="74"/>
  <c r="E11" i="74"/>
  <c r="E10" i="74"/>
  <c r="E9" i="74"/>
  <c r="D25" i="73"/>
  <c r="E25" i="73" s="1"/>
  <c r="E24" i="73"/>
  <c r="E23" i="73"/>
  <c r="D18" i="73"/>
  <c r="D29" i="73" s="1"/>
  <c r="D30" i="73" s="1"/>
  <c r="E17" i="73"/>
  <c r="E16" i="73"/>
  <c r="D11" i="73"/>
  <c r="E11" i="73" s="1"/>
  <c r="E10" i="73"/>
  <c r="E9" i="73"/>
  <c r="D25" i="72"/>
  <c r="E25" i="72" s="1"/>
  <c r="E24" i="72"/>
  <c r="E23" i="72"/>
  <c r="D18" i="72"/>
  <c r="D29" i="72" s="1"/>
  <c r="D30" i="72" s="1"/>
  <c r="E17" i="72"/>
  <c r="E16" i="72"/>
  <c r="D11" i="72"/>
  <c r="E11" i="72" s="1"/>
  <c r="E10" i="72"/>
  <c r="E9" i="72"/>
  <c r="E13" i="74" l="1"/>
  <c r="E34" i="74"/>
  <c r="E35" i="74" s="1"/>
  <c r="E23" i="74"/>
  <c r="C29" i="73"/>
  <c r="E29" i="73"/>
  <c r="E30" i="73" s="1"/>
  <c r="E18" i="73"/>
  <c r="C29" i="72"/>
  <c r="E29" i="72"/>
  <c r="E30" i="72" s="1"/>
  <c r="E18" i="72"/>
  <c r="C39" i="101"/>
  <c r="C38" i="101" s="1"/>
  <c r="E38" i="101" s="1"/>
  <c r="E39" i="101" s="1"/>
  <c r="C39" i="99"/>
  <c r="C38" i="99" s="1"/>
  <c r="E38" i="99" s="1"/>
  <c r="E39" i="99" s="1"/>
  <c r="C39" i="98"/>
  <c r="C38" i="98" s="1"/>
  <c r="E38" i="98" s="1"/>
  <c r="E39" i="98" s="1"/>
  <c r="C39" i="97"/>
  <c r="C38" i="97" s="1"/>
  <c r="E38" i="97" s="1"/>
  <c r="E39" i="97" s="1"/>
  <c r="C34" i="96"/>
  <c r="C33" i="96" s="1"/>
  <c r="E33" i="96" s="1"/>
  <c r="E34" i="96" s="1"/>
  <c r="C34" i="95"/>
  <c r="C33" i="95" s="1"/>
  <c r="E33" i="95" s="1"/>
  <c r="E34" i="95" s="1"/>
  <c r="C39" i="94"/>
  <c r="C38" i="94" s="1"/>
  <c r="E38" i="94" s="1"/>
  <c r="E39" i="94" s="1"/>
  <c r="C39" i="93"/>
  <c r="C38" i="93" s="1"/>
  <c r="E38" i="93" s="1"/>
  <c r="E39" i="93" s="1"/>
  <c r="C39" i="92"/>
  <c r="C38" i="92" s="1"/>
  <c r="E38" i="92" s="1"/>
  <c r="E39" i="92" s="1"/>
  <c r="C39" i="89"/>
  <c r="C38" i="89" s="1"/>
  <c r="E38" i="89" s="1"/>
  <c r="E39" i="89" s="1"/>
  <c r="C39" i="86"/>
  <c r="C38" i="86" s="1"/>
  <c r="E38" i="86" s="1"/>
  <c r="E39" i="86" s="1"/>
  <c r="C39" i="85"/>
  <c r="C38" i="85" s="1"/>
  <c r="E38" i="85" s="1"/>
  <c r="E39" i="85" s="1"/>
  <c r="C37" i="74" l="1"/>
  <c r="C30" i="73"/>
  <c r="C32" i="73"/>
  <c r="C30" i="72"/>
  <c r="C32" i="72"/>
  <c r="E4" i="71"/>
  <c r="F4" i="71"/>
  <c r="H4" i="71"/>
  <c r="I4" i="71"/>
  <c r="J4" i="71"/>
  <c r="K4" i="71"/>
  <c r="L4" i="71"/>
  <c r="E5" i="71"/>
  <c r="F5" i="71"/>
  <c r="H5" i="71"/>
  <c r="I5" i="71"/>
  <c r="J5" i="71"/>
  <c r="K5" i="71"/>
  <c r="L5" i="71"/>
  <c r="E6" i="71"/>
  <c r="F6" i="71"/>
  <c r="H6" i="71"/>
  <c r="I6" i="71"/>
  <c r="J6" i="71"/>
  <c r="K6" i="71"/>
  <c r="L6" i="71"/>
  <c r="E7" i="71"/>
  <c r="F7" i="71"/>
  <c r="H7" i="71"/>
  <c r="I7" i="71"/>
  <c r="J7" i="71"/>
  <c r="K7" i="71"/>
  <c r="L7" i="71"/>
  <c r="E8" i="71"/>
  <c r="F8" i="71"/>
  <c r="H8" i="71"/>
  <c r="I8" i="71"/>
  <c r="J8" i="71"/>
  <c r="K8" i="71"/>
  <c r="L8" i="71"/>
  <c r="E9" i="71"/>
  <c r="F9" i="71"/>
  <c r="H9" i="71"/>
  <c r="I9" i="71"/>
  <c r="J9" i="71"/>
  <c r="K9" i="71"/>
  <c r="L9" i="71"/>
  <c r="E10" i="71"/>
  <c r="F10" i="71"/>
  <c r="H10" i="71"/>
  <c r="I10" i="71"/>
  <c r="J10" i="71"/>
  <c r="K10" i="71"/>
  <c r="L10" i="71"/>
  <c r="D4" i="71"/>
  <c r="D10" i="71"/>
  <c r="D9" i="71"/>
  <c r="D8" i="71"/>
  <c r="D7" i="71"/>
  <c r="D6" i="71"/>
  <c r="D5" i="71"/>
  <c r="E3" i="71"/>
  <c r="F3" i="71"/>
  <c r="H3" i="71"/>
  <c r="I3" i="71"/>
  <c r="J3" i="71"/>
  <c r="K3" i="71"/>
  <c r="L3" i="71"/>
  <c r="D3" i="71"/>
  <c r="B11" i="71"/>
  <c r="E11" i="71" l="1"/>
  <c r="L11" i="71"/>
  <c r="J11" i="71"/>
  <c r="K11" i="71"/>
  <c r="I11" i="71"/>
  <c r="F11" i="71"/>
  <c r="H11" i="71"/>
  <c r="D11" i="71"/>
  <c r="E37" i="74"/>
  <c r="E32" i="73"/>
  <c r="E32" i="72"/>
  <c r="D30" i="70" l="1"/>
  <c r="E30" i="70" s="1"/>
  <c r="E29" i="70"/>
  <c r="E28" i="70"/>
  <c r="D23" i="70"/>
  <c r="D34" i="70" s="1"/>
  <c r="D35" i="70" s="1"/>
  <c r="E22" i="70"/>
  <c r="E21" i="70"/>
  <c r="E20" i="70"/>
  <c r="E19" i="70"/>
  <c r="E18" i="70"/>
  <c r="D13" i="70"/>
  <c r="C34" i="70" s="1"/>
  <c r="C35" i="70" s="1"/>
  <c r="E12" i="70"/>
  <c r="E11" i="70"/>
  <c r="E10" i="70"/>
  <c r="E9" i="70"/>
  <c r="D30" i="69"/>
  <c r="E30" i="69" s="1"/>
  <c r="E29" i="69"/>
  <c r="E28" i="69"/>
  <c r="D23" i="69"/>
  <c r="D34" i="69" s="1"/>
  <c r="D35" i="69" s="1"/>
  <c r="E22" i="69"/>
  <c r="E21" i="69"/>
  <c r="E20" i="69"/>
  <c r="E19" i="69"/>
  <c r="E18" i="69"/>
  <c r="D13" i="69"/>
  <c r="C34" i="69" s="1"/>
  <c r="C35" i="69" s="1"/>
  <c r="E12" i="69"/>
  <c r="E11" i="69"/>
  <c r="E10" i="69"/>
  <c r="E9" i="69"/>
  <c r="E13" i="70" l="1"/>
  <c r="E13" i="69"/>
  <c r="E34" i="70"/>
  <c r="E35" i="70" s="1"/>
  <c r="E23" i="70"/>
  <c r="E34" i="69"/>
  <c r="E35" i="69" s="1"/>
  <c r="E23" i="69"/>
  <c r="C37" i="70" l="1"/>
  <c r="E37" i="70" s="1"/>
  <c r="C37" i="69"/>
  <c r="E37" i="69" s="1"/>
  <c r="D30" i="68"/>
  <c r="E30" i="68" s="1"/>
  <c r="E29" i="68"/>
  <c r="E28" i="68"/>
  <c r="D23" i="68"/>
  <c r="D34" i="68" s="1"/>
  <c r="D35" i="68" s="1"/>
  <c r="E22" i="68"/>
  <c r="E21" i="68"/>
  <c r="E20" i="68"/>
  <c r="E19" i="68"/>
  <c r="E18" i="68"/>
  <c r="D13" i="68"/>
  <c r="C34" i="68" s="1"/>
  <c r="E12" i="68"/>
  <c r="E11" i="68"/>
  <c r="E10" i="68"/>
  <c r="E9" i="68"/>
  <c r="E13" i="68" l="1"/>
  <c r="C35" i="68"/>
  <c r="E34" i="68"/>
  <c r="E35" i="68" s="1"/>
  <c r="E23" i="68"/>
  <c r="C37" i="68" l="1"/>
  <c r="E37" i="68" l="1"/>
  <c r="D13" i="67" l="1"/>
  <c r="D30" i="67" l="1"/>
  <c r="E34" i="67" s="1"/>
  <c r="E35" i="67" s="1"/>
  <c r="E29" i="67"/>
  <c r="E28" i="67"/>
  <c r="D23" i="67"/>
  <c r="E23" i="67" s="1"/>
  <c r="E22" i="67"/>
  <c r="E21" i="67"/>
  <c r="E20" i="67"/>
  <c r="E19" i="67"/>
  <c r="E18" i="67"/>
  <c r="C34" i="67"/>
  <c r="E12" i="67"/>
  <c r="E11" i="67"/>
  <c r="E10" i="67"/>
  <c r="E9" i="67"/>
  <c r="E30" i="67" l="1"/>
  <c r="D34" i="67"/>
  <c r="D35" i="67" s="1"/>
  <c r="C35" i="67"/>
  <c r="E13" i="67"/>
  <c r="C37" i="67" l="1"/>
  <c r="E37" i="67" s="1"/>
  <c r="D25" i="66"/>
  <c r="E25" i="66" s="1"/>
  <c r="E24" i="66"/>
  <c r="E23" i="66"/>
  <c r="D18" i="66"/>
  <c r="E17" i="66"/>
  <c r="E16" i="66"/>
  <c r="D11" i="66"/>
  <c r="E11" i="66" s="1"/>
  <c r="E10" i="66"/>
  <c r="E9" i="66"/>
  <c r="D25" i="65"/>
  <c r="E25" i="65" s="1"/>
  <c r="E24" i="65"/>
  <c r="E23" i="65"/>
  <c r="D18" i="65"/>
  <c r="D29" i="65" s="1"/>
  <c r="D30" i="65" s="1"/>
  <c r="E17" i="65"/>
  <c r="E16" i="65"/>
  <c r="D11" i="65"/>
  <c r="E11" i="65" s="1"/>
  <c r="E10" i="65"/>
  <c r="E9" i="65"/>
  <c r="D30" i="64"/>
  <c r="E30" i="64" s="1"/>
  <c r="E29" i="64"/>
  <c r="E28" i="64"/>
  <c r="D23" i="64"/>
  <c r="D34" i="64" s="1"/>
  <c r="D35" i="64" s="1"/>
  <c r="E22" i="64"/>
  <c r="E21" i="64"/>
  <c r="E20" i="64"/>
  <c r="E19" i="64"/>
  <c r="E18" i="64"/>
  <c r="D13" i="64"/>
  <c r="C34" i="64" s="1"/>
  <c r="E12" i="64"/>
  <c r="E11" i="64"/>
  <c r="E10" i="64"/>
  <c r="E9" i="64"/>
  <c r="C29" i="66" l="1"/>
  <c r="E29" i="66"/>
  <c r="E30" i="66" s="1"/>
  <c r="D29" i="66"/>
  <c r="D30" i="66" s="1"/>
  <c r="E29" i="65"/>
  <c r="E30" i="65" s="1"/>
  <c r="C29" i="65"/>
  <c r="C30" i="65" s="1"/>
  <c r="E18" i="66"/>
  <c r="E18" i="65"/>
  <c r="E13" i="64"/>
  <c r="C35" i="64"/>
  <c r="E34" i="64"/>
  <c r="E35" i="64" s="1"/>
  <c r="E23" i="64"/>
  <c r="C32" i="66" l="1"/>
  <c r="C30" i="66"/>
  <c r="C32" i="65"/>
  <c r="E32" i="65" s="1"/>
  <c r="C37" i="64"/>
  <c r="E32" i="66" l="1"/>
  <c r="E37" i="64"/>
  <c r="D30" i="63" l="1"/>
  <c r="E34" i="63" s="1"/>
  <c r="E29" i="63"/>
  <c r="E28" i="63"/>
  <c r="D23" i="63"/>
  <c r="D34" i="63" s="1"/>
  <c r="D35" i="63" s="1"/>
  <c r="E22" i="63"/>
  <c r="E21" i="63"/>
  <c r="E20" i="63"/>
  <c r="E19" i="63"/>
  <c r="E18" i="63"/>
  <c r="D13" i="63"/>
  <c r="C34" i="63" s="1"/>
  <c r="E12" i="63"/>
  <c r="E11" i="63"/>
  <c r="E10" i="63"/>
  <c r="E9" i="63"/>
  <c r="C37" i="63" l="1"/>
  <c r="E37" i="63" s="1"/>
  <c r="E35" i="63"/>
  <c r="C35" i="63"/>
  <c r="E30" i="63"/>
  <c r="E23" i="63"/>
  <c r="E13" i="63"/>
  <c r="D30" i="62" l="1"/>
  <c r="G34" i="62" s="1"/>
  <c r="G35" i="62" s="1"/>
  <c r="E29" i="62"/>
  <c r="E28" i="62"/>
  <c r="D23" i="62"/>
  <c r="F34" i="62" s="1"/>
  <c r="F35" i="62" s="1"/>
  <c r="E22" i="62"/>
  <c r="E21" i="62"/>
  <c r="E20" i="62"/>
  <c r="E19" i="62"/>
  <c r="E18" i="62"/>
  <c r="D13" i="62"/>
  <c r="E34" i="62" s="1"/>
  <c r="E35" i="62" s="1"/>
  <c r="E12" i="62"/>
  <c r="E11" i="62"/>
  <c r="E10" i="62"/>
  <c r="E9" i="62"/>
  <c r="E23" i="62" l="1"/>
  <c r="E30" i="62"/>
  <c r="E36" i="62"/>
  <c r="E13" i="62"/>
  <c r="D23" i="61" l="1"/>
  <c r="E23" i="61" s="1"/>
  <c r="E20" i="61"/>
  <c r="D30" i="61" l="1"/>
  <c r="G34" i="61" s="1"/>
  <c r="G35" i="61" s="1"/>
  <c r="E29" i="61"/>
  <c r="E28" i="61"/>
  <c r="F34" i="61"/>
  <c r="F35" i="61" s="1"/>
  <c r="E22" i="61"/>
  <c r="E21" i="61"/>
  <c r="E19" i="61"/>
  <c r="E18" i="61"/>
  <c r="D13" i="61"/>
  <c r="E34" i="61" s="1"/>
  <c r="E35" i="61" s="1"/>
  <c r="E12" i="61"/>
  <c r="E11" i="61"/>
  <c r="E10" i="61"/>
  <c r="E9" i="61"/>
  <c r="E30" i="61" l="1"/>
  <c r="E36" i="61"/>
  <c r="E13" i="61"/>
  <c r="C34" i="82"/>
  <c r="C33" i="82" s="1"/>
  <c r="E33" i="82" s="1"/>
  <c r="E34" i="82" s="1"/>
  <c r="C34" i="81"/>
  <c r="C33" i="81" s="1"/>
  <c r="E33" i="81" s="1"/>
  <c r="E34" i="81" s="1"/>
  <c r="C39" i="83"/>
  <c r="C38" i="83" s="1"/>
  <c r="E38" i="83" s="1"/>
  <c r="E39" i="83" s="1"/>
  <c r="C39" i="80"/>
  <c r="C38" i="80" s="1"/>
  <c r="E38" i="80" s="1"/>
  <c r="E39" i="80" s="1"/>
  <c r="C39" i="79"/>
  <c r="C38" i="79" s="1"/>
  <c r="E38" i="79" s="1"/>
  <c r="E39" i="79" s="1"/>
  <c r="C39" i="78"/>
  <c r="C38" i="78" s="1"/>
  <c r="E38" i="78" s="1"/>
  <c r="E39" i="78" s="1"/>
  <c r="C39" i="76"/>
  <c r="C38" i="76" s="1"/>
  <c r="E38" i="76" s="1"/>
  <c r="E39" i="76" s="1"/>
  <c r="C34" i="72"/>
  <c r="C33" i="72" s="1"/>
  <c r="E33" i="72" s="1"/>
  <c r="E34" i="72" s="1"/>
  <c r="C34" i="73"/>
  <c r="C33" i="73" s="1"/>
  <c r="E33" i="73" s="1"/>
  <c r="E34" i="73" s="1"/>
  <c r="C39" i="74"/>
  <c r="C38" i="74" s="1"/>
  <c r="E38" i="74" s="1"/>
  <c r="E39" i="74" s="1"/>
  <c r="C39" i="70"/>
  <c r="C38" i="70" s="1"/>
  <c r="E38" i="70" s="1"/>
  <c r="E39" i="70" s="1"/>
  <c r="C39" i="69"/>
  <c r="C38" i="69" s="1"/>
  <c r="E38" i="69" s="1"/>
  <c r="E39" i="69" s="1"/>
  <c r="C39" i="68"/>
  <c r="C38" i="68" s="1"/>
  <c r="E38" i="68" s="1"/>
  <c r="E39" i="68" s="1"/>
  <c r="C39" i="67"/>
  <c r="C38" i="67" s="1"/>
  <c r="E38" i="67" s="1"/>
  <c r="E39" i="67" s="1"/>
  <c r="C34" i="66"/>
  <c r="C33" i="66" s="1"/>
  <c r="E33" i="66" s="1"/>
  <c r="E34" i="66" s="1"/>
  <c r="C34" i="65"/>
  <c r="C33" i="65" s="1"/>
  <c r="E33" i="65" s="1"/>
  <c r="E34" i="65" s="1"/>
  <c r="C39" i="64"/>
  <c r="C38" i="64" s="1"/>
  <c r="E38" i="64" s="1"/>
  <c r="E39" i="64" s="1"/>
  <c r="D30" i="60" l="1"/>
  <c r="G34" i="60" s="1"/>
  <c r="G35" i="60" s="1"/>
  <c r="E29" i="60"/>
  <c r="E28" i="60"/>
  <c r="D23" i="60"/>
  <c r="F34" i="60" s="1"/>
  <c r="F35" i="60" s="1"/>
  <c r="E22" i="60"/>
  <c r="E21" i="60"/>
  <c r="E20" i="60"/>
  <c r="E19" i="60"/>
  <c r="E18" i="60"/>
  <c r="D13" i="60"/>
  <c r="E34" i="60" s="1"/>
  <c r="E35" i="60" s="1"/>
  <c r="E12" i="60"/>
  <c r="E11" i="60"/>
  <c r="E10" i="60"/>
  <c r="E9" i="60"/>
  <c r="E23" i="60" l="1"/>
  <c r="E30" i="60"/>
  <c r="E36" i="60"/>
  <c r="E13" i="60"/>
  <c r="D11" i="56" l="1"/>
  <c r="E31" i="56" s="1"/>
  <c r="E32" i="56" s="1"/>
  <c r="D27" i="57"/>
  <c r="G31" i="57" s="1"/>
  <c r="G32" i="57" s="1"/>
  <c r="E26" i="57"/>
  <c r="E25" i="57"/>
  <c r="E24" i="57"/>
  <c r="D19" i="57"/>
  <c r="E19" i="57" s="1"/>
  <c r="E18" i="57"/>
  <c r="E17" i="57"/>
  <c r="E16" i="57"/>
  <c r="D11" i="57"/>
  <c r="E31" i="57" s="1"/>
  <c r="E32" i="57" s="1"/>
  <c r="E10" i="57"/>
  <c r="E9" i="57"/>
  <c r="D27" i="56"/>
  <c r="E26" i="56"/>
  <c r="E25" i="56"/>
  <c r="E24" i="56"/>
  <c r="D19" i="56"/>
  <c r="E19" i="56" s="1"/>
  <c r="E18" i="56"/>
  <c r="E17" i="56"/>
  <c r="E16" i="56"/>
  <c r="E10" i="56"/>
  <c r="E9" i="56"/>
  <c r="E28" i="55"/>
  <c r="D30" i="55"/>
  <c r="G34" i="55" s="1"/>
  <c r="G35" i="55" s="1"/>
  <c r="E29" i="55"/>
  <c r="D23" i="55"/>
  <c r="F34" i="55" s="1"/>
  <c r="F35" i="55" s="1"/>
  <c r="E22" i="55"/>
  <c r="E21" i="55"/>
  <c r="E20" i="55"/>
  <c r="E19" i="55"/>
  <c r="E18" i="55"/>
  <c r="D13" i="55"/>
  <c r="E34" i="55" s="1"/>
  <c r="E35" i="55" s="1"/>
  <c r="E12" i="55"/>
  <c r="E11" i="55"/>
  <c r="E10" i="55"/>
  <c r="E9" i="55"/>
  <c r="F31" i="56" l="1"/>
  <c r="F32" i="56" s="1"/>
  <c r="E13" i="55"/>
  <c r="G31" i="56"/>
  <c r="G32" i="56" s="1"/>
  <c r="E11" i="57"/>
  <c r="E27" i="57"/>
  <c r="E11" i="56"/>
  <c r="E27" i="56"/>
  <c r="F31" i="57"/>
  <c r="F32" i="57" s="1"/>
  <c r="E33" i="57" s="1"/>
  <c r="E36" i="55"/>
  <c r="E23" i="55"/>
  <c r="E30" i="55"/>
  <c r="E33" i="56" l="1"/>
  <c r="D30" i="54"/>
  <c r="E30" i="54" s="1"/>
  <c r="E29" i="54"/>
  <c r="E28" i="54"/>
  <c r="D23" i="54"/>
  <c r="F34" i="54" s="1"/>
  <c r="F35" i="54" s="1"/>
  <c r="E22" i="54"/>
  <c r="E21" i="54"/>
  <c r="E20" i="54"/>
  <c r="E19" i="54"/>
  <c r="E18" i="54"/>
  <c r="D13" i="54"/>
  <c r="E34" i="54" s="1"/>
  <c r="E35" i="54" s="1"/>
  <c r="E12" i="54"/>
  <c r="E11" i="54"/>
  <c r="E10" i="54"/>
  <c r="E9" i="54"/>
  <c r="E13" i="54" l="1"/>
  <c r="G34" i="54"/>
  <c r="G35" i="54" s="1"/>
  <c r="E36" i="54" s="1"/>
  <c r="E23" i="54"/>
  <c r="D23" i="52" l="1"/>
  <c r="E23" i="52" s="1"/>
  <c r="E19" i="52"/>
  <c r="D30" i="52"/>
  <c r="G34" i="52" s="1"/>
  <c r="G35" i="52" s="1"/>
  <c r="E29" i="52"/>
  <c r="E28" i="52"/>
  <c r="E22" i="52"/>
  <c r="E21" i="52"/>
  <c r="E20" i="52"/>
  <c r="E18" i="52"/>
  <c r="D13" i="52"/>
  <c r="E34" i="52" s="1"/>
  <c r="E35" i="52" s="1"/>
  <c r="E12" i="52"/>
  <c r="E11" i="52"/>
  <c r="E10" i="52"/>
  <c r="E9" i="52"/>
  <c r="F34" i="52" l="1"/>
  <c r="F35" i="52" s="1"/>
  <c r="E36" i="52" s="1"/>
  <c r="E30" i="52"/>
  <c r="E13" i="52"/>
  <c r="D13" i="51" l="1"/>
  <c r="E34" i="51" s="1"/>
  <c r="E35" i="51" s="1"/>
  <c r="D23" i="51"/>
  <c r="F34" i="51" s="1"/>
  <c r="F35" i="51" s="1"/>
  <c r="D30" i="51"/>
  <c r="G34" i="51" s="1"/>
  <c r="G35" i="51" s="1"/>
  <c r="E29" i="51"/>
  <c r="E28" i="51"/>
  <c r="E22" i="51"/>
  <c r="E21" i="51"/>
  <c r="E20" i="51"/>
  <c r="E19" i="51"/>
  <c r="E18" i="51"/>
  <c r="E12" i="51"/>
  <c r="E11" i="51"/>
  <c r="E10" i="51"/>
  <c r="E9" i="51"/>
  <c r="E23" i="51" l="1"/>
  <c r="E30" i="51"/>
  <c r="E36" i="51"/>
  <c r="E13" i="51"/>
  <c r="C39" i="63"/>
  <c r="C38" i="63" s="1"/>
  <c r="E38" i="63" s="1"/>
  <c r="E39" i="63" s="1"/>
  <c r="D30" i="50" l="1"/>
  <c r="G34" i="50" s="1"/>
  <c r="G35" i="50" s="1"/>
  <c r="E29" i="50"/>
  <c r="E28" i="50"/>
  <c r="D23" i="50"/>
  <c r="F34" i="50" s="1"/>
  <c r="F35" i="50" s="1"/>
  <c r="E22" i="50"/>
  <c r="E21" i="50"/>
  <c r="E20" i="50"/>
  <c r="E19" i="50"/>
  <c r="E18" i="50"/>
  <c r="D13" i="50"/>
  <c r="E34" i="50" s="1"/>
  <c r="E35" i="50" s="1"/>
  <c r="E12" i="50"/>
  <c r="E11" i="50"/>
  <c r="E10" i="50"/>
  <c r="E9" i="50"/>
  <c r="E23" i="50" l="1"/>
  <c r="E30" i="50"/>
  <c r="E36" i="50"/>
  <c r="E13" i="50"/>
  <c r="H21" i="6"/>
  <c r="D12" i="48" l="1"/>
  <c r="E32" i="48" s="1"/>
  <c r="E33" i="48" s="1"/>
  <c r="D20" i="48"/>
  <c r="D28" i="48"/>
  <c r="G32" i="48" s="1"/>
  <c r="G33" i="48" s="1"/>
  <c r="D12" i="47"/>
  <c r="E32" i="47" s="1"/>
  <c r="D20" i="47"/>
  <c r="F32" i="47" s="1"/>
  <c r="D28" i="47"/>
  <c r="G32" i="47" s="1"/>
  <c r="D30" i="44"/>
  <c r="G34" i="44" s="1"/>
  <c r="G35" i="44" s="1"/>
  <c r="D13" i="44"/>
  <c r="D23" i="44"/>
  <c r="F34" i="44" s="1"/>
  <c r="F35" i="44" s="1"/>
  <c r="E34" i="44"/>
  <c r="E35" i="44" s="1"/>
  <c r="E27" i="48"/>
  <c r="E26" i="48"/>
  <c r="E25" i="48"/>
  <c r="E20" i="48"/>
  <c r="E19" i="48"/>
  <c r="E18" i="48"/>
  <c r="E17" i="48"/>
  <c r="E11" i="48"/>
  <c r="E10" i="48"/>
  <c r="E9" i="48"/>
  <c r="E27" i="47"/>
  <c r="E26" i="47"/>
  <c r="E25" i="47"/>
  <c r="E19" i="47"/>
  <c r="E18" i="47"/>
  <c r="E17" i="47"/>
  <c r="E10" i="47"/>
  <c r="E11" i="47"/>
  <c r="E9" i="47"/>
  <c r="E9" i="44"/>
  <c r="E29" i="44"/>
  <c r="E28" i="44"/>
  <c r="E22" i="44"/>
  <c r="E21" i="44"/>
  <c r="E20" i="44"/>
  <c r="E19" i="44"/>
  <c r="E18" i="44"/>
  <c r="E12" i="44"/>
  <c r="E11" i="44"/>
  <c r="E10" i="44"/>
  <c r="E12" i="47" l="1"/>
  <c r="E20" i="47"/>
  <c r="E28" i="48"/>
  <c r="E12" i="48"/>
  <c r="E36" i="44"/>
  <c r="E23" i="44"/>
  <c r="F32" i="48"/>
  <c r="F33" i="48" s="1"/>
  <c r="E34" i="48" s="1"/>
  <c r="E28" i="47"/>
  <c r="G33" i="47"/>
  <c r="F33" i="47"/>
  <c r="E33" i="47"/>
  <c r="E30" i="44"/>
  <c r="E13" i="44"/>
  <c r="E34" i="47" l="1"/>
  <c r="J11" i="43"/>
  <c r="J17" i="43" s="1"/>
  <c r="J23" i="43" s="1"/>
  <c r="J29" i="43" s="1"/>
  <c r="J35" i="43" s="1"/>
  <c r="J41" i="43" s="1"/>
  <c r="J47" i="43" s="1"/>
  <c r="J53" i="43" s="1"/>
  <c r="J59" i="43" s="1"/>
  <c r="J65" i="43" s="1"/>
  <c r="J71" i="43" s="1"/>
  <c r="J77" i="43" s="1"/>
  <c r="J83" i="43" s="1"/>
  <c r="J89" i="43" s="1"/>
  <c r="J95" i="43" s="1"/>
  <c r="J101" i="43" s="1"/>
  <c r="J107" i="43" s="1"/>
  <c r="J113" i="43" s="1"/>
  <c r="J119" i="43" s="1"/>
  <c r="J125" i="43" s="1"/>
  <c r="J131" i="43" s="1"/>
  <c r="J137" i="43" s="1"/>
  <c r="J143" i="43" s="1"/>
  <c r="J149" i="43" s="1"/>
  <c r="J155" i="43" s="1"/>
  <c r="J161" i="43" s="1"/>
  <c r="J167" i="43" s="1"/>
  <c r="J173" i="43" s="1"/>
  <c r="J179" i="43" s="1"/>
  <c r="J185" i="43" s="1"/>
  <c r="J191" i="43" s="1"/>
  <c r="J197" i="43" s="1"/>
  <c r="J203" i="43" s="1"/>
  <c r="J209" i="43" s="1"/>
  <c r="J215" i="43" s="1"/>
  <c r="J221" i="43" s="1"/>
  <c r="J227" i="43" s="1"/>
  <c r="J233" i="43" s="1"/>
  <c r="J239" i="43" s="1"/>
  <c r="J245" i="43" s="1"/>
  <c r="J251" i="43" s="1"/>
  <c r="J257" i="43" s="1"/>
  <c r="J263" i="43" s="1"/>
  <c r="J269" i="43" s="1"/>
  <c r="J275" i="43" s="1"/>
  <c r="J281" i="43" s="1"/>
  <c r="J287" i="43" s="1"/>
  <c r="J293" i="43" s="1"/>
  <c r="J299" i="43" s="1"/>
  <c r="J305" i="43" s="1"/>
  <c r="J311" i="43" s="1"/>
  <c r="J317" i="43" s="1"/>
  <c r="J323" i="43" s="1"/>
  <c r="J329" i="43" s="1"/>
  <c r="J335" i="43" s="1"/>
  <c r="J341" i="43" s="1"/>
  <c r="J347" i="43" s="1"/>
  <c r="J353" i="43" s="1"/>
  <c r="J359" i="43" s="1"/>
  <c r="J365" i="43" s="1"/>
  <c r="J371" i="43" s="1"/>
  <c r="J377" i="43" s="1"/>
  <c r="J383" i="43" s="1"/>
  <c r="J389" i="43" s="1"/>
  <c r="J395" i="43" s="1"/>
  <c r="J401" i="43" s="1"/>
  <c r="J407" i="43" s="1"/>
  <c r="J413" i="43" s="1"/>
  <c r="J419" i="43" s="1"/>
  <c r="J425" i="43" s="1"/>
  <c r="J431" i="43" s="1"/>
  <c r="J437" i="43" s="1"/>
  <c r="J443" i="43" s="1"/>
  <c r="J449" i="43" s="1"/>
  <c r="J455" i="43" s="1"/>
  <c r="J461" i="43" s="1"/>
  <c r="J467" i="43" s="1"/>
  <c r="J473" i="43" s="1"/>
  <c r="J479" i="43" s="1"/>
  <c r="J485" i="43" s="1"/>
  <c r="J491" i="43" s="1"/>
  <c r="J497" i="43" s="1"/>
  <c r="J10" i="43" l="1"/>
  <c r="J16" i="43" s="1"/>
  <c r="J22" i="43" s="1"/>
  <c r="J28" i="43" s="1"/>
  <c r="J34" i="43" s="1"/>
  <c r="J40" i="43" s="1"/>
  <c r="J46" i="43" s="1"/>
  <c r="J52" i="43" s="1"/>
  <c r="J58" i="43" s="1"/>
  <c r="J64" i="43" s="1"/>
  <c r="J70" i="43" s="1"/>
  <c r="J76" i="43" s="1"/>
  <c r="J82" i="43" s="1"/>
  <c r="J88" i="43" s="1"/>
  <c r="J94" i="43" s="1"/>
  <c r="J100" i="43" s="1"/>
  <c r="J106" i="43" s="1"/>
  <c r="J112" i="43" s="1"/>
  <c r="J118" i="43" s="1"/>
  <c r="J124" i="43" s="1"/>
  <c r="J130" i="43" s="1"/>
  <c r="J136" i="43" s="1"/>
  <c r="J142" i="43" s="1"/>
  <c r="J148" i="43" s="1"/>
  <c r="J154" i="43" s="1"/>
  <c r="J160" i="43" s="1"/>
  <c r="J166" i="43" s="1"/>
  <c r="J172" i="43" s="1"/>
  <c r="J178" i="43" s="1"/>
  <c r="J184" i="43" s="1"/>
  <c r="J190" i="43" s="1"/>
  <c r="J196" i="43" s="1"/>
  <c r="J202" i="43" s="1"/>
  <c r="J208" i="43" s="1"/>
  <c r="J214" i="43" s="1"/>
  <c r="J220" i="43" s="1"/>
  <c r="J226" i="43" s="1"/>
  <c r="J232" i="43" s="1"/>
  <c r="J238" i="43" s="1"/>
  <c r="J244" i="43" s="1"/>
  <c r="J250" i="43" s="1"/>
  <c r="J256" i="43" s="1"/>
  <c r="J262" i="43" s="1"/>
  <c r="J268" i="43" s="1"/>
  <c r="J274" i="43" s="1"/>
  <c r="J280" i="43" s="1"/>
  <c r="J286" i="43" s="1"/>
  <c r="J292" i="43" s="1"/>
  <c r="J298" i="43" s="1"/>
  <c r="J304" i="43" s="1"/>
  <c r="J310" i="43" s="1"/>
  <c r="J316" i="43" s="1"/>
  <c r="J322" i="43" s="1"/>
  <c r="J328" i="43" s="1"/>
  <c r="J334" i="43" s="1"/>
  <c r="J340" i="43" s="1"/>
  <c r="J346" i="43" s="1"/>
  <c r="J352" i="43" s="1"/>
  <c r="J358" i="43" s="1"/>
  <c r="J364" i="43" s="1"/>
  <c r="J370" i="43" s="1"/>
  <c r="J376" i="43" s="1"/>
  <c r="J382" i="43" s="1"/>
  <c r="J388" i="43" s="1"/>
  <c r="J394" i="43" s="1"/>
  <c r="J400" i="43" s="1"/>
  <c r="J406" i="43" s="1"/>
  <c r="J412" i="43" s="1"/>
  <c r="J418" i="43" s="1"/>
  <c r="J424" i="43" s="1"/>
  <c r="J430" i="43" s="1"/>
  <c r="J436" i="43" s="1"/>
  <c r="J442" i="43" s="1"/>
  <c r="J448" i="43" s="1"/>
  <c r="J454" i="43" s="1"/>
  <c r="J460" i="43" s="1"/>
  <c r="J466" i="43" s="1"/>
  <c r="J472" i="43" s="1"/>
  <c r="J478" i="43" s="1"/>
  <c r="J484" i="43" s="1"/>
  <c r="J490" i="43" s="1"/>
  <c r="J496" i="43" s="1"/>
  <c r="J12" i="43"/>
  <c r="J18" i="43" s="1"/>
  <c r="J24" i="43" s="1"/>
  <c r="J30" i="43" s="1"/>
  <c r="J36" i="43" s="1"/>
  <c r="J42" i="43" s="1"/>
  <c r="J48" i="43" s="1"/>
  <c r="J54" i="43" s="1"/>
  <c r="J60" i="43" s="1"/>
  <c r="J66" i="43" s="1"/>
  <c r="J72" i="43" s="1"/>
  <c r="J78" i="43" s="1"/>
  <c r="J84" i="43" s="1"/>
  <c r="J90" i="43" s="1"/>
  <c r="J96" i="43" s="1"/>
  <c r="J102" i="43" s="1"/>
  <c r="J108" i="43" s="1"/>
  <c r="J114" i="43" s="1"/>
  <c r="J120" i="43" s="1"/>
  <c r="J126" i="43" s="1"/>
  <c r="J132" i="43" s="1"/>
  <c r="J138" i="43" s="1"/>
  <c r="J144" i="43" s="1"/>
  <c r="J150" i="43" s="1"/>
  <c r="J156" i="43" s="1"/>
  <c r="J162" i="43" s="1"/>
  <c r="J168" i="43" s="1"/>
  <c r="J174" i="43" s="1"/>
  <c r="J180" i="43" s="1"/>
  <c r="J186" i="43" s="1"/>
  <c r="J192" i="43" s="1"/>
  <c r="J198" i="43" s="1"/>
  <c r="J204" i="43" s="1"/>
  <c r="J210" i="43" s="1"/>
  <c r="J216" i="43" s="1"/>
  <c r="J222" i="43" s="1"/>
  <c r="J228" i="43" s="1"/>
  <c r="J234" i="43" s="1"/>
  <c r="J240" i="43" s="1"/>
  <c r="J246" i="43" s="1"/>
  <c r="J252" i="43" s="1"/>
  <c r="J258" i="43" s="1"/>
  <c r="J264" i="43" s="1"/>
  <c r="J270" i="43" s="1"/>
  <c r="J276" i="43" s="1"/>
  <c r="J282" i="43" s="1"/>
  <c r="J288" i="43" s="1"/>
  <c r="J294" i="43" s="1"/>
  <c r="J300" i="43" s="1"/>
  <c r="J306" i="43" s="1"/>
  <c r="J312" i="43" s="1"/>
  <c r="J318" i="43" s="1"/>
  <c r="J324" i="43" s="1"/>
  <c r="J330" i="43" s="1"/>
  <c r="J336" i="43" s="1"/>
  <c r="J342" i="43" s="1"/>
  <c r="J348" i="43" s="1"/>
  <c r="J354" i="43" s="1"/>
  <c r="J360" i="43" s="1"/>
  <c r="J366" i="43" s="1"/>
  <c r="J372" i="43" s="1"/>
  <c r="J378" i="43" s="1"/>
  <c r="J384" i="43" s="1"/>
  <c r="J390" i="43" s="1"/>
  <c r="J396" i="43" s="1"/>
  <c r="J402" i="43" s="1"/>
  <c r="J408" i="43" s="1"/>
  <c r="J414" i="43" s="1"/>
  <c r="J420" i="43" s="1"/>
  <c r="J426" i="43" s="1"/>
  <c r="J432" i="43" s="1"/>
  <c r="J438" i="43" s="1"/>
  <c r="J444" i="43" s="1"/>
  <c r="J450" i="43" s="1"/>
  <c r="J456" i="43" s="1"/>
  <c r="J462" i="43" s="1"/>
  <c r="J468" i="43" s="1"/>
  <c r="J474" i="43" s="1"/>
  <c r="J480" i="43" s="1"/>
  <c r="J486" i="43" s="1"/>
  <c r="J492" i="43" s="1"/>
  <c r="J498" i="43" s="1"/>
  <c r="H11" i="43"/>
  <c r="H17" i="43" s="1"/>
  <c r="H23" i="43" s="1"/>
  <c r="H29" i="43" s="1"/>
  <c r="H35" i="43" s="1"/>
  <c r="H41" i="43" s="1"/>
  <c r="H47" i="43" s="1"/>
  <c r="H53" i="43" s="1"/>
  <c r="H59" i="43" s="1"/>
  <c r="H65" i="43" s="1"/>
  <c r="H71" i="43" s="1"/>
  <c r="H77" i="43" s="1"/>
  <c r="H83" i="43" s="1"/>
  <c r="H89" i="43" s="1"/>
  <c r="H95" i="43" s="1"/>
  <c r="H101" i="43" s="1"/>
  <c r="H107" i="43" s="1"/>
  <c r="H113" i="43" s="1"/>
  <c r="H119" i="43" s="1"/>
  <c r="H125" i="43" s="1"/>
  <c r="H131" i="43" s="1"/>
  <c r="H137" i="43" s="1"/>
  <c r="H143" i="43" s="1"/>
  <c r="H149" i="43" s="1"/>
  <c r="H155" i="43" s="1"/>
  <c r="H161" i="43" s="1"/>
  <c r="H167" i="43" s="1"/>
  <c r="H173" i="43" s="1"/>
  <c r="H179" i="43" s="1"/>
  <c r="H185" i="43" s="1"/>
  <c r="H191" i="43" s="1"/>
  <c r="H197" i="43" s="1"/>
  <c r="H203" i="43" s="1"/>
  <c r="H209" i="43" s="1"/>
  <c r="H215" i="43" s="1"/>
  <c r="H221" i="43" s="1"/>
  <c r="H227" i="43" s="1"/>
  <c r="H233" i="43" s="1"/>
  <c r="H239" i="43" s="1"/>
  <c r="H245" i="43" s="1"/>
  <c r="H251" i="43" s="1"/>
  <c r="H257" i="43" s="1"/>
  <c r="H263" i="43" s="1"/>
  <c r="H269" i="43" s="1"/>
  <c r="H275" i="43" s="1"/>
  <c r="H281" i="43" s="1"/>
  <c r="H287" i="43" s="1"/>
  <c r="H293" i="43" s="1"/>
  <c r="H299" i="43" s="1"/>
  <c r="H305" i="43" s="1"/>
  <c r="H311" i="43" s="1"/>
  <c r="H317" i="43" s="1"/>
  <c r="H323" i="43" s="1"/>
  <c r="H329" i="43" s="1"/>
  <c r="H335" i="43" s="1"/>
  <c r="H341" i="43" s="1"/>
  <c r="H347" i="43" s="1"/>
  <c r="H353" i="43" s="1"/>
  <c r="H359" i="43" s="1"/>
  <c r="H365" i="43" s="1"/>
  <c r="H371" i="43" s="1"/>
  <c r="H377" i="43" s="1"/>
  <c r="H383" i="43" s="1"/>
  <c r="H389" i="43" s="1"/>
  <c r="H395" i="43" s="1"/>
  <c r="H401" i="43" s="1"/>
  <c r="H407" i="43" s="1"/>
  <c r="H413" i="43" s="1"/>
  <c r="H419" i="43" s="1"/>
  <c r="H425" i="43" s="1"/>
  <c r="H431" i="43" s="1"/>
  <c r="H437" i="43" s="1"/>
  <c r="H443" i="43" s="1"/>
  <c r="H449" i="43" s="1"/>
  <c r="H455" i="43" s="1"/>
  <c r="H461" i="43" s="1"/>
  <c r="H467" i="43" s="1"/>
  <c r="H473" i="43" s="1"/>
  <c r="H479" i="43" s="1"/>
  <c r="H485" i="43" s="1"/>
  <c r="H491" i="43" s="1"/>
  <c r="H497" i="43" s="1"/>
  <c r="D30" i="42"/>
  <c r="E30" i="42" s="1"/>
  <c r="E29" i="42"/>
  <c r="E28" i="42"/>
  <c r="D23" i="42"/>
  <c r="F34" i="42" s="1"/>
  <c r="E22" i="42"/>
  <c r="E21" i="42"/>
  <c r="E20" i="42"/>
  <c r="E19" i="42"/>
  <c r="E18" i="42"/>
  <c r="D13" i="42"/>
  <c r="E34" i="42" s="1"/>
  <c r="E12" i="42"/>
  <c r="E11" i="42"/>
  <c r="E10" i="42"/>
  <c r="E9" i="42"/>
  <c r="E35" i="42" l="1"/>
  <c r="B190" i="16"/>
  <c r="F35" i="42"/>
  <c r="H12" i="43"/>
  <c r="H18" i="43" s="1"/>
  <c r="H24" i="43" s="1"/>
  <c r="H30" i="43" s="1"/>
  <c r="H36" i="43" s="1"/>
  <c r="H42" i="43" s="1"/>
  <c r="H48" i="43" s="1"/>
  <c r="H54" i="43" s="1"/>
  <c r="H60" i="43" s="1"/>
  <c r="H66" i="43" s="1"/>
  <c r="H72" i="43" s="1"/>
  <c r="H78" i="43" s="1"/>
  <c r="H84" i="43" s="1"/>
  <c r="H90" i="43" s="1"/>
  <c r="H96" i="43" s="1"/>
  <c r="H102" i="43" s="1"/>
  <c r="H108" i="43" s="1"/>
  <c r="H114" i="43" s="1"/>
  <c r="H120" i="43" s="1"/>
  <c r="H126" i="43" s="1"/>
  <c r="H132" i="43" s="1"/>
  <c r="H138" i="43" s="1"/>
  <c r="H144" i="43" s="1"/>
  <c r="H150" i="43" s="1"/>
  <c r="H156" i="43" s="1"/>
  <c r="H162" i="43" s="1"/>
  <c r="H168" i="43" s="1"/>
  <c r="H174" i="43" s="1"/>
  <c r="H180" i="43" s="1"/>
  <c r="H186" i="43" s="1"/>
  <c r="H192" i="43" s="1"/>
  <c r="H198" i="43" s="1"/>
  <c r="H204" i="43" s="1"/>
  <c r="H210" i="43" s="1"/>
  <c r="H216" i="43" s="1"/>
  <c r="H222" i="43" s="1"/>
  <c r="H228" i="43" s="1"/>
  <c r="H234" i="43" s="1"/>
  <c r="H240" i="43" s="1"/>
  <c r="H246" i="43" s="1"/>
  <c r="H252" i="43" s="1"/>
  <c r="H258" i="43" s="1"/>
  <c r="H264" i="43" s="1"/>
  <c r="H270" i="43" s="1"/>
  <c r="H276" i="43" s="1"/>
  <c r="H282" i="43" s="1"/>
  <c r="H288" i="43" s="1"/>
  <c r="H294" i="43" s="1"/>
  <c r="H300" i="43" s="1"/>
  <c r="H306" i="43" s="1"/>
  <c r="H312" i="43" s="1"/>
  <c r="H318" i="43" s="1"/>
  <c r="H324" i="43" s="1"/>
  <c r="H330" i="43" s="1"/>
  <c r="H336" i="43" s="1"/>
  <c r="H342" i="43" s="1"/>
  <c r="H348" i="43" s="1"/>
  <c r="H354" i="43" s="1"/>
  <c r="H360" i="43" s="1"/>
  <c r="H366" i="43" s="1"/>
  <c r="H372" i="43" s="1"/>
  <c r="H378" i="43" s="1"/>
  <c r="H384" i="43" s="1"/>
  <c r="H390" i="43" s="1"/>
  <c r="H396" i="43" s="1"/>
  <c r="H402" i="43" s="1"/>
  <c r="H408" i="43" s="1"/>
  <c r="H414" i="43" s="1"/>
  <c r="H420" i="43" s="1"/>
  <c r="H426" i="43" s="1"/>
  <c r="H432" i="43" s="1"/>
  <c r="H438" i="43" s="1"/>
  <c r="H444" i="43" s="1"/>
  <c r="H450" i="43" s="1"/>
  <c r="H456" i="43" s="1"/>
  <c r="H462" i="43" s="1"/>
  <c r="H468" i="43" s="1"/>
  <c r="H474" i="43" s="1"/>
  <c r="H480" i="43" s="1"/>
  <c r="H486" i="43" s="1"/>
  <c r="H492" i="43" s="1"/>
  <c r="H498" i="43" s="1"/>
  <c r="E13" i="42"/>
  <c r="G34" i="42"/>
  <c r="G35" i="42" s="1"/>
  <c r="E23" i="42"/>
  <c r="E36" i="42" l="1"/>
  <c r="C190" i="16"/>
  <c r="E190" i="16" s="1"/>
  <c r="K10" i="43"/>
  <c r="K16" i="43" s="1"/>
  <c r="K22" i="43" s="1"/>
  <c r="K28" i="43" s="1"/>
  <c r="K34" i="43" s="1"/>
  <c r="K40" i="43" s="1"/>
  <c r="K46" i="43" s="1"/>
  <c r="K52" i="43" s="1"/>
  <c r="K58" i="43" s="1"/>
  <c r="K64" i="43" s="1"/>
  <c r="K70" i="43" s="1"/>
  <c r="K76" i="43" s="1"/>
  <c r="K82" i="43" s="1"/>
  <c r="K88" i="43" s="1"/>
  <c r="K94" i="43" s="1"/>
  <c r="K100" i="43" s="1"/>
  <c r="K106" i="43" s="1"/>
  <c r="K112" i="43" s="1"/>
  <c r="K118" i="43" s="1"/>
  <c r="K124" i="43" s="1"/>
  <c r="K130" i="43" s="1"/>
  <c r="K136" i="43" s="1"/>
  <c r="K142" i="43" s="1"/>
  <c r="K148" i="43" s="1"/>
  <c r="K154" i="43" s="1"/>
  <c r="K160" i="43" s="1"/>
  <c r="K166" i="43" s="1"/>
  <c r="K172" i="43" s="1"/>
  <c r="K178" i="43" s="1"/>
  <c r="K184" i="43" s="1"/>
  <c r="K190" i="43" s="1"/>
  <c r="K196" i="43" s="1"/>
  <c r="K202" i="43" s="1"/>
  <c r="K208" i="43" s="1"/>
  <c r="K214" i="43" s="1"/>
  <c r="K220" i="43" s="1"/>
  <c r="K226" i="43" s="1"/>
  <c r="K232" i="43" s="1"/>
  <c r="K238" i="43" s="1"/>
  <c r="K244" i="43" s="1"/>
  <c r="K250" i="43" s="1"/>
  <c r="K256" i="43" s="1"/>
  <c r="K262" i="43" s="1"/>
  <c r="K268" i="43" s="1"/>
  <c r="K274" i="43" s="1"/>
  <c r="K280" i="43" s="1"/>
  <c r="K286" i="43" s="1"/>
  <c r="K292" i="43" s="1"/>
  <c r="K298" i="43" s="1"/>
  <c r="K304" i="43" s="1"/>
  <c r="K310" i="43" s="1"/>
  <c r="K316" i="43" s="1"/>
  <c r="K322" i="43" s="1"/>
  <c r="K328" i="43" s="1"/>
  <c r="K334" i="43" s="1"/>
  <c r="K340" i="43" s="1"/>
  <c r="K346" i="43" s="1"/>
  <c r="K352" i="43" s="1"/>
  <c r="K358" i="43" s="1"/>
  <c r="K364" i="43" s="1"/>
  <c r="K370" i="43" s="1"/>
  <c r="K376" i="43" s="1"/>
  <c r="K382" i="43" s="1"/>
  <c r="K388" i="43" s="1"/>
  <c r="K394" i="43" s="1"/>
  <c r="K400" i="43" s="1"/>
  <c r="K406" i="43" s="1"/>
  <c r="K412" i="43" s="1"/>
  <c r="K418" i="43" s="1"/>
  <c r="K424" i="43" s="1"/>
  <c r="K430" i="43" s="1"/>
  <c r="K436" i="43" s="1"/>
  <c r="K442" i="43" s="1"/>
  <c r="K448" i="43" s="1"/>
  <c r="K454" i="43" s="1"/>
  <c r="K460" i="43" s="1"/>
  <c r="K466" i="43" s="1"/>
  <c r="K472" i="43" s="1"/>
  <c r="K478" i="43" s="1"/>
  <c r="K484" i="43" s="1"/>
  <c r="K490" i="43" s="1"/>
  <c r="K496" i="43" s="1"/>
  <c r="G14" i="77" l="1"/>
  <c r="D13" i="41" l="1"/>
  <c r="E13" i="41" s="1"/>
  <c r="D23" i="41"/>
  <c r="E23" i="41" s="1"/>
  <c r="D30" i="41"/>
  <c r="E30" i="41" s="1"/>
  <c r="E29" i="41"/>
  <c r="E28" i="41"/>
  <c r="E19" i="41"/>
  <c r="E20" i="41"/>
  <c r="E21" i="41"/>
  <c r="E22" i="41"/>
  <c r="E18" i="41"/>
  <c r="E12" i="41"/>
  <c r="E10" i="41"/>
  <c r="E11" i="41"/>
  <c r="E9" i="41"/>
  <c r="F34" i="41" l="1"/>
  <c r="G34" i="41"/>
  <c r="G35" i="41" s="1"/>
  <c r="E34" i="41"/>
  <c r="E35" i="41" l="1"/>
  <c r="B184" i="16"/>
  <c r="F35" i="41"/>
  <c r="C184" i="16"/>
  <c r="G30" i="40"/>
  <c r="H30" i="40" s="1"/>
  <c r="F30" i="40"/>
  <c r="E30" i="40"/>
  <c r="D30" i="40"/>
  <c r="H29" i="40"/>
  <c r="H28" i="40"/>
  <c r="G23" i="40"/>
  <c r="G34" i="40" s="1"/>
  <c r="F23" i="40"/>
  <c r="E23" i="40"/>
  <c r="D23" i="40"/>
  <c r="H22" i="40"/>
  <c r="H21" i="40"/>
  <c r="H20" i="40"/>
  <c r="H19" i="40"/>
  <c r="H18" i="40"/>
  <c r="G13" i="40"/>
  <c r="F34" i="40" s="1"/>
  <c r="F13" i="40"/>
  <c r="E13" i="40"/>
  <c r="D13" i="40"/>
  <c r="H12" i="40"/>
  <c r="H11" i="40"/>
  <c r="H10" i="40"/>
  <c r="H9" i="40"/>
  <c r="E184" i="16" l="1"/>
  <c r="F35" i="40"/>
  <c r="B178" i="16"/>
  <c r="G35" i="40"/>
  <c r="E36" i="41"/>
  <c r="H23" i="40"/>
  <c r="H13" i="40"/>
  <c r="H34" i="40"/>
  <c r="H35" i="40" s="1"/>
  <c r="F36" i="40" l="1"/>
  <c r="C178" i="16"/>
  <c r="E178" i="16" s="1"/>
  <c r="G30" i="39"/>
  <c r="H34" i="39" s="1"/>
  <c r="H35" i="39" s="1"/>
  <c r="F30" i="39"/>
  <c r="E30" i="39"/>
  <c r="D30" i="39"/>
  <c r="H29" i="39"/>
  <c r="H28" i="39"/>
  <c r="G23" i="39"/>
  <c r="H23" i="39" s="1"/>
  <c r="F23" i="39"/>
  <c r="E23" i="39"/>
  <c r="D23" i="39"/>
  <c r="H22" i="39"/>
  <c r="H21" i="39"/>
  <c r="H20" i="39"/>
  <c r="H19" i="39"/>
  <c r="H18" i="39"/>
  <c r="G13" i="39"/>
  <c r="F34" i="39" s="1"/>
  <c r="F13" i="39"/>
  <c r="E13" i="39"/>
  <c r="D13" i="39"/>
  <c r="H12" i="39"/>
  <c r="H11" i="39"/>
  <c r="H10" i="39"/>
  <c r="H9" i="39"/>
  <c r="F35" i="39" l="1"/>
  <c r="B172" i="16"/>
  <c r="H30" i="39"/>
  <c r="G34" i="39"/>
  <c r="H13" i="39"/>
  <c r="G35" i="39" l="1"/>
  <c r="F36" i="39" s="1"/>
  <c r="C172" i="16"/>
  <c r="E172" i="16" s="1"/>
  <c r="G29" i="38"/>
  <c r="H33" i="38" s="1"/>
  <c r="H34" i="38" s="1"/>
  <c r="F29" i="38"/>
  <c r="E29" i="38"/>
  <c r="D29" i="38"/>
  <c r="H28" i="38"/>
  <c r="H27" i="38"/>
  <c r="H26" i="38"/>
  <c r="G21" i="38"/>
  <c r="G33" i="38" s="1"/>
  <c r="F21" i="38"/>
  <c r="E21" i="38"/>
  <c r="D21" i="38"/>
  <c r="H20" i="38"/>
  <c r="H19" i="38"/>
  <c r="G14" i="38"/>
  <c r="F33" i="38" s="1"/>
  <c r="F14" i="38"/>
  <c r="E14" i="38"/>
  <c r="D14" i="38"/>
  <c r="H13" i="38"/>
  <c r="H12" i="38"/>
  <c r="H11" i="38"/>
  <c r="H10" i="38"/>
  <c r="H9" i="38"/>
  <c r="G32" i="37"/>
  <c r="H36" i="37" s="1"/>
  <c r="F32" i="37"/>
  <c r="E32" i="37"/>
  <c r="D32" i="37"/>
  <c r="H31" i="37"/>
  <c r="H30" i="37"/>
  <c r="H29" i="37"/>
  <c r="G24" i="37"/>
  <c r="G36" i="37" s="1"/>
  <c r="G37" i="37" s="1"/>
  <c r="F24" i="37"/>
  <c r="E24" i="37"/>
  <c r="D24" i="37"/>
  <c r="H23" i="37"/>
  <c r="H22" i="37"/>
  <c r="H21" i="37"/>
  <c r="H20" i="37"/>
  <c r="H19" i="37"/>
  <c r="G14" i="37"/>
  <c r="F36" i="37" s="1"/>
  <c r="F37" i="37" s="1"/>
  <c r="F14" i="37"/>
  <c r="E14" i="37"/>
  <c r="D14" i="37"/>
  <c r="H13" i="37"/>
  <c r="H12" i="37"/>
  <c r="H11" i="37"/>
  <c r="H10" i="37"/>
  <c r="H9" i="37"/>
  <c r="G30" i="36"/>
  <c r="H30" i="36" s="1"/>
  <c r="F30" i="36"/>
  <c r="E30" i="36"/>
  <c r="D30" i="36"/>
  <c r="H29" i="36"/>
  <c r="H28" i="36"/>
  <c r="G23" i="36"/>
  <c r="G34" i="36" s="1"/>
  <c r="F23" i="36"/>
  <c r="E23" i="36"/>
  <c r="D23" i="36"/>
  <c r="H22" i="36"/>
  <c r="H21" i="36"/>
  <c r="H20" i="36"/>
  <c r="H19" i="36"/>
  <c r="H18" i="36"/>
  <c r="G13" i="36"/>
  <c r="F34" i="36" s="1"/>
  <c r="F13" i="36"/>
  <c r="E13" i="36"/>
  <c r="D13" i="36"/>
  <c r="H12" i="36"/>
  <c r="H11" i="36"/>
  <c r="H10" i="36"/>
  <c r="H9" i="36"/>
  <c r="F35" i="36" l="1"/>
  <c r="B154" i="16"/>
  <c r="F34" i="38"/>
  <c r="B166" i="16"/>
  <c r="G34" i="38"/>
  <c r="C166" i="16"/>
  <c r="G35" i="36"/>
  <c r="H14" i="37"/>
  <c r="H37" i="37"/>
  <c r="F38" i="37" s="1"/>
  <c r="C160" i="16"/>
  <c r="E160" i="16" s="1"/>
  <c r="H13" i="36"/>
  <c r="H21" i="38"/>
  <c r="H29" i="38"/>
  <c r="H14" i="38"/>
  <c r="H24" i="37"/>
  <c r="H32" i="37"/>
  <c r="H23" i="36"/>
  <c r="H34" i="36"/>
  <c r="H35" i="36" s="1"/>
  <c r="D13" i="35"/>
  <c r="F36" i="36" l="1"/>
  <c r="F35" i="38"/>
  <c r="C154" i="16"/>
  <c r="E166" i="16"/>
  <c r="E154" i="16"/>
  <c r="D239" i="16"/>
  <c r="C239" i="16"/>
  <c r="B239" i="16"/>
  <c r="D233" i="16"/>
  <c r="C233" i="16"/>
  <c r="B233" i="16"/>
  <c r="D227" i="16"/>
  <c r="C227" i="16"/>
  <c r="B227" i="16"/>
  <c r="D221" i="16"/>
  <c r="C221" i="16"/>
  <c r="B221" i="16"/>
  <c r="D215" i="16"/>
  <c r="C215" i="16"/>
  <c r="B215" i="16"/>
  <c r="D209" i="16"/>
  <c r="C209" i="16"/>
  <c r="B209" i="16"/>
  <c r="D203" i="16"/>
  <c r="C203" i="16"/>
  <c r="B203" i="16"/>
  <c r="E209" i="16" l="1"/>
  <c r="E221" i="16"/>
  <c r="E203" i="16"/>
  <c r="E227" i="16"/>
  <c r="E239" i="16"/>
  <c r="E215" i="16"/>
  <c r="E233" i="16"/>
  <c r="G30" i="35"/>
  <c r="H30" i="35" s="1"/>
  <c r="F30" i="35"/>
  <c r="E30" i="35"/>
  <c r="D30" i="35"/>
  <c r="H29" i="35"/>
  <c r="H28" i="35"/>
  <c r="G23" i="35"/>
  <c r="G34" i="35" s="1"/>
  <c r="F23" i="35"/>
  <c r="E23" i="35"/>
  <c r="D23" i="35"/>
  <c r="H22" i="35"/>
  <c r="H21" i="35"/>
  <c r="H20" i="35"/>
  <c r="H19" i="35"/>
  <c r="H18" i="35"/>
  <c r="G13" i="35"/>
  <c r="F34" i="35" s="1"/>
  <c r="F13" i="35"/>
  <c r="E13" i="35"/>
  <c r="H12" i="35"/>
  <c r="H11" i="35"/>
  <c r="H10" i="35"/>
  <c r="H9" i="35"/>
  <c r="F35" i="35" l="1"/>
  <c r="B148" i="16"/>
  <c r="G35" i="35"/>
  <c r="H23" i="35"/>
  <c r="H13" i="35"/>
  <c r="H34" i="35"/>
  <c r="H35" i="35" s="1"/>
  <c r="F36" i="35" l="1"/>
  <c r="C148" i="16"/>
  <c r="E148" i="16" s="1"/>
  <c r="G30" i="34"/>
  <c r="H34" i="34" s="1"/>
  <c r="H35" i="34" s="1"/>
  <c r="F30" i="34"/>
  <c r="E30" i="34"/>
  <c r="D30" i="34"/>
  <c r="H29" i="34"/>
  <c r="H28" i="34"/>
  <c r="G23" i="34"/>
  <c r="H23" i="34" s="1"/>
  <c r="F23" i="34"/>
  <c r="E23" i="34"/>
  <c r="D23" i="34"/>
  <c r="H22" i="34"/>
  <c r="H21" i="34"/>
  <c r="H20" i="34"/>
  <c r="H19" i="34"/>
  <c r="H18" i="34"/>
  <c r="G13" i="34"/>
  <c r="F34" i="34" s="1"/>
  <c r="F13" i="34"/>
  <c r="E13" i="34"/>
  <c r="D13" i="34"/>
  <c r="H12" i="34"/>
  <c r="H11" i="34"/>
  <c r="H10" i="34"/>
  <c r="H9" i="34"/>
  <c r="F35" i="34" l="1"/>
  <c r="B142" i="16"/>
  <c r="H30" i="34"/>
  <c r="G34" i="34"/>
  <c r="H13" i="34"/>
  <c r="G30" i="33"/>
  <c r="H34" i="33" s="1"/>
  <c r="H35" i="33" s="1"/>
  <c r="F30" i="33"/>
  <c r="E30" i="33"/>
  <c r="D30" i="33"/>
  <c r="H29" i="33"/>
  <c r="H28" i="33"/>
  <c r="G23" i="33"/>
  <c r="H23" i="33" s="1"/>
  <c r="F23" i="33"/>
  <c r="E23" i="33"/>
  <c r="D23" i="33"/>
  <c r="H22" i="33"/>
  <c r="H21" i="33"/>
  <c r="H20" i="33"/>
  <c r="H19" i="33"/>
  <c r="H18" i="33"/>
  <c r="G13" i="33"/>
  <c r="F34" i="33" s="1"/>
  <c r="F13" i="33"/>
  <c r="E13" i="33"/>
  <c r="D13" i="33"/>
  <c r="H12" i="33"/>
  <c r="H11" i="33"/>
  <c r="H10" i="33"/>
  <c r="H9" i="33"/>
  <c r="G35" i="34" l="1"/>
  <c r="F36" i="34" s="1"/>
  <c r="C142" i="16"/>
  <c r="E142" i="16" s="1"/>
  <c r="F35" i="33"/>
  <c r="B136" i="16"/>
  <c r="H30" i="33"/>
  <c r="G34" i="33"/>
  <c r="H13" i="33"/>
  <c r="G35" i="33" l="1"/>
  <c r="F36" i="33" s="1"/>
  <c r="C136" i="16"/>
  <c r="E136" i="16" s="1"/>
  <c r="G30" i="32"/>
  <c r="F30" i="32"/>
  <c r="E30" i="32"/>
  <c r="D30" i="32"/>
  <c r="H29" i="32"/>
  <c r="H28" i="32"/>
  <c r="G23" i="32"/>
  <c r="F23" i="32"/>
  <c r="E23" i="32"/>
  <c r="D23" i="32"/>
  <c r="H22" i="32"/>
  <c r="H21" i="32"/>
  <c r="H20" i="32"/>
  <c r="H19" i="32"/>
  <c r="H18" i="32"/>
  <c r="G13" i="32"/>
  <c r="F13" i="32"/>
  <c r="E13" i="32"/>
  <c r="D13" i="32"/>
  <c r="H12" i="32"/>
  <c r="H11" i="32"/>
  <c r="H10" i="32"/>
  <c r="H9" i="32"/>
  <c r="H30" i="32" l="1"/>
  <c r="H34" i="32"/>
  <c r="H35" i="32" s="1"/>
  <c r="G34" i="32"/>
  <c r="H13" i="32"/>
  <c r="F34" i="32"/>
  <c r="H23" i="32"/>
  <c r="F35" i="32" l="1"/>
  <c r="B130" i="16"/>
  <c r="G35" i="32"/>
  <c r="C130" i="16"/>
  <c r="F36" i="32"/>
  <c r="C112" i="16"/>
  <c r="E112" i="16" s="1"/>
  <c r="C118" i="16"/>
  <c r="E118" i="16" s="1"/>
  <c r="C124" i="16"/>
  <c r="E124" i="16" s="1"/>
  <c r="E130" i="16" l="1"/>
  <c r="G29" i="30"/>
  <c r="H29" i="30" s="1"/>
  <c r="H20" i="30"/>
  <c r="H19" i="30"/>
  <c r="G21" i="30"/>
  <c r="G33" i="30" s="1"/>
  <c r="F21" i="30"/>
  <c r="E21" i="30"/>
  <c r="D21" i="30"/>
  <c r="G32" i="31"/>
  <c r="H36" i="31" s="1"/>
  <c r="H37" i="31" s="1"/>
  <c r="F32" i="31"/>
  <c r="E32" i="31"/>
  <c r="D32" i="31"/>
  <c r="H31" i="31"/>
  <c r="H30" i="31"/>
  <c r="H29" i="31"/>
  <c r="G24" i="31"/>
  <c r="G36" i="31" s="1"/>
  <c r="G37" i="31" s="1"/>
  <c r="F24" i="31"/>
  <c r="E24" i="31"/>
  <c r="D24" i="31"/>
  <c r="H23" i="31"/>
  <c r="H22" i="31"/>
  <c r="H21" i="31"/>
  <c r="H20" i="31"/>
  <c r="H19" i="31"/>
  <c r="G14" i="31"/>
  <c r="F36" i="31" s="1"/>
  <c r="F37" i="31" s="1"/>
  <c r="F14" i="31"/>
  <c r="E14" i="31"/>
  <c r="D14" i="31"/>
  <c r="H13" i="31"/>
  <c r="H12" i="31"/>
  <c r="H11" i="31"/>
  <c r="H10" i="31"/>
  <c r="H9" i="31"/>
  <c r="F29" i="30"/>
  <c r="E29" i="30"/>
  <c r="D29" i="30"/>
  <c r="H28" i="30"/>
  <c r="H27" i="30"/>
  <c r="H26" i="30"/>
  <c r="G14" i="30"/>
  <c r="F33" i="30" s="1"/>
  <c r="F34" i="30" s="1"/>
  <c r="F14" i="30"/>
  <c r="E14" i="30"/>
  <c r="D14" i="30"/>
  <c r="H13" i="30"/>
  <c r="H12" i="30"/>
  <c r="H11" i="30"/>
  <c r="H10" i="30"/>
  <c r="H9" i="30"/>
  <c r="G32" i="29"/>
  <c r="H36" i="29" s="1"/>
  <c r="H37" i="29" s="1"/>
  <c r="F32" i="29"/>
  <c r="E32" i="29"/>
  <c r="D32" i="29"/>
  <c r="H31" i="29"/>
  <c r="H30" i="29"/>
  <c r="H29" i="29"/>
  <c r="G24" i="29"/>
  <c r="G36" i="29" s="1"/>
  <c r="G37" i="29" s="1"/>
  <c r="F24" i="29"/>
  <c r="E24" i="29"/>
  <c r="D24" i="29"/>
  <c r="H23" i="29"/>
  <c r="H22" i="29"/>
  <c r="H21" i="29"/>
  <c r="H20" i="29"/>
  <c r="H19" i="29"/>
  <c r="G14" i="29"/>
  <c r="F36" i="29" s="1"/>
  <c r="F37" i="29" s="1"/>
  <c r="F14" i="29"/>
  <c r="E14" i="29"/>
  <c r="D14" i="29"/>
  <c r="H13" i="29"/>
  <c r="H12" i="29"/>
  <c r="H11" i="29"/>
  <c r="H10" i="29"/>
  <c r="H9" i="29"/>
  <c r="H14" i="30" l="1"/>
  <c r="H14" i="31"/>
  <c r="H24" i="31"/>
  <c r="F38" i="31"/>
  <c r="H21" i="30"/>
  <c r="H33" i="30"/>
  <c r="H34" i="30" s="1"/>
  <c r="H32" i="31"/>
  <c r="G34" i="30"/>
  <c r="H14" i="29"/>
  <c r="H24" i="29"/>
  <c r="H32" i="29"/>
  <c r="F38" i="29"/>
  <c r="P149" i="15"/>
  <c r="O149" i="15"/>
  <c r="N149" i="15"/>
  <c r="P148" i="15"/>
  <c r="O148" i="15"/>
  <c r="N148" i="15"/>
  <c r="P147" i="15"/>
  <c r="O147" i="15"/>
  <c r="N147" i="15"/>
  <c r="P146" i="15"/>
  <c r="O146" i="15"/>
  <c r="N146" i="15"/>
  <c r="P144" i="15"/>
  <c r="O144" i="15"/>
  <c r="N144" i="15"/>
  <c r="P143" i="15"/>
  <c r="O143" i="15"/>
  <c r="N143" i="15"/>
  <c r="P142" i="15"/>
  <c r="O142" i="15"/>
  <c r="N142" i="15"/>
  <c r="P141" i="15"/>
  <c r="O141" i="15"/>
  <c r="N141" i="15"/>
  <c r="P139" i="15"/>
  <c r="O139" i="15"/>
  <c r="N139" i="15"/>
  <c r="P138" i="15"/>
  <c r="O138" i="15"/>
  <c r="N138" i="15"/>
  <c r="P137" i="15"/>
  <c r="O137" i="15"/>
  <c r="N137" i="15"/>
  <c r="P136" i="15"/>
  <c r="O136" i="15"/>
  <c r="N136" i="15"/>
  <c r="P134" i="15"/>
  <c r="O134" i="15"/>
  <c r="N134" i="15"/>
  <c r="P133" i="15"/>
  <c r="O133" i="15"/>
  <c r="N133" i="15"/>
  <c r="P132" i="15"/>
  <c r="O132" i="15"/>
  <c r="N132" i="15"/>
  <c r="P131" i="15"/>
  <c r="O131" i="15"/>
  <c r="N131" i="15"/>
  <c r="P129" i="15"/>
  <c r="O129" i="15"/>
  <c r="N129" i="15"/>
  <c r="P128" i="15"/>
  <c r="O128" i="15"/>
  <c r="N128" i="15"/>
  <c r="P127" i="15"/>
  <c r="O127" i="15"/>
  <c r="N127" i="15"/>
  <c r="P126" i="15"/>
  <c r="O126" i="15"/>
  <c r="N126" i="15"/>
  <c r="P124" i="15"/>
  <c r="O124" i="15"/>
  <c r="N124" i="15"/>
  <c r="P123" i="15"/>
  <c r="O123" i="15"/>
  <c r="N123" i="15"/>
  <c r="P122" i="15"/>
  <c r="O122" i="15"/>
  <c r="N122" i="15"/>
  <c r="P121" i="15"/>
  <c r="O121" i="15"/>
  <c r="N121" i="15"/>
  <c r="P119" i="15"/>
  <c r="O119" i="15"/>
  <c r="N119" i="15"/>
  <c r="P118" i="15"/>
  <c r="O118" i="15"/>
  <c r="N118" i="15"/>
  <c r="P117" i="15"/>
  <c r="O117" i="15"/>
  <c r="N117" i="15"/>
  <c r="P116" i="15"/>
  <c r="O116" i="15"/>
  <c r="N116" i="15"/>
  <c r="P114" i="15"/>
  <c r="O114" i="15"/>
  <c r="N114" i="15"/>
  <c r="P113" i="15"/>
  <c r="O113" i="15"/>
  <c r="N113" i="15"/>
  <c r="P112" i="15"/>
  <c r="O112" i="15"/>
  <c r="N112" i="15"/>
  <c r="P111" i="15"/>
  <c r="O111" i="15"/>
  <c r="N111" i="15"/>
  <c r="N115" i="15" l="1"/>
  <c r="B129" i="16" s="1"/>
  <c r="P115" i="15"/>
  <c r="D129" i="16" s="1"/>
  <c r="N120" i="15"/>
  <c r="B135" i="16" s="1"/>
  <c r="P120" i="15"/>
  <c r="D135" i="16" s="1"/>
  <c r="N125" i="15"/>
  <c r="B141" i="16" s="1"/>
  <c r="P125" i="15"/>
  <c r="D141" i="16" s="1"/>
  <c r="N130" i="15"/>
  <c r="B147" i="16" s="1"/>
  <c r="P130" i="15"/>
  <c r="D147" i="16" s="1"/>
  <c r="N135" i="15"/>
  <c r="B153" i="16" s="1"/>
  <c r="P135" i="15"/>
  <c r="D153" i="16" s="1"/>
  <c r="O135" i="15"/>
  <c r="C153" i="16" s="1"/>
  <c r="N145" i="15"/>
  <c r="B165" i="16" s="1"/>
  <c r="P145" i="15"/>
  <c r="D165" i="16" s="1"/>
  <c r="O145" i="15"/>
  <c r="C165" i="16" s="1"/>
  <c r="O115" i="15"/>
  <c r="C129" i="16" s="1"/>
  <c r="O120" i="15"/>
  <c r="C135" i="16" s="1"/>
  <c r="O125" i="15"/>
  <c r="C141" i="16" s="1"/>
  <c r="O130" i="15"/>
  <c r="C147" i="16" s="1"/>
  <c r="N140" i="15"/>
  <c r="B159" i="16" s="1"/>
  <c r="P140" i="15"/>
  <c r="D159" i="16" s="1"/>
  <c r="O140" i="15"/>
  <c r="C159" i="16" s="1"/>
  <c r="N150" i="15"/>
  <c r="P150" i="15"/>
  <c r="O150" i="15"/>
  <c r="F35" i="30"/>
  <c r="E141" i="16" l="1"/>
  <c r="E129" i="16"/>
  <c r="E147" i="16"/>
  <c r="E135" i="16"/>
  <c r="E153" i="16"/>
  <c r="E165" i="16"/>
  <c r="E159" i="16"/>
  <c r="G32" i="28"/>
  <c r="H32" i="28" s="1"/>
  <c r="F32" i="28"/>
  <c r="E32" i="28"/>
  <c r="D32" i="28"/>
  <c r="H31" i="28"/>
  <c r="H30" i="28"/>
  <c r="H29" i="28"/>
  <c r="G24" i="28"/>
  <c r="G36" i="28" s="1"/>
  <c r="F24" i="28"/>
  <c r="E24" i="28"/>
  <c r="D24" i="28"/>
  <c r="H23" i="28"/>
  <c r="H22" i="28"/>
  <c r="H21" i="28"/>
  <c r="H20" i="28"/>
  <c r="H19" i="28"/>
  <c r="G14" i="28"/>
  <c r="H14" i="28" s="1"/>
  <c r="F14" i="28"/>
  <c r="E14" i="28"/>
  <c r="D14" i="28"/>
  <c r="H13" i="28"/>
  <c r="H12" i="28"/>
  <c r="H11" i="28"/>
  <c r="H10" i="28"/>
  <c r="H9" i="28"/>
  <c r="G37" i="28" l="1"/>
  <c r="F36" i="28"/>
  <c r="H36" i="28"/>
  <c r="H37" i="28" s="1"/>
  <c r="H24" i="28"/>
  <c r="C106" i="16" l="1"/>
  <c r="F37" i="28"/>
  <c r="F38" i="28" s="1"/>
  <c r="B106" i="16"/>
  <c r="E106" i="16" l="1"/>
  <c r="E14" i="26"/>
  <c r="F14" i="26"/>
  <c r="G14" i="26"/>
  <c r="G32" i="27" l="1"/>
  <c r="H36" i="27" s="1"/>
  <c r="H37" i="27" s="1"/>
  <c r="F32" i="27"/>
  <c r="E32" i="27"/>
  <c r="D32" i="27"/>
  <c r="H31" i="27"/>
  <c r="H30" i="27"/>
  <c r="H29" i="27"/>
  <c r="G24" i="27"/>
  <c r="H24" i="27" s="1"/>
  <c r="F24" i="27"/>
  <c r="E24" i="27"/>
  <c r="D24" i="27"/>
  <c r="H23" i="27"/>
  <c r="H22" i="27"/>
  <c r="H21" i="27"/>
  <c r="H20" i="27"/>
  <c r="H19" i="27"/>
  <c r="G14" i="27"/>
  <c r="F36" i="27" s="1"/>
  <c r="F14" i="27"/>
  <c r="E14" i="27"/>
  <c r="D14" i="27"/>
  <c r="H13" i="27"/>
  <c r="H12" i="27"/>
  <c r="H11" i="27"/>
  <c r="H10" i="27"/>
  <c r="H9" i="27"/>
  <c r="G32" i="26"/>
  <c r="H32" i="26" s="1"/>
  <c r="F32" i="26"/>
  <c r="E32" i="26"/>
  <c r="D32" i="26"/>
  <c r="H31" i="26"/>
  <c r="H30" i="26"/>
  <c r="H29" i="26"/>
  <c r="G24" i="26"/>
  <c r="G36" i="26" s="1"/>
  <c r="F24" i="26"/>
  <c r="E24" i="26"/>
  <c r="D24" i="26"/>
  <c r="H23" i="26"/>
  <c r="H22" i="26"/>
  <c r="H21" i="26"/>
  <c r="H20" i="26"/>
  <c r="H19" i="26"/>
  <c r="H14" i="26"/>
  <c r="D14" i="26"/>
  <c r="H13" i="26"/>
  <c r="H12" i="26"/>
  <c r="H11" i="26"/>
  <c r="H10" i="26"/>
  <c r="H9" i="26"/>
  <c r="G37" i="26" l="1"/>
  <c r="F37" i="27"/>
  <c r="B100" i="16"/>
  <c r="H32" i="27"/>
  <c r="H14" i="27"/>
  <c r="G36" i="27"/>
  <c r="F36" i="26"/>
  <c r="H36" i="26"/>
  <c r="H37" i="26" s="1"/>
  <c r="H24" i="26"/>
  <c r="P109" i="15"/>
  <c r="O109" i="15"/>
  <c r="N109" i="15"/>
  <c r="P108" i="15"/>
  <c r="O108" i="15"/>
  <c r="N108" i="15"/>
  <c r="P107" i="15"/>
  <c r="O107" i="15"/>
  <c r="N107" i="15"/>
  <c r="P106" i="15"/>
  <c r="O106" i="15"/>
  <c r="N106" i="15"/>
  <c r="P104" i="15"/>
  <c r="O104" i="15"/>
  <c r="N104" i="15"/>
  <c r="P103" i="15"/>
  <c r="O103" i="15"/>
  <c r="N103" i="15"/>
  <c r="P102" i="15"/>
  <c r="O102" i="15"/>
  <c r="N102" i="15"/>
  <c r="P101" i="15"/>
  <c r="O101" i="15"/>
  <c r="N101" i="15"/>
  <c r="P99" i="15"/>
  <c r="O99" i="15"/>
  <c r="N99" i="15"/>
  <c r="P98" i="15"/>
  <c r="O98" i="15"/>
  <c r="N98" i="15"/>
  <c r="P97" i="15"/>
  <c r="O97" i="15"/>
  <c r="N97" i="15"/>
  <c r="P96" i="15"/>
  <c r="O96" i="15"/>
  <c r="N96" i="15"/>
  <c r="P94" i="15"/>
  <c r="O94" i="15"/>
  <c r="N94" i="15"/>
  <c r="P93" i="15"/>
  <c r="O93" i="15"/>
  <c r="N93" i="15"/>
  <c r="P92" i="15"/>
  <c r="O92" i="15"/>
  <c r="N92" i="15"/>
  <c r="P91" i="15"/>
  <c r="O91" i="15"/>
  <c r="N91" i="15"/>
  <c r="P89" i="15"/>
  <c r="O89" i="15"/>
  <c r="N89" i="15"/>
  <c r="P88" i="15"/>
  <c r="O88" i="15"/>
  <c r="N88" i="15"/>
  <c r="P87" i="15"/>
  <c r="O87" i="15"/>
  <c r="N87" i="15"/>
  <c r="P86" i="15"/>
  <c r="O86" i="15"/>
  <c r="N86" i="15"/>
  <c r="N90" i="15" l="1"/>
  <c r="B99" i="16" s="1"/>
  <c r="B101" i="16" s="1"/>
  <c r="P90" i="15"/>
  <c r="D99" i="16" s="1"/>
  <c r="D101" i="16" s="1"/>
  <c r="N100" i="15"/>
  <c r="B111" i="16" s="1"/>
  <c r="P100" i="15"/>
  <c r="D111" i="16" s="1"/>
  <c r="D113" i="16" s="1"/>
  <c r="O90" i="15"/>
  <c r="C99" i="16" s="1"/>
  <c r="O100" i="15"/>
  <c r="C111" i="16" s="1"/>
  <c r="C113" i="16" s="1"/>
  <c r="N110" i="15"/>
  <c r="B123" i="16" s="1"/>
  <c r="G37" i="27"/>
  <c r="F38" i="27" s="1"/>
  <c r="C100" i="16"/>
  <c r="E100" i="16" s="1"/>
  <c r="C94" i="16"/>
  <c r="F37" i="26"/>
  <c r="F38" i="26" s="1"/>
  <c r="B94" i="16"/>
  <c r="E94" i="16" s="1"/>
  <c r="P110" i="15"/>
  <c r="D123" i="16" s="1"/>
  <c r="O110" i="15"/>
  <c r="C123" i="16" s="1"/>
  <c r="N95" i="15"/>
  <c r="B105" i="16" s="1"/>
  <c r="B107" i="16" s="1"/>
  <c r="P95" i="15"/>
  <c r="D105" i="16" s="1"/>
  <c r="D107" i="16" s="1"/>
  <c r="O95" i="15"/>
  <c r="C105" i="16" s="1"/>
  <c r="C107" i="16" s="1"/>
  <c r="N105" i="15"/>
  <c r="B117" i="16" s="1"/>
  <c r="P105" i="15"/>
  <c r="D117" i="16" s="1"/>
  <c r="D119" i="16" s="1"/>
  <c r="O105" i="15"/>
  <c r="C117" i="16" s="1"/>
  <c r="D197" i="16"/>
  <c r="C197" i="16"/>
  <c r="B197" i="16"/>
  <c r="D191" i="16"/>
  <c r="C191" i="16"/>
  <c r="B191" i="16"/>
  <c r="D185" i="16"/>
  <c r="C185" i="16"/>
  <c r="B185" i="16"/>
  <c r="D179" i="16"/>
  <c r="C179" i="16"/>
  <c r="B179" i="16"/>
  <c r="D173" i="16"/>
  <c r="C173" i="16"/>
  <c r="B173" i="16"/>
  <c r="D167" i="16"/>
  <c r="C167" i="16"/>
  <c r="B167" i="16"/>
  <c r="D161" i="16"/>
  <c r="C161" i="16"/>
  <c r="B161" i="16"/>
  <c r="D155" i="16"/>
  <c r="C155" i="16"/>
  <c r="B155" i="16"/>
  <c r="D149" i="16"/>
  <c r="C149" i="16"/>
  <c r="B149" i="16"/>
  <c r="D143" i="16"/>
  <c r="C143" i="16"/>
  <c r="B143" i="16"/>
  <c r="D137" i="16"/>
  <c r="C137" i="16"/>
  <c r="B137" i="16"/>
  <c r="D131" i="16"/>
  <c r="C131" i="16"/>
  <c r="B131" i="16"/>
  <c r="D125" i="16"/>
  <c r="C125" i="16"/>
  <c r="B125" i="16"/>
  <c r="C119" i="16"/>
  <c r="B113" i="16"/>
  <c r="L76" i="15"/>
  <c r="AO34" i="25"/>
  <c r="AN34" i="25"/>
  <c r="AM34" i="25"/>
  <c r="AL34" i="25"/>
  <c r="AK34" i="25"/>
  <c r="AJ34" i="25"/>
  <c r="AI34" i="25"/>
  <c r="AH34" i="25"/>
  <c r="AG34" i="25"/>
  <c r="AF34" i="25"/>
  <c r="AE34" i="25"/>
  <c r="AD34" i="25"/>
  <c r="AC34" i="25"/>
  <c r="AB34" i="25"/>
  <c r="AA34" i="25"/>
  <c r="Z34" i="25"/>
  <c r="Y34" i="25"/>
  <c r="X34" i="25"/>
  <c r="W34" i="25"/>
  <c r="V34" i="25"/>
  <c r="U34" i="25"/>
  <c r="T34" i="25"/>
  <c r="S34" i="25"/>
  <c r="R34" i="25"/>
  <c r="Q34" i="25"/>
  <c r="AP31" i="25"/>
  <c r="AQ31" i="25" s="1"/>
  <c r="AP26" i="25"/>
  <c r="AQ26" i="25" s="1"/>
  <c r="AP23" i="25"/>
  <c r="AQ23" i="25" s="1"/>
  <c r="E99" i="16" l="1"/>
  <c r="E111" i="16"/>
  <c r="C101" i="16"/>
  <c r="E179" i="16"/>
  <c r="E191" i="16"/>
  <c r="E173" i="16"/>
  <c r="E197" i="16"/>
  <c r="E123" i="16"/>
  <c r="E185" i="16"/>
  <c r="E149" i="16"/>
  <c r="E167" i="16"/>
  <c r="E161" i="16"/>
  <c r="E155" i="16"/>
  <c r="E143" i="16"/>
  <c r="E137" i="16"/>
  <c r="E131" i="16"/>
  <c r="E117" i="16"/>
  <c r="B119" i="16"/>
  <c r="E119" i="16" s="1"/>
  <c r="E113" i="16"/>
  <c r="E125" i="16"/>
  <c r="E105" i="16"/>
  <c r="E107" i="16"/>
  <c r="E101" i="16"/>
  <c r="G14" i="24"/>
  <c r="H21" i="24"/>
  <c r="H11" i="24"/>
  <c r="G32" i="24"/>
  <c r="F32" i="24"/>
  <c r="E32" i="24"/>
  <c r="D32" i="24"/>
  <c r="H31" i="24"/>
  <c r="H30" i="24"/>
  <c r="H29" i="24"/>
  <c r="G24" i="24"/>
  <c r="H24" i="24" s="1"/>
  <c r="F24" i="24"/>
  <c r="E24" i="24"/>
  <c r="D24" i="24"/>
  <c r="H23" i="24"/>
  <c r="H22" i="24"/>
  <c r="H20" i="24"/>
  <c r="H19" i="24"/>
  <c r="F14" i="24"/>
  <c r="E14" i="24"/>
  <c r="D14" i="24"/>
  <c r="H13" i="24"/>
  <c r="H12" i="24"/>
  <c r="H10" i="24"/>
  <c r="H9" i="24"/>
  <c r="H36" i="24" l="1"/>
  <c r="H37" i="24" s="1"/>
  <c r="H32" i="24"/>
  <c r="G36" i="24"/>
  <c r="F36" i="24"/>
  <c r="H14" i="24"/>
  <c r="G37" i="24" l="1"/>
  <c r="C88" i="16"/>
  <c r="F37" i="24"/>
  <c r="B88" i="16"/>
  <c r="F38" i="24" l="1"/>
  <c r="E88" i="16"/>
  <c r="H30" i="23"/>
  <c r="P4" i="25" s="1"/>
  <c r="H31" i="23"/>
  <c r="G32" i="23"/>
  <c r="H36" i="23" s="1"/>
  <c r="H37" i="23" s="1"/>
  <c r="F32" i="23"/>
  <c r="E32" i="23"/>
  <c r="D32" i="23"/>
  <c r="H29" i="23"/>
  <c r="P7" i="25" s="1"/>
  <c r="G24" i="23"/>
  <c r="G36" i="23" s="1"/>
  <c r="F24" i="23"/>
  <c r="E24" i="23"/>
  <c r="D24" i="23"/>
  <c r="H23" i="23"/>
  <c r="H22" i="23"/>
  <c r="H21" i="23"/>
  <c r="H20" i="23"/>
  <c r="H19" i="23"/>
  <c r="G14" i="23"/>
  <c r="F14" i="23"/>
  <c r="E14" i="23"/>
  <c r="D14" i="23"/>
  <c r="H13" i="23"/>
  <c r="H12" i="23"/>
  <c r="H11" i="23"/>
  <c r="H10" i="23"/>
  <c r="H9" i="23"/>
  <c r="G32" i="22"/>
  <c r="H36" i="22" s="1"/>
  <c r="H37" i="22" s="1"/>
  <c r="F32" i="22"/>
  <c r="E32" i="22"/>
  <c r="D32" i="22"/>
  <c r="H31" i="22"/>
  <c r="H30" i="22"/>
  <c r="H29" i="22"/>
  <c r="O15" i="25" s="1"/>
  <c r="O32" i="25" s="1"/>
  <c r="O34" i="25" s="1"/>
  <c r="G24" i="22"/>
  <c r="G36" i="22" s="1"/>
  <c r="F24" i="22"/>
  <c r="E24" i="22"/>
  <c r="D24" i="22"/>
  <c r="H23" i="22"/>
  <c r="H22" i="22"/>
  <c r="H21" i="22"/>
  <c r="H20" i="22"/>
  <c r="H19" i="22"/>
  <c r="G14" i="22"/>
  <c r="F36" i="22" s="1"/>
  <c r="F14" i="22"/>
  <c r="E14" i="22"/>
  <c r="D14" i="22"/>
  <c r="H13" i="22"/>
  <c r="H12" i="22"/>
  <c r="H11" i="22"/>
  <c r="H10" i="22"/>
  <c r="H9" i="22"/>
  <c r="G29" i="19"/>
  <c r="F29" i="19"/>
  <c r="E29" i="19"/>
  <c r="D29" i="19"/>
  <c r="H28" i="19"/>
  <c r="H27" i="19"/>
  <c r="G22" i="19"/>
  <c r="H22" i="19" s="1"/>
  <c r="F22" i="19"/>
  <c r="E22" i="19"/>
  <c r="D22" i="19"/>
  <c r="H21" i="19"/>
  <c r="H20" i="19"/>
  <c r="H19" i="19"/>
  <c r="H18" i="19"/>
  <c r="G13" i="19"/>
  <c r="F33" i="19" s="1"/>
  <c r="B70" i="16" s="1"/>
  <c r="F13" i="19"/>
  <c r="E13" i="19"/>
  <c r="D13" i="19"/>
  <c r="H12" i="19"/>
  <c r="N13" i="25" s="1"/>
  <c r="H11" i="19"/>
  <c r="N22" i="25" s="1"/>
  <c r="AP22" i="25" s="1"/>
  <c r="AQ22" i="25" s="1"/>
  <c r="H10" i="19"/>
  <c r="N9" i="25" s="1"/>
  <c r="H9" i="19"/>
  <c r="N4" i="25" s="1"/>
  <c r="N24" i="25" l="1"/>
  <c r="AP24" i="25" s="1"/>
  <c r="AQ24" i="25" s="1"/>
  <c r="G37" i="23"/>
  <c r="C82" i="16"/>
  <c r="G37" i="22"/>
  <c r="C76" i="16"/>
  <c r="F37" i="22"/>
  <c r="B76" i="16"/>
  <c r="F36" i="23"/>
  <c r="B82" i="16" s="1"/>
  <c r="G33" i="19"/>
  <c r="H14" i="22"/>
  <c r="H24" i="22"/>
  <c r="H14" i="23"/>
  <c r="H24" i="23"/>
  <c r="P32" i="25"/>
  <c r="P34" i="25" s="1"/>
  <c r="H33" i="19"/>
  <c r="H34" i="19" s="1"/>
  <c r="H32" i="23"/>
  <c r="H32" i="22"/>
  <c r="H29" i="19"/>
  <c r="H13" i="19"/>
  <c r="F34" i="19"/>
  <c r="E76" i="16" l="1"/>
  <c r="N32" i="25"/>
  <c r="N34" i="25" s="1"/>
  <c r="F38" i="22"/>
  <c r="C70" i="16"/>
  <c r="E70" i="16" s="1"/>
  <c r="F37" i="23"/>
  <c r="F38" i="23" s="1"/>
  <c r="G34" i="19"/>
  <c r="F35" i="19" s="1"/>
  <c r="E82" i="16"/>
  <c r="P84" i="15"/>
  <c r="O84" i="15"/>
  <c r="N84" i="15"/>
  <c r="P83" i="15"/>
  <c r="O83" i="15"/>
  <c r="N83" i="15"/>
  <c r="P82" i="15"/>
  <c r="O82" i="15"/>
  <c r="N82" i="15"/>
  <c r="P81" i="15"/>
  <c r="O81" i="15"/>
  <c r="N81" i="15"/>
  <c r="P79" i="15"/>
  <c r="O79" i="15"/>
  <c r="N79" i="15"/>
  <c r="P78" i="15"/>
  <c r="O78" i="15"/>
  <c r="N78" i="15"/>
  <c r="P77" i="15"/>
  <c r="O77" i="15"/>
  <c r="N77" i="15"/>
  <c r="P76" i="15"/>
  <c r="O76" i="15"/>
  <c r="N76" i="15"/>
  <c r="N80" i="15" l="1"/>
  <c r="B87" i="16" s="1"/>
  <c r="P80" i="15"/>
  <c r="D87" i="16" s="1"/>
  <c r="N85" i="15"/>
  <c r="B93" i="16" s="1"/>
  <c r="P85" i="15"/>
  <c r="D93" i="16" s="1"/>
  <c r="O85" i="15"/>
  <c r="C93" i="16" s="1"/>
  <c r="O80" i="15"/>
  <c r="C87" i="16" s="1"/>
  <c r="E87" i="16" l="1"/>
  <c r="E93" i="16"/>
  <c r="H12" i="1"/>
  <c r="C12" i="25" s="1"/>
  <c r="AP12" i="25" s="1"/>
  <c r="AQ12" i="25" s="1"/>
  <c r="D95" i="16" l="1"/>
  <c r="C95" i="16"/>
  <c r="B95" i="16"/>
  <c r="D89" i="16"/>
  <c r="C89" i="16"/>
  <c r="B89" i="16"/>
  <c r="P74" i="15"/>
  <c r="O74" i="15"/>
  <c r="N74" i="15"/>
  <c r="P73" i="15"/>
  <c r="O73" i="15"/>
  <c r="N73" i="15"/>
  <c r="P72" i="15"/>
  <c r="O72" i="15"/>
  <c r="N72" i="15"/>
  <c r="P71" i="15"/>
  <c r="O71" i="15"/>
  <c r="N71" i="15"/>
  <c r="P69" i="15"/>
  <c r="O69" i="15"/>
  <c r="N69" i="15"/>
  <c r="P68" i="15"/>
  <c r="O68" i="15"/>
  <c r="N68" i="15"/>
  <c r="P67" i="15"/>
  <c r="O67" i="15"/>
  <c r="N67" i="15"/>
  <c r="P66" i="15"/>
  <c r="O66" i="15"/>
  <c r="N66" i="15"/>
  <c r="P64" i="15"/>
  <c r="O64" i="15"/>
  <c r="N64" i="15"/>
  <c r="P63" i="15"/>
  <c r="O63" i="15"/>
  <c r="N63" i="15"/>
  <c r="P62" i="15"/>
  <c r="O62" i="15"/>
  <c r="N62" i="15"/>
  <c r="P61" i="15"/>
  <c r="O61" i="15"/>
  <c r="N61" i="15"/>
  <c r="N65" i="15" l="1"/>
  <c r="B69" i="16" s="1"/>
  <c r="P65" i="15"/>
  <c r="D69" i="16" s="1"/>
  <c r="N70" i="15"/>
  <c r="B75" i="16" s="1"/>
  <c r="B77" i="16" s="1"/>
  <c r="P70" i="15"/>
  <c r="D75" i="16" s="1"/>
  <c r="D77" i="16" s="1"/>
  <c r="N75" i="15"/>
  <c r="B81" i="16" s="1"/>
  <c r="B83" i="16" s="1"/>
  <c r="P75" i="15"/>
  <c r="D81" i="16" s="1"/>
  <c r="D83" i="16" s="1"/>
  <c r="E95" i="16"/>
  <c r="E89" i="16"/>
  <c r="O65" i="15"/>
  <c r="C69" i="16" s="1"/>
  <c r="O70" i="15"/>
  <c r="C75" i="16" s="1"/>
  <c r="C77" i="16" s="1"/>
  <c r="O75" i="15"/>
  <c r="C81" i="16" s="1"/>
  <c r="C83" i="16" s="1"/>
  <c r="G29" i="18"/>
  <c r="H33" i="18" s="1"/>
  <c r="H34" i="18" s="1"/>
  <c r="F29" i="18"/>
  <c r="E29" i="18"/>
  <c r="D29" i="18"/>
  <c r="H28" i="18"/>
  <c r="H27" i="18"/>
  <c r="G22" i="18"/>
  <c r="H22" i="18" s="1"/>
  <c r="F22" i="18"/>
  <c r="E22" i="18"/>
  <c r="D22" i="18"/>
  <c r="H21" i="18"/>
  <c r="H20" i="18"/>
  <c r="H19" i="18"/>
  <c r="M29" i="25" s="1"/>
  <c r="AP29" i="25" s="1"/>
  <c r="AQ29" i="25" s="1"/>
  <c r="H18" i="18"/>
  <c r="G13" i="18"/>
  <c r="F33" i="18" s="1"/>
  <c r="F13" i="18"/>
  <c r="E13" i="18"/>
  <c r="D13" i="18"/>
  <c r="H12" i="18"/>
  <c r="M9" i="25" s="1"/>
  <c r="H11" i="18"/>
  <c r="M18" i="25" s="1"/>
  <c r="AP18" i="25" s="1"/>
  <c r="AQ18" i="25" s="1"/>
  <c r="H10" i="18"/>
  <c r="M13" i="25" s="1"/>
  <c r="H9" i="18"/>
  <c r="M3" i="25" s="1"/>
  <c r="M25" i="25" l="1"/>
  <c r="AP25" i="25" s="1"/>
  <c r="AQ25" i="25" s="1"/>
  <c r="E69" i="16"/>
  <c r="F34" i="18"/>
  <c r="B64" i="16"/>
  <c r="M32" i="25"/>
  <c r="M34" i="25" s="1"/>
  <c r="E83" i="16"/>
  <c r="E77" i="16"/>
  <c r="E75" i="16"/>
  <c r="E81" i="16"/>
  <c r="H13" i="18"/>
  <c r="H29" i="18"/>
  <c r="G33" i="18"/>
  <c r="D71" i="16"/>
  <c r="C71" i="16"/>
  <c r="B71" i="16"/>
  <c r="M15" i="15"/>
  <c r="M20" i="15" s="1"/>
  <c r="M25" i="15" s="1"/>
  <c r="M30" i="15" s="1"/>
  <c r="M35" i="15" s="1"/>
  <c r="M40" i="15" s="1"/>
  <c r="M45" i="15" s="1"/>
  <c r="M50" i="15" s="1"/>
  <c r="M55" i="15" s="1"/>
  <c r="M60" i="15" s="1"/>
  <c r="M65" i="15" s="1"/>
  <c r="M70" i="15" s="1"/>
  <c r="M75" i="15" s="1"/>
  <c r="M80" i="15" s="1"/>
  <c r="M85" i="15" s="1"/>
  <c r="M90" i="15" s="1"/>
  <c r="M95" i="15" s="1"/>
  <c r="M100" i="15" s="1"/>
  <c r="M105" i="15" s="1"/>
  <c r="M110" i="15" s="1"/>
  <c r="M115" i="15" s="1"/>
  <c r="M120" i="15" s="1"/>
  <c r="M125" i="15" s="1"/>
  <c r="M130" i="15" s="1"/>
  <c r="M135" i="15" s="1"/>
  <c r="M140" i="15" s="1"/>
  <c r="M145" i="15" s="1"/>
  <c r="M150" i="15" s="1"/>
  <c r="P59" i="15"/>
  <c r="O59" i="15"/>
  <c r="N59" i="15"/>
  <c r="P58" i="15"/>
  <c r="O58" i="15"/>
  <c r="N58" i="15"/>
  <c r="P57" i="15"/>
  <c r="O57" i="15"/>
  <c r="N57" i="15"/>
  <c r="P56" i="15"/>
  <c r="O56" i="15"/>
  <c r="N56" i="15"/>
  <c r="P54" i="15"/>
  <c r="O54" i="15"/>
  <c r="N54" i="15"/>
  <c r="P53" i="15"/>
  <c r="O53" i="15"/>
  <c r="N53" i="15"/>
  <c r="P52" i="15"/>
  <c r="O52" i="15"/>
  <c r="N52" i="15"/>
  <c r="P51" i="15"/>
  <c r="O51" i="15"/>
  <c r="N51" i="15"/>
  <c r="P49" i="15"/>
  <c r="O49" i="15"/>
  <c r="N49" i="15"/>
  <c r="P48" i="15"/>
  <c r="O48" i="15"/>
  <c r="N48" i="15"/>
  <c r="P47" i="15"/>
  <c r="O47" i="15"/>
  <c r="N47" i="15"/>
  <c r="P46" i="15"/>
  <c r="O46" i="15"/>
  <c r="N46" i="15"/>
  <c r="P44" i="15"/>
  <c r="O44" i="15"/>
  <c r="N44" i="15"/>
  <c r="P43" i="15"/>
  <c r="O43" i="15"/>
  <c r="N43" i="15"/>
  <c r="P42" i="15"/>
  <c r="O42" i="15"/>
  <c r="N42" i="15"/>
  <c r="P41" i="15"/>
  <c r="O41" i="15"/>
  <c r="N41" i="15"/>
  <c r="P39" i="15"/>
  <c r="O39" i="15"/>
  <c r="N39" i="15"/>
  <c r="P38" i="15"/>
  <c r="O38" i="15"/>
  <c r="N38" i="15"/>
  <c r="P37" i="15"/>
  <c r="O37" i="15"/>
  <c r="N37" i="15"/>
  <c r="P36" i="15"/>
  <c r="O36" i="15"/>
  <c r="N36" i="15"/>
  <c r="P34" i="15"/>
  <c r="O34" i="15"/>
  <c r="N34" i="15"/>
  <c r="P33" i="15"/>
  <c r="O33" i="15"/>
  <c r="N33" i="15"/>
  <c r="P32" i="15"/>
  <c r="O32" i="15"/>
  <c r="N32" i="15"/>
  <c r="P31" i="15"/>
  <c r="O31" i="15"/>
  <c r="N31" i="15"/>
  <c r="P29" i="15"/>
  <c r="O29" i="15"/>
  <c r="N29" i="15"/>
  <c r="P28" i="15"/>
  <c r="O28" i="15"/>
  <c r="N28" i="15"/>
  <c r="P27" i="15"/>
  <c r="O27" i="15"/>
  <c r="N27" i="15"/>
  <c r="P26" i="15"/>
  <c r="O26" i="15"/>
  <c r="N26" i="15"/>
  <c r="P24" i="15"/>
  <c r="O24" i="15"/>
  <c r="N24" i="15"/>
  <c r="P23" i="15"/>
  <c r="O23" i="15"/>
  <c r="N23" i="15"/>
  <c r="P22" i="15"/>
  <c r="O22" i="15"/>
  <c r="N22" i="15"/>
  <c r="P21" i="15"/>
  <c r="O21" i="15"/>
  <c r="N21" i="15"/>
  <c r="P19" i="15"/>
  <c r="O19" i="15"/>
  <c r="N19" i="15"/>
  <c r="P18" i="15"/>
  <c r="O18" i="15"/>
  <c r="N18" i="15"/>
  <c r="P17" i="15"/>
  <c r="O17" i="15"/>
  <c r="N17" i="15"/>
  <c r="P16" i="15"/>
  <c r="O16" i="15"/>
  <c r="N16" i="15"/>
  <c r="P14" i="15"/>
  <c r="O14" i="15"/>
  <c r="N14" i="15"/>
  <c r="P13" i="15"/>
  <c r="O13" i="15"/>
  <c r="N13" i="15"/>
  <c r="P12" i="15"/>
  <c r="O12" i="15"/>
  <c r="N12" i="15"/>
  <c r="P11" i="15"/>
  <c r="O11" i="15"/>
  <c r="N11" i="15"/>
  <c r="P8" i="15"/>
  <c r="P7" i="15"/>
  <c r="P6" i="15"/>
  <c r="P5" i="15"/>
  <c r="O8" i="15"/>
  <c r="O7" i="15"/>
  <c r="O6" i="15"/>
  <c r="O5" i="15"/>
  <c r="N8" i="15"/>
  <c r="N7" i="15"/>
  <c r="N6" i="15"/>
  <c r="N5" i="15"/>
  <c r="J4" i="16"/>
  <c r="J10" i="16" s="1"/>
  <c r="J16" i="16" s="1"/>
  <c r="J22" i="16" s="1"/>
  <c r="J28" i="16" s="1"/>
  <c r="J34" i="16" s="1"/>
  <c r="J40" i="16" s="1"/>
  <c r="J46" i="16" s="1"/>
  <c r="J52" i="16" s="1"/>
  <c r="J58" i="16" s="1"/>
  <c r="J64" i="16" s="1"/>
  <c r="J70" i="16" s="1"/>
  <c r="J76" i="16" s="1"/>
  <c r="J82" i="16" s="1"/>
  <c r="J88" i="16" s="1"/>
  <c r="J94" i="16" s="1"/>
  <c r="J100" i="16" s="1"/>
  <c r="J106" i="16" s="1"/>
  <c r="J112" i="16" s="1"/>
  <c r="J118" i="16" s="1"/>
  <c r="J124" i="16" s="1"/>
  <c r="J130" i="16" s="1"/>
  <c r="J136" i="16" s="1"/>
  <c r="J142" i="16" s="1"/>
  <c r="J148" i="16" s="1"/>
  <c r="J154" i="16" s="1"/>
  <c r="J160" i="16" s="1"/>
  <c r="J166" i="16" s="1"/>
  <c r="J172" i="16" s="1"/>
  <c r="J178" i="16" s="1"/>
  <c r="J184" i="16" s="1"/>
  <c r="J190" i="16" s="1"/>
  <c r="J196" i="16" s="1"/>
  <c r="J202" i="16" s="1"/>
  <c r="J208" i="16" s="1"/>
  <c r="J214" i="16" s="1"/>
  <c r="J220" i="16" s="1"/>
  <c r="J226" i="16" s="1"/>
  <c r="J232" i="16" s="1"/>
  <c r="J238" i="16" s="1"/>
  <c r="J3" i="16"/>
  <c r="D5" i="16"/>
  <c r="J5" i="16" s="1"/>
  <c r="A8" i="16"/>
  <c r="A14" i="16" s="1"/>
  <c r="A20" i="16" s="1"/>
  <c r="A26" i="16" s="1"/>
  <c r="A32" i="16" s="1"/>
  <c r="A38" i="16" s="1"/>
  <c r="A44" i="16" s="1"/>
  <c r="A50" i="16" s="1"/>
  <c r="A56" i="16" s="1"/>
  <c r="A62" i="16" s="1"/>
  <c r="A68" i="16" s="1"/>
  <c r="A74" i="16" s="1"/>
  <c r="A80" i="16" s="1"/>
  <c r="A86" i="16" s="1"/>
  <c r="A92" i="16" s="1"/>
  <c r="A98" i="16" s="1"/>
  <c r="A104" i="16" s="1"/>
  <c r="A110" i="16" s="1"/>
  <c r="A116" i="16" s="1"/>
  <c r="A122" i="16" s="1"/>
  <c r="A128" i="16" s="1"/>
  <c r="A134" i="16" s="1"/>
  <c r="A140" i="16" s="1"/>
  <c r="A146" i="16" s="1"/>
  <c r="A152" i="16" s="1"/>
  <c r="A158" i="16" s="1"/>
  <c r="A164" i="16" s="1"/>
  <c r="A170" i="16" s="1"/>
  <c r="A176" i="16" s="1"/>
  <c r="A182" i="16" s="1"/>
  <c r="A188" i="16" s="1"/>
  <c r="A194" i="16" s="1"/>
  <c r="A200" i="16" s="1"/>
  <c r="A206" i="16" s="1"/>
  <c r="A212" i="16" s="1"/>
  <c r="A218" i="16" s="1"/>
  <c r="A224" i="16" s="1"/>
  <c r="A230" i="16" s="1"/>
  <c r="A236" i="16" s="1"/>
  <c r="G34" i="18" l="1"/>
  <c r="F35" i="18" s="1"/>
  <c r="C64" i="16"/>
  <c r="E64" i="16" s="1"/>
  <c r="O25" i="15"/>
  <c r="C21" i="16" s="1"/>
  <c r="O30" i="15"/>
  <c r="C27" i="16" s="1"/>
  <c r="O35" i="15"/>
  <c r="C33" i="16" s="1"/>
  <c r="O40" i="15"/>
  <c r="C39" i="16" s="1"/>
  <c r="O45" i="15"/>
  <c r="C45" i="16" s="1"/>
  <c r="O50" i="15"/>
  <c r="C51" i="16" s="1"/>
  <c r="O55" i="15"/>
  <c r="C57" i="16" s="1"/>
  <c r="E71" i="16"/>
  <c r="N9" i="15"/>
  <c r="B3" i="16" s="1"/>
  <c r="H3" i="16" s="1"/>
  <c r="O9" i="15"/>
  <c r="C3" i="16" s="1"/>
  <c r="P9" i="15"/>
  <c r="N15" i="15"/>
  <c r="B9" i="16" s="1"/>
  <c r="P15" i="15"/>
  <c r="D9" i="16" s="1"/>
  <c r="D11" i="16" s="1"/>
  <c r="O15" i="15"/>
  <c r="C9" i="16" s="1"/>
  <c r="N20" i="15"/>
  <c r="B15" i="16" s="1"/>
  <c r="P20" i="15"/>
  <c r="D15" i="16" s="1"/>
  <c r="D17" i="16" s="1"/>
  <c r="O60" i="15"/>
  <c r="C63" i="16" s="1"/>
  <c r="O20" i="15"/>
  <c r="C15" i="16" s="1"/>
  <c r="N25" i="15"/>
  <c r="B21" i="16" s="1"/>
  <c r="P25" i="15"/>
  <c r="D21" i="16" s="1"/>
  <c r="N30" i="15"/>
  <c r="B27" i="16" s="1"/>
  <c r="P30" i="15"/>
  <c r="D27" i="16" s="1"/>
  <c r="N35" i="15"/>
  <c r="B33" i="16" s="1"/>
  <c r="P35" i="15"/>
  <c r="D33" i="16" s="1"/>
  <c r="N40" i="15"/>
  <c r="B39" i="16" s="1"/>
  <c r="P40" i="15"/>
  <c r="N45" i="15"/>
  <c r="B45" i="16" s="1"/>
  <c r="P45" i="15"/>
  <c r="D45" i="16" s="1"/>
  <c r="N50" i="15"/>
  <c r="B51" i="16" s="1"/>
  <c r="P50" i="15"/>
  <c r="D51" i="16" s="1"/>
  <c r="N55" i="15"/>
  <c r="B57" i="16" s="1"/>
  <c r="P55" i="15"/>
  <c r="D57" i="16" s="1"/>
  <c r="D59" i="16" s="1"/>
  <c r="N60" i="15"/>
  <c r="B63" i="16" s="1"/>
  <c r="P60" i="15"/>
  <c r="D63" i="16" s="1"/>
  <c r="D65" i="16" s="1"/>
  <c r="C65" i="16" l="1"/>
  <c r="J9" i="16"/>
  <c r="E3" i="16"/>
  <c r="K3" i="16" s="1"/>
  <c r="J15" i="16"/>
  <c r="J21" i="16" s="1"/>
  <c r="J27" i="16" s="1"/>
  <c r="J33" i="16" s="1"/>
  <c r="J39" i="16" s="1"/>
  <c r="J45" i="16" s="1"/>
  <c r="J51" i="16" s="1"/>
  <c r="J57" i="16" s="1"/>
  <c r="J63" i="16" s="1"/>
  <c r="J69" i="16" s="1"/>
  <c r="J75" i="16" s="1"/>
  <c r="J81" i="16" s="1"/>
  <c r="J87" i="16" s="1"/>
  <c r="J93" i="16" s="1"/>
  <c r="J99" i="16" s="1"/>
  <c r="J105" i="16" s="1"/>
  <c r="J111" i="16" s="1"/>
  <c r="J117" i="16" s="1"/>
  <c r="J123" i="16" s="1"/>
  <c r="J129" i="16" s="1"/>
  <c r="J135" i="16" s="1"/>
  <c r="J141" i="16" s="1"/>
  <c r="J147" i="16" s="1"/>
  <c r="J153" i="16" s="1"/>
  <c r="J159" i="16" s="1"/>
  <c r="J165" i="16" s="1"/>
  <c r="J171" i="16" s="1"/>
  <c r="J177" i="16" s="1"/>
  <c r="J183" i="16" s="1"/>
  <c r="J189" i="16" s="1"/>
  <c r="J195" i="16" s="1"/>
  <c r="J201" i="16" s="1"/>
  <c r="J207" i="16" s="1"/>
  <c r="J213" i="16" s="1"/>
  <c r="J219" i="16" s="1"/>
  <c r="J225" i="16" s="1"/>
  <c r="J231" i="16" s="1"/>
  <c r="J237" i="16" s="1"/>
  <c r="E27" i="16"/>
  <c r="H9" i="16"/>
  <c r="H15" i="16" s="1"/>
  <c r="H21" i="16" s="1"/>
  <c r="H27" i="16" s="1"/>
  <c r="H33" i="16" s="1"/>
  <c r="H39" i="16" s="1"/>
  <c r="H45" i="16" s="1"/>
  <c r="H51" i="16" s="1"/>
  <c r="H57" i="16" s="1"/>
  <c r="H63" i="16" s="1"/>
  <c r="H69" i="16" s="1"/>
  <c r="H75" i="16" s="1"/>
  <c r="H81" i="16" s="1"/>
  <c r="H87" i="16" s="1"/>
  <c r="H93" i="16" s="1"/>
  <c r="H99" i="16" s="1"/>
  <c r="H105" i="16" s="1"/>
  <c r="H111" i="16" s="1"/>
  <c r="H117" i="16" s="1"/>
  <c r="H123" i="16" s="1"/>
  <c r="H129" i="16" s="1"/>
  <c r="H135" i="16" s="1"/>
  <c r="H141" i="16" s="1"/>
  <c r="H147" i="16" s="1"/>
  <c r="H153" i="16" s="1"/>
  <c r="H159" i="16" s="1"/>
  <c r="H165" i="16" s="1"/>
  <c r="H171" i="16" s="1"/>
  <c r="H177" i="16" s="1"/>
  <c r="H183" i="16" s="1"/>
  <c r="H189" i="16" s="1"/>
  <c r="H195" i="16" s="1"/>
  <c r="H201" i="16" s="1"/>
  <c r="H207" i="16" s="1"/>
  <c r="H213" i="16" s="1"/>
  <c r="H219" i="16" s="1"/>
  <c r="H225" i="16" s="1"/>
  <c r="H231" i="16" s="1"/>
  <c r="H237" i="16" s="1"/>
  <c r="E9" i="16"/>
  <c r="K9" i="16" s="1"/>
  <c r="I3" i="16"/>
  <c r="I9" i="16" s="1"/>
  <c r="I15" i="16" s="1"/>
  <c r="I21" i="16" s="1"/>
  <c r="I27" i="16" s="1"/>
  <c r="I33" i="16" s="1"/>
  <c r="I39" i="16" s="1"/>
  <c r="I45" i="16" s="1"/>
  <c r="I51" i="16" s="1"/>
  <c r="I57" i="16" s="1"/>
  <c r="I63" i="16" s="1"/>
  <c r="I69" i="16" s="1"/>
  <c r="I75" i="16" s="1"/>
  <c r="I81" i="16" s="1"/>
  <c r="I87" i="16" s="1"/>
  <c r="I93" i="16" s="1"/>
  <c r="I99" i="16" s="1"/>
  <c r="I105" i="16" s="1"/>
  <c r="I111" i="16" s="1"/>
  <c r="I117" i="16" s="1"/>
  <c r="I123" i="16" s="1"/>
  <c r="I129" i="16" s="1"/>
  <c r="I135" i="16" s="1"/>
  <c r="I141" i="16" s="1"/>
  <c r="I147" i="16" s="1"/>
  <c r="I153" i="16" s="1"/>
  <c r="I159" i="16" s="1"/>
  <c r="I165" i="16" s="1"/>
  <c r="I171" i="16" s="1"/>
  <c r="I177" i="16" s="1"/>
  <c r="I183" i="16" s="1"/>
  <c r="I189" i="16" s="1"/>
  <c r="I195" i="16" s="1"/>
  <c r="I201" i="16" s="1"/>
  <c r="I207" i="16" s="1"/>
  <c r="I213" i="16" s="1"/>
  <c r="I219" i="16" s="1"/>
  <c r="I225" i="16" s="1"/>
  <c r="I231" i="16" s="1"/>
  <c r="I237" i="16" s="1"/>
  <c r="E63" i="16"/>
  <c r="B65" i="16"/>
  <c r="E57" i="16"/>
  <c r="E51" i="16"/>
  <c r="E45" i="16"/>
  <c r="B41" i="16"/>
  <c r="E39" i="16"/>
  <c r="E33" i="16"/>
  <c r="B35" i="16"/>
  <c r="E21" i="16"/>
  <c r="J11" i="16"/>
  <c r="J17" i="16" s="1"/>
  <c r="D53" i="16"/>
  <c r="D47" i="16"/>
  <c r="D41" i="16"/>
  <c r="D35" i="16"/>
  <c r="D29" i="16"/>
  <c r="D23" i="16"/>
  <c r="E15" i="16"/>
  <c r="G29" i="17"/>
  <c r="H33" i="17" s="1"/>
  <c r="H34" i="17" s="1"/>
  <c r="F29" i="17"/>
  <c r="E29" i="17"/>
  <c r="D29" i="17"/>
  <c r="H28" i="17"/>
  <c r="H27" i="17"/>
  <c r="G22" i="17"/>
  <c r="H22" i="17" s="1"/>
  <c r="F22" i="17"/>
  <c r="E22" i="17"/>
  <c r="D22" i="17"/>
  <c r="H21" i="17"/>
  <c r="H20" i="17"/>
  <c r="H19" i="17"/>
  <c r="H18" i="17"/>
  <c r="L16" i="25" s="1"/>
  <c r="G13" i="17"/>
  <c r="F33" i="17" s="1"/>
  <c r="F13" i="17"/>
  <c r="E13" i="17"/>
  <c r="D13" i="17"/>
  <c r="H12" i="17"/>
  <c r="L20" i="25" s="1"/>
  <c r="H11" i="17"/>
  <c r="H10" i="17"/>
  <c r="L7" i="25" s="1"/>
  <c r="H9" i="17"/>
  <c r="L13" i="25" s="1"/>
  <c r="L30" i="25" l="1"/>
  <c r="E65" i="16"/>
  <c r="L32" i="25"/>
  <c r="L34" i="25" s="1"/>
  <c r="F34" i="17"/>
  <c r="B58" i="16"/>
  <c r="K15" i="16"/>
  <c r="J23" i="16"/>
  <c r="J29" i="16" s="1"/>
  <c r="J35" i="16" s="1"/>
  <c r="J41" i="16" s="1"/>
  <c r="J47" i="16" s="1"/>
  <c r="J53" i="16" s="1"/>
  <c r="J59" i="16" s="1"/>
  <c r="J65" i="16" s="1"/>
  <c r="J71" i="16" s="1"/>
  <c r="J77" i="16" s="1"/>
  <c r="J83" i="16" s="1"/>
  <c r="J89" i="16" s="1"/>
  <c r="J95" i="16" s="1"/>
  <c r="J101" i="16" s="1"/>
  <c r="J107" i="16" s="1"/>
  <c r="J113" i="16" s="1"/>
  <c r="J119" i="16" s="1"/>
  <c r="J125" i="16" s="1"/>
  <c r="J131" i="16" s="1"/>
  <c r="J137" i="16" s="1"/>
  <c r="J143" i="16" s="1"/>
  <c r="J149" i="16" s="1"/>
  <c r="J155" i="16" s="1"/>
  <c r="J161" i="16" s="1"/>
  <c r="J167" i="16" s="1"/>
  <c r="J173" i="16" s="1"/>
  <c r="J179" i="16" s="1"/>
  <c r="J185" i="16" s="1"/>
  <c r="J191" i="16" s="1"/>
  <c r="J197" i="16" s="1"/>
  <c r="J203" i="16" s="1"/>
  <c r="J209" i="16" s="1"/>
  <c r="J215" i="16" s="1"/>
  <c r="J221" i="16" s="1"/>
  <c r="J227" i="16" s="1"/>
  <c r="J233" i="16" s="1"/>
  <c r="J239" i="16" s="1"/>
  <c r="K21" i="16"/>
  <c r="K27" i="16" s="1"/>
  <c r="K33" i="16" s="1"/>
  <c r="K39" i="16" s="1"/>
  <c r="K45" i="16" s="1"/>
  <c r="K51" i="16" s="1"/>
  <c r="K57" i="16" s="1"/>
  <c r="K63" i="16" s="1"/>
  <c r="K69" i="16" s="1"/>
  <c r="K75" i="16" s="1"/>
  <c r="K81" i="16" s="1"/>
  <c r="K87" i="16" s="1"/>
  <c r="K93" i="16" s="1"/>
  <c r="K99" i="16" s="1"/>
  <c r="K105" i="16" s="1"/>
  <c r="K111" i="16" s="1"/>
  <c r="K117" i="16" s="1"/>
  <c r="K123" i="16" s="1"/>
  <c r="K129" i="16" s="1"/>
  <c r="K135" i="16" s="1"/>
  <c r="K141" i="16" s="1"/>
  <c r="K147" i="16" s="1"/>
  <c r="K153" i="16" s="1"/>
  <c r="K159" i="16" s="1"/>
  <c r="K165" i="16" s="1"/>
  <c r="K171" i="16" s="1"/>
  <c r="K177" i="16" s="1"/>
  <c r="K183" i="16" s="1"/>
  <c r="K189" i="16" s="1"/>
  <c r="K195" i="16" s="1"/>
  <c r="K201" i="16" s="1"/>
  <c r="K207" i="16" s="1"/>
  <c r="K213" i="16" s="1"/>
  <c r="K219" i="16" s="1"/>
  <c r="K225" i="16" s="1"/>
  <c r="K231" i="16" s="1"/>
  <c r="K237" i="16" s="1"/>
  <c r="H13" i="17"/>
  <c r="H29" i="17"/>
  <c r="G33" i="17"/>
  <c r="B59" i="16" l="1"/>
  <c r="G34" i="17"/>
  <c r="F35" i="17" s="1"/>
  <c r="C58" i="16"/>
  <c r="C59" i="16" s="1"/>
  <c r="E29" i="13"/>
  <c r="D29" i="12"/>
  <c r="E29" i="12"/>
  <c r="G29" i="12"/>
  <c r="H33" i="12" s="1"/>
  <c r="H34" i="12" s="1"/>
  <c r="E59" i="16" l="1"/>
  <c r="E58" i="16"/>
  <c r="G29" i="13"/>
  <c r="H33" i="13" s="1"/>
  <c r="H34" i="13" s="1"/>
  <c r="F29" i="13"/>
  <c r="D29" i="13"/>
  <c r="H28" i="13"/>
  <c r="H27" i="13"/>
  <c r="G22" i="13"/>
  <c r="G33" i="13" s="1"/>
  <c r="F22" i="13"/>
  <c r="E22" i="13"/>
  <c r="D22" i="13"/>
  <c r="H21" i="13"/>
  <c r="H20" i="13"/>
  <c r="K28" i="25" s="1"/>
  <c r="H19" i="13"/>
  <c r="K16" i="25" s="1"/>
  <c r="H18" i="13"/>
  <c r="G13" i="13"/>
  <c r="F33" i="13" s="1"/>
  <c r="F13" i="13"/>
  <c r="E13" i="13"/>
  <c r="D13" i="13"/>
  <c r="H12" i="13"/>
  <c r="K21" i="25" s="1"/>
  <c r="H11" i="13"/>
  <c r="K13" i="25" s="1"/>
  <c r="H10" i="13"/>
  <c r="K11" i="25" s="1"/>
  <c r="AP11" i="25" s="1"/>
  <c r="AQ11" i="25" s="1"/>
  <c r="H9" i="13"/>
  <c r="K20" i="25" s="1"/>
  <c r="F34" i="13" l="1"/>
  <c r="B52" i="16"/>
  <c r="B53" i="16" s="1"/>
  <c r="K32" i="25"/>
  <c r="K34" i="25" s="1"/>
  <c r="AP16" i="25"/>
  <c r="AQ16" i="25" s="1"/>
  <c r="G34" i="13"/>
  <c r="F35" i="13" s="1"/>
  <c r="C52" i="16"/>
  <c r="H29" i="13"/>
  <c r="H22" i="13"/>
  <c r="H13" i="13"/>
  <c r="E52" i="16" l="1"/>
  <c r="C53" i="16"/>
  <c r="E53" i="16" s="1"/>
  <c r="D31" i="11"/>
  <c r="E31" i="11"/>
  <c r="G14" i="9"/>
  <c r="F36" i="9" s="1"/>
  <c r="B28" i="16" s="1"/>
  <c r="G24" i="9"/>
  <c r="G36" i="9" s="1"/>
  <c r="F19" i="9"/>
  <c r="B29" i="16" l="1"/>
  <c r="H29" i="12"/>
  <c r="F29" i="12"/>
  <c r="G22" i="12"/>
  <c r="F22" i="12"/>
  <c r="E22" i="12"/>
  <c r="G13" i="12"/>
  <c r="F13" i="12"/>
  <c r="E13" i="12"/>
  <c r="H13" i="12" l="1"/>
  <c r="F33" i="12"/>
  <c r="H22" i="12"/>
  <c r="G33" i="12"/>
  <c r="H13" i="9"/>
  <c r="D14" i="9"/>
  <c r="E14" i="9"/>
  <c r="H14" i="9"/>
  <c r="F11" i="9"/>
  <c r="F9" i="9"/>
  <c r="F14" i="9" l="1"/>
  <c r="C46" i="16"/>
  <c r="C47" i="16" s="1"/>
  <c r="G34" i="12"/>
  <c r="B46" i="16"/>
  <c r="F34" i="12"/>
  <c r="F33" i="8"/>
  <c r="F35" i="12" l="1"/>
  <c r="E46" i="16"/>
  <c r="B47" i="16"/>
  <c r="E47" i="16" s="1"/>
  <c r="G32" i="9"/>
  <c r="H36" i="9" s="1"/>
  <c r="C28" i="16" s="1"/>
  <c r="F32" i="9"/>
  <c r="E32" i="9"/>
  <c r="H24" i="9"/>
  <c r="F24" i="9"/>
  <c r="E24" i="9"/>
  <c r="F37" i="9"/>
  <c r="C29" i="16" l="1"/>
  <c r="E29" i="16" s="1"/>
  <c r="E28" i="16"/>
  <c r="H32" i="9"/>
  <c r="H28" i="12"/>
  <c r="H27" i="12"/>
  <c r="D22" i="12"/>
  <c r="H21" i="12"/>
  <c r="J3" i="25" s="1"/>
  <c r="H20" i="12"/>
  <c r="J30" i="25" s="1"/>
  <c r="H19" i="12"/>
  <c r="H18" i="12"/>
  <c r="D13" i="12"/>
  <c r="H12" i="12"/>
  <c r="H11" i="12"/>
  <c r="J15" i="25" s="1"/>
  <c r="H10" i="12"/>
  <c r="H9" i="12"/>
  <c r="J13" i="25" s="1"/>
  <c r="G31" i="11"/>
  <c r="F31" i="11"/>
  <c r="H30" i="11"/>
  <c r="I6" i="25" s="1"/>
  <c r="H29" i="11"/>
  <c r="I7" i="25" s="1"/>
  <c r="G24" i="11"/>
  <c r="G35" i="11" s="1"/>
  <c r="G36" i="11" s="1"/>
  <c r="F24" i="11"/>
  <c r="E24" i="11"/>
  <c r="D24" i="11"/>
  <c r="H23" i="11"/>
  <c r="H22" i="11"/>
  <c r="H21" i="11"/>
  <c r="H20" i="11"/>
  <c r="H19" i="11"/>
  <c r="G14" i="11"/>
  <c r="F35" i="11" s="1"/>
  <c r="F36" i="11" s="1"/>
  <c r="F14" i="11"/>
  <c r="E14" i="11"/>
  <c r="D14" i="11"/>
  <c r="H13" i="11"/>
  <c r="H12" i="11"/>
  <c r="H11" i="11"/>
  <c r="H10" i="11"/>
  <c r="H9" i="11"/>
  <c r="G32" i="10"/>
  <c r="F32" i="10"/>
  <c r="E32" i="10"/>
  <c r="G24" i="10"/>
  <c r="G36" i="10" s="1"/>
  <c r="G37" i="10" s="1"/>
  <c r="F24" i="10"/>
  <c r="E24" i="10"/>
  <c r="D14" i="10"/>
  <c r="E14" i="10"/>
  <c r="F14" i="10"/>
  <c r="G14" i="10"/>
  <c r="F36" i="10" s="1"/>
  <c r="F37" i="10" s="1"/>
  <c r="D32" i="10"/>
  <c r="H31" i="10"/>
  <c r="H30" i="10"/>
  <c r="H15" i="25" s="1"/>
  <c r="H29" i="10"/>
  <c r="H7" i="25" s="1"/>
  <c r="D24" i="10"/>
  <c r="H23" i="10"/>
  <c r="H22" i="10"/>
  <c r="H21" i="10"/>
  <c r="H20" i="10"/>
  <c r="H19" i="10"/>
  <c r="H13" i="10"/>
  <c r="H12" i="10"/>
  <c r="H11" i="10"/>
  <c r="H10" i="10"/>
  <c r="H9" i="10"/>
  <c r="H32" i="25" l="1"/>
  <c r="H34" i="25" s="1"/>
  <c r="J8" i="25"/>
  <c r="H24" i="10"/>
  <c r="H14" i="10"/>
  <c r="H32" i="10"/>
  <c r="C34" i="16"/>
  <c r="H14" i="11"/>
  <c r="H24" i="11"/>
  <c r="I32" i="25"/>
  <c r="I34" i="25" s="1"/>
  <c r="AP6" i="25"/>
  <c r="AQ6" i="25" s="1"/>
  <c r="J9" i="25"/>
  <c r="AP15" i="25"/>
  <c r="AQ15" i="25" s="1"/>
  <c r="H35" i="11"/>
  <c r="H31" i="11"/>
  <c r="H36" i="10"/>
  <c r="H37" i="10" s="1"/>
  <c r="F38" i="10" s="1"/>
  <c r="H37" i="9"/>
  <c r="D32" i="9"/>
  <c r="H31" i="9"/>
  <c r="H30" i="9"/>
  <c r="G20" i="25" s="1"/>
  <c r="H29" i="9"/>
  <c r="D24" i="9"/>
  <c r="H23" i="9"/>
  <c r="G9" i="25" s="1"/>
  <c r="H22" i="9"/>
  <c r="G21" i="25" s="1"/>
  <c r="AP21" i="25" s="1"/>
  <c r="AQ21" i="25" s="1"/>
  <c r="H21" i="9"/>
  <c r="H20" i="9"/>
  <c r="H19" i="9"/>
  <c r="H12" i="9"/>
  <c r="H11" i="9"/>
  <c r="H10" i="9"/>
  <c r="G13" i="25" s="1"/>
  <c r="H9" i="9"/>
  <c r="G4" i="25" s="1"/>
  <c r="J32" i="25" l="1"/>
  <c r="J34" i="25" s="1"/>
  <c r="G17" i="25"/>
  <c r="G8" i="25"/>
  <c r="H36" i="11"/>
  <c r="F37" i="11" s="1"/>
  <c r="C40" i="16"/>
  <c r="E34" i="16"/>
  <c r="C35" i="16"/>
  <c r="E35" i="16" s="1"/>
  <c r="G37" i="9"/>
  <c r="F38" i="9" s="1"/>
  <c r="G26" i="7"/>
  <c r="C16" i="16" s="1"/>
  <c r="C17" i="16" s="1"/>
  <c r="F26" i="7"/>
  <c r="E26" i="7"/>
  <c r="D26" i="7"/>
  <c r="G15" i="7"/>
  <c r="B16" i="16" s="1"/>
  <c r="E15" i="7"/>
  <c r="G32" i="25" l="1"/>
  <c r="G34" i="25" s="1"/>
  <c r="H15" i="7"/>
  <c r="F37" i="7"/>
  <c r="F38" i="7" s="1"/>
  <c r="E16" i="16"/>
  <c r="B17" i="16"/>
  <c r="H26" i="7"/>
  <c r="G37" i="7"/>
  <c r="E40" i="16"/>
  <c r="C41" i="16"/>
  <c r="E41" i="16" s="1"/>
  <c r="G33" i="8"/>
  <c r="H37" i="8" s="1"/>
  <c r="H31" i="8"/>
  <c r="E33" i="8"/>
  <c r="D33" i="8"/>
  <c r="H32" i="8"/>
  <c r="H30" i="8"/>
  <c r="G25" i="8"/>
  <c r="C22" i="16" s="1"/>
  <c r="C23" i="16" s="1"/>
  <c r="F25" i="8"/>
  <c r="E25" i="8"/>
  <c r="D25" i="8"/>
  <c r="H24" i="8"/>
  <c r="H23" i="8"/>
  <c r="F5" i="25" s="1"/>
  <c r="H22" i="8"/>
  <c r="H21" i="8"/>
  <c r="H20" i="8"/>
  <c r="G15" i="8"/>
  <c r="E15" i="8"/>
  <c r="D15" i="8"/>
  <c r="H14" i="8"/>
  <c r="F30" i="25" s="1"/>
  <c r="H13" i="8"/>
  <c r="H12" i="8"/>
  <c r="H11" i="8"/>
  <c r="H10" i="8"/>
  <c r="F4" i="25" s="1"/>
  <c r="F15" i="8"/>
  <c r="H9" i="8"/>
  <c r="F13" i="25" s="1"/>
  <c r="F27" i="25" l="1"/>
  <c r="F20" i="25"/>
  <c r="AP20" i="25" s="1"/>
  <c r="AQ20" i="25" s="1"/>
  <c r="F7" i="25"/>
  <c r="F17" i="25"/>
  <c r="H15" i="8"/>
  <c r="B22" i="16"/>
  <c r="E17" i="16"/>
  <c r="H33" i="8"/>
  <c r="G37" i="8"/>
  <c r="G38" i="8" s="1"/>
  <c r="H25" i="8"/>
  <c r="F37" i="8"/>
  <c r="F38" i="8" s="1"/>
  <c r="H38" i="8"/>
  <c r="F11" i="6"/>
  <c r="F32" i="25" l="1"/>
  <c r="F34" i="25" s="1"/>
  <c r="E22" i="16"/>
  <c r="B23" i="16"/>
  <c r="F39" i="8"/>
  <c r="F10" i="7"/>
  <c r="F15" i="7" s="1"/>
  <c r="E23" i="16" l="1"/>
  <c r="G28" i="6"/>
  <c r="F25" i="6"/>
  <c r="F27" i="6"/>
  <c r="F26" i="6"/>
  <c r="F22" i="6"/>
  <c r="H25" i="6"/>
  <c r="G16" i="6"/>
  <c r="B10" i="16" s="1"/>
  <c r="F15" i="6"/>
  <c r="E16" i="6"/>
  <c r="F14" i="6"/>
  <c r="F12" i="6"/>
  <c r="F10" i="6"/>
  <c r="H15" i="6"/>
  <c r="F16" i="6" l="1"/>
  <c r="F28" i="6"/>
  <c r="F39" i="6"/>
  <c r="H28" i="6"/>
  <c r="G39" i="6"/>
  <c r="B11" i="16"/>
  <c r="H16" i="6"/>
  <c r="C10" i="16"/>
  <c r="G33" i="7"/>
  <c r="H33" i="7" s="1"/>
  <c r="F33" i="7"/>
  <c r="E33" i="7"/>
  <c r="D33" i="7"/>
  <c r="H32" i="7"/>
  <c r="H31" i="7"/>
  <c r="H25" i="7"/>
  <c r="H24" i="7"/>
  <c r="H23" i="7"/>
  <c r="H22" i="7"/>
  <c r="E3" i="25" s="1"/>
  <c r="H21" i="7"/>
  <c r="H20" i="7"/>
  <c r="D15" i="7"/>
  <c r="H14" i="7"/>
  <c r="E30" i="25" s="1"/>
  <c r="AP30" i="25" s="1"/>
  <c r="AQ30" i="25" s="1"/>
  <c r="H13" i="7"/>
  <c r="E17" i="25" s="1"/>
  <c r="AP17" i="25" s="1"/>
  <c r="AQ17" i="25" s="1"/>
  <c r="H12" i="7"/>
  <c r="E27" i="25" s="1"/>
  <c r="AP27" i="25" s="1"/>
  <c r="AQ27" i="25" s="1"/>
  <c r="H11" i="7"/>
  <c r="E8" i="25" s="1"/>
  <c r="AP8" i="25" s="1"/>
  <c r="AQ8" i="25" s="1"/>
  <c r="H10" i="7"/>
  <c r="E4" i="25" s="1"/>
  <c r="H9" i="7"/>
  <c r="E13" i="25" s="1"/>
  <c r="AP3" i="25" l="1"/>
  <c r="E32" i="25"/>
  <c r="E34" i="25" s="1"/>
  <c r="H37" i="7"/>
  <c r="H38" i="7" s="1"/>
  <c r="E10" i="16"/>
  <c r="C11" i="16"/>
  <c r="I11" i="43"/>
  <c r="I17" i="43" s="1"/>
  <c r="I23" i="43" s="1"/>
  <c r="I29" i="43" s="1"/>
  <c r="I35" i="43" s="1"/>
  <c r="I41" i="43" s="1"/>
  <c r="I47" i="43" s="1"/>
  <c r="I53" i="43" s="1"/>
  <c r="I59" i="43" s="1"/>
  <c r="I65" i="43" s="1"/>
  <c r="I71" i="43" s="1"/>
  <c r="I77" i="43" s="1"/>
  <c r="I83" i="43" s="1"/>
  <c r="I89" i="43" s="1"/>
  <c r="I95" i="43" s="1"/>
  <c r="I101" i="43" s="1"/>
  <c r="I107" i="43" s="1"/>
  <c r="I113" i="43" s="1"/>
  <c r="I119" i="43" s="1"/>
  <c r="I125" i="43" s="1"/>
  <c r="I131" i="43" s="1"/>
  <c r="I137" i="43" s="1"/>
  <c r="I143" i="43" s="1"/>
  <c r="I149" i="43" s="1"/>
  <c r="I155" i="43" s="1"/>
  <c r="I161" i="43" s="1"/>
  <c r="I167" i="43" s="1"/>
  <c r="I173" i="43" s="1"/>
  <c r="I179" i="43" s="1"/>
  <c r="I185" i="43" s="1"/>
  <c r="I191" i="43" s="1"/>
  <c r="I197" i="43" s="1"/>
  <c r="I203" i="43" s="1"/>
  <c r="I209" i="43" s="1"/>
  <c r="I215" i="43" s="1"/>
  <c r="I221" i="43" s="1"/>
  <c r="I227" i="43" s="1"/>
  <c r="I233" i="43" s="1"/>
  <c r="I239" i="43" s="1"/>
  <c r="I245" i="43" s="1"/>
  <c r="I251" i="43" s="1"/>
  <c r="I257" i="43" s="1"/>
  <c r="I263" i="43" s="1"/>
  <c r="I269" i="43" s="1"/>
  <c r="I275" i="43" s="1"/>
  <c r="I281" i="43" s="1"/>
  <c r="I287" i="43" s="1"/>
  <c r="I293" i="43" s="1"/>
  <c r="I299" i="43" s="1"/>
  <c r="I305" i="43" s="1"/>
  <c r="I311" i="43" s="1"/>
  <c r="I317" i="43" s="1"/>
  <c r="I323" i="43" s="1"/>
  <c r="I329" i="43" s="1"/>
  <c r="I335" i="43" s="1"/>
  <c r="I341" i="43" s="1"/>
  <c r="I347" i="43" s="1"/>
  <c r="I353" i="43" s="1"/>
  <c r="I359" i="43" s="1"/>
  <c r="I365" i="43" s="1"/>
  <c r="I371" i="43" s="1"/>
  <c r="I377" i="43" s="1"/>
  <c r="I383" i="43" s="1"/>
  <c r="I389" i="43" s="1"/>
  <c r="I395" i="43" s="1"/>
  <c r="I401" i="43" s="1"/>
  <c r="I407" i="43" s="1"/>
  <c r="I413" i="43" s="1"/>
  <c r="I419" i="43" s="1"/>
  <c r="I425" i="43" s="1"/>
  <c r="I431" i="43" s="1"/>
  <c r="I437" i="43" s="1"/>
  <c r="I443" i="43" s="1"/>
  <c r="I449" i="43" s="1"/>
  <c r="I455" i="43" s="1"/>
  <c r="I461" i="43" s="1"/>
  <c r="I467" i="43" s="1"/>
  <c r="I473" i="43" s="1"/>
  <c r="I479" i="43" s="1"/>
  <c r="I485" i="43" s="1"/>
  <c r="I491" i="43" s="1"/>
  <c r="I497" i="43" s="1"/>
  <c r="G38" i="7"/>
  <c r="F39" i="7" s="1"/>
  <c r="H27" i="6"/>
  <c r="H24" i="6"/>
  <c r="H13" i="6"/>
  <c r="G35" i="6"/>
  <c r="H35" i="6" s="1"/>
  <c r="F35" i="6"/>
  <c r="E35" i="6"/>
  <c r="H39" i="6" s="1"/>
  <c r="H40" i="6" s="1"/>
  <c r="D35" i="6"/>
  <c r="H34" i="6"/>
  <c r="H33" i="6"/>
  <c r="E28" i="6"/>
  <c r="D28" i="6"/>
  <c r="H26" i="6"/>
  <c r="D14" i="25" s="1"/>
  <c r="H23" i="6"/>
  <c r="H22" i="6"/>
  <c r="F40" i="6"/>
  <c r="D16" i="6"/>
  <c r="H14" i="6"/>
  <c r="H12" i="6"/>
  <c r="D7" i="25" s="1"/>
  <c r="AP7" i="25" s="1"/>
  <c r="AQ7" i="25" s="1"/>
  <c r="H11" i="6"/>
  <c r="D5" i="25" s="1"/>
  <c r="H10" i="6"/>
  <c r="D4" i="25" s="1"/>
  <c r="H9" i="6"/>
  <c r="D19" i="25" s="1"/>
  <c r="D13" i="25" l="1"/>
  <c r="AQ3" i="25"/>
  <c r="D28" i="25"/>
  <c r="AP28" i="25" s="1"/>
  <c r="AQ28" i="25" s="1"/>
  <c r="I12" i="43"/>
  <c r="I18" i="43" s="1"/>
  <c r="I24" i="43" s="1"/>
  <c r="I30" i="43" s="1"/>
  <c r="I36" i="43" s="1"/>
  <c r="I42" i="43" s="1"/>
  <c r="I48" i="43" s="1"/>
  <c r="I54" i="43" s="1"/>
  <c r="I60" i="43" s="1"/>
  <c r="I66" i="43" s="1"/>
  <c r="I72" i="43" s="1"/>
  <c r="I78" i="43" s="1"/>
  <c r="I84" i="43" s="1"/>
  <c r="I90" i="43" s="1"/>
  <c r="I96" i="43" s="1"/>
  <c r="I102" i="43" s="1"/>
  <c r="I108" i="43" s="1"/>
  <c r="I114" i="43" s="1"/>
  <c r="I120" i="43" s="1"/>
  <c r="I126" i="43" s="1"/>
  <c r="I132" i="43" s="1"/>
  <c r="I138" i="43" s="1"/>
  <c r="I144" i="43" s="1"/>
  <c r="I150" i="43" s="1"/>
  <c r="I156" i="43" s="1"/>
  <c r="I162" i="43" s="1"/>
  <c r="I168" i="43" s="1"/>
  <c r="I174" i="43" s="1"/>
  <c r="I180" i="43" s="1"/>
  <c r="I186" i="43" s="1"/>
  <c r="I192" i="43" s="1"/>
  <c r="I198" i="43" s="1"/>
  <c r="I204" i="43" s="1"/>
  <c r="I210" i="43" s="1"/>
  <c r="I216" i="43" s="1"/>
  <c r="I222" i="43" s="1"/>
  <c r="I228" i="43" s="1"/>
  <c r="I234" i="43" s="1"/>
  <c r="I240" i="43" s="1"/>
  <c r="I246" i="43" s="1"/>
  <c r="I252" i="43" s="1"/>
  <c r="I258" i="43" s="1"/>
  <c r="I264" i="43" s="1"/>
  <c r="I270" i="43" s="1"/>
  <c r="I276" i="43" s="1"/>
  <c r="I282" i="43" s="1"/>
  <c r="I288" i="43" s="1"/>
  <c r="I294" i="43" s="1"/>
  <c r="I300" i="43" s="1"/>
  <c r="I306" i="43" s="1"/>
  <c r="I312" i="43" s="1"/>
  <c r="I318" i="43" s="1"/>
  <c r="I324" i="43" s="1"/>
  <c r="I330" i="43" s="1"/>
  <c r="I336" i="43" s="1"/>
  <c r="I342" i="43" s="1"/>
  <c r="I348" i="43" s="1"/>
  <c r="I354" i="43" s="1"/>
  <c r="I360" i="43" s="1"/>
  <c r="I366" i="43" s="1"/>
  <c r="I372" i="43" s="1"/>
  <c r="I378" i="43" s="1"/>
  <c r="I384" i="43" s="1"/>
  <c r="I390" i="43" s="1"/>
  <c r="I396" i="43" s="1"/>
  <c r="I402" i="43" s="1"/>
  <c r="I408" i="43" s="1"/>
  <c r="I414" i="43" s="1"/>
  <c r="I420" i="43" s="1"/>
  <c r="I426" i="43" s="1"/>
  <c r="I432" i="43" s="1"/>
  <c r="I438" i="43" s="1"/>
  <c r="I444" i="43" s="1"/>
  <c r="I450" i="43" s="1"/>
  <c r="I456" i="43" s="1"/>
  <c r="I462" i="43" s="1"/>
  <c r="I468" i="43" s="1"/>
  <c r="I474" i="43" s="1"/>
  <c r="I480" i="43" s="1"/>
  <c r="I486" i="43" s="1"/>
  <c r="I492" i="43" s="1"/>
  <c r="I498" i="43" s="1"/>
  <c r="E11" i="16"/>
  <c r="G40" i="6"/>
  <c r="F41" i="6" s="1"/>
  <c r="H36" i="1"/>
  <c r="H35" i="1"/>
  <c r="H29" i="1"/>
  <c r="H27" i="1"/>
  <c r="C10" i="25" s="1"/>
  <c r="AP10" i="25" s="1"/>
  <c r="AQ10" i="25" s="1"/>
  <c r="H26" i="1"/>
  <c r="H24" i="1"/>
  <c r="H23" i="1"/>
  <c r="H22" i="1"/>
  <c r="D30" i="1"/>
  <c r="E30" i="1"/>
  <c r="G30" i="1"/>
  <c r="C4" i="16" s="1"/>
  <c r="G37" i="1"/>
  <c r="H37" i="1" s="1"/>
  <c r="F37" i="1"/>
  <c r="H16" i="1"/>
  <c r="H15" i="1"/>
  <c r="C19" i="25" s="1"/>
  <c r="AP19" i="25" s="1"/>
  <c r="AQ19" i="25" s="1"/>
  <c r="H13" i="1"/>
  <c r="H11" i="1"/>
  <c r="H10" i="1"/>
  <c r="H9" i="1"/>
  <c r="F24" i="1"/>
  <c r="F23" i="1"/>
  <c r="F10" i="1"/>
  <c r="F11" i="1"/>
  <c r="F12" i="1"/>
  <c r="F13" i="1"/>
  <c r="F14" i="1"/>
  <c r="F16" i="1"/>
  <c r="G17" i="1"/>
  <c r="B4" i="16" s="1"/>
  <c r="E37" i="1"/>
  <c r="H41" i="1" s="1"/>
  <c r="H42" i="1" s="1"/>
  <c r="D37" i="1"/>
  <c r="C4" i="25" l="1"/>
  <c r="C9" i="25"/>
  <c r="AP9" i="25" s="1"/>
  <c r="AQ9" i="25" s="1"/>
  <c r="C13" i="25"/>
  <c r="AP13" i="25" s="1"/>
  <c r="AQ13" i="25" s="1"/>
  <c r="C14" i="25"/>
  <c r="AP14" i="25" s="1"/>
  <c r="AQ14" i="25" s="1"/>
  <c r="C5" i="25"/>
  <c r="AP5" i="25" s="1"/>
  <c r="AQ5" i="25" s="1"/>
  <c r="G41" i="1"/>
  <c r="G42" i="1" s="1"/>
  <c r="H30" i="1"/>
  <c r="F17" i="1"/>
  <c r="D32" i="25"/>
  <c r="D34" i="25" s="1"/>
  <c r="E4" i="16"/>
  <c r="K4" i="16" s="1"/>
  <c r="K10" i="16" s="1"/>
  <c r="K16" i="16" s="1"/>
  <c r="K22" i="16" s="1"/>
  <c r="K28" i="16" s="1"/>
  <c r="K34" i="16" s="1"/>
  <c r="K40" i="16" s="1"/>
  <c r="K46" i="16" s="1"/>
  <c r="K52" i="16" s="1"/>
  <c r="K58" i="16" s="1"/>
  <c r="K64" i="16" s="1"/>
  <c r="K70" i="16" s="1"/>
  <c r="K76" i="16" s="1"/>
  <c r="K82" i="16" s="1"/>
  <c r="K88" i="16" s="1"/>
  <c r="K94" i="16" s="1"/>
  <c r="K100" i="16" s="1"/>
  <c r="K106" i="16" s="1"/>
  <c r="K112" i="16" s="1"/>
  <c r="K118" i="16" s="1"/>
  <c r="K124" i="16" s="1"/>
  <c r="K130" i="16" s="1"/>
  <c r="K136" i="16" s="1"/>
  <c r="K142" i="16" s="1"/>
  <c r="K148" i="16" s="1"/>
  <c r="K154" i="16" s="1"/>
  <c r="K160" i="16" s="1"/>
  <c r="K166" i="16" s="1"/>
  <c r="K172" i="16" s="1"/>
  <c r="K178" i="16" s="1"/>
  <c r="K184" i="16" s="1"/>
  <c r="K190" i="16" s="1"/>
  <c r="K196" i="16" s="1"/>
  <c r="K202" i="16" s="1"/>
  <c r="K208" i="16" s="1"/>
  <c r="K214" i="16" s="1"/>
  <c r="K220" i="16" s="1"/>
  <c r="K226" i="16" s="1"/>
  <c r="K232" i="16" s="1"/>
  <c r="K238" i="16" s="1"/>
  <c r="H4" i="16"/>
  <c r="H10" i="16" s="1"/>
  <c r="H16" i="16" s="1"/>
  <c r="H22" i="16" s="1"/>
  <c r="H28" i="16" s="1"/>
  <c r="H34" i="16" s="1"/>
  <c r="H40" i="16" s="1"/>
  <c r="H46" i="16" s="1"/>
  <c r="H52" i="16" s="1"/>
  <c r="H58" i="16" s="1"/>
  <c r="H64" i="16" s="1"/>
  <c r="H70" i="16" s="1"/>
  <c r="H76" i="16" s="1"/>
  <c r="H82" i="16" s="1"/>
  <c r="H88" i="16" s="1"/>
  <c r="H94" i="16" s="1"/>
  <c r="H100" i="16" s="1"/>
  <c r="H106" i="16" s="1"/>
  <c r="H112" i="16" s="1"/>
  <c r="H118" i="16" s="1"/>
  <c r="H124" i="16" s="1"/>
  <c r="H130" i="16" s="1"/>
  <c r="H136" i="16" s="1"/>
  <c r="H142" i="16" s="1"/>
  <c r="H148" i="16" s="1"/>
  <c r="H154" i="16" s="1"/>
  <c r="H160" i="16" s="1"/>
  <c r="H166" i="16" s="1"/>
  <c r="H172" i="16" s="1"/>
  <c r="H178" i="16" s="1"/>
  <c r="H184" i="16" s="1"/>
  <c r="H190" i="16" s="1"/>
  <c r="H196" i="16" s="1"/>
  <c r="H202" i="16" s="1"/>
  <c r="H208" i="16" s="1"/>
  <c r="H214" i="16" s="1"/>
  <c r="H220" i="16" s="1"/>
  <c r="H226" i="16" s="1"/>
  <c r="H232" i="16" s="1"/>
  <c r="H238" i="16" s="1"/>
  <c r="B5" i="16"/>
  <c r="AP4" i="25"/>
  <c r="H17" i="1"/>
  <c r="I4" i="16"/>
  <c r="I10" i="16" s="1"/>
  <c r="I16" i="16" s="1"/>
  <c r="I22" i="16" s="1"/>
  <c r="I28" i="16" s="1"/>
  <c r="I34" i="16" s="1"/>
  <c r="I40" i="16" s="1"/>
  <c r="I46" i="16" s="1"/>
  <c r="I52" i="16" s="1"/>
  <c r="I58" i="16" s="1"/>
  <c r="I64" i="16" s="1"/>
  <c r="I70" i="16" s="1"/>
  <c r="I76" i="16" s="1"/>
  <c r="I82" i="16" s="1"/>
  <c r="I88" i="16" s="1"/>
  <c r="I94" i="16" s="1"/>
  <c r="I100" i="16" s="1"/>
  <c r="I106" i="16" s="1"/>
  <c r="I112" i="16" s="1"/>
  <c r="I118" i="16" s="1"/>
  <c r="I124" i="16" s="1"/>
  <c r="I130" i="16" s="1"/>
  <c r="I136" i="16" s="1"/>
  <c r="I142" i="16" s="1"/>
  <c r="I148" i="16" s="1"/>
  <c r="I154" i="16" s="1"/>
  <c r="I160" i="16" s="1"/>
  <c r="I166" i="16" s="1"/>
  <c r="I172" i="16" s="1"/>
  <c r="I178" i="16" s="1"/>
  <c r="I184" i="16" s="1"/>
  <c r="I190" i="16" s="1"/>
  <c r="I196" i="16" s="1"/>
  <c r="I202" i="16" s="1"/>
  <c r="I208" i="16" s="1"/>
  <c r="I214" i="16" s="1"/>
  <c r="I220" i="16" s="1"/>
  <c r="I226" i="16" s="1"/>
  <c r="I232" i="16" s="1"/>
  <c r="I238" i="16" s="1"/>
  <c r="C5" i="16"/>
  <c r="I5" i="16" s="1"/>
  <c r="I11" i="16" s="1"/>
  <c r="I17" i="16" s="1"/>
  <c r="I23" i="16" s="1"/>
  <c r="I29" i="16" s="1"/>
  <c r="I35" i="16" s="1"/>
  <c r="I41" i="16" s="1"/>
  <c r="I47" i="16" s="1"/>
  <c r="I53" i="16" s="1"/>
  <c r="I59" i="16" s="1"/>
  <c r="I65" i="16" s="1"/>
  <c r="I71" i="16" s="1"/>
  <c r="I77" i="16" s="1"/>
  <c r="I83" i="16" s="1"/>
  <c r="I89" i="16" s="1"/>
  <c r="I95" i="16" s="1"/>
  <c r="I101" i="16" s="1"/>
  <c r="I107" i="16" s="1"/>
  <c r="I113" i="16" s="1"/>
  <c r="I119" i="16" s="1"/>
  <c r="I125" i="16" s="1"/>
  <c r="I131" i="16" s="1"/>
  <c r="I137" i="16" s="1"/>
  <c r="I143" i="16" s="1"/>
  <c r="I149" i="16" s="1"/>
  <c r="I155" i="16" s="1"/>
  <c r="I161" i="16" s="1"/>
  <c r="I167" i="16" s="1"/>
  <c r="I173" i="16" s="1"/>
  <c r="I179" i="16" s="1"/>
  <c r="I185" i="16" s="1"/>
  <c r="I191" i="16" s="1"/>
  <c r="I197" i="16" s="1"/>
  <c r="I203" i="16" s="1"/>
  <c r="I209" i="16" s="1"/>
  <c r="I215" i="16" s="1"/>
  <c r="I221" i="16" s="1"/>
  <c r="I227" i="16" s="1"/>
  <c r="I233" i="16" s="1"/>
  <c r="I239" i="16" s="1"/>
  <c r="F41" i="1"/>
  <c r="F42" i="1" s="1"/>
  <c r="F23" i="77"/>
  <c r="K11" i="43"/>
  <c r="K17" i="43" s="1"/>
  <c r="K23" i="43" s="1"/>
  <c r="K29" i="43" s="1"/>
  <c r="K35" i="43" s="1"/>
  <c r="K41" i="43" s="1"/>
  <c r="K47" i="43" s="1"/>
  <c r="K53" i="43" s="1"/>
  <c r="K59" i="43" s="1"/>
  <c r="K65" i="43" s="1"/>
  <c r="K71" i="43" s="1"/>
  <c r="K77" i="43" s="1"/>
  <c r="K83" i="43" s="1"/>
  <c r="K89" i="43" s="1"/>
  <c r="K95" i="43" s="1"/>
  <c r="K101" i="43" s="1"/>
  <c r="K107" i="43" s="1"/>
  <c r="K113" i="43" s="1"/>
  <c r="K119" i="43" s="1"/>
  <c r="K125" i="43" s="1"/>
  <c r="K131" i="43" s="1"/>
  <c r="K137" i="43" s="1"/>
  <c r="K143" i="43" s="1"/>
  <c r="K149" i="43" s="1"/>
  <c r="K155" i="43" s="1"/>
  <c r="K161" i="43" s="1"/>
  <c r="K167" i="43" s="1"/>
  <c r="K173" i="43" s="1"/>
  <c r="K179" i="43" s="1"/>
  <c r="K185" i="43" s="1"/>
  <c r="K191" i="43" s="1"/>
  <c r="K197" i="43" s="1"/>
  <c r="K203" i="43" s="1"/>
  <c r="K209" i="43" s="1"/>
  <c r="K215" i="43" s="1"/>
  <c r="K221" i="43" s="1"/>
  <c r="K227" i="43" s="1"/>
  <c r="K233" i="43" s="1"/>
  <c r="K239" i="43" s="1"/>
  <c r="K245" i="43" s="1"/>
  <c r="K251" i="43" s="1"/>
  <c r="K257" i="43" s="1"/>
  <c r="K263" i="43" s="1"/>
  <c r="K269" i="43" s="1"/>
  <c r="K275" i="43" s="1"/>
  <c r="K281" i="43" s="1"/>
  <c r="K287" i="43" s="1"/>
  <c r="K293" i="43" s="1"/>
  <c r="K299" i="43" s="1"/>
  <c r="K305" i="43" s="1"/>
  <c r="K311" i="43" s="1"/>
  <c r="K317" i="43" s="1"/>
  <c r="K323" i="43" s="1"/>
  <c r="K329" i="43" s="1"/>
  <c r="K335" i="43" s="1"/>
  <c r="K341" i="43" s="1"/>
  <c r="K347" i="43" s="1"/>
  <c r="K353" i="43" s="1"/>
  <c r="K359" i="43" s="1"/>
  <c r="K365" i="43" s="1"/>
  <c r="K371" i="43" s="1"/>
  <c r="K377" i="43" s="1"/>
  <c r="K383" i="43" s="1"/>
  <c r="K389" i="43" s="1"/>
  <c r="K395" i="43" s="1"/>
  <c r="K401" i="43" s="1"/>
  <c r="K407" i="43" s="1"/>
  <c r="K413" i="43" s="1"/>
  <c r="K419" i="43" s="1"/>
  <c r="K425" i="43" s="1"/>
  <c r="K431" i="43" s="1"/>
  <c r="K437" i="43" s="1"/>
  <c r="K443" i="43" s="1"/>
  <c r="K449" i="43" s="1"/>
  <c r="K455" i="43" s="1"/>
  <c r="K461" i="43" s="1"/>
  <c r="K467" i="43" s="1"/>
  <c r="K473" i="43" s="1"/>
  <c r="K479" i="43" s="1"/>
  <c r="K485" i="43" s="1"/>
  <c r="K491" i="43" s="1"/>
  <c r="K497" i="43" s="1"/>
  <c r="F25" i="1"/>
  <c r="F27" i="1"/>
  <c r="F28" i="1"/>
  <c r="E17" i="1"/>
  <c r="D17" i="1"/>
  <c r="F43" i="1" l="1"/>
  <c r="C32" i="25"/>
  <c r="C34" i="25" s="1"/>
  <c r="F30" i="1"/>
  <c r="AQ4" i="25"/>
  <c r="AQ32" i="25" s="1"/>
  <c r="AP32" i="25"/>
  <c r="H5" i="16"/>
  <c r="H11" i="16" s="1"/>
  <c r="H17" i="16" s="1"/>
  <c r="H23" i="16" s="1"/>
  <c r="H29" i="16" s="1"/>
  <c r="H35" i="16" s="1"/>
  <c r="H41" i="16" s="1"/>
  <c r="H47" i="16" s="1"/>
  <c r="H53" i="16" s="1"/>
  <c r="H59" i="16" s="1"/>
  <c r="H65" i="16" s="1"/>
  <c r="H71" i="16" s="1"/>
  <c r="H77" i="16" s="1"/>
  <c r="H83" i="16" s="1"/>
  <c r="H89" i="16" s="1"/>
  <c r="H95" i="16" s="1"/>
  <c r="H101" i="16" s="1"/>
  <c r="H107" i="16" s="1"/>
  <c r="H113" i="16" s="1"/>
  <c r="H119" i="16" s="1"/>
  <c r="H125" i="16" s="1"/>
  <c r="H131" i="16" s="1"/>
  <c r="H137" i="16" s="1"/>
  <c r="H143" i="16" s="1"/>
  <c r="H149" i="16" s="1"/>
  <c r="H155" i="16" s="1"/>
  <c r="H161" i="16" s="1"/>
  <c r="H167" i="16" s="1"/>
  <c r="H173" i="16" s="1"/>
  <c r="H179" i="16" s="1"/>
  <c r="H185" i="16" s="1"/>
  <c r="H191" i="16" s="1"/>
  <c r="H197" i="16" s="1"/>
  <c r="H203" i="16" s="1"/>
  <c r="H209" i="16" s="1"/>
  <c r="H215" i="16" s="1"/>
  <c r="H221" i="16" s="1"/>
  <c r="H227" i="16" s="1"/>
  <c r="H233" i="16" s="1"/>
  <c r="H239" i="16" s="1"/>
  <c r="E5" i="16"/>
  <c r="K5" i="16" s="1"/>
  <c r="K11" i="16" s="1"/>
  <c r="K17" i="16" s="1"/>
  <c r="K23" i="16" s="1"/>
  <c r="K29" i="16" s="1"/>
  <c r="K35" i="16" s="1"/>
  <c r="K41" i="16" s="1"/>
  <c r="K47" i="16" s="1"/>
  <c r="K53" i="16" s="1"/>
  <c r="K59" i="16" s="1"/>
  <c r="K65" i="16" s="1"/>
  <c r="K71" i="16" s="1"/>
  <c r="K77" i="16" s="1"/>
  <c r="K83" i="16" s="1"/>
  <c r="K89" i="16" s="1"/>
  <c r="K95" i="16" s="1"/>
  <c r="K101" i="16" s="1"/>
  <c r="K107" i="16" s="1"/>
  <c r="K113" i="16" s="1"/>
  <c r="K119" i="16" s="1"/>
  <c r="K125" i="16" s="1"/>
  <c r="K131" i="16" s="1"/>
  <c r="K137" i="16" s="1"/>
  <c r="K143" i="16" s="1"/>
  <c r="K149" i="16" s="1"/>
  <c r="K155" i="16" s="1"/>
  <c r="K161" i="16" s="1"/>
  <c r="K167" i="16" s="1"/>
  <c r="K173" i="16" s="1"/>
  <c r="K179" i="16" s="1"/>
  <c r="K185" i="16" s="1"/>
  <c r="K191" i="16" s="1"/>
  <c r="K197" i="16" s="1"/>
  <c r="K203" i="16" s="1"/>
  <c r="K209" i="16" s="1"/>
  <c r="K215" i="16" s="1"/>
  <c r="K221" i="16" s="1"/>
  <c r="K227" i="16" s="1"/>
  <c r="K233" i="16" s="1"/>
  <c r="K239" i="16" s="1"/>
  <c r="K12" i="43"/>
  <c r="K18" i="43" s="1"/>
  <c r="K24" i="43" s="1"/>
  <c r="K30" i="43" s="1"/>
  <c r="K36" i="43" s="1"/>
  <c r="K42" i="43" s="1"/>
  <c r="K48" i="43" s="1"/>
  <c r="K54" i="43" s="1"/>
  <c r="K60" i="43" s="1"/>
  <c r="K66" i="43" s="1"/>
  <c r="K72" i="43" s="1"/>
  <c r="K78" i="43" s="1"/>
  <c r="K84" i="43" s="1"/>
  <c r="K90" i="43" s="1"/>
  <c r="K96" i="43" s="1"/>
  <c r="K102" i="43" s="1"/>
  <c r="K108" i="43" s="1"/>
  <c r="K114" i="43" s="1"/>
  <c r="K120" i="43" s="1"/>
  <c r="K126" i="43" s="1"/>
  <c r="K132" i="43" s="1"/>
  <c r="K138" i="43" s="1"/>
  <c r="K144" i="43" s="1"/>
  <c r="K150" i="43" s="1"/>
  <c r="K156" i="43" s="1"/>
  <c r="K162" i="43" s="1"/>
  <c r="K168" i="43" s="1"/>
  <c r="K174" i="43" s="1"/>
  <c r="K180" i="43" s="1"/>
  <c r="K186" i="43" s="1"/>
  <c r="K192" i="43" s="1"/>
  <c r="K198" i="43" s="1"/>
  <c r="K204" i="43" s="1"/>
  <c r="K210" i="43" s="1"/>
  <c r="K216" i="43" s="1"/>
  <c r="K222" i="43" s="1"/>
  <c r="K228" i="43" s="1"/>
  <c r="K234" i="43" s="1"/>
  <c r="K240" i="43" s="1"/>
  <c r="K246" i="43" s="1"/>
  <c r="K252" i="43" s="1"/>
  <c r="K258" i="43" s="1"/>
  <c r="K264" i="43" s="1"/>
  <c r="K270" i="43" s="1"/>
  <c r="K276" i="43" s="1"/>
  <c r="K282" i="43" s="1"/>
  <c r="K288" i="43" s="1"/>
  <c r="K294" i="43" s="1"/>
  <c r="K300" i="43" s="1"/>
  <c r="K306" i="43" s="1"/>
  <c r="K312" i="43" s="1"/>
  <c r="K318" i="43" s="1"/>
  <c r="K324" i="43" s="1"/>
  <c r="K330" i="43" s="1"/>
  <c r="K336" i="43" s="1"/>
  <c r="K342" i="43" s="1"/>
  <c r="K348" i="43" s="1"/>
  <c r="K354" i="43" s="1"/>
  <c r="K360" i="43" s="1"/>
  <c r="K366" i="43" s="1"/>
  <c r="K372" i="43" s="1"/>
  <c r="K378" i="43" s="1"/>
  <c r="K384" i="43" s="1"/>
  <c r="K390" i="43" s="1"/>
  <c r="K396" i="43" s="1"/>
  <c r="K402" i="43" s="1"/>
  <c r="K408" i="43" s="1"/>
  <c r="K414" i="43" s="1"/>
  <c r="K420" i="43" s="1"/>
  <c r="K426" i="43" s="1"/>
  <c r="K432" i="43" s="1"/>
  <c r="K438" i="43" s="1"/>
  <c r="K444" i="43" s="1"/>
  <c r="K450" i="43" s="1"/>
  <c r="K456" i="43" s="1"/>
  <c r="K462" i="43" s="1"/>
  <c r="K468" i="43" s="1"/>
  <c r="K474" i="43" s="1"/>
  <c r="K480" i="43" s="1"/>
  <c r="K486" i="43" s="1"/>
  <c r="K492" i="43" s="1"/>
  <c r="K498" i="43" s="1"/>
  <c r="F22" i="77" l="1"/>
  <c r="J14" i="77" l="1"/>
  <c r="M14" i="77"/>
  <c r="B14" i="77" l="1"/>
  <c r="F14" i="77"/>
  <c r="H14" i="77" l="1"/>
  <c r="B31" i="77"/>
  <c r="F25" i="77"/>
  <c r="F31" i="77" s="1"/>
  <c r="F33" i="77" l="1"/>
  <c r="F35" i="77" s="1"/>
  <c r="G2" i="71"/>
  <c r="G6" i="71" l="1"/>
  <c r="G7" i="71"/>
  <c r="G8" i="71"/>
  <c r="G5" i="71"/>
  <c r="G3" i="71"/>
  <c r="G9" i="71"/>
  <c r="G10" i="71"/>
  <c r="G4" i="71"/>
  <c r="G11" i="71" l="1"/>
  <c r="CR51" i="103"/>
  <c r="CQ51" i="103" l="1"/>
  <c r="N11" i="192"/>
  <c r="O11" i="192" s="1"/>
  <c r="L12" i="192"/>
  <c r="N10" i="192"/>
  <c r="O10" i="192" s="1"/>
  <c r="F10" i="192"/>
  <c r="I10" i="192" s="1"/>
  <c r="M12" i="192"/>
  <c r="K12" i="192"/>
  <c r="D12" i="192"/>
  <c r="C12" i="192"/>
  <c r="C26" i="192"/>
  <c r="F11" i="192"/>
  <c r="I11" i="192" s="1"/>
  <c r="N9" i="192"/>
  <c r="O9" i="192" s="1"/>
  <c r="F9" i="192"/>
  <c r="I9" i="192" s="1"/>
  <c r="O12" i="192" l="1"/>
  <c r="I12" i="192"/>
  <c r="P9" i="192"/>
  <c r="F12" i="192"/>
  <c r="B12" i="192"/>
  <c r="N12" i="192"/>
  <c r="P10" i="192"/>
  <c r="P11" i="192"/>
  <c r="E26" i="192"/>
  <c r="B26" i="192" l="1"/>
  <c r="G12" i="192"/>
  <c r="P12" i="192"/>
  <c r="F26" i="19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Matthew Cho</author>
  </authors>
  <commentList>
    <comment ref="D29" authorId="0" shapeId="0" xr:uid="{7EA73C76-6130-42E4-BBAD-2676C87A8160}">
      <text>
        <r>
          <rPr>
            <b/>
            <sz val="9"/>
            <color indexed="81"/>
            <rFont val="Tahoma"/>
            <family val="2"/>
          </rPr>
          <t>Matthew Cho:</t>
        </r>
        <r>
          <rPr>
            <sz val="9"/>
            <color indexed="81"/>
            <rFont val="Tahoma"/>
            <family val="2"/>
          </rPr>
          <t xml:space="preserve">
Lunch &amp; Dinner tickets were combined in Lunch bag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Matthew Cho</author>
  </authors>
  <commentList>
    <comment ref="D28" authorId="0" shapeId="0" xr:uid="{AADDCD0B-654C-49A0-AF54-3F2F438EA627}">
      <text>
        <r>
          <rPr>
            <b/>
            <sz val="9"/>
            <color indexed="81"/>
            <rFont val="Tahoma"/>
            <family val="2"/>
          </rPr>
          <t>Matthew Cho:</t>
        </r>
        <r>
          <rPr>
            <sz val="9"/>
            <color indexed="81"/>
            <rFont val="Tahoma"/>
            <family val="2"/>
          </rPr>
          <t xml:space="preserve">
Dinner Tickets are in Lunch Bag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8" authorId="0" shapeId="0" xr:uid="{478F36B7-400D-41BA-BD50-071ADF254B12}">
      <text>
        <r>
          <rPr>
            <sz val="10"/>
            <color rgb="FF000000"/>
            <rFont val="Calibri"/>
            <family val="2"/>
            <scheme val="minor"/>
          </rPr>
          <t>Mercado foods LLC
	-Anonymous</t>
        </r>
      </text>
    </comment>
    <comment ref="A11" authorId="0" shapeId="0" xr:uid="{2FE9DCD1-40CE-4E37-B8F0-D505FEF11FCF}">
      <text>
        <r>
          <rPr>
            <sz val="10"/>
            <color rgb="FF000000"/>
            <rFont val="Calibri"/>
            <family val="2"/>
            <scheme val="minor"/>
          </rPr>
          <t>Mercado foods LLC
	-Anonymous</t>
        </r>
      </text>
    </comment>
  </commentList>
</comments>
</file>

<file path=xl/sharedStrings.xml><?xml version="1.0" encoding="utf-8"?>
<sst xmlns="http://schemas.openxmlformats.org/spreadsheetml/2006/main" count="30010" uniqueCount="957">
  <si>
    <t>Name/Meal Period</t>
  </si>
  <si>
    <t>Location</t>
  </si>
  <si>
    <t xml:space="preserve">Kogi </t>
  </si>
  <si>
    <t>Belly's Slicers &amp; Wings</t>
  </si>
  <si>
    <t>Sproul Hall – 350 DeNeve Drive, Los Angeles, 90024</t>
  </si>
  <si>
    <t>Locations</t>
  </si>
  <si>
    <t>Lockdown BBQ</t>
  </si>
  <si>
    <t>Kabab Express</t>
  </si>
  <si>
    <t>Flamin' Chicken</t>
  </si>
  <si>
    <t>Pepe's Taco</t>
  </si>
  <si>
    <t>Dining Management Signature</t>
  </si>
  <si>
    <t>Vendor Signature</t>
  </si>
  <si>
    <t>Bison Burger</t>
  </si>
  <si>
    <t>UCLA Food Truck Program - Meal Ticket Count</t>
  </si>
  <si>
    <t>Lunch Count - 7 Trucks</t>
  </si>
  <si>
    <t>Dinner Count - 6 Trucks</t>
  </si>
  <si>
    <t>Sproul Hall Turnaround</t>
  </si>
  <si>
    <t>Flamin' Grain</t>
  </si>
  <si>
    <t>Olympic Hall Cutout</t>
  </si>
  <si>
    <t>DeNeve Plaza Turnaround</t>
  </si>
  <si>
    <t xml:space="preserve">Hedrick Hall Turnaround </t>
  </si>
  <si>
    <t>5:00pm - 8pm</t>
  </si>
  <si>
    <t>10:30am - 2pm</t>
  </si>
  <si>
    <t>Guaranteed Count</t>
  </si>
  <si>
    <t>Total:</t>
  </si>
  <si>
    <t>Rieber Hall – 310 De Neve Drive Los Angeles, CA 90024</t>
  </si>
  <si>
    <t>Rieber Turnaround</t>
  </si>
  <si>
    <t>Date:</t>
  </si>
  <si>
    <t>8:00pm - 11pm</t>
  </si>
  <si>
    <t>Late Night Count - 2 Trucks</t>
  </si>
  <si>
    <t>Food Truck</t>
  </si>
  <si>
    <t>Total Cost</t>
  </si>
  <si>
    <t>Summery</t>
  </si>
  <si>
    <t>Olympic Hall - 310 DeNeve Drive, Los Angeles, 90024</t>
  </si>
  <si>
    <t>Lunch</t>
  </si>
  <si>
    <t>Dinner</t>
  </si>
  <si>
    <t>Total Cost $</t>
  </si>
  <si>
    <t>Late Night</t>
  </si>
  <si>
    <t xml:space="preserve">Grand total </t>
  </si>
  <si>
    <t>Total Count</t>
  </si>
  <si>
    <t>Ticket Count</t>
  </si>
  <si>
    <t>Guranteed Cost Count</t>
  </si>
  <si>
    <t>10:30am - 3pm</t>
  </si>
  <si>
    <t>Cartel Food Truck</t>
  </si>
  <si>
    <t>Original Herbivore</t>
  </si>
  <si>
    <t>Tokyo Style</t>
  </si>
  <si>
    <t>Dinner Count - 5 Trucks</t>
  </si>
  <si>
    <t>Lunch Count - 6 Trucks</t>
  </si>
  <si>
    <t>Asian (TBD)</t>
  </si>
  <si>
    <t>Cerda Vega Tacos</t>
  </si>
  <si>
    <t>Wafl (Chicken&amp;Waffle)</t>
  </si>
  <si>
    <t>Baby's Burgers</t>
  </si>
  <si>
    <t>Dinner Count - 7 Trucks</t>
  </si>
  <si>
    <t>Kogi</t>
  </si>
  <si>
    <t>Tokyo  Style</t>
  </si>
  <si>
    <t>Late Night Count - 3 Trucks **Late Night Starts on Thursday 9/23/21**</t>
  </si>
  <si>
    <t>Cartel Tacos</t>
  </si>
  <si>
    <t>Taste Collective Bueger</t>
  </si>
  <si>
    <t>Taste Collective Burger</t>
  </si>
  <si>
    <t>PhillyJays Steaks</t>
  </si>
  <si>
    <t>SV Plaza Lawn Area</t>
  </si>
  <si>
    <t>Lunch Count - 5 Trucks</t>
  </si>
  <si>
    <t>Belly's Sliders Wings</t>
  </si>
  <si>
    <t>Flamin Hot Chicken</t>
  </si>
  <si>
    <t>Cerdavega Tacos</t>
  </si>
  <si>
    <t>Pinch of Flavor</t>
  </si>
  <si>
    <t>PhillyJay's Steaks</t>
  </si>
  <si>
    <t>Cartel Taco</t>
  </si>
  <si>
    <t>Bunz Gourmet Burgers</t>
  </si>
  <si>
    <t>Mikhuna</t>
  </si>
  <si>
    <t>Wafl</t>
  </si>
  <si>
    <t>Sproul Hall Cutout</t>
  </si>
  <si>
    <t xml:space="preserve">Late Night Count - 2 Trucks </t>
  </si>
  <si>
    <t>Dinner Count - 4 Trucks</t>
  </si>
  <si>
    <t>Lunch Count - 4 Trucks</t>
  </si>
  <si>
    <t>Good Eats and Vibes</t>
  </si>
  <si>
    <t>ML Eats Burger</t>
  </si>
  <si>
    <t>Vendor Name</t>
  </si>
  <si>
    <t>Flaming Grain</t>
  </si>
  <si>
    <t>Kabob Express</t>
  </si>
  <si>
    <t>LockeDown BBQ</t>
  </si>
  <si>
    <t>Pepe's Red Tacos # 1</t>
  </si>
  <si>
    <t>Poutine Brothers</t>
  </si>
  <si>
    <t>Salvage Tacos</t>
  </si>
  <si>
    <t>Stout Burgers</t>
  </si>
  <si>
    <t>Daily Total</t>
  </si>
  <si>
    <t>Variance</t>
  </si>
  <si>
    <t>Mon</t>
  </si>
  <si>
    <t>Tue</t>
  </si>
  <si>
    <t>Wed</t>
  </si>
  <si>
    <t>Thu</t>
  </si>
  <si>
    <t>Fri</t>
  </si>
  <si>
    <t>Sat</t>
  </si>
  <si>
    <t>Sun</t>
  </si>
  <si>
    <t>Remainining Balance 
(Max payout $100,000)</t>
  </si>
  <si>
    <t>MEALS AT START OF EACH DAY</t>
  </si>
  <si>
    <t>MEALS REMAINING AT END OF EACH DAY</t>
  </si>
  <si>
    <t>MEALS USED EACH DAY</t>
  </si>
  <si>
    <t>Day/Desk</t>
  </si>
  <si>
    <t>Food Truck L</t>
  </si>
  <si>
    <t>Food Truck D</t>
  </si>
  <si>
    <t>ASUCLA</t>
  </si>
  <si>
    <t>Total Tickets Remaining</t>
  </si>
  <si>
    <t>Total Swipes Shed / Desk</t>
  </si>
  <si>
    <t>Total Swipes Shed / Day</t>
  </si>
  <si>
    <t>Gray / Yellow "L"</t>
  </si>
  <si>
    <t>Unmarked Yellow</t>
  </si>
  <si>
    <t>Green/Pink</t>
  </si>
  <si>
    <t>Mon 9/20/2021</t>
  </si>
  <si>
    <t>Balance</t>
  </si>
  <si>
    <t>Total/Desk</t>
  </si>
  <si>
    <t>Total/Day</t>
  </si>
  <si>
    <t>Hedrick</t>
  </si>
  <si>
    <t>Rieber</t>
  </si>
  <si>
    <t>Sproul</t>
  </si>
  <si>
    <t>De Neve</t>
  </si>
  <si>
    <t>Tues 9/21/2021</t>
  </si>
  <si>
    <t>Wed 09/22/2021</t>
  </si>
  <si>
    <t>Thu 09/23/2021</t>
  </si>
  <si>
    <t>Fri 09/24/2021</t>
  </si>
  <si>
    <t>Sat 09/25/2021</t>
  </si>
  <si>
    <t>Sun 09/26/2021</t>
  </si>
  <si>
    <t>Mon 09/27/2021</t>
  </si>
  <si>
    <t>Tue 09/28/2021</t>
  </si>
  <si>
    <t>Wed 09/29/2021</t>
  </si>
  <si>
    <t>Thu 09/30/2021</t>
  </si>
  <si>
    <t>Fri 10/01/2021</t>
  </si>
  <si>
    <t>Sat 10/02/2021</t>
  </si>
  <si>
    <t>Sun 10/03/2021</t>
  </si>
  <si>
    <t>Good East and Vibes</t>
  </si>
  <si>
    <t>ML East Burger</t>
  </si>
  <si>
    <t>Din/LN</t>
  </si>
  <si>
    <t>Total</t>
  </si>
  <si>
    <t>Housing Counts</t>
  </si>
  <si>
    <t>Actual Counts</t>
  </si>
  <si>
    <t>MTD</t>
  </si>
  <si>
    <t>Tuesday</t>
  </si>
  <si>
    <t>Wednesday</t>
  </si>
  <si>
    <t>Thursday</t>
  </si>
  <si>
    <t>Friday</t>
  </si>
  <si>
    <t>Saturday</t>
  </si>
  <si>
    <t>Sunday</t>
  </si>
  <si>
    <t>Monday</t>
  </si>
  <si>
    <t>Pacifico Charbroiled</t>
  </si>
  <si>
    <t>Uncle Al's BBQ</t>
  </si>
  <si>
    <t>Stop Bye Café</t>
  </si>
  <si>
    <t>Left property earlier, Al instructions to pay $500 only</t>
  </si>
  <si>
    <t>Blue "Thumbs Up"</t>
  </si>
  <si>
    <t>Blue "Star"</t>
  </si>
  <si>
    <t>Yellow "A+"</t>
  </si>
  <si>
    <t>Mon 10/04/2021</t>
  </si>
  <si>
    <t>Tue 10/05/2021</t>
  </si>
  <si>
    <t>Wed 10/06/2021</t>
  </si>
  <si>
    <t>Thu 10/07/2021</t>
  </si>
  <si>
    <t>Fri 10/08/2021</t>
  </si>
  <si>
    <t>Sat 10/09/2021</t>
  </si>
  <si>
    <t>Sun 10/10/2021</t>
  </si>
  <si>
    <t>Denotes invoice prepared and processed batch #1 10.1.21</t>
  </si>
  <si>
    <t>Denotes invoice prepared and processed batch #2 10.4.21</t>
  </si>
  <si>
    <t>Something Good LA</t>
  </si>
  <si>
    <t>Delicias El Torito Mexican Food Truck</t>
  </si>
  <si>
    <t>Belly Sliders &amp; Wings</t>
  </si>
  <si>
    <t>Bison Burgers</t>
  </si>
  <si>
    <t>Belly's Sliders &amp; Wings</t>
  </si>
  <si>
    <t>Austyn's Burgers</t>
  </si>
  <si>
    <t>Late Night Count - 3 Trucks</t>
  </si>
  <si>
    <t>Food Truck L
(Breakfast day1)</t>
  </si>
  <si>
    <t>Food Truck D
(Lunch day 1)</t>
  </si>
  <si>
    <t>ASUCLA
(Dinner day 1)</t>
  </si>
  <si>
    <t>ML EATS</t>
  </si>
  <si>
    <t>Baby's Burger</t>
  </si>
  <si>
    <t>ML Eats</t>
  </si>
  <si>
    <t>Trapiyaki</t>
  </si>
  <si>
    <t>ASUCLA September meal ticket billing - 2769</t>
  </si>
  <si>
    <t>Mon 10/11/2021</t>
  </si>
  <si>
    <t>Tue 10/12/2021</t>
  </si>
  <si>
    <t>Wed 10/13/2021</t>
  </si>
  <si>
    <t>Thu 10/14/2021</t>
  </si>
  <si>
    <t>Fri 10/15/2021</t>
  </si>
  <si>
    <t>Sat 10/16/2021</t>
  </si>
  <si>
    <t>Sun 10/17/2021</t>
  </si>
  <si>
    <t>White Rabbit</t>
  </si>
  <si>
    <t>Dinner Count - 2 Trucks</t>
  </si>
  <si>
    <t>Cartel  Tacos</t>
  </si>
  <si>
    <t>Savage Tacos</t>
  </si>
  <si>
    <t>8E8 Thai Street Food</t>
  </si>
  <si>
    <t>Ohana Hibachi</t>
  </si>
  <si>
    <t>Deli Dortor - Burgers</t>
  </si>
  <si>
    <t>Deli Doctor</t>
  </si>
  <si>
    <t>StopBye Café</t>
  </si>
  <si>
    <t>Remainining Balance 
(Max payout 100,000/350,000</t>
  </si>
  <si>
    <t>Blackboard</t>
  </si>
  <si>
    <t>All Day</t>
  </si>
  <si>
    <t>Stout Burger</t>
  </si>
  <si>
    <t>Love Greek Cuisine</t>
  </si>
  <si>
    <t>Lunch Count - 2 Trucks</t>
  </si>
  <si>
    <t>TrapiYaki</t>
  </si>
  <si>
    <t>Issued ASUCLA Coupon</t>
  </si>
  <si>
    <t>Total Number of Redeemed Food Truck Ticket</t>
  </si>
  <si>
    <t>Blackboard Ticket Count</t>
  </si>
  <si>
    <t>Summary</t>
  </si>
  <si>
    <t xml:space="preserve">Grand Blackboard total </t>
  </si>
  <si>
    <t xml:space="preserve">Grand Food Truck $ Total </t>
  </si>
  <si>
    <t>Ten dollars/ticket</t>
  </si>
  <si>
    <t>Nine dollars/ticket</t>
  </si>
  <si>
    <t>Yalla</t>
  </si>
  <si>
    <t>Oct</t>
  </si>
  <si>
    <t>Nov</t>
  </si>
  <si>
    <t>Dec</t>
  </si>
  <si>
    <t>Jan</t>
  </si>
  <si>
    <t>Mar</t>
  </si>
  <si>
    <t>Apr</t>
  </si>
  <si>
    <t>May</t>
  </si>
  <si>
    <t>Jun</t>
  </si>
  <si>
    <t>DeNeve</t>
  </si>
  <si>
    <t>Bruin Plate</t>
  </si>
  <si>
    <t>Covel</t>
  </si>
  <si>
    <t>Bruin Café</t>
  </si>
  <si>
    <t>Reiber</t>
  </si>
  <si>
    <t>Café 1919</t>
  </si>
  <si>
    <t>Rendevzous</t>
  </si>
  <si>
    <t>Allocation</t>
  </si>
  <si>
    <t>2021/22</t>
  </si>
  <si>
    <t>Food Truck/ASUCLA</t>
  </si>
  <si>
    <t>Food Truck Counts</t>
  </si>
  <si>
    <t>Sep</t>
  </si>
  <si>
    <t>Cost/Cover</t>
  </si>
  <si>
    <t>ASUCLA Counts</t>
  </si>
  <si>
    <t>Ticket Count Totals</t>
  </si>
  <si>
    <t>Total vs. Blackboard</t>
  </si>
  <si>
    <t>For Monthly Patron Count to Cynthia</t>
  </si>
  <si>
    <t>Pop Up Events</t>
  </si>
  <si>
    <t xml:space="preserve">OKT </t>
  </si>
  <si>
    <t>This should be 365 pay on 11/18/21</t>
  </si>
  <si>
    <t>Manna From Heaven</t>
  </si>
  <si>
    <t>Creamy Boys</t>
  </si>
  <si>
    <t>Deli Dortor</t>
  </si>
  <si>
    <t>ASUCLA Cost 9/ticket</t>
  </si>
  <si>
    <t>Habibi Shack</t>
  </si>
  <si>
    <t>Bollywood Kitchen</t>
  </si>
  <si>
    <t>Veggie Bomb</t>
  </si>
  <si>
    <t>Pop Up Events 10/ticket</t>
  </si>
  <si>
    <t>Paradise Cookies &amp; Ice Cream</t>
  </si>
  <si>
    <t>Dina's Dumpling</t>
  </si>
  <si>
    <t>Yuna's Bob</t>
  </si>
  <si>
    <t>Café Vietnam</t>
  </si>
  <si>
    <t>Perro 1-10 Tacos</t>
  </si>
  <si>
    <t>Jul</t>
  </si>
  <si>
    <t>Aug</t>
  </si>
  <si>
    <t>Mar-Deb</t>
  </si>
  <si>
    <t>Perro</t>
  </si>
  <si>
    <t xml:space="preserve">Philly Jay 's Steaks </t>
  </si>
  <si>
    <t>Taco Cartel</t>
  </si>
  <si>
    <t>Nine dollars Fifty Cent/ticket</t>
  </si>
  <si>
    <t>Cartel Taco Truck</t>
  </si>
  <si>
    <t>add 38 ticket counts from ASUCLA January 2022</t>
  </si>
  <si>
    <t>Uncle Al's</t>
  </si>
  <si>
    <t>Philly Jay's Steaks</t>
  </si>
  <si>
    <t>Venice Gelato</t>
  </si>
  <si>
    <t>Flaming Hot Chicken</t>
  </si>
  <si>
    <t>Philly Jay's</t>
  </si>
  <si>
    <t>Belly's Sliders and Wings</t>
  </si>
  <si>
    <t>Poutine Brother's</t>
  </si>
  <si>
    <t>Café Vietname</t>
  </si>
  <si>
    <t>The Bollywood  Kitchen</t>
  </si>
  <si>
    <t>Messi Burgers</t>
  </si>
  <si>
    <t>Manna from Heaven</t>
  </si>
  <si>
    <t>Love Greek Cuisine/Kalamaki Greek LA</t>
  </si>
  <si>
    <t>Dining Hall Counts</t>
  </si>
  <si>
    <t>Cost/Cover Managed by Dining</t>
  </si>
  <si>
    <t>Yuna Bob's</t>
  </si>
  <si>
    <t>CerdaVega</t>
  </si>
  <si>
    <t>The Habibi Shack</t>
  </si>
  <si>
    <t>Original herbivore</t>
  </si>
  <si>
    <t>Kalamaki Greek LA</t>
  </si>
  <si>
    <t>CerdaVega Tacos</t>
  </si>
  <si>
    <t>The Bollywood Kitchen</t>
  </si>
  <si>
    <t>Habibi Café</t>
  </si>
  <si>
    <t>Paradise</t>
  </si>
  <si>
    <t>Dina's Dumplings</t>
  </si>
  <si>
    <t>Pinch  of Flavor</t>
  </si>
  <si>
    <t>Kalamaki Greek</t>
  </si>
  <si>
    <t>Manna from  Heaven</t>
  </si>
  <si>
    <t>Cartel tacos</t>
  </si>
  <si>
    <t>Baby's B.S Burgers</t>
  </si>
  <si>
    <t>Dining Halls Counts</t>
  </si>
  <si>
    <t>Pop Up Events Cost 10/ticket</t>
  </si>
  <si>
    <t>Feb</t>
  </si>
  <si>
    <t>$9.50/Food Truck Ticket</t>
  </si>
  <si>
    <t>Food Truck Cost 9.5 or 10/ticket</t>
  </si>
  <si>
    <t>$10.00/Food Truck Ticket</t>
  </si>
  <si>
    <t>Cost/Cover @ 10/ticket</t>
  </si>
  <si>
    <t>Cost/Cover @ 9.5/ ticket</t>
  </si>
  <si>
    <t>$10.00 and $9.50/Food Truck Ticket</t>
  </si>
  <si>
    <t>Food Truck Cost 10.00 or 9.50/ticket</t>
  </si>
  <si>
    <t>Belly's Sliders</t>
  </si>
  <si>
    <t xml:space="preserve">Cancelled due to </t>
  </si>
  <si>
    <t>Mother's Day weekend</t>
  </si>
  <si>
    <t>Sep-Mar 22</t>
  </si>
  <si>
    <t xml:space="preserve">Pacifico Charbroiled </t>
  </si>
  <si>
    <t>StopBye</t>
  </si>
  <si>
    <t>Austyn's</t>
  </si>
  <si>
    <t xml:space="preserve">Tokyo Style </t>
  </si>
  <si>
    <t>8E8.</t>
  </si>
  <si>
    <t xml:space="preserve">Kalamaki Greek </t>
  </si>
  <si>
    <t>Bunz Gourmet</t>
  </si>
  <si>
    <t xml:space="preserve"> </t>
  </si>
  <si>
    <t xml:space="preserve">Philly Jay's </t>
  </si>
  <si>
    <t>Bison burger</t>
  </si>
  <si>
    <t>Something Good  LA</t>
  </si>
  <si>
    <t>Putine Brothers</t>
  </si>
  <si>
    <t>Doctor Deli</t>
  </si>
  <si>
    <t>Stopbye</t>
  </si>
  <si>
    <t>Phily Jay's</t>
  </si>
  <si>
    <t>Flaming Hot</t>
  </si>
  <si>
    <t>Ranking by Sales</t>
  </si>
  <si>
    <t>Covers</t>
  </si>
  <si>
    <t>Last Day</t>
  </si>
  <si>
    <t>Closed</t>
  </si>
  <si>
    <t>Clean Up Week</t>
  </si>
  <si>
    <t>Thank You Thursday</t>
  </si>
  <si>
    <t xml:space="preserve">Taco Cartel </t>
  </si>
  <si>
    <t>Bunz Gourmet Burger</t>
  </si>
  <si>
    <t>Last day</t>
  </si>
  <si>
    <t>Bill Pete</t>
  </si>
  <si>
    <t>Sep-Jun 22</t>
  </si>
  <si>
    <t>Ranking by Sales as of June 2022</t>
  </si>
  <si>
    <t>2022/23</t>
  </si>
  <si>
    <t>Heritage LA</t>
  </si>
  <si>
    <t>Salpicon</t>
  </si>
  <si>
    <t>Aloha Friday</t>
  </si>
  <si>
    <t>Bittie Bitez</t>
  </si>
  <si>
    <t>Smile Hot Dog</t>
  </si>
  <si>
    <t>Sweets on Wheels</t>
  </si>
  <si>
    <t>Dulce Europa</t>
  </si>
  <si>
    <t>Mumu's</t>
  </si>
  <si>
    <t>Legal Name</t>
  </si>
  <si>
    <t>Contact Name</t>
  </si>
  <si>
    <t>Email</t>
  </si>
  <si>
    <t>VCK</t>
  </si>
  <si>
    <t>Blanket Agreement</t>
  </si>
  <si>
    <t>Current Fund Balance</t>
  </si>
  <si>
    <t>Additional Fund</t>
  </si>
  <si>
    <t>Starting Fund Balance for 2022-23</t>
  </si>
  <si>
    <t>Need SSPR?</t>
  </si>
  <si>
    <t>POCR</t>
  </si>
  <si>
    <t>SAMOAK INDUSTRIES
DBA BELLYS SLIDERS AND WINGS</t>
  </si>
  <si>
    <t>Samuel Ihunio</t>
  </si>
  <si>
    <t>323.493.4678</t>
  </si>
  <si>
    <t>info@bellysslidersandwings.com</t>
  </si>
  <si>
    <t>3170BZC664</t>
  </si>
  <si>
    <t>Y</t>
  </si>
  <si>
    <t>Submitted</t>
  </si>
  <si>
    <t>ZANDI, ESFANDIAR</t>
  </si>
  <si>
    <t>Eezzz</t>
  </si>
  <si>
    <t>818.261.5469</t>
  </si>
  <si>
    <t>bisonburgertruck@gmail.com</t>
  </si>
  <si>
    <t>3170BZE318</t>
  </si>
  <si>
    <t>GONZALEZ, ALEJANDRO</t>
  </si>
  <si>
    <t>Jose</t>
  </si>
  <si>
    <t>626.420.9044</t>
  </si>
  <si>
    <t>thetacocartella@gmail.com</t>
  </si>
  <si>
    <t>3170BZC896</t>
  </si>
  <si>
    <t>N</t>
  </si>
  <si>
    <t>CERDA VEGA TACOS LLC</t>
  </si>
  <si>
    <t>Lorenzo</t>
  </si>
  <si>
    <t>818.578.9255</t>
  </si>
  <si>
    <t>cerdavegatacos@gmail.com</t>
  </si>
  <si>
    <t>3170BZC908</t>
  </si>
  <si>
    <t>FLAMIN HOT CHICKEN</t>
  </si>
  <si>
    <t>Chris</t>
  </si>
  <si>
    <t>323.627.1302</t>
  </si>
  <si>
    <t>flaminhotchicken@gmail.com</t>
  </si>
  <si>
    <t>3170BZD135</t>
  </si>
  <si>
    <t>FLAMING GRAIN</t>
  </si>
  <si>
    <t>Sam</t>
  </si>
  <si>
    <t>flaminggrain@gmail.com</t>
  </si>
  <si>
    <t>3170BZD484</t>
  </si>
  <si>
    <t>Mercado Foods LLC</t>
  </si>
  <si>
    <t>Joe</t>
  </si>
  <si>
    <t>213.407.9255</t>
  </si>
  <si>
    <t>pepesredtacos@gmail.com</t>
  </si>
  <si>
    <t>N/A</t>
  </si>
  <si>
    <t>C/O ALEXANDER MAYAGOITIA</t>
  </si>
  <si>
    <t>Alex Mayagoitia</t>
  </si>
  <si>
    <t>609.876.2242</t>
  </si>
  <si>
    <t>lalockedownbbq@gmail.com</t>
  </si>
  <si>
    <t>BARANEK, SEBASTIAN
DBA ORIGINAL HERBIVORE</t>
  </si>
  <si>
    <t>Sebastian</t>
  </si>
  <si>
    <t>310.853.0240</t>
  </si>
  <si>
    <t>originalherbivore@gmail.com</t>
  </si>
  <si>
    <t>3170BZC910</t>
  </si>
  <si>
    <t>REALPHILLY LLC
DBA JASON MCCLAIN REALPHILLY LLC</t>
  </si>
  <si>
    <t>Jason</t>
  </si>
  <si>
    <t>213.509.8268</t>
  </si>
  <si>
    <t>chefjasonm@gmail.com</t>
  </si>
  <si>
    <t>3170BZC686</t>
  </si>
  <si>
    <t>PINCH OF FLAVOR</t>
  </si>
  <si>
    <t>Isis Chavez</t>
  </si>
  <si>
    <t>213.880.5513</t>
  </si>
  <si>
    <t>pinchofflavor@gmail.com</t>
  </si>
  <si>
    <t>3170BZC718</t>
  </si>
  <si>
    <t xml:space="preserve">URAKAM BROTHERS LLC 
DBA POUTINE BROTHERS </t>
  </si>
  <si>
    <t>213.437.3599</t>
  </si>
  <si>
    <t>eh@poutinebrothers.com</t>
  </si>
  <si>
    <t>3170BZC662</t>
  </si>
  <si>
    <t>LUKASAVAGE, KEITH</t>
  </si>
  <si>
    <t>Keith Luka</t>
  </si>
  <si>
    <t>310.940.2727</t>
  </si>
  <si>
    <t>savagetacostruck@gmail.com</t>
  </si>
  <si>
    <t>3170BZE060</t>
  </si>
  <si>
    <t>STOUT FOOD TRUCK LLC</t>
  </si>
  <si>
    <t>Rommel</t>
  </si>
  <si>
    <t>323.383.3312</t>
  </si>
  <si>
    <t>foodtruck@stoutburgersandbeers.com</t>
  </si>
  <si>
    <t>3170BZC791</t>
  </si>
  <si>
    <t>LA CRAVERS LLC
DBA TOKYO STYLE FOOD TRUCK AND CATERING</t>
  </si>
  <si>
    <t>Allie Yamamoto</t>
  </si>
  <si>
    <t>310.591.6226</t>
  </si>
  <si>
    <t>info@tokyostylefoodtruck.com</t>
  </si>
  <si>
    <t>3170BZC727</t>
  </si>
  <si>
    <t>BABYS BADASS LLC
DBA BABYS BADASS BURGERS</t>
  </si>
  <si>
    <t>Lori Barbera</t>
  </si>
  <si>
    <t>310.594.5674</t>
  </si>
  <si>
    <t>lori@babysbadassburgers.com</t>
  </si>
  <si>
    <t>3170BZC881</t>
  </si>
  <si>
    <t>WAFL LLC</t>
  </si>
  <si>
    <t>Ozzie Cay</t>
  </si>
  <si>
    <t>323.898.8799</t>
  </si>
  <si>
    <t>wafltruck@gmail.com</t>
  </si>
  <si>
    <t>3170BZC698</t>
  </si>
  <si>
    <t>Bunz gourmet burgers</t>
  </si>
  <si>
    <t>COOPS BUNZ INC
DBA BUNZ GOURMET BURGERS</t>
  </si>
  <si>
    <t>Marlan Cooper</t>
  </si>
  <si>
    <t>213.908.8597</t>
  </si>
  <si>
    <t>bunzgourmetburgers@gmail.com</t>
  </si>
  <si>
    <t>3170BZC723</t>
  </si>
  <si>
    <t>MIKHUNA</t>
  </si>
  <si>
    <t>Karla Flores - Ybaceta</t>
  </si>
  <si>
    <t>562.658.5020</t>
  </si>
  <si>
    <t>Main@perumikhuna.com</t>
  </si>
  <si>
    <t>3170BZC689</t>
  </si>
  <si>
    <t>T&amp;J AMERICAN JOURNEY LLC
DBA STOPBYE CAFE</t>
  </si>
  <si>
    <t>Tom &amp; Justin</t>
  </si>
  <si>
    <t>424.456.5533</t>
  </si>
  <si>
    <t>stopbyecafe@gmail.com</t>
  </si>
  <si>
    <t>3170BZC732</t>
  </si>
  <si>
    <t>ML EATS LLC</t>
  </si>
  <si>
    <t>Louis Huh</t>
  </si>
  <si>
    <t>213.598.6206</t>
  </si>
  <si>
    <t>mleatsla@gmail.com</t>
  </si>
  <si>
    <t>3170BZD062</t>
  </si>
  <si>
    <t>CHRIS TZORIN LLC
C/O CHRISTOPHER TZORIN</t>
  </si>
  <si>
    <t>Chris Tzorin</t>
  </si>
  <si>
    <t>949.423.8922</t>
  </si>
  <si>
    <t>chris@chefchristzorin.com</t>
  </si>
  <si>
    <t>3170BZC695</t>
  </si>
  <si>
    <t>GOOD EATS &amp; VIBES LLC</t>
  </si>
  <si>
    <t>Etienne Cooper</t>
  </si>
  <si>
    <t>310.462.3367</t>
  </si>
  <si>
    <t>coop@goodeatsnvibes.com</t>
  </si>
  <si>
    <t>3170BZC737</t>
  </si>
  <si>
    <t>KOGI GROUP CORPORATION
DBA KOGI BBQ</t>
  </si>
  <si>
    <t>Eddie Gonzalez</t>
  </si>
  <si>
    <t>eddie@kogibbq.com</t>
  </si>
  <si>
    <t>3170BZC661</t>
  </si>
  <si>
    <t>FBH INC</t>
  </si>
  <si>
    <t>Jose Barrios</t>
  </si>
  <si>
    <t>818.271.7083</t>
  </si>
  <si>
    <t>josebarrios5@gmail.com</t>
  </si>
  <si>
    <t>3170BZD063</t>
  </si>
  <si>
    <t>LUCKY RABBIT HOLDING LLC</t>
  </si>
  <si>
    <t>Madel Razon</t>
  </si>
  <si>
    <t xml:space="preserve">888.889.7222 </t>
  </si>
  <si>
    <t>info@whiterabbittruck.com</t>
  </si>
  <si>
    <t>3170BZD441</t>
  </si>
  <si>
    <t>TrapiYaki Food Truck</t>
  </si>
  <si>
    <t>Trapi LLC</t>
  </si>
  <si>
    <t>Andy Garcia</t>
  </si>
  <si>
    <t>213.440.4796</t>
  </si>
  <si>
    <t>Chefandy02@gmail.com</t>
  </si>
  <si>
    <t>3170BZE125</t>
  </si>
  <si>
    <t>UNCLE ALS BBQ</t>
  </si>
  <si>
    <t>Alex Fultz</t>
  </si>
  <si>
    <t>818.518.7207</t>
  </si>
  <si>
    <t>unclealbbq@gmail.com</t>
  </si>
  <si>
    <t>3170BZD237</t>
  </si>
  <si>
    <t>JTH Foods</t>
  </si>
  <si>
    <t>Dong Hyuk Lee</t>
  </si>
  <si>
    <t>213.352.7909</t>
  </si>
  <si>
    <t>jthfoods@gmail.com</t>
  </si>
  <si>
    <t>3170BZD229</t>
  </si>
  <si>
    <t>SOMETHING GOOD LA LLC</t>
  </si>
  <si>
    <t>Vivianna Hernandez</t>
  </si>
  <si>
    <t>213.446.0918</t>
  </si>
  <si>
    <t>3170BZD239</t>
  </si>
  <si>
    <t>8E8 THAI STREET FOOD INC</t>
  </si>
  <si>
    <t>Montre liwirun</t>
  </si>
  <si>
    <t>808.636.5733</t>
  </si>
  <si>
    <t>mliwirun@yahoo.com</t>
  </si>
  <si>
    <t>3170BZD890</t>
  </si>
  <si>
    <t>PARADISE COOKIES INC</t>
  </si>
  <si>
    <t>Chick Young</t>
  </si>
  <si>
    <t>626.329.1313</t>
  </si>
  <si>
    <t>info@theparadisetruck.com</t>
  </si>
  <si>
    <t>3170BZD809</t>
  </si>
  <si>
    <t>THE DELI DOCTOR INC</t>
  </si>
  <si>
    <t>Yuna Kovan</t>
  </si>
  <si>
    <t>310.321.8714</t>
  </si>
  <si>
    <t xml:space="preserve">thedelidoctor@gmail.com
</t>
  </si>
  <si>
    <t>3170BZD444</t>
  </si>
  <si>
    <t>OHANAS HIBACHI</t>
  </si>
  <si>
    <t>Shahid Tam</t>
  </si>
  <si>
    <t>808.271.5436</t>
  </si>
  <si>
    <t>info@ohanahibachi.com</t>
  </si>
  <si>
    <t>3170BZE579</t>
  </si>
  <si>
    <t>Love Greek Cusine</t>
  </si>
  <si>
    <t>LOVE GREEK LLC</t>
  </si>
  <si>
    <t>Antonios Karagiannakis</t>
  </si>
  <si>
    <t>424.278.5370</t>
  </si>
  <si>
    <t xml:space="preserve">a.karagiannakis@lovegreekcuisine.com
</t>
  </si>
  <si>
    <t>3170BZJ299</t>
  </si>
  <si>
    <t>Yalla Truck</t>
  </si>
  <si>
    <t>KARAM, ALAN</t>
  </si>
  <si>
    <t>Alan Karam</t>
  </si>
  <si>
    <t>562.547.3909</t>
  </si>
  <si>
    <t>yalla.truck@gmail.com</t>
  </si>
  <si>
    <t>3170BZF330</t>
  </si>
  <si>
    <r>
      <rPr>
        <sz val="11"/>
        <color rgb="FF000000"/>
        <rFont val="Calibri, sans-serif"/>
      </rPr>
      <t xml:space="preserve">Smorgasburg LA - </t>
    </r>
    <r>
      <rPr>
        <b/>
        <sz val="11"/>
        <color rgb="FF000000"/>
        <rFont val="Calibri, sans-serif"/>
      </rPr>
      <t>Pop Up</t>
    </r>
  </si>
  <si>
    <t>Smorgasburg Ventures LLC</t>
  </si>
  <si>
    <t>Zach Brooks</t>
  </si>
  <si>
    <t>646.468.2786</t>
  </si>
  <si>
    <t>zach@smorgasburg.com</t>
  </si>
  <si>
    <t>Dragon Dogs Food Truck</t>
  </si>
  <si>
    <t>MIYASHIRO, MATTHEW</t>
  </si>
  <si>
    <t>Lorraine Miyashiro</t>
  </si>
  <si>
    <t>626.277.9082</t>
  </si>
  <si>
    <t>lori@dragondogshotdog.com</t>
  </si>
  <si>
    <t>3170BZE760</t>
  </si>
  <si>
    <t>Dinas Dumpling</t>
  </si>
  <si>
    <t>Dina Dai</t>
  </si>
  <si>
    <t>909.267.0747</t>
  </si>
  <si>
    <t>dinasdumpling@gmail.com</t>
  </si>
  <si>
    <t>3170BZG680</t>
  </si>
  <si>
    <t>MANNA FROM HEAVEN DAY AND NIGHT GOURMET</t>
  </si>
  <si>
    <t>Shaun Kermah</t>
  </si>
  <si>
    <t>818.404.8121</t>
  </si>
  <si>
    <t>mannafromheavenca@gmail.com</t>
  </si>
  <si>
    <t>3170BZE776</t>
  </si>
  <si>
    <t>THE HABIBI SHACK LLC</t>
  </si>
  <si>
    <t>Mufid Taha</t>
  </si>
  <si>
    <t>626.658.8642</t>
  </si>
  <si>
    <t>info@habibishack.com</t>
  </si>
  <si>
    <t>3170BZE779</t>
  </si>
  <si>
    <t>Love Shell</t>
  </si>
  <si>
    <t>LOVESHELL LLC</t>
  </si>
  <si>
    <t>Patrick Lewis</t>
  </si>
  <si>
    <t>818.588.0068</t>
  </si>
  <si>
    <t>pt.lws1@gmail.com</t>
  </si>
  <si>
    <t>3170BZG279</t>
  </si>
  <si>
    <t>KWAK, GEUN</t>
  </si>
  <si>
    <t>Geun Hwa Kwak</t>
  </si>
  <si>
    <t>213.700.6698</t>
  </si>
  <si>
    <t xml:space="preserve">yunasbob@gmail.com </t>
  </si>
  <si>
    <t>3170BZF799</t>
  </si>
  <si>
    <t>CLAYTON, GOVINDA</t>
  </si>
  <si>
    <t>Vasudeva Clayton</t>
  </si>
  <si>
    <t>424.416.9095</t>
  </si>
  <si>
    <t>theveggiebomb@gmail.com</t>
  </si>
  <si>
    <t>3170BZG673</t>
  </si>
  <si>
    <t>Birrieria El Patron 818</t>
  </si>
  <si>
    <t>AGUILAR, MELISSA</t>
  </si>
  <si>
    <t xml:space="preserve">Melissa Valentin </t>
  </si>
  <si>
    <t>818.675.3384</t>
  </si>
  <si>
    <t>mvalentinn16@gmail.com</t>
  </si>
  <si>
    <t>3170BZH614</t>
  </si>
  <si>
    <t>Creamy Boys Ice Cream</t>
  </si>
  <si>
    <t>PARSONS, DUNCAN</t>
  </si>
  <si>
    <t>Duncan Parsons</t>
  </si>
  <si>
    <t>415.319.4658</t>
  </si>
  <si>
    <t>duncan@creamyboysicecream.com</t>
  </si>
  <si>
    <t>3170BZF235</t>
  </si>
  <si>
    <t>Cafe Vietnam Truck</t>
  </si>
  <si>
    <t>Cafe Vietnam Corporation</t>
  </si>
  <si>
    <t>Jen Nguyen</t>
  </si>
  <si>
    <t>949.678.9281</t>
  </si>
  <si>
    <t>cafevietnamtruck@gmail.com</t>
  </si>
  <si>
    <t>3170BZG685</t>
  </si>
  <si>
    <t>D Lo' Kitchen</t>
  </si>
  <si>
    <t>CATHERINE WHITE</t>
  </si>
  <si>
    <t>Latoya Washington</t>
  </si>
  <si>
    <t>323.359.7746</t>
  </si>
  <si>
    <t>latoya.washington84.lw@gmail.com</t>
  </si>
  <si>
    <t>3170BZF204</t>
  </si>
  <si>
    <t>OMG FOOD SERVICE</t>
  </si>
  <si>
    <t>MG MireAs</t>
  </si>
  <si>
    <t>thebollywoodkitchen@gmail.com</t>
  </si>
  <si>
    <t>3170BZF790</t>
  </si>
  <si>
    <t>LUIS A GARCIA GALVAN</t>
  </si>
  <si>
    <t>Luis Garcia</t>
  </si>
  <si>
    <t>310-343-2338</t>
  </si>
  <si>
    <t>30josesanchez@gmail.com</t>
  </si>
  <si>
    <t>3170BZH715</t>
  </si>
  <si>
    <t>Mama Musubi</t>
  </si>
  <si>
    <t>Mama Musubi LLC</t>
  </si>
  <si>
    <t>Carol Kwan</t>
  </si>
  <si>
    <t>626-643-0700</t>
  </si>
  <si>
    <t>carol@mamamusubi.com</t>
  </si>
  <si>
    <t>Messi Burger</t>
  </si>
  <si>
    <t>THE OC JUICE TRUCK</t>
  </si>
  <si>
    <t>Jason Aviles</t>
  </si>
  <si>
    <t>714-793-7369</t>
  </si>
  <si>
    <t>messiburgers2@gmail.com</t>
  </si>
  <si>
    <t>3170BZK486</t>
  </si>
  <si>
    <t>TRUJILLO, MARIO</t>
  </si>
  <si>
    <t>Mario Trujillo</t>
  </si>
  <si>
    <t>818-582-0594</t>
  </si>
  <si>
    <t>alohafridaysla@aol.com</t>
  </si>
  <si>
    <t>3170BLC598</t>
  </si>
  <si>
    <t>New</t>
  </si>
  <si>
    <t>Genaro Antonio Ordonez</t>
  </si>
  <si>
    <t>323-826-8430</t>
  </si>
  <si>
    <t>salpiconshopfruit@gmail.com</t>
  </si>
  <si>
    <t>Manuel Ramirez</t>
  </si>
  <si>
    <t>626-627-1466</t>
  </si>
  <si>
    <t>manuelr@bittiebitez.com</t>
  </si>
  <si>
    <t>Jacob Woo</t>
  </si>
  <si>
    <t>714-822-0993</t>
  </si>
  <si>
    <t>jacobwoo@egrouptrading.com</t>
  </si>
  <si>
    <t>Melissa Edeza</t>
  </si>
  <si>
    <t>323-251-3093</t>
  </si>
  <si>
    <t>sweetsonwheels2016@gmail.com</t>
  </si>
  <si>
    <t>Liz Contreras</t>
  </si>
  <si>
    <t>661-312-5104</t>
  </si>
  <si>
    <t>lizzcontreras11@gmail.com</t>
  </si>
  <si>
    <t>Isaac Kim</t>
  </si>
  <si>
    <t>213-446-1013</t>
  </si>
  <si>
    <t>isaacjckim@gmail.com</t>
  </si>
  <si>
    <t xml:space="preserve">somethinggoodla@gmail.com </t>
  </si>
  <si>
    <t>SALPICON LLC</t>
  </si>
  <si>
    <t>3170BLC628</t>
  </si>
  <si>
    <t>BITTIEBITEZ MINI DONUTS INC</t>
  </si>
  <si>
    <t>3170BLC601</t>
  </si>
  <si>
    <t>EGROUP TRADING LLC</t>
  </si>
  <si>
    <t>3170BLC631</t>
  </si>
  <si>
    <t>EDEZA, CESAR</t>
  </si>
  <si>
    <t>3170BLC642</t>
  </si>
  <si>
    <t>ELIZABETH CONTRERAS DULCE EUROPA SHAVED ICE</t>
  </si>
  <si>
    <t>3170BLC603</t>
  </si>
  <si>
    <t>KANG, JUNG EUN</t>
  </si>
  <si>
    <t>3170BLC605</t>
  </si>
  <si>
    <t>Eddie Escobar</t>
  </si>
  <si>
    <t>661-309-3441</t>
  </si>
  <si>
    <t>gofusionngrill@gmail.com</t>
  </si>
  <si>
    <t>Streets of Vietnam</t>
  </si>
  <si>
    <t>streetsofvietnamtruck@gmail.com</t>
  </si>
  <si>
    <t>Ammy Thepviwat</t>
  </si>
  <si>
    <t>310-382-7617</t>
  </si>
  <si>
    <t>thaimexcocina@hotmail.com</t>
  </si>
  <si>
    <t>The Fix on Wheels</t>
  </si>
  <si>
    <t>John Ou</t>
  </si>
  <si>
    <t>818-621-9997</t>
  </si>
  <si>
    <t>thefixonwheels@gmail.com</t>
  </si>
  <si>
    <t>Food Truck Cost  9.50/ticket</t>
  </si>
  <si>
    <t>Go Fusion N Grill LLC</t>
  </si>
  <si>
    <t>9:00pm - 12pm</t>
  </si>
  <si>
    <t>Southern Regional Library Driveway</t>
  </si>
  <si>
    <t>De Neve Plaza</t>
  </si>
  <si>
    <t>Lot 13</t>
  </si>
  <si>
    <t>Sproul Turnaround</t>
  </si>
  <si>
    <t>Dinner Count - 9 Trucks</t>
  </si>
  <si>
    <t>5:00pm - 9pm</t>
  </si>
  <si>
    <t xml:space="preserve">Belly Slider's </t>
  </si>
  <si>
    <t>Lunch Count - 9 Trucks</t>
  </si>
  <si>
    <t>11:00am - 3pm</t>
  </si>
  <si>
    <t>Aloha Fridays</t>
  </si>
  <si>
    <t>8E8</t>
  </si>
  <si>
    <t>Late Night Count - 0 Trucks</t>
  </si>
  <si>
    <t>Cerda Vega</t>
  </si>
  <si>
    <t>3170BLD103</t>
  </si>
  <si>
    <t>3170BLD080</t>
  </si>
  <si>
    <t>DeNeve Plaza</t>
  </si>
  <si>
    <t>Philly Jays</t>
  </si>
  <si>
    <t>JCO Ventures LLC</t>
  </si>
  <si>
    <t>Go Beyond The Bowl</t>
  </si>
  <si>
    <t>Late Night Count - 5 Trucks</t>
  </si>
  <si>
    <t xml:space="preserve">Phily Jay's </t>
  </si>
  <si>
    <t>D e Neve Plaza</t>
  </si>
  <si>
    <t>Bollywood Kitcen</t>
  </si>
  <si>
    <t>714-553-6105</t>
  </si>
  <si>
    <t>Owner: Ashraf Ayoub, Operations manager: Shauna Dye</t>
  </si>
  <si>
    <t>Original Hervibore</t>
  </si>
  <si>
    <t xml:space="preserve">Pinch of Flavor </t>
  </si>
  <si>
    <t>Bunz</t>
  </si>
  <si>
    <t>Philly Jay'z</t>
  </si>
  <si>
    <t xml:space="preserve">Bollywood Kitchen </t>
  </si>
  <si>
    <t>Go Fusion</t>
  </si>
  <si>
    <t xml:space="preserve">Austin's </t>
  </si>
  <si>
    <t>818-600-1355</t>
  </si>
  <si>
    <t>*Austyn Burgers short paid by 200 tickets</t>
  </si>
  <si>
    <t>or $2000.00 on Sep 25, 2022</t>
  </si>
  <si>
    <t>BittieBitez</t>
  </si>
  <si>
    <t>Missing ticket bag</t>
  </si>
  <si>
    <t>*Cartel Taco missing</t>
  </si>
  <si>
    <t>dinner ticket bag 9.18.22</t>
  </si>
  <si>
    <t>FY 22/23</t>
  </si>
  <si>
    <t>Smile Hot  Dog</t>
  </si>
  <si>
    <t>Flamin Grain</t>
  </si>
  <si>
    <t>Sweet  on Streets</t>
  </si>
  <si>
    <t>Savage Taocs</t>
  </si>
  <si>
    <t>Go Fusion Grill</t>
  </si>
  <si>
    <t>Aloha Friday's</t>
  </si>
  <si>
    <t xml:space="preserve">Poutine Brother's </t>
  </si>
  <si>
    <t xml:space="preserve">Aloha Friday's </t>
  </si>
  <si>
    <t>Cerda  Vega</t>
  </si>
  <si>
    <t>323.315.0253</t>
  </si>
  <si>
    <t>Combined (Dinner &amp; LN)</t>
  </si>
  <si>
    <t>Did Not Show</t>
  </si>
  <si>
    <t xml:space="preserve">Uncle Al's </t>
  </si>
  <si>
    <t>Cancelled</t>
  </si>
  <si>
    <t>*Combined Dinner &amp; LN</t>
  </si>
  <si>
    <t>*Kalamaki Greek</t>
  </si>
  <si>
    <t>*Cancelled</t>
  </si>
  <si>
    <t>*Belly's Sliders</t>
  </si>
  <si>
    <t>*Combined Dinne &amp; LN</t>
  </si>
  <si>
    <t>*Bollywood Kitchen</t>
  </si>
  <si>
    <t>*Original Herbivore</t>
  </si>
  <si>
    <t>*Flamin Hot Chicken</t>
  </si>
  <si>
    <t>Thai Mex Cocina</t>
  </si>
  <si>
    <t>*Uncle Al's</t>
  </si>
  <si>
    <t>heritagelafoodtruck@gmail.com</t>
  </si>
  <si>
    <t>Eloy Rodriguez</t>
  </si>
  <si>
    <t>818.219.5292</t>
  </si>
  <si>
    <t>Cancelled*</t>
  </si>
  <si>
    <t>Habibi Shack*</t>
  </si>
  <si>
    <t>Belly's Siders</t>
  </si>
  <si>
    <t>323-884-8042</t>
  </si>
  <si>
    <t>ThaiMex Cocina</t>
  </si>
  <si>
    <t>Thepviwat, Ammy
DBA: Ammy Thepviwat</t>
  </si>
  <si>
    <t>German Goodies, LLC
DBA: German Goodies LLC</t>
  </si>
  <si>
    <t>Payment Method</t>
  </si>
  <si>
    <t>3170BLE340</t>
  </si>
  <si>
    <t>X</t>
  </si>
  <si>
    <t>W</t>
  </si>
  <si>
    <t>Z</t>
  </si>
  <si>
    <t>+</t>
  </si>
  <si>
    <t>C</t>
  </si>
  <si>
    <t>*Combined DN &amp; LN</t>
  </si>
  <si>
    <t>*Kogi</t>
  </si>
  <si>
    <t>3170BLD852</t>
  </si>
  <si>
    <t>JTH Foods - Hanchic</t>
  </si>
  <si>
    <t>Phone #</t>
  </si>
  <si>
    <t>The Bollywood Kichen</t>
  </si>
  <si>
    <t xml:space="preserve">*Original Herbivore </t>
  </si>
  <si>
    <t>Cartel Taco Food Truck</t>
  </si>
  <si>
    <t>Creamy Boys short paid 180 tickets or 1710.00 on Oct 12, 2022</t>
  </si>
  <si>
    <t>Permit/ServSafe</t>
  </si>
  <si>
    <t>PS</t>
  </si>
  <si>
    <r>
      <t xml:space="preserve">Kogi </t>
    </r>
    <r>
      <rPr>
        <b/>
        <sz val="11"/>
        <color theme="1"/>
        <rFont val="Calibri"/>
        <family val="2"/>
        <scheme val="minor"/>
      </rPr>
      <t>(Pop-up)</t>
    </r>
  </si>
  <si>
    <t>Total (less Pop Up) vs. Blackboard</t>
  </si>
  <si>
    <t>Bison  Burger</t>
  </si>
  <si>
    <t>*Did Not Show</t>
  </si>
  <si>
    <t>*Deli Doctor</t>
  </si>
  <si>
    <t>Thai-Mex Cocina</t>
  </si>
  <si>
    <t>sent 11/4/22</t>
  </si>
  <si>
    <t>sent 10/10/22</t>
  </si>
  <si>
    <r>
      <t xml:space="preserve">*Kogi </t>
    </r>
    <r>
      <rPr>
        <b/>
        <sz val="11"/>
        <color theme="1"/>
        <rFont val="Calibri"/>
        <family val="2"/>
        <scheme val="minor"/>
      </rPr>
      <t>(POP-UP)</t>
    </r>
  </si>
  <si>
    <t>Creammy Boys</t>
  </si>
  <si>
    <t>*Savage Tacos</t>
  </si>
  <si>
    <t xml:space="preserve">Austyn's </t>
  </si>
  <si>
    <t>Flamig Hot chicken</t>
  </si>
  <si>
    <t>Sweet on Wheels</t>
  </si>
  <si>
    <t>Bollywwood Kitchen</t>
  </si>
  <si>
    <t>Late Night Count - 4 Trucks</t>
  </si>
  <si>
    <t>Pacifico  Charbroiled</t>
  </si>
  <si>
    <t>Lunch Count - 3 Trucks</t>
  </si>
  <si>
    <t>Dinner Count - 3 Trucks</t>
  </si>
  <si>
    <t>Thanksgiving Holiday</t>
  </si>
  <si>
    <t>No Food Trucks</t>
  </si>
  <si>
    <t>*Belly 's Sliders</t>
  </si>
  <si>
    <t>Flamin grain</t>
  </si>
  <si>
    <t>*Cerda Vega</t>
  </si>
  <si>
    <t>*Philly Jay's</t>
  </si>
  <si>
    <t>Lunch Count - 0 Trucks</t>
  </si>
  <si>
    <t>*Tokyo Style</t>
  </si>
  <si>
    <t>StobBye Café</t>
  </si>
  <si>
    <t>Thank You Tuesday</t>
  </si>
  <si>
    <t>Poutine Brothe's</t>
  </si>
  <si>
    <t>Bbay's Burgers</t>
  </si>
  <si>
    <t>*8E8.</t>
  </si>
  <si>
    <t>Heritage Kitchen</t>
  </si>
  <si>
    <t>Smile</t>
  </si>
  <si>
    <t>Food Truck Counts 9.5/ticket</t>
  </si>
  <si>
    <t>ASUCLA Counts  9/ticket</t>
  </si>
  <si>
    <t>FY 2022-23</t>
  </si>
  <si>
    <t>sent 12/12/22</t>
  </si>
  <si>
    <t>Venice Café</t>
  </si>
  <si>
    <t>Venice Gelato Café</t>
  </si>
  <si>
    <t>3170BLF610</t>
  </si>
  <si>
    <t>ELIZABETH CONTRERAS DULCE EUROPA</t>
  </si>
  <si>
    <t>GERMAN GOODIES LLC</t>
  </si>
  <si>
    <t>NANCY MONROY</t>
  </si>
  <si>
    <t>Sugo Italiano</t>
  </si>
  <si>
    <t>Rice Balls of Fire</t>
  </si>
  <si>
    <t>Antonio Fusca</t>
  </si>
  <si>
    <t xml:space="preserve">Destina Seaking </t>
  </si>
  <si>
    <t>818.599.2661</t>
  </si>
  <si>
    <t>714.855.8619</t>
  </si>
  <si>
    <t>info@sugoitaliano.com</t>
  </si>
  <si>
    <t>riceballsoffire@gmail.com</t>
  </si>
  <si>
    <t>Bollywood Bites</t>
  </si>
  <si>
    <t>Sanjay Patel</t>
  </si>
  <si>
    <t>310.403.1661</t>
  </si>
  <si>
    <t>bollywoodbites@yahoo.com</t>
  </si>
  <si>
    <t>WestSide Banh  Mi</t>
  </si>
  <si>
    <t>westsidebanhmi@gmail.com</t>
  </si>
  <si>
    <t>SUGO ITALIANO INC</t>
  </si>
  <si>
    <t xml:space="preserve">Flaming Hot Chicken </t>
  </si>
  <si>
    <t>Bittie Nitez</t>
  </si>
  <si>
    <t>Owner: Sookie Park Operations Manager: Sanna Suksawad</t>
  </si>
  <si>
    <t xml:space="preserve">323.240.7340 818.900.8589   </t>
  </si>
  <si>
    <t>3170BLJ549</t>
  </si>
  <si>
    <t>Go fusion</t>
  </si>
  <si>
    <t>MLK Holiday</t>
  </si>
  <si>
    <t>sent 1/17/23</t>
  </si>
  <si>
    <t>Rice Balls Inc.</t>
  </si>
  <si>
    <t>Smile Hot dog</t>
  </si>
  <si>
    <t xml:space="preserve">Uncle  Al's </t>
  </si>
  <si>
    <t>*Heritage LA</t>
  </si>
  <si>
    <t>*Wafl</t>
  </si>
  <si>
    <t>*did not show</t>
  </si>
  <si>
    <t>*Perro</t>
  </si>
  <si>
    <t>Pinch of  Flavor</t>
  </si>
  <si>
    <t>sent 2/9/23</t>
  </si>
  <si>
    <t>Sweets  on Wheels</t>
  </si>
  <si>
    <t>3170BLK13900</t>
  </si>
  <si>
    <t>SEAKING, DESTINA</t>
  </si>
  <si>
    <t>BOLLYWOOD BITES</t>
  </si>
  <si>
    <t>RICE BALLS INC</t>
  </si>
  <si>
    <t>Presidents Day Holiday</t>
  </si>
  <si>
    <t xml:space="preserve"> Smile Hot Dog</t>
  </si>
  <si>
    <t>Belly Sliders</t>
  </si>
  <si>
    <t xml:space="preserve">Date </t>
  </si>
  <si>
    <t xml:space="preserve">Count </t>
  </si>
  <si>
    <t>Amount</t>
  </si>
  <si>
    <t>Cerda vega</t>
  </si>
  <si>
    <t xml:space="preserve">Sweets on  Wheels </t>
  </si>
  <si>
    <t>Flamng Hot</t>
  </si>
  <si>
    <t>Feburary Total</t>
  </si>
  <si>
    <t>March Total</t>
  </si>
  <si>
    <t>April Total</t>
  </si>
  <si>
    <t>*Bittie Bitez</t>
  </si>
  <si>
    <t>3170BLM895</t>
  </si>
  <si>
    <t xml:space="preserve">Yuna's Bob </t>
  </si>
  <si>
    <t>*Streets of Vietnam</t>
  </si>
  <si>
    <t>*No Call No Show</t>
  </si>
  <si>
    <t>Bolywood Kitchen</t>
  </si>
  <si>
    <t>sent 3/8/23</t>
  </si>
  <si>
    <t>Sdulce Europa</t>
  </si>
  <si>
    <t>Kevin Klein</t>
  </si>
  <si>
    <t>310.386.4412</t>
  </si>
  <si>
    <t>kevin@klein-consultingservices.com</t>
  </si>
  <si>
    <t>Thank You Thursday Tickets</t>
  </si>
  <si>
    <t>Croyaki</t>
  </si>
  <si>
    <t>REH&amp;RU INC</t>
  </si>
  <si>
    <t>Mian LA</t>
  </si>
  <si>
    <t>MIAN LA LLC</t>
  </si>
  <si>
    <t>THEPVIWAT, AMMY</t>
  </si>
  <si>
    <t>DINASDUMPLING LLC</t>
  </si>
  <si>
    <t>3170BLN753</t>
  </si>
  <si>
    <t>Kalamaki</t>
  </si>
  <si>
    <t xml:space="preserve">No Food Truck for </t>
  </si>
  <si>
    <t>Spring Break</t>
  </si>
  <si>
    <t>3170BLK783</t>
  </si>
  <si>
    <t>YES</t>
  </si>
  <si>
    <t>NEW</t>
  </si>
  <si>
    <t>SUBMITTED 3/28</t>
  </si>
  <si>
    <t>SUBMITTED 3/24</t>
  </si>
  <si>
    <t>SUBMITTED 3/23</t>
  </si>
  <si>
    <t>3170BLP256</t>
  </si>
  <si>
    <t>Wafl Truck</t>
  </si>
  <si>
    <t>Kogi BBQ</t>
  </si>
  <si>
    <t>Flamin Hot  Chicken</t>
  </si>
  <si>
    <t>SUBMITTED 4/3</t>
  </si>
  <si>
    <t>sent 4/6/23</t>
  </si>
  <si>
    <t>Visits</t>
  </si>
  <si>
    <t>Food Trucks</t>
  </si>
  <si>
    <t>FY Total $ Amt</t>
  </si>
  <si>
    <t># Visits</t>
  </si>
  <si>
    <t>Avg $/Visit</t>
  </si>
  <si>
    <t>Sweets on wheels</t>
  </si>
  <si>
    <t>Bollywood  Kitchen</t>
  </si>
  <si>
    <t>SttopBye Café</t>
  </si>
  <si>
    <t>Flaming  Grain</t>
  </si>
  <si>
    <t>Sugo Italano</t>
  </si>
  <si>
    <t>Dulce europa</t>
  </si>
  <si>
    <t xml:space="preserve">Unle Al's </t>
  </si>
  <si>
    <t>April 3,4</t>
  </si>
  <si>
    <t>Uncle AL's</t>
  </si>
  <si>
    <t>*CANCELLED</t>
  </si>
  <si>
    <t>Autyn's</t>
  </si>
  <si>
    <t xml:space="preserve">Dina's Dumplings </t>
  </si>
  <si>
    <t>April 5-11</t>
  </si>
  <si>
    <t>*Aloha Friday's</t>
  </si>
  <si>
    <t>April 12-14</t>
  </si>
  <si>
    <t>Kalmaki Greek</t>
  </si>
  <si>
    <t>Ranking by Sales as of April 2023</t>
  </si>
  <si>
    <t>Pinch Of Flavor</t>
  </si>
  <si>
    <t>May Total</t>
  </si>
  <si>
    <t>sent 5/5/23</t>
  </si>
  <si>
    <t>*Habibi Shack</t>
  </si>
  <si>
    <t>*Did not Show</t>
  </si>
  <si>
    <t xml:space="preserve">Autyn's </t>
  </si>
  <si>
    <t>Flaming Hot chicken</t>
  </si>
  <si>
    <t>Heritage</t>
  </si>
  <si>
    <t>Nbittie Bitez</t>
  </si>
  <si>
    <t>Austyn's Burger</t>
  </si>
  <si>
    <t>Creamy  Boys</t>
  </si>
  <si>
    <t>May 2-9</t>
  </si>
  <si>
    <t>May 10-15</t>
  </si>
  <si>
    <t>Dinner Count - 0 Trucks</t>
  </si>
  <si>
    <t>*Poutine Brothers</t>
  </si>
  <si>
    <t xml:space="preserve">Heritage </t>
  </si>
  <si>
    <t>May 16-23</t>
  </si>
  <si>
    <t>May 24-26</t>
  </si>
  <si>
    <t xml:space="preserve">Go Fusion </t>
  </si>
  <si>
    <t>Dulce  Europa</t>
  </si>
  <si>
    <t>Food</t>
  </si>
  <si>
    <t>Market</t>
  </si>
  <si>
    <t>Ackerman Market</t>
  </si>
  <si>
    <t>Anderson Café</t>
  </si>
  <si>
    <t>Bruin Buzz</t>
  </si>
  <si>
    <t>Café 451</t>
  </si>
  <si>
    <t>Café Synapse</t>
  </si>
  <si>
    <t>Carl's Jr</t>
  </si>
  <si>
    <t>Court of Sciences Restaurants</t>
  </si>
  <si>
    <t>Court of Sciences Store</t>
  </si>
  <si>
    <t>Health Sciences Store</t>
  </si>
  <si>
    <t>Hilltop Shop</t>
  </si>
  <si>
    <t>Jimmy's Coffeehouse</t>
  </si>
  <si>
    <t>Kerchoff Coffehouse</t>
  </si>
  <si>
    <t>Kikka</t>
  </si>
  <si>
    <t>LuValle Restaurants</t>
  </si>
  <si>
    <t>LuValle Store</t>
  </si>
  <si>
    <t>Music Café</t>
  </si>
  <si>
    <t>North Campus Shop</t>
  </si>
  <si>
    <t>Northern Lights</t>
  </si>
  <si>
    <t>Panda Epress</t>
  </si>
  <si>
    <t>Rubio's</t>
  </si>
  <si>
    <t>Scrub Jay Café</t>
  </si>
  <si>
    <t>Subway</t>
  </si>
  <si>
    <t>TacoBell</t>
  </si>
  <si>
    <t>Veggie Grill</t>
  </si>
  <si>
    <t>Wetzel's/RX Candy</t>
  </si>
  <si>
    <t>Yoshinoya</t>
  </si>
  <si>
    <t>Grand Total</t>
  </si>
  <si>
    <t>sent 6/9/23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</si>
</sst>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F800]dddd\,\ mmmm\ dd\,\ yyyy"/>
    <numFmt numFmtId="165" formatCode="_(&quot;$&quot;* #,##0_);_(&quot;$&quot;* \(#,##0\);_(&quot;$&quot;* &quot;-&quot;??_);_(@_)"/>
    <numFmt numFmtId="166" formatCode="m/d/yy;@"/>
    <numFmt numFmtId="167" formatCode="_(* #,##0_);_(* \(#,##0\);_(* &quot;-&quot;??_);_(@_)"/>
    <numFmt numFmtId="168" formatCode="&quot;$&quot;#,##0.00"/>
  </numFmts>
  <fonts count="4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9"/>
      <color theme="1"/>
      <name val="Arial"/>
      <family val="2"/>
    </font>
    <font>
      <strike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3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rgb="FF0563C1"/>
      <name val="Calibri"/>
      <family val="2"/>
    </font>
    <font>
      <sz val="10"/>
      <color theme="1"/>
      <name val="Calibri"/>
      <family val="2"/>
      <scheme val="minor"/>
    </font>
    <font>
      <sz val="11"/>
      <color rgb="FF000000"/>
      <name val="Calibri, sans-serif"/>
    </font>
    <font>
      <b/>
      <sz val="11"/>
      <color rgb="FF000000"/>
      <name val="Calibri, sans-serif"/>
    </font>
    <font>
      <sz val="11"/>
      <color theme="1"/>
      <name val="Calibri"/>
      <family val="2"/>
    </font>
    <font>
      <u/>
      <sz val="10"/>
      <color theme="10"/>
      <name val="Calibri"/>
      <family val="2"/>
      <scheme val="minor"/>
    </font>
    <font>
      <sz val="9"/>
      <color rgb="FF000000"/>
      <name val="Calibri"/>
      <family val="2"/>
    </font>
    <font>
      <sz val="11"/>
      <name val="Calibri"/>
      <family val="2"/>
    </font>
    <font>
      <u/>
      <sz val="11"/>
      <name val="Calibri"/>
      <family val="2"/>
    </font>
    <font>
      <b/>
      <sz val="12"/>
      <name val="Calibri"/>
      <family val="2"/>
    </font>
    <font>
      <u/>
      <sz val="10"/>
      <name val="Calibri"/>
      <family val="2"/>
      <scheme val="minor"/>
    </font>
    <font>
      <u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Calibri, sans-serif"/>
    </font>
    <font>
      <b/>
      <i/>
      <sz val="14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9F995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gray0625"/>
    </fill>
    <fill>
      <patternFill patternType="solid">
        <fgColor theme="2" tint="-0.8999908444471571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lightTrellis"/>
    </fill>
    <fill>
      <patternFill patternType="gray125">
        <bgColor rgb="FF92D050"/>
      </patternFill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93C47D"/>
      </patternFill>
    </fill>
    <fill>
      <patternFill patternType="solid">
        <fgColor theme="5"/>
        <bgColor rgb="FF93C47D"/>
      </patternFill>
    </fill>
    <fill>
      <patternFill patternType="solid">
        <fgColor rgb="FFFF0000"/>
        <bgColor rgb="FFFF000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FF0000"/>
        <bgColor theme="0"/>
      </patternFill>
    </fill>
    <fill>
      <patternFill patternType="lightGrid"/>
    </fill>
    <fill>
      <patternFill patternType="lightGrid">
        <bgColor rgb="FF00B0F0"/>
      </patternFill>
    </fill>
    <fill>
      <patternFill patternType="solid">
        <fgColor theme="7" tint="0.59999389629810485"/>
        <bgColor indexed="64"/>
      </patternFill>
    </fill>
    <fill>
      <patternFill patternType="darkGrid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medium">
        <color rgb="FFCCCCCC"/>
      </top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/>
      <diagonal/>
    </border>
    <border>
      <left style="thick">
        <color rgb="FF000000"/>
      </left>
      <right style="medium">
        <color rgb="FF000000"/>
      </right>
      <top/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thick">
        <color rgb="FF00000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rgb="FF000000"/>
      </right>
      <top style="thin">
        <color rgb="FF000000"/>
      </top>
      <bottom style="thin">
        <color indexed="64"/>
      </bottom>
      <diagonal/>
    </border>
  </borders>
  <cellStyleXfs count="10">
    <xf numFmtId="0" fontId="0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2" fillId="0" borderId="0"/>
    <xf numFmtId="0" fontId="2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/>
    <xf numFmtId="44" fontId="27" fillId="0" borderId="0" applyFont="0" applyFill="0" applyBorder="0" applyAlignment="0" applyProtection="0"/>
    <xf numFmtId="0" fontId="35" fillId="0" borderId="0" applyNumberFormat="0" applyFill="0" applyBorder="0" applyAlignment="0" applyProtection="0"/>
  </cellStyleXfs>
  <cellXfs count="1309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right"/>
    </xf>
    <xf numFmtId="0" fontId="0" fillId="0" borderId="1" xfId="0" applyBorder="1"/>
    <xf numFmtId="0" fontId="1" fillId="0" borderId="2" xfId="0" applyFont="1" applyBorder="1"/>
    <xf numFmtId="0" fontId="2" fillId="0" borderId="0" xfId="0" applyFont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0" fontId="1" fillId="0" borderId="0" xfId="0" applyFont="1" applyAlignment="1">
      <alignment horizontal="right"/>
    </xf>
    <xf numFmtId="0" fontId="0" fillId="5" borderId="1" xfId="0" applyFill="1" applyBorder="1"/>
    <xf numFmtId="0" fontId="1" fillId="0" borderId="0" xfId="0" applyFont="1" applyBorder="1" applyAlignment="1">
      <alignment horizontal="right"/>
    </xf>
    <xf numFmtId="44" fontId="1" fillId="0" borderId="0" xfId="1" applyFont="1" applyBorder="1"/>
    <xf numFmtId="0" fontId="2" fillId="6" borderId="1" xfId="0" applyFont="1" applyFill="1" applyBorder="1" applyAlignment="1"/>
    <xf numFmtId="0" fontId="0" fillId="7" borderId="1" xfId="0" applyFill="1" applyBorder="1"/>
    <xf numFmtId="0" fontId="0" fillId="0" borderId="1" xfId="1" applyNumberFormat="1" applyFont="1" applyBorder="1"/>
    <xf numFmtId="0" fontId="1" fillId="0" borderId="4" xfId="0" applyFont="1" applyBorder="1"/>
    <xf numFmtId="0" fontId="4" fillId="0" borderId="2" xfId="0" applyFont="1" applyBorder="1"/>
    <xf numFmtId="0" fontId="5" fillId="0" borderId="4" xfId="0" applyFont="1" applyBorder="1"/>
    <xf numFmtId="0" fontId="0" fillId="0" borderId="1" xfId="0" applyBorder="1" applyAlignment="1"/>
    <xf numFmtId="165" fontId="0" fillId="0" borderId="1" xfId="1" applyNumberFormat="1" applyFont="1" applyBorder="1" applyAlignment="1"/>
    <xf numFmtId="0" fontId="6" fillId="0" borderId="1" xfId="0" applyFont="1" applyBorder="1" applyAlignment="1"/>
    <xf numFmtId="0" fontId="1" fillId="0" borderId="1" xfId="0" applyFont="1" applyBorder="1" applyAlignment="1"/>
    <xf numFmtId="165" fontId="0" fillId="0" borderId="1" xfId="1" applyNumberFormat="1" applyFont="1" applyBorder="1"/>
    <xf numFmtId="165" fontId="0" fillId="4" borderId="1" xfId="1" applyNumberFormat="1" applyFont="1" applyFill="1" applyBorder="1"/>
    <xf numFmtId="0" fontId="0" fillId="0" borderId="1" xfId="1" applyNumberFormat="1" applyFont="1" applyBorder="1" applyAlignment="1"/>
    <xf numFmtId="0" fontId="0" fillId="0" borderId="1" xfId="0" applyNumberFormat="1" applyBorder="1" applyAlignment="1"/>
    <xf numFmtId="0" fontId="0" fillId="7" borderId="1" xfId="0" applyFill="1" applyBorder="1" applyAlignment="1">
      <alignment horizontal="right"/>
    </xf>
    <xf numFmtId="165" fontId="0" fillId="7" borderId="1" xfId="1" applyNumberFormat="1" applyFont="1" applyFill="1" applyBorder="1"/>
    <xf numFmtId="0" fontId="0" fillId="5" borderId="1" xfId="0" applyFill="1" applyBorder="1" applyAlignment="1">
      <alignment horizontal="right"/>
    </xf>
    <xf numFmtId="165" fontId="0" fillId="9" borderId="1" xfId="1" applyNumberFormat="1" applyFont="1" applyFill="1" applyBorder="1"/>
    <xf numFmtId="0" fontId="0" fillId="9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9" borderId="1" xfId="0" applyFill="1" applyBorder="1"/>
    <xf numFmtId="0" fontId="0" fillId="9" borderId="1" xfId="1" applyNumberFormat="1" applyFon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1" fillId="0" borderId="7" xfId="0" applyFont="1" applyBorder="1" applyAlignment="1">
      <alignment horizontal="right"/>
    </xf>
    <xf numFmtId="166" fontId="7" fillId="0" borderId="6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5" borderId="1" xfId="0" applyFill="1" applyBorder="1" applyAlignment="1">
      <alignment horizontal="left"/>
    </xf>
    <xf numFmtId="165" fontId="0" fillId="0" borderId="1" xfId="1" applyNumberFormat="1" applyFont="1" applyBorder="1" applyAlignment="1">
      <alignment horizontal="center"/>
    </xf>
    <xf numFmtId="165" fontId="0" fillId="5" borderId="1" xfId="1" applyNumberFormat="1" applyFont="1" applyFill="1" applyBorder="1"/>
    <xf numFmtId="165" fontId="0" fillId="5" borderId="1" xfId="1" applyNumberFormat="1" applyFont="1" applyFill="1" applyBorder="1" applyAlignment="1">
      <alignment horizontal="center"/>
    </xf>
    <xf numFmtId="165" fontId="1" fillId="0" borderId="7" xfId="1" applyNumberFormat="1" applyFont="1" applyBorder="1" applyAlignment="1">
      <alignment horizontal="right"/>
    </xf>
    <xf numFmtId="165" fontId="0" fillId="0" borderId="7" xfId="1" applyNumberFormat="1" applyFont="1" applyBorder="1"/>
    <xf numFmtId="165" fontId="0" fillId="0" borderId="0" xfId="1" applyNumberFormat="1" applyFont="1" applyAlignment="1">
      <alignment horizontal="center"/>
    </xf>
    <xf numFmtId="165" fontId="0" fillId="0" borderId="0" xfId="1" applyNumberFormat="1" applyFont="1"/>
    <xf numFmtId="0" fontId="8" fillId="0" borderId="8" xfId="0" applyFont="1" applyBorder="1" applyAlignment="1">
      <alignment wrapText="1"/>
    </xf>
    <xf numFmtId="0" fontId="9" fillId="11" borderId="14" xfId="0" applyFont="1" applyFill="1" applyBorder="1" applyAlignment="1">
      <alignment wrapText="1"/>
    </xf>
    <xf numFmtId="0" fontId="9" fillId="12" borderId="14" xfId="0" applyFont="1" applyFill="1" applyBorder="1" applyAlignment="1">
      <alignment wrapText="1"/>
    </xf>
    <xf numFmtId="0" fontId="9" fillId="13" borderId="14" xfId="0" applyFont="1" applyFill="1" applyBorder="1" applyAlignment="1">
      <alignment wrapText="1"/>
    </xf>
    <xf numFmtId="0" fontId="10" fillId="11" borderId="16" xfId="0" applyFont="1" applyFill="1" applyBorder="1" applyAlignment="1">
      <alignment wrapText="1"/>
    </xf>
    <xf numFmtId="0" fontId="10" fillId="12" borderId="16" xfId="0" applyFont="1" applyFill="1" applyBorder="1" applyAlignment="1">
      <alignment wrapText="1"/>
    </xf>
    <xf numFmtId="0" fontId="11" fillId="13" borderId="16" xfId="0" applyFont="1" applyFill="1" applyBorder="1" applyAlignment="1">
      <alignment wrapText="1"/>
    </xf>
    <xf numFmtId="0" fontId="9" fillId="0" borderId="11" xfId="0" applyFont="1" applyBorder="1" applyAlignment="1">
      <alignment horizontal="right" wrapText="1"/>
    </xf>
    <xf numFmtId="0" fontId="9" fillId="3" borderId="16" xfId="0" applyFont="1" applyFill="1" applyBorder="1" applyAlignment="1">
      <alignment wrapText="1"/>
    </xf>
    <xf numFmtId="0" fontId="9" fillId="12" borderId="16" xfId="0" applyFont="1" applyFill="1" applyBorder="1" applyAlignment="1">
      <alignment wrapText="1"/>
    </xf>
    <xf numFmtId="0" fontId="9" fillId="13" borderId="16" xfId="0" applyFont="1" applyFill="1" applyBorder="1" applyAlignment="1">
      <alignment wrapText="1"/>
    </xf>
    <xf numFmtId="0" fontId="9" fillId="0" borderId="15" xfId="0" applyFont="1" applyBorder="1" applyAlignment="1">
      <alignment wrapText="1"/>
    </xf>
    <xf numFmtId="0" fontId="9" fillId="0" borderId="17" xfId="0" applyFont="1" applyBorder="1" applyAlignment="1">
      <alignment wrapText="1"/>
    </xf>
    <xf numFmtId="0" fontId="9" fillId="0" borderId="18" xfId="0" applyFont="1" applyBorder="1" applyAlignment="1">
      <alignment wrapText="1"/>
    </xf>
    <xf numFmtId="0" fontId="8" fillId="11" borderId="14" xfId="0" applyFont="1" applyFill="1" applyBorder="1" applyAlignment="1">
      <alignment horizontal="right" wrapText="1"/>
    </xf>
    <xf numFmtId="0" fontId="8" fillId="12" borderId="14" xfId="0" applyFont="1" applyFill="1" applyBorder="1" applyAlignment="1">
      <alignment horizontal="right" wrapText="1"/>
    </xf>
    <xf numFmtId="0" fontId="8" fillId="13" borderId="14" xfId="0" applyFont="1" applyFill="1" applyBorder="1" applyAlignment="1">
      <alignment horizontal="right" wrapText="1"/>
    </xf>
    <xf numFmtId="0" fontId="8" fillId="0" borderId="19" xfId="0" applyFont="1" applyBorder="1" applyAlignment="1">
      <alignment horizontal="right" wrapText="1"/>
    </xf>
    <xf numFmtId="0" fontId="8" fillId="0" borderId="14" xfId="0" applyFont="1" applyBorder="1" applyAlignment="1">
      <alignment horizontal="right" wrapText="1"/>
    </xf>
    <xf numFmtId="0" fontId="9" fillId="10" borderId="14" xfId="0" applyFont="1" applyFill="1" applyBorder="1" applyAlignment="1">
      <alignment horizontal="right" wrapText="1"/>
    </xf>
    <xf numFmtId="0" fontId="8" fillId="3" borderId="14" xfId="0" applyFont="1" applyFill="1" applyBorder="1" applyAlignment="1">
      <alignment horizontal="right" wrapText="1"/>
    </xf>
    <xf numFmtId="0" fontId="9" fillId="0" borderId="20" xfId="0" applyFont="1" applyBorder="1" applyAlignment="1">
      <alignment wrapText="1"/>
    </xf>
    <xf numFmtId="0" fontId="8" fillId="3" borderId="16" xfId="0" applyFont="1" applyFill="1" applyBorder="1" applyAlignment="1">
      <alignment horizontal="right" wrapText="1"/>
    </xf>
    <xf numFmtId="0" fontId="8" fillId="12" borderId="16" xfId="0" applyFont="1" applyFill="1" applyBorder="1" applyAlignment="1">
      <alignment horizontal="right" wrapText="1"/>
    </xf>
    <xf numFmtId="0" fontId="8" fillId="13" borderId="16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8" fillId="0" borderId="16" xfId="0" applyFont="1" applyBorder="1" applyAlignment="1">
      <alignment horizontal="right" wrapText="1"/>
    </xf>
    <xf numFmtId="0" fontId="9" fillId="10" borderId="16" xfId="0" applyFont="1" applyFill="1" applyBorder="1" applyAlignment="1">
      <alignment horizontal="right" wrapText="1"/>
    </xf>
    <xf numFmtId="0" fontId="9" fillId="0" borderId="11" xfId="0" applyFont="1" applyBorder="1" applyAlignment="1">
      <alignment wrapText="1"/>
    </xf>
    <xf numFmtId="0" fontId="8" fillId="14" borderId="14" xfId="0" applyFont="1" applyFill="1" applyBorder="1" applyAlignment="1">
      <alignment wrapText="1"/>
    </xf>
    <xf numFmtId="0" fontId="8" fillId="14" borderId="16" xfId="0" applyFont="1" applyFill="1" applyBorder="1" applyAlignment="1">
      <alignment wrapText="1"/>
    </xf>
    <xf numFmtId="0" fontId="8" fillId="0" borderId="21" xfId="0" applyFont="1" applyBorder="1" applyAlignment="1">
      <alignment wrapText="1"/>
    </xf>
    <xf numFmtId="0" fontId="8" fillId="10" borderId="21" xfId="0" applyFont="1" applyFill="1" applyBorder="1" applyAlignment="1">
      <alignment wrapText="1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14" fontId="0" fillId="0" borderId="0" xfId="0" applyNumberFormat="1"/>
    <xf numFmtId="166" fontId="0" fillId="0" borderId="1" xfId="0" applyNumberFormat="1" applyBorder="1"/>
    <xf numFmtId="166" fontId="0" fillId="0" borderId="1" xfId="0" applyNumberFormat="1" applyBorder="1" applyAlignment="1">
      <alignment horizontal="center"/>
    </xf>
    <xf numFmtId="0" fontId="9" fillId="0" borderId="1" xfId="0" applyFont="1" applyFill="1" applyBorder="1" applyAlignment="1">
      <alignment horizontal="center" wrapText="1"/>
    </xf>
    <xf numFmtId="0" fontId="9" fillId="10" borderId="0" xfId="0" applyFont="1" applyFill="1" applyBorder="1" applyAlignment="1">
      <alignment horizontal="center" wrapText="1"/>
    </xf>
    <xf numFmtId="0" fontId="9" fillId="0" borderId="0" xfId="0" applyFont="1" applyBorder="1" applyAlignment="1">
      <alignment vertical="center" wrapText="1"/>
    </xf>
    <xf numFmtId="0" fontId="9" fillId="0" borderId="0" xfId="0" applyFont="1" applyBorder="1" applyAlignment="1">
      <alignment wrapText="1"/>
    </xf>
    <xf numFmtId="0" fontId="9" fillId="0" borderId="0" xfId="0" applyFont="1" applyBorder="1" applyAlignment="1">
      <alignment horizontal="right" vertical="center" wrapText="1"/>
    </xf>
    <xf numFmtId="0" fontId="8" fillId="0" borderId="0" xfId="0" applyFont="1" applyBorder="1" applyAlignment="1">
      <alignment wrapText="1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165" fontId="0" fillId="3" borderId="1" xfId="1" applyNumberFormat="1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9" fillId="15" borderId="14" xfId="0" applyFont="1" applyFill="1" applyBorder="1" applyAlignment="1">
      <alignment wrapText="1"/>
    </xf>
    <xf numFmtId="0" fontId="9" fillId="16" borderId="14" xfId="0" applyFont="1" applyFill="1" applyBorder="1" applyAlignment="1">
      <alignment wrapText="1"/>
    </xf>
    <xf numFmtId="0" fontId="9" fillId="15" borderId="16" xfId="0" applyFont="1" applyFill="1" applyBorder="1" applyAlignment="1">
      <alignment wrapText="1"/>
    </xf>
    <xf numFmtId="0" fontId="9" fillId="16" borderId="16" xfId="0" applyFont="1" applyFill="1" applyBorder="1" applyAlignment="1">
      <alignment wrapText="1"/>
    </xf>
    <xf numFmtId="0" fontId="8" fillId="15" borderId="14" xfId="0" applyFont="1" applyFill="1" applyBorder="1" applyAlignment="1">
      <alignment horizontal="right" wrapText="1"/>
    </xf>
    <xf numFmtId="0" fontId="8" fillId="16" borderId="14" xfId="0" applyFont="1" applyFill="1" applyBorder="1" applyAlignment="1">
      <alignment horizontal="right" wrapText="1"/>
    </xf>
    <xf numFmtId="0" fontId="8" fillId="15" borderId="16" xfId="0" applyFont="1" applyFill="1" applyBorder="1" applyAlignment="1">
      <alignment horizontal="right" wrapText="1"/>
    </xf>
    <xf numFmtId="0" fontId="8" fillId="16" borderId="16" xfId="0" applyFont="1" applyFill="1" applyBorder="1" applyAlignment="1">
      <alignment horizontal="right" wrapText="1"/>
    </xf>
    <xf numFmtId="0" fontId="8" fillId="15" borderId="14" xfId="0" applyFont="1" applyFill="1" applyBorder="1" applyAlignment="1">
      <alignment wrapText="1"/>
    </xf>
    <xf numFmtId="165" fontId="0" fillId="17" borderId="1" xfId="1" applyNumberFormat="1" applyFont="1" applyFill="1" applyBorder="1" applyAlignment="1">
      <alignment horizontal="center"/>
    </xf>
    <xf numFmtId="0" fontId="0" fillId="17" borderId="0" xfId="0" applyFill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right"/>
    </xf>
    <xf numFmtId="0" fontId="0" fillId="0" borderId="1" xfId="0" applyBorder="1"/>
    <xf numFmtId="0" fontId="1" fillId="0" borderId="2" xfId="0" applyFont="1" applyBorder="1"/>
    <xf numFmtId="0" fontId="2" fillId="0" borderId="0" xfId="0" applyFont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1" fillId="0" borderId="0" xfId="0" applyFont="1" applyAlignment="1">
      <alignment horizontal="right"/>
    </xf>
    <xf numFmtId="0" fontId="1" fillId="0" borderId="0" xfId="0" applyFont="1" applyBorder="1" applyAlignment="1">
      <alignment horizontal="right"/>
    </xf>
    <xf numFmtId="44" fontId="1" fillId="0" borderId="0" xfId="1" applyFont="1" applyBorder="1"/>
    <xf numFmtId="0" fontId="2" fillId="6" borderId="1" xfId="0" applyFont="1" applyFill="1" applyBorder="1" applyAlignment="1"/>
    <xf numFmtId="0" fontId="1" fillId="0" borderId="4" xfId="0" applyFont="1" applyBorder="1"/>
    <xf numFmtId="0" fontId="4" fillId="0" borderId="2" xfId="0" applyFont="1" applyBorder="1"/>
    <xf numFmtId="0" fontId="5" fillId="0" borderId="4" xfId="0" applyFont="1" applyBorder="1"/>
    <xf numFmtId="0" fontId="0" fillId="0" borderId="1" xfId="0" applyBorder="1" applyAlignment="1"/>
    <xf numFmtId="165" fontId="0" fillId="0" borderId="1" xfId="1" applyNumberFormat="1" applyFont="1" applyBorder="1" applyAlignment="1"/>
    <xf numFmtId="0" fontId="6" fillId="0" borderId="1" xfId="0" applyFont="1" applyBorder="1" applyAlignment="1"/>
    <xf numFmtId="0" fontId="1" fillId="0" borderId="1" xfId="0" applyFont="1" applyBorder="1" applyAlignment="1"/>
    <xf numFmtId="165" fontId="0" fillId="0" borderId="1" xfId="1" applyNumberFormat="1" applyFont="1" applyBorder="1"/>
    <xf numFmtId="0" fontId="0" fillId="0" borderId="1" xfId="1" applyNumberFormat="1" applyFont="1" applyBorder="1" applyAlignment="1"/>
    <xf numFmtId="0" fontId="0" fillId="0" borderId="1" xfId="0" applyNumberFormat="1" applyBorder="1" applyAlignment="1"/>
    <xf numFmtId="165" fontId="0" fillId="9" borderId="1" xfId="1" applyNumberFormat="1" applyFont="1" applyFill="1" applyBorder="1"/>
    <xf numFmtId="0" fontId="0" fillId="9" borderId="1" xfId="0" applyFill="1" applyBorder="1" applyAlignment="1">
      <alignment horizontal="right"/>
    </xf>
    <xf numFmtId="0" fontId="0" fillId="9" borderId="1" xfId="0" applyFill="1" applyBorder="1"/>
    <xf numFmtId="0" fontId="0" fillId="9" borderId="1" xfId="1" applyNumberFormat="1" applyFont="1" applyFill="1" applyBorder="1"/>
    <xf numFmtId="0" fontId="0" fillId="0" borderId="1" xfId="0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right"/>
    </xf>
    <xf numFmtId="0" fontId="0" fillId="0" borderId="1" xfId="0" applyBorder="1"/>
    <xf numFmtId="0" fontId="1" fillId="0" borderId="2" xfId="0" applyFont="1" applyBorder="1"/>
    <xf numFmtId="0" fontId="2" fillId="0" borderId="0" xfId="0" applyFont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Border="1" applyAlignment="1">
      <alignment horizontal="right"/>
    </xf>
    <xf numFmtId="44" fontId="1" fillId="0" borderId="0" xfId="1" applyFont="1" applyBorder="1"/>
    <xf numFmtId="0" fontId="2" fillId="6" borderId="1" xfId="0" applyFont="1" applyFill="1" applyBorder="1" applyAlignment="1"/>
    <xf numFmtId="0" fontId="1" fillId="0" borderId="4" xfId="0" applyFont="1" applyBorder="1"/>
    <xf numFmtId="0" fontId="4" fillId="0" borderId="2" xfId="0" applyFont="1" applyBorder="1"/>
    <xf numFmtId="0" fontId="5" fillId="0" borderId="4" xfId="0" applyFont="1" applyBorder="1"/>
    <xf numFmtId="0" fontId="0" fillId="0" borderId="1" xfId="0" applyBorder="1" applyAlignment="1"/>
    <xf numFmtId="165" fontId="0" fillId="0" borderId="1" xfId="1" applyNumberFormat="1" applyFont="1" applyBorder="1" applyAlignment="1"/>
    <xf numFmtId="0" fontId="6" fillId="0" borderId="1" xfId="0" applyFont="1" applyBorder="1" applyAlignment="1"/>
    <xf numFmtId="0" fontId="1" fillId="0" borderId="1" xfId="0" applyFont="1" applyBorder="1" applyAlignment="1"/>
    <xf numFmtId="165" fontId="0" fillId="0" borderId="1" xfId="1" applyNumberFormat="1" applyFont="1" applyBorder="1"/>
    <xf numFmtId="165" fontId="0" fillId="4" borderId="1" xfId="1" applyNumberFormat="1" applyFont="1" applyFill="1" applyBorder="1"/>
    <xf numFmtId="0" fontId="0" fillId="0" borderId="1" xfId="1" applyNumberFormat="1" applyFont="1" applyBorder="1" applyAlignment="1"/>
    <xf numFmtId="0" fontId="0" fillId="0" borderId="1" xfId="0" applyNumberFormat="1" applyBorder="1" applyAlignment="1"/>
    <xf numFmtId="165" fontId="0" fillId="9" borderId="1" xfId="1" applyNumberFormat="1" applyFont="1" applyFill="1" applyBorder="1"/>
    <xf numFmtId="0" fontId="0" fillId="9" borderId="1" xfId="0" applyFill="1" applyBorder="1" applyAlignment="1">
      <alignment horizontal="right"/>
    </xf>
    <xf numFmtId="0" fontId="0" fillId="9" borderId="1" xfId="0" applyFill="1" applyBorder="1"/>
    <xf numFmtId="0" fontId="0" fillId="9" borderId="1" xfId="1" applyNumberFormat="1" applyFont="1" applyFill="1" applyBorder="1"/>
    <xf numFmtId="0" fontId="0" fillId="0" borderId="1" xfId="0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/>
    <xf numFmtId="165" fontId="0" fillId="0" borderId="1" xfId="1" applyNumberFormat="1" applyFont="1" applyBorder="1"/>
    <xf numFmtId="0" fontId="0" fillId="0" borderId="1" xfId="0" applyBorder="1" applyAlignment="1">
      <alignment horizontal="center"/>
    </xf>
    <xf numFmtId="0" fontId="13" fillId="0" borderId="0" xfId="0" applyFont="1"/>
    <xf numFmtId="0" fontId="0" fillId="0" borderId="0" xfId="0" applyFill="1" applyAlignment="1">
      <alignment horizontal="center"/>
    </xf>
    <xf numFmtId="165" fontId="0" fillId="5" borderId="6" xfId="1" applyNumberFormat="1" applyFont="1" applyFill="1" applyBorder="1"/>
    <xf numFmtId="0" fontId="0" fillId="18" borderId="0" xfId="0" applyFill="1"/>
    <xf numFmtId="0" fontId="0" fillId="18" borderId="1" xfId="0" applyFill="1" applyBorder="1" applyAlignment="1">
      <alignment horizontal="center"/>
    </xf>
    <xf numFmtId="0" fontId="8" fillId="14" borderId="14" xfId="0" applyFont="1" applyFill="1" applyBorder="1" applyAlignment="1">
      <alignment horizontal="right" wrapText="1"/>
    </xf>
    <xf numFmtId="0" fontId="8" fillId="14" borderId="16" xfId="0" applyFont="1" applyFill="1" applyBorder="1" applyAlignment="1">
      <alignment horizontal="right" wrapText="1"/>
    </xf>
    <xf numFmtId="0" fontId="14" fillId="0" borderId="6" xfId="0" applyFont="1" applyBorder="1" applyAlignment="1">
      <alignment horizontal="left" vertical="center"/>
    </xf>
    <xf numFmtId="0" fontId="14" fillId="0" borderId="1" xfId="0" applyFont="1" applyBorder="1" applyAlignment="1">
      <alignment horizontal="left"/>
    </xf>
    <xf numFmtId="0" fontId="14" fillId="5" borderId="1" xfId="0" applyFont="1" applyFill="1" applyBorder="1" applyAlignment="1">
      <alignment horizontal="left"/>
    </xf>
    <xf numFmtId="44" fontId="18" fillId="0" borderId="0" xfId="1" applyNumberFormat="1" applyFont="1"/>
    <xf numFmtId="0" fontId="14" fillId="0" borderId="0" xfId="0" applyFont="1" applyAlignment="1">
      <alignment horizontal="center"/>
    </xf>
    <xf numFmtId="0" fontId="14" fillId="0" borderId="0" xfId="0" applyFont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right"/>
    </xf>
    <xf numFmtId="0" fontId="0" fillId="0" borderId="1" xfId="0" applyBorder="1"/>
    <xf numFmtId="0" fontId="1" fillId="0" borderId="2" xfId="0" applyFont="1" applyBorder="1"/>
    <xf numFmtId="0" fontId="2" fillId="0" borderId="0" xfId="0" applyFont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1" fillId="0" borderId="0" xfId="0" applyFont="1" applyAlignment="1">
      <alignment horizontal="right"/>
    </xf>
    <xf numFmtId="0" fontId="1" fillId="0" borderId="0" xfId="0" applyFont="1" applyBorder="1" applyAlignment="1">
      <alignment horizontal="right"/>
    </xf>
    <xf numFmtId="44" fontId="1" fillId="0" borderId="0" xfId="1" applyFont="1" applyBorder="1"/>
    <xf numFmtId="0" fontId="2" fillId="6" borderId="1" xfId="0" applyFont="1" applyFill="1" applyBorder="1" applyAlignment="1"/>
    <xf numFmtId="0" fontId="1" fillId="0" borderId="4" xfId="0" applyFont="1" applyBorder="1"/>
    <xf numFmtId="0" fontId="4" fillId="0" borderId="2" xfId="0" applyFont="1" applyBorder="1"/>
    <xf numFmtId="0" fontId="5" fillId="0" borderId="4" xfId="0" applyFont="1" applyBorder="1"/>
    <xf numFmtId="0" fontId="0" fillId="0" borderId="1" xfId="0" applyBorder="1" applyAlignment="1"/>
    <xf numFmtId="165" fontId="0" fillId="0" borderId="1" xfId="1" applyNumberFormat="1" applyFont="1" applyBorder="1" applyAlignment="1"/>
    <xf numFmtId="0" fontId="6" fillId="0" borderId="1" xfId="0" applyFont="1" applyBorder="1" applyAlignment="1"/>
    <xf numFmtId="0" fontId="1" fillId="0" borderId="1" xfId="0" applyFont="1" applyBorder="1" applyAlignment="1"/>
    <xf numFmtId="165" fontId="0" fillId="0" borderId="1" xfId="1" applyNumberFormat="1" applyFont="1" applyBorder="1"/>
    <xf numFmtId="0" fontId="0" fillId="0" borderId="1" xfId="1" applyNumberFormat="1" applyFont="1" applyBorder="1" applyAlignment="1"/>
    <xf numFmtId="0" fontId="0" fillId="0" borderId="1" xfId="0" applyNumberFormat="1" applyBorder="1" applyAlignment="1"/>
    <xf numFmtId="165" fontId="0" fillId="9" borderId="1" xfId="1" applyNumberFormat="1" applyFont="1" applyFill="1" applyBorder="1"/>
    <xf numFmtId="0" fontId="0" fillId="9" borderId="1" xfId="0" applyFill="1" applyBorder="1" applyAlignment="1">
      <alignment horizontal="right"/>
    </xf>
    <xf numFmtId="0" fontId="0" fillId="9" borderId="1" xfId="0" applyFill="1" applyBorder="1"/>
    <xf numFmtId="0" fontId="0" fillId="9" borderId="1" xfId="1" applyNumberFormat="1" applyFon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65" fontId="14" fillId="0" borderId="0" xfId="0" applyNumberFormat="1" applyFont="1"/>
    <xf numFmtId="165" fontId="0" fillId="0" borderId="0" xfId="0" applyNumberFormat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165" fontId="14" fillId="19" borderId="0" xfId="1" applyNumberFormat="1" applyFont="1" applyFill="1" applyAlignment="1">
      <alignment horizontal="center"/>
    </xf>
    <xf numFmtId="0" fontId="14" fillId="19" borderId="0" xfId="0" applyFont="1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164" fontId="1" fillId="0" borderId="0" xfId="0" applyNumberFormat="1" applyFont="1" applyAlignment="1">
      <alignment horizontal="left"/>
    </xf>
    <xf numFmtId="0" fontId="15" fillId="0" borderId="5" xfId="0" applyFont="1" applyFill="1" applyBorder="1" applyAlignment="1">
      <alignment horizontal="center" vertical="center"/>
    </xf>
    <xf numFmtId="166" fontId="15" fillId="0" borderId="33" xfId="0" applyNumberFormat="1" applyFont="1" applyFill="1" applyBorder="1" applyAlignment="1">
      <alignment horizontal="center" vertical="center"/>
    </xf>
    <xf numFmtId="165" fontId="16" fillId="0" borderId="1" xfId="1" applyNumberFormat="1" applyFont="1" applyFill="1" applyBorder="1" applyAlignment="1">
      <alignment horizontal="center"/>
    </xf>
    <xf numFmtId="165" fontId="17" fillId="0" borderId="7" xfId="1" applyNumberFormat="1" applyFont="1" applyFill="1" applyBorder="1" applyAlignment="1">
      <alignment horizontal="right"/>
    </xf>
    <xf numFmtId="164" fontId="1" fillId="0" borderId="0" xfId="0" applyNumberFormat="1" applyFont="1" applyAlignment="1">
      <alignment horizontal="left"/>
    </xf>
    <xf numFmtId="0" fontId="0" fillId="0" borderId="1" xfId="0" applyFill="1" applyBorder="1" applyAlignment="1">
      <alignment horizontal="center"/>
    </xf>
    <xf numFmtId="164" fontId="1" fillId="0" borderId="0" xfId="0" applyNumberFormat="1" applyFont="1" applyAlignment="1">
      <alignment horizontal="lef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right"/>
    </xf>
    <xf numFmtId="0" fontId="0" fillId="0" borderId="1" xfId="0" applyBorder="1"/>
    <xf numFmtId="0" fontId="1" fillId="0" borderId="2" xfId="0" applyFont="1" applyBorder="1"/>
    <xf numFmtId="0" fontId="2" fillId="0" borderId="0" xfId="0" applyFont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1" fillId="0" borderId="0" xfId="0" applyFont="1" applyAlignment="1">
      <alignment horizontal="right"/>
    </xf>
    <xf numFmtId="0" fontId="1" fillId="0" borderId="0" xfId="0" applyFont="1" applyBorder="1" applyAlignment="1">
      <alignment horizontal="right"/>
    </xf>
    <xf numFmtId="44" fontId="1" fillId="0" borderId="0" xfId="1" applyFont="1" applyBorder="1"/>
    <xf numFmtId="0" fontId="2" fillId="6" borderId="1" xfId="0" applyFont="1" applyFill="1" applyBorder="1" applyAlignment="1"/>
    <xf numFmtId="0" fontId="1" fillId="0" borderId="4" xfId="0" applyFont="1" applyBorder="1"/>
    <xf numFmtId="0" fontId="4" fillId="0" borderId="2" xfId="0" applyFont="1" applyBorder="1"/>
    <xf numFmtId="0" fontId="5" fillId="0" borderId="4" xfId="0" applyFont="1" applyBorder="1"/>
    <xf numFmtId="0" fontId="0" fillId="0" borderId="1" xfId="0" applyBorder="1" applyAlignment="1"/>
    <xf numFmtId="165" fontId="0" fillId="0" borderId="1" xfId="1" applyNumberFormat="1" applyFont="1" applyBorder="1" applyAlignment="1"/>
    <xf numFmtId="0" fontId="6" fillId="0" borderId="1" xfId="0" applyFont="1" applyBorder="1" applyAlignment="1"/>
    <xf numFmtId="0" fontId="1" fillId="0" borderId="1" xfId="0" applyFont="1" applyBorder="1" applyAlignment="1"/>
    <xf numFmtId="165" fontId="0" fillId="0" borderId="1" xfId="1" applyNumberFormat="1" applyFont="1" applyBorder="1"/>
    <xf numFmtId="0" fontId="0" fillId="0" borderId="1" xfId="1" applyNumberFormat="1" applyFont="1" applyBorder="1" applyAlignment="1"/>
    <xf numFmtId="0" fontId="0" fillId="0" borderId="1" xfId="0" applyNumberFormat="1" applyBorder="1" applyAlignment="1"/>
    <xf numFmtId="0" fontId="0" fillId="0" borderId="1" xfId="0" applyBorder="1" applyAlignment="1">
      <alignment horizontal="center"/>
    </xf>
    <xf numFmtId="164" fontId="1" fillId="0" borderId="0" xfId="0" applyNumberFormat="1" applyFont="1" applyAlignment="1">
      <alignment horizontal="lef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164" fontId="1" fillId="0" borderId="0" xfId="0" applyNumberFormat="1" applyFont="1" applyAlignment="1">
      <alignment horizontal="lef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164" fontId="1" fillId="0" borderId="0" xfId="0" applyNumberFormat="1" applyFont="1" applyAlignment="1">
      <alignment horizontal="lef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20" borderId="1" xfId="0" applyFill="1" applyBorder="1"/>
    <xf numFmtId="165" fontId="0" fillId="20" borderId="1" xfId="1" applyNumberFormat="1" applyFont="1" applyFill="1" applyBorder="1"/>
    <xf numFmtId="0" fontId="0" fillId="5" borderId="1" xfId="0" applyFill="1" applyBorder="1" applyAlignment="1">
      <alignment horizontal="right"/>
    </xf>
    <xf numFmtId="164" fontId="1" fillId="0" borderId="0" xfId="0" applyNumberFormat="1" applyFont="1" applyAlignment="1">
      <alignment horizontal="left"/>
    </xf>
    <xf numFmtId="0" fontId="0" fillId="0" borderId="1" xfId="0" applyBorder="1"/>
    <xf numFmtId="165" fontId="0" fillId="0" borderId="1" xfId="1" applyNumberFormat="1" applyFont="1" applyBorder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164" fontId="1" fillId="0" borderId="0" xfId="0" applyNumberFormat="1" applyFont="1" applyAlignment="1">
      <alignment horizontal="left"/>
    </xf>
    <xf numFmtId="37" fontId="0" fillId="0" borderId="0" xfId="0" applyNumberFormat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20" borderId="1" xfId="0" applyFill="1" applyBorder="1"/>
    <xf numFmtId="165" fontId="0" fillId="20" borderId="1" xfId="1" applyNumberFormat="1" applyFont="1" applyFill="1" applyBorder="1"/>
    <xf numFmtId="164" fontId="1" fillId="0" borderId="0" xfId="0" applyNumberFormat="1" applyFont="1" applyAlignment="1">
      <alignment horizontal="lef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right"/>
    </xf>
    <xf numFmtId="0" fontId="0" fillId="0" borderId="1" xfId="0" applyBorder="1"/>
    <xf numFmtId="0" fontId="1" fillId="0" borderId="2" xfId="0" applyFont="1" applyBorder="1"/>
    <xf numFmtId="0" fontId="2" fillId="0" borderId="0" xfId="0" applyFont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1" fillId="0" borderId="0" xfId="0" applyFont="1" applyAlignment="1">
      <alignment horizontal="right"/>
    </xf>
    <xf numFmtId="0" fontId="1" fillId="0" borderId="0" xfId="0" applyFont="1" applyBorder="1" applyAlignment="1">
      <alignment horizontal="right"/>
    </xf>
    <xf numFmtId="44" fontId="1" fillId="0" borderId="0" xfId="1" applyFont="1" applyBorder="1"/>
    <xf numFmtId="0" fontId="2" fillId="6" borderId="1" xfId="0" applyFont="1" applyFill="1" applyBorder="1" applyAlignment="1"/>
    <xf numFmtId="0" fontId="1" fillId="0" borderId="4" xfId="0" applyFont="1" applyBorder="1"/>
    <xf numFmtId="0" fontId="4" fillId="0" borderId="2" xfId="0" applyFont="1" applyBorder="1"/>
    <xf numFmtId="0" fontId="5" fillId="0" borderId="4" xfId="0" applyFont="1" applyBorder="1"/>
    <xf numFmtId="0" fontId="0" fillId="0" borderId="1" xfId="0" applyBorder="1" applyAlignment="1"/>
    <xf numFmtId="165" fontId="0" fillId="0" borderId="1" xfId="1" applyNumberFormat="1" applyFont="1" applyBorder="1" applyAlignment="1"/>
    <xf numFmtId="0" fontId="6" fillId="0" borderId="1" xfId="0" applyFont="1" applyBorder="1" applyAlignment="1"/>
    <xf numFmtId="0" fontId="1" fillId="0" borderId="1" xfId="0" applyFont="1" applyBorder="1" applyAlignment="1"/>
    <xf numFmtId="165" fontId="0" fillId="0" borderId="1" xfId="1" applyNumberFormat="1" applyFont="1" applyBorder="1"/>
    <xf numFmtId="0" fontId="0" fillId="0" borderId="1" xfId="1" applyNumberFormat="1" applyFont="1" applyBorder="1" applyAlignment="1"/>
    <xf numFmtId="0" fontId="0" fillId="0" borderId="1" xfId="0" applyNumberFormat="1" applyBorder="1" applyAlignment="1"/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center"/>
    </xf>
    <xf numFmtId="164" fontId="1" fillId="0" borderId="0" xfId="0" applyNumberFormat="1" applyFont="1" applyAlignment="1">
      <alignment horizontal="lef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165" fontId="0" fillId="3" borderId="1" xfId="1" applyNumberFormat="1" applyFont="1" applyFill="1" applyBorder="1"/>
    <xf numFmtId="16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1" xfId="0" applyBorder="1" applyAlignment="1">
      <alignment horizontal="right"/>
    </xf>
    <xf numFmtId="0" fontId="0" fillId="0" borderId="1" xfId="0" applyBorder="1"/>
    <xf numFmtId="165" fontId="0" fillId="0" borderId="1" xfId="1" applyNumberFormat="1" applyFont="1" applyBorder="1"/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164" fontId="1" fillId="0" borderId="0" xfId="0" applyNumberFormat="1" applyFont="1" applyAlignment="1">
      <alignment horizontal="lef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4" fillId="0" borderId="2" xfId="0" applyFont="1" applyBorder="1"/>
    <xf numFmtId="0" fontId="5" fillId="0" borderId="4" xfId="0" applyFont="1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165" fontId="2" fillId="3" borderId="1" xfId="0" applyNumberFormat="1" applyFont="1" applyFill="1" applyBorder="1" applyAlignment="1"/>
    <xf numFmtId="0" fontId="2" fillId="3" borderId="1" xfId="0" applyFont="1" applyFill="1" applyBorder="1" applyAlignment="1">
      <alignment horizontal="center"/>
    </xf>
    <xf numFmtId="165" fontId="5" fillId="0" borderId="1" xfId="1" applyNumberFormat="1" applyFont="1" applyBorder="1" applyAlignment="1">
      <alignment horizontal="center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34" xfId="0" applyBorder="1"/>
    <xf numFmtId="1" fontId="0" fillId="0" borderId="34" xfId="0" applyNumberFormat="1" applyBorder="1"/>
    <xf numFmtId="10" fontId="0" fillId="0" borderId="1" xfId="0" applyNumberFormat="1" applyBorder="1"/>
    <xf numFmtId="1" fontId="13" fillId="0" borderId="1" xfId="3" applyNumberFormat="1" applyFont="1" applyBorder="1"/>
    <xf numFmtId="0" fontId="13" fillId="0" borderId="1" xfId="0" applyFont="1" applyBorder="1"/>
    <xf numFmtId="0" fontId="20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3" fillId="21" borderId="1" xfId="0" applyFont="1" applyFill="1" applyBorder="1" applyAlignment="1">
      <alignment horizontal="center"/>
    </xf>
    <xf numFmtId="0" fontId="20" fillId="21" borderId="1" xfId="0" applyFont="1" applyFill="1" applyBorder="1" applyAlignment="1">
      <alignment horizontal="center"/>
    </xf>
    <xf numFmtId="1" fontId="13" fillId="21" borderId="1" xfId="3" applyNumberFormat="1" applyFont="1" applyFill="1" applyBorder="1"/>
    <xf numFmtId="1" fontId="0" fillId="21" borderId="34" xfId="0" applyNumberFormat="1" applyFill="1" applyBorder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16" fontId="0" fillId="0" borderId="0" xfId="0" applyNumberFormat="1"/>
    <xf numFmtId="16" fontId="0" fillId="0" borderId="1" xfId="0" applyNumberFormat="1" applyBorder="1"/>
    <xf numFmtId="167" fontId="0" fillId="0" borderId="1" xfId="2" applyNumberFormat="1" applyFont="1" applyBorder="1"/>
    <xf numFmtId="44" fontId="0" fillId="0" borderId="1" xfId="1" applyFont="1" applyBorder="1"/>
    <xf numFmtId="16" fontId="0" fillId="0" borderId="7" xfId="0" applyNumberFormat="1" applyBorder="1"/>
    <xf numFmtId="167" fontId="0" fillId="0" borderId="7" xfId="2" applyNumberFormat="1" applyFont="1" applyBorder="1"/>
    <xf numFmtId="165" fontId="0" fillId="0" borderId="7" xfId="0" applyNumberFormat="1" applyBorder="1"/>
    <xf numFmtId="0" fontId="14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18" fillId="0" borderId="1" xfId="0" applyFont="1" applyBorder="1" applyAlignment="1">
      <alignment horizontal="center" wrapText="1"/>
    </xf>
    <xf numFmtId="44" fontId="0" fillId="0" borderId="7" xfId="0" applyNumberFormat="1" applyBorder="1"/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38" fontId="0" fillId="0" borderId="1" xfId="2" applyNumberFormat="1" applyFont="1" applyBorder="1"/>
    <xf numFmtId="167" fontId="0" fillId="0" borderId="0" xfId="0" applyNumberFormat="1"/>
    <xf numFmtId="0" fontId="0" fillId="22" borderId="1" xfId="0" applyFill="1" applyBorder="1" applyAlignment="1">
      <alignment horizontal="right"/>
    </xf>
    <xf numFmtId="0" fontId="0" fillId="22" borderId="1" xfId="0" applyFill="1" applyBorder="1"/>
    <xf numFmtId="165" fontId="0" fillId="22" borderId="1" xfId="1" applyNumberFormat="1" applyFont="1" applyFill="1" applyBorder="1"/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/>
    <xf numFmtId="0" fontId="0" fillId="0" borderId="1" xfId="0" applyBorder="1" applyAlignment="1">
      <alignment horizontal="right"/>
    </xf>
    <xf numFmtId="0" fontId="0" fillId="0" borderId="1" xfId="0" applyBorder="1"/>
    <xf numFmtId="165" fontId="0" fillId="0" borderId="1" xfId="1" applyNumberFormat="1" applyFont="1" applyBorder="1"/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165" fontId="15" fillId="0" borderId="6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right"/>
    </xf>
    <xf numFmtId="0" fontId="0" fillId="0" borderId="1" xfId="0" applyBorder="1"/>
    <xf numFmtId="0" fontId="1" fillId="0" borderId="2" xfId="0" applyFont="1" applyBorder="1"/>
    <xf numFmtId="0" fontId="2" fillId="0" borderId="0" xfId="0" applyFont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1" fillId="0" borderId="0" xfId="0" applyFont="1" applyAlignment="1">
      <alignment horizontal="right"/>
    </xf>
    <xf numFmtId="0" fontId="0" fillId="5" borderId="1" xfId="0" applyFill="1" applyBorder="1"/>
    <xf numFmtId="0" fontId="1" fillId="0" borderId="0" xfId="0" applyFont="1" applyBorder="1" applyAlignment="1">
      <alignment horizontal="right"/>
    </xf>
    <xf numFmtId="44" fontId="1" fillId="0" borderId="0" xfId="1" applyFont="1" applyBorder="1"/>
    <xf numFmtId="0" fontId="2" fillId="6" borderId="1" xfId="0" applyFont="1" applyFill="1" applyBorder="1" applyAlignment="1"/>
    <xf numFmtId="0" fontId="0" fillId="7" borderId="1" xfId="0" applyFill="1" applyBorder="1"/>
    <xf numFmtId="0" fontId="1" fillId="0" borderId="4" xfId="0" applyFont="1" applyBorder="1"/>
    <xf numFmtId="0" fontId="4" fillId="0" borderId="2" xfId="0" applyFont="1" applyBorder="1"/>
    <xf numFmtId="0" fontId="5" fillId="0" borderId="4" xfId="0" applyFont="1" applyBorder="1"/>
    <xf numFmtId="0" fontId="0" fillId="0" borderId="1" xfId="0" applyBorder="1" applyAlignment="1"/>
    <xf numFmtId="165" fontId="0" fillId="0" borderId="1" xfId="1" applyNumberFormat="1" applyFont="1" applyBorder="1" applyAlignment="1"/>
    <xf numFmtId="0" fontId="6" fillId="0" borderId="1" xfId="0" applyFont="1" applyBorder="1" applyAlignment="1"/>
    <xf numFmtId="0" fontId="1" fillId="0" borderId="1" xfId="0" applyFont="1" applyBorder="1" applyAlignment="1"/>
    <xf numFmtId="165" fontId="0" fillId="0" borderId="1" xfId="1" applyNumberFormat="1" applyFont="1" applyBorder="1"/>
    <xf numFmtId="0" fontId="0" fillId="0" borderId="1" xfId="1" applyNumberFormat="1" applyFont="1" applyBorder="1" applyAlignment="1"/>
    <xf numFmtId="0" fontId="0" fillId="0" borderId="1" xfId="0" applyNumberFormat="1" applyBorder="1" applyAlignment="1"/>
    <xf numFmtId="0" fontId="0" fillId="7" borderId="1" xfId="0" applyFill="1" applyBorder="1" applyAlignment="1">
      <alignment horizontal="right"/>
    </xf>
    <xf numFmtId="165" fontId="0" fillId="7" borderId="1" xfId="1" applyNumberFormat="1" applyFont="1" applyFill="1" applyBorder="1"/>
    <xf numFmtId="0" fontId="0" fillId="5" borderId="1" xfId="0" applyFill="1" applyBorder="1" applyAlignment="1">
      <alignment horizontal="right"/>
    </xf>
    <xf numFmtId="1" fontId="0" fillId="0" borderId="0" xfId="0" applyNumberFormat="1"/>
    <xf numFmtId="0" fontId="0" fillId="20" borderId="1" xfId="0" applyFill="1" applyBorder="1" applyAlignment="1">
      <alignment horizontal="right"/>
    </xf>
    <xf numFmtId="1" fontId="13" fillId="0" borderId="1" xfId="3" applyNumberFormat="1" applyFont="1" applyFill="1" applyBorder="1"/>
    <xf numFmtId="0" fontId="21" fillId="0" borderId="1" xfId="0" applyFont="1" applyBorder="1"/>
    <xf numFmtId="0" fontId="0" fillId="0" borderId="0" xfId="0"/>
    <xf numFmtId="165" fontId="0" fillId="5" borderId="1" xfId="1" applyNumberFormat="1" applyFont="1" applyFill="1" applyBorder="1"/>
    <xf numFmtId="0" fontId="0" fillId="0" borderId="1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1" xfId="0" applyBorder="1"/>
    <xf numFmtId="165" fontId="16" fillId="0" borderId="6" xfId="1" applyNumberFormat="1" applyFont="1" applyFill="1" applyBorder="1" applyAlignment="1">
      <alignment horizontal="center" vertical="center"/>
    </xf>
    <xf numFmtId="0" fontId="0" fillId="0" borderId="0" xfId="0"/>
    <xf numFmtId="165" fontId="0" fillId="5" borderId="1" xfId="1" applyNumberFormat="1" applyFont="1" applyFill="1" applyBorder="1"/>
    <xf numFmtId="0" fontId="18" fillId="0" borderId="1" xfId="0" applyFont="1" applyBorder="1" applyAlignment="1">
      <alignment horizontal="left"/>
    </xf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165" fontId="0" fillId="0" borderId="1" xfId="1" applyNumberFormat="1" applyFont="1" applyBorder="1"/>
    <xf numFmtId="165" fontId="0" fillId="5" borderId="1" xfId="1" applyNumberFormat="1" applyFont="1" applyFill="1" applyBorder="1"/>
    <xf numFmtId="0" fontId="16" fillId="0" borderId="0" xfId="0" applyFont="1"/>
    <xf numFmtId="165" fontId="14" fillId="5" borderId="1" xfId="1" applyNumberFormat="1" applyFont="1" applyFill="1" applyBorder="1"/>
    <xf numFmtId="165" fontId="16" fillId="23" borderId="6" xfId="1" applyNumberFormat="1" applyFont="1" applyFill="1" applyBorder="1" applyAlignment="1">
      <alignment horizontal="center" vertical="center"/>
    </xf>
    <xf numFmtId="0" fontId="0" fillId="0" borderId="35" xfId="0" applyBorder="1"/>
    <xf numFmtId="167" fontId="0" fillId="0" borderId="1" xfId="0" applyNumberFormat="1" applyBorder="1"/>
    <xf numFmtId="167" fontId="0" fillId="24" borderId="1" xfId="2" applyNumberFormat="1" applyFont="1" applyFill="1" applyBorder="1"/>
    <xf numFmtId="165" fontId="0" fillId="24" borderId="1" xfId="1" applyNumberFormat="1" applyFont="1" applyFill="1" applyBorder="1"/>
    <xf numFmtId="0" fontId="0" fillId="0" borderId="1" xfId="0" applyFill="1" applyBorder="1" applyAlignment="1">
      <alignment horizontal="right"/>
    </xf>
    <xf numFmtId="0" fontId="0" fillId="0" borderId="1" xfId="0" applyFill="1" applyBorder="1" applyAlignment="1">
      <alignment horizontal="right" wrapText="1"/>
    </xf>
    <xf numFmtId="165" fontId="7" fillId="0" borderId="7" xfId="1" applyNumberFormat="1" applyFont="1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1" fontId="0" fillId="0" borderId="1" xfId="0" applyNumberFormat="1" applyBorder="1"/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20" borderId="1" xfId="0" applyFill="1" applyBorder="1"/>
    <xf numFmtId="165" fontId="0" fillId="20" borderId="1" xfId="1" applyNumberFormat="1" applyFont="1" applyFill="1" applyBorder="1"/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20" borderId="1" xfId="0" applyFill="1" applyBorder="1"/>
    <xf numFmtId="165" fontId="0" fillId="20" borderId="1" xfId="1" applyNumberFormat="1" applyFont="1" applyFill="1" applyBorder="1"/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16" fillId="0" borderId="1" xfId="0" applyFont="1" applyBorder="1" applyAlignment="1">
      <alignment horizontal="center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165" fontId="16" fillId="3" borderId="1" xfId="1" applyNumberFormat="1" applyFont="1" applyFill="1" applyBorder="1" applyAlignment="1">
      <alignment horizontal="center"/>
    </xf>
    <xf numFmtId="165" fontId="15" fillId="3" borderId="6" xfId="1" applyNumberFormat="1" applyFont="1" applyFill="1" applyBorder="1" applyAlignment="1">
      <alignment horizontal="center" vertical="center"/>
    </xf>
    <xf numFmtId="165" fontId="16" fillId="3" borderId="6" xfId="1" applyNumberFormat="1" applyFont="1" applyFill="1" applyBorder="1" applyAlignment="1">
      <alignment horizontal="center" vertical="center"/>
    </xf>
    <xf numFmtId="0" fontId="0" fillId="0" borderId="0" xfId="0"/>
    <xf numFmtId="0" fontId="0" fillId="0" borderId="1" xfId="0" applyBorder="1" applyAlignment="1">
      <alignment horizontal="right"/>
    </xf>
    <xf numFmtId="0" fontId="0" fillId="5" borderId="1" xfId="0" applyFill="1" applyBorder="1"/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165" fontId="0" fillId="5" borderId="1" xfId="1" applyNumberFormat="1" applyFont="1" applyFill="1" applyBorder="1"/>
    <xf numFmtId="0" fontId="0" fillId="0" borderId="1" xfId="0" applyFill="1" applyBorder="1" applyAlignment="1">
      <alignment horizontal="right"/>
    </xf>
    <xf numFmtId="0" fontId="0" fillId="5" borderId="1" xfId="0" applyFill="1" applyBorder="1"/>
    <xf numFmtId="0" fontId="0" fillId="5" borderId="1" xfId="0" applyFill="1" applyBorder="1" applyAlignment="1">
      <alignment horizontal="right"/>
    </xf>
    <xf numFmtId="165" fontId="0" fillId="5" borderId="1" xfId="1" applyNumberFormat="1" applyFont="1" applyFill="1" applyBorder="1"/>
    <xf numFmtId="0" fontId="0" fillId="5" borderId="1" xfId="0" applyFill="1" applyBorder="1" applyAlignment="1">
      <alignment horizontal="right" wrapText="1"/>
    </xf>
    <xf numFmtId="0" fontId="0" fillId="0" borderId="1" xfId="0" applyFon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/>
    <xf numFmtId="0" fontId="0" fillId="5" borderId="1" xfId="0" applyFill="1" applyBorder="1" applyAlignment="1">
      <alignment horizontal="right"/>
    </xf>
    <xf numFmtId="165" fontId="0" fillId="5" borderId="1" xfId="1" applyNumberFormat="1" applyFont="1" applyFill="1" applyBorder="1"/>
    <xf numFmtId="0" fontId="0" fillId="5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Font="1" applyBorder="1" applyAlignment="1">
      <alignment horizontal="right" vertical="center"/>
    </xf>
    <xf numFmtId="0" fontId="0" fillId="20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5" borderId="1" xfId="0" applyFill="1" applyBorder="1" applyAlignment="1">
      <alignment horizontal="right"/>
    </xf>
    <xf numFmtId="165" fontId="16" fillId="17" borderId="6" xfId="1" applyNumberFormat="1" applyFont="1" applyFill="1" applyBorder="1" applyAlignment="1">
      <alignment horizontal="center" vertical="center"/>
    </xf>
    <xf numFmtId="165" fontId="15" fillId="17" borderId="6" xfId="1" applyNumberFormat="1" applyFont="1" applyFill="1" applyBorder="1" applyAlignment="1">
      <alignment horizontal="center" vertical="center"/>
    </xf>
    <xf numFmtId="165" fontId="16" fillId="17" borderId="1" xfId="1" applyNumberFormat="1" applyFont="1" applyFill="1" applyBorder="1" applyAlignment="1">
      <alignment horizontal="center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/>
    <xf numFmtId="0" fontId="1" fillId="0" borderId="2" xfId="0" applyFont="1" applyBorder="1"/>
    <xf numFmtId="0" fontId="2" fillId="0" borderId="0" xfId="0" applyFont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1" fillId="0" borderId="0" xfId="0" applyFont="1" applyAlignment="1">
      <alignment horizontal="right"/>
    </xf>
    <xf numFmtId="0" fontId="0" fillId="5" borderId="1" xfId="0" applyFill="1" applyBorder="1"/>
    <xf numFmtId="0" fontId="1" fillId="0" borderId="0" xfId="0" applyFont="1" applyBorder="1" applyAlignment="1">
      <alignment horizontal="right"/>
    </xf>
    <xf numFmtId="44" fontId="1" fillId="0" borderId="0" xfId="1" applyFont="1" applyBorder="1"/>
    <xf numFmtId="0" fontId="2" fillId="6" borderId="1" xfId="0" applyFont="1" applyFill="1" applyBorder="1" applyAlignment="1"/>
    <xf numFmtId="0" fontId="1" fillId="0" borderId="4" xfId="0" applyFont="1" applyBorder="1"/>
    <xf numFmtId="0" fontId="4" fillId="0" borderId="2" xfId="0" applyFont="1" applyBorder="1"/>
    <xf numFmtId="0" fontId="5" fillId="0" borderId="4" xfId="0" applyFont="1" applyBorder="1"/>
    <xf numFmtId="0" fontId="0" fillId="0" borderId="1" xfId="0" applyBorder="1" applyAlignment="1"/>
    <xf numFmtId="165" fontId="0" fillId="0" borderId="1" xfId="1" applyNumberFormat="1" applyFont="1" applyBorder="1" applyAlignment="1"/>
    <xf numFmtId="0" fontId="6" fillId="0" borderId="1" xfId="0" applyFont="1" applyBorder="1" applyAlignment="1"/>
    <xf numFmtId="0" fontId="1" fillId="0" borderId="1" xfId="0" applyFont="1" applyBorder="1" applyAlignment="1"/>
    <xf numFmtId="165" fontId="0" fillId="0" borderId="1" xfId="1" applyNumberFormat="1" applyFont="1" applyBorder="1"/>
    <xf numFmtId="0" fontId="0" fillId="0" borderId="1" xfId="1" applyNumberFormat="1" applyFont="1" applyBorder="1" applyAlignment="1"/>
    <xf numFmtId="0" fontId="0" fillId="0" borderId="1" xfId="0" applyNumberFormat="1" applyBorder="1" applyAlignment="1"/>
    <xf numFmtId="0" fontId="0" fillId="20" borderId="1" xfId="0" applyFill="1" applyBorder="1" applyAlignment="1">
      <alignment horizontal="right"/>
    </xf>
    <xf numFmtId="0" fontId="0" fillId="20" borderId="1" xfId="0" applyFill="1" applyBorder="1"/>
    <xf numFmtId="165" fontId="0" fillId="20" borderId="1" xfId="1" applyNumberFormat="1" applyFont="1" applyFill="1" applyBorder="1"/>
    <xf numFmtId="0" fontId="0" fillId="5" borderId="1" xfId="0" applyFill="1" applyBorder="1" applyAlignment="1">
      <alignment horizontal="right"/>
    </xf>
    <xf numFmtId="165" fontId="0" fillId="5" borderId="1" xfId="1" applyNumberFormat="1" applyFont="1" applyFill="1" applyBorder="1"/>
    <xf numFmtId="0" fontId="0" fillId="5" borderId="1" xfId="0" applyFill="1" applyBorder="1" applyAlignment="1">
      <alignment horizontal="right" wrapText="1"/>
    </xf>
    <xf numFmtId="0" fontId="0" fillId="0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20" borderId="1" xfId="0" applyFill="1" applyBorder="1"/>
    <xf numFmtId="165" fontId="0" fillId="20" borderId="1" xfId="1" applyNumberFormat="1" applyFont="1" applyFill="1" applyBorder="1"/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165" fontId="15" fillId="18" borderId="6" xfId="1" applyNumberFormat="1" applyFont="1" applyFill="1" applyBorder="1" applyAlignment="1">
      <alignment horizontal="center" vertical="center"/>
    </xf>
    <xf numFmtId="165" fontId="16" fillId="18" borderId="6" xfId="1" applyNumberFormat="1" applyFont="1" applyFill="1" applyBorder="1" applyAlignment="1">
      <alignment horizontal="center" vertical="center"/>
    </xf>
    <xf numFmtId="165" fontId="16" fillId="18" borderId="1" xfId="1" applyNumberFormat="1" applyFont="1" applyFill="1" applyBorder="1" applyAlignment="1">
      <alignment horizontal="center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2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165" fontId="16" fillId="25" borderId="6" xfId="1" applyNumberFormat="1" applyFont="1" applyFill="1" applyBorder="1" applyAlignment="1">
      <alignment horizontal="center" vertical="center"/>
    </xf>
    <xf numFmtId="165" fontId="15" fillId="25" borderId="6" xfId="1" applyNumberFormat="1" applyFont="1" applyFill="1" applyBorder="1" applyAlignment="1">
      <alignment horizontal="center" vertical="center"/>
    </xf>
    <xf numFmtId="165" fontId="16" fillId="25" borderId="1" xfId="1" applyNumberFormat="1" applyFont="1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0" xfId="0"/>
    <xf numFmtId="0" fontId="0" fillId="0" borderId="1" xfId="0" applyBorder="1"/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right" wrapText="1"/>
    </xf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0" xfId="0"/>
    <xf numFmtId="0" fontId="0" fillId="0" borderId="1" xfId="0" applyBorder="1"/>
    <xf numFmtId="0" fontId="0" fillId="5" borderId="1" xfId="0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right" wrapText="1"/>
    </xf>
    <xf numFmtId="165" fontId="16" fillId="5" borderId="1" xfId="1" applyNumberFormat="1" applyFont="1" applyFill="1" applyBorder="1" applyAlignment="1">
      <alignment horizontal="center"/>
    </xf>
    <xf numFmtId="44" fontId="0" fillId="26" borderId="1" xfId="1" applyFont="1" applyFill="1" applyBorder="1"/>
    <xf numFmtId="43" fontId="0" fillId="0" borderId="0" xfId="0" applyNumberFormat="1"/>
    <xf numFmtId="165" fontId="0" fillId="0" borderId="1" xfId="0" applyNumberFormat="1" applyBorder="1"/>
    <xf numFmtId="2" fontId="0" fillId="0" borderId="0" xfId="0" applyNumberFormat="1"/>
    <xf numFmtId="165" fontId="16" fillId="0" borderId="1" xfId="0" applyNumberFormat="1" applyFont="1" applyBorder="1"/>
    <xf numFmtId="0" fontId="0" fillId="0" borderId="1" xfId="0" applyFont="1" applyBorder="1" applyAlignment="1">
      <alignment horizontal="center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165" fontId="16" fillId="1" borderId="6" xfId="1" applyNumberFormat="1" applyFont="1" applyFill="1" applyBorder="1" applyAlignment="1">
      <alignment horizontal="center" vertical="center"/>
    </xf>
    <xf numFmtId="165" fontId="15" fillId="1" borderId="6" xfId="1" applyNumberFormat="1" applyFont="1" applyFill="1" applyBorder="1" applyAlignment="1">
      <alignment horizontal="center" vertical="center"/>
    </xf>
    <xf numFmtId="165" fontId="16" fillId="1" borderId="1" xfId="1" applyNumberFormat="1" applyFont="1" applyFill="1" applyBorder="1" applyAlignment="1">
      <alignment horizontal="center"/>
    </xf>
    <xf numFmtId="165" fontId="7" fillId="1" borderId="7" xfId="1" applyNumberFormat="1" applyFont="1" applyFill="1" applyBorder="1" applyAlignment="1">
      <alignment horizontal="right"/>
    </xf>
    <xf numFmtId="0" fontId="15" fillId="0" borderId="0" xfId="0" applyFont="1" applyFill="1" applyBorder="1" applyAlignment="1">
      <alignment horizontal="center" vertical="center" wrapText="1"/>
    </xf>
    <xf numFmtId="165" fontId="0" fillId="0" borderId="6" xfId="1" applyNumberFormat="1" applyFont="1" applyFill="1" applyBorder="1"/>
    <xf numFmtId="165" fontId="0" fillId="0" borderId="1" xfId="1" applyNumberFormat="1" applyFont="1" applyFill="1" applyBorder="1"/>
    <xf numFmtId="165" fontId="14" fillId="0" borderId="1" xfId="1" applyNumberFormat="1" applyFont="1" applyFill="1" applyBorder="1"/>
    <xf numFmtId="165" fontId="0" fillId="0" borderId="0" xfId="1" applyNumberFormat="1" applyFont="1" applyFill="1" applyBorder="1"/>
    <xf numFmtId="165" fontId="0" fillId="0" borderId="0" xfId="1" applyNumberFormat="1" applyFont="1" applyFill="1"/>
    <xf numFmtId="0" fontId="14" fillId="0" borderId="0" xfId="0" applyFont="1" applyFill="1"/>
    <xf numFmtId="0" fontId="0" fillId="0" borderId="0" xfId="0" applyFill="1"/>
    <xf numFmtId="165" fontId="0" fillId="3" borderId="0" xfId="0" applyNumberFormat="1" applyFill="1"/>
    <xf numFmtId="165" fontId="16" fillId="27" borderId="1" xfId="1" applyNumberFormat="1" applyFont="1" applyFill="1" applyBorder="1" applyAlignment="1">
      <alignment horizontal="center"/>
    </xf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1" fontId="0" fillId="0" borderId="1" xfId="0" applyNumberFormat="1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/>
    <xf numFmtId="0" fontId="1" fillId="0" borderId="2" xfId="0" applyFont="1" applyBorder="1"/>
    <xf numFmtId="0" fontId="2" fillId="0" borderId="0" xfId="0" applyFont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1" fillId="0" borderId="0" xfId="0" applyFont="1" applyAlignment="1">
      <alignment horizontal="right"/>
    </xf>
    <xf numFmtId="0" fontId="0" fillId="5" borderId="1" xfId="0" applyFill="1" applyBorder="1"/>
    <xf numFmtId="0" fontId="1" fillId="0" borderId="0" xfId="0" applyFont="1" applyBorder="1" applyAlignment="1">
      <alignment horizontal="right"/>
    </xf>
    <xf numFmtId="44" fontId="1" fillId="0" borderId="0" xfId="1" applyFont="1" applyBorder="1"/>
    <xf numFmtId="0" fontId="2" fillId="6" borderId="1" xfId="0" applyFont="1" applyFill="1" applyBorder="1" applyAlignment="1"/>
    <xf numFmtId="0" fontId="1" fillId="0" borderId="4" xfId="0" applyFont="1" applyBorder="1"/>
    <xf numFmtId="0" fontId="4" fillId="0" borderId="2" xfId="0" applyFont="1" applyBorder="1"/>
    <xf numFmtId="0" fontId="5" fillId="0" borderId="4" xfId="0" applyFont="1" applyBorder="1"/>
    <xf numFmtId="0" fontId="0" fillId="0" borderId="1" xfId="0" applyBorder="1" applyAlignment="1"/>
    <xf numFmtId="165" fontId="0" fillId="0" borderId="1" xfId="1" applyNumberFormat="1" applyFont="1" applyBorder="1" applyAlignment="1"/>
    <xf numFmtId="0" fontId="6" fillId="0" borderId="1" xfId="0" applyFont="1" applyBorder="1" applyAlignment="1"/>
    <xf numFmtId="0" fontId="1" fillId="0" borderId="1" xfId="0" applyFont="1" applyBorder="1" applyAlignment="1"/>
    <xf numFmtId="165" fontId="0" fillId="0" borderId="1" xfId="1" applyNumberFormat="1" applyFont="1" applyBorder="1"/>
    <xf numFmtId="0" fontId="0" fillId="0" borderId="1" xfId="1" applyNumberFormat="1" applyFont="1" applyBorder="1" applyAlignment="1"/>
    <xf numFmtId="0" fontId="0" fillId="0" borderId="1" xfId="0" applyNumberFormat="1" applyBorder="1" applyAlignment="1"/>
    <xf numFmtId="0" fontId="0" fillId="20" borderId="1" xfId="0" applyFill="1" applyBorder="1" applyAlignment="1">
      <alignment horizontal="right"/>
    </xf>
    <xf numFmtId="0" fontId="0" fillId="20" borderId="1" xfId="0" applyFill="1" applyBorder="1"/>
    <xf numFmtId="165" fontId="0" fillId="20" borderId="1" xfId="1" applyNumberFormat="1" applyFont="1" applyFill="1" applyBorder="1"/>
    <xf numFmtId="0" fontId="0" fillId="5" borderId="1" xfId="0" applyFill="1" applyBorder="1" applyAlignment="1">
      <alignment horizontal="right"/>
    </xf>
    <xf numFmtId="165" fontId="0" fillId="5" borderId="1" xfId="1" applyNumberFormat="1" applyFont="1" applyFill="1" applyBorder="1"/>
    <xf numFmtId="0" fontId="0" fillId="5" borderId="1" xfId="0" applyFill="1" applyBorder="1" applyAlignment="1">
      <alignment horizontal="right" wrapText="1"/>
    </xf>
    <xf numFmtId="0" fontId="0" fillId="0" borderId="1" xfId="0" applyFill="1" applyBorder="1" applyAlignment="1">
      <alignment horizontal="right"/>
    </xf>
    <xf numFmtId="0" fontId="0" fillId="0" borderId="1" xfId="0" applyFill="1" applyBorder="1"/>
    <xf numFmtId="165" fontId="0" fillId="0" borderId="1" xfId="1" applyNumberFormat="1" applyFont="1" applyFill="1" applyBorder="1"/>
    <xf numFmtId="0" fontId="0" fillId="20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/>
    <xf numFmtId="0" fontId="1" fillId="0" borderId="2" xfId="0" applyFont="1" applyBorder="1"/>
    <xf numFmtId="0" fontId="2" fillId="0" borderId="0" xfId="0" applyFont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1" fillId="0" borderId="0" xfId="0" applyFont="1" applyAlignment="1">
      <alignment horizontal="right"/>
    </xf>
    <xf numFmtId="0" fontId="0" fillId="5" borderId="1" xfId="0" applyFill="1" applyBorder="1"/>
    <xf numFmtId="0" fontId="1" fillId="0" borderId="0" xfId="0" applyFont="1" applyBorder="1" applyAlignment="1">
      <alignment horizontal="right"/>
    </xf>
    <xf numFmtId="44" fontId="1" fillId="0" borderId="0" xfId="1" applyFont="1" applyBorder="1"/>
    <xf numFmtId="0" fontId="2" fillId="6" borderId="1" xfId="0" applyFont="1" applyFill="1" applyBorder="1" applyAlignment="1"/>
    <xf numFmtId="0" fontId="1" fillId="0" borderId="4" xfId="0" applyFont="1" applyBorder="1"/>
    <xf numFmtId="0" fontId="4" fillId="0" borderId="2" xfId="0" applyFont="1" applyBorder="1"/>
    <xf numFmtId="0" fontId="5" fillId="0" borderId="4" xfId="0" applyFont="1" applyBorder="1"/>
    <xf numFmtId="0" fontId="0" fillId="0" borderId="1" xfId="0" applyBorder="1" applyAlignment="1"/>
    <xf numFmtId="165" fontId="0" fillId="0" borderId="1" xfId="1" applyNumberFormat="1" applyFont="1" applyBorder="1" applyAlignment="1"/>
    <xf numFmtId="0" fontId="6" fillId="0" borderId="1" xfId="0" applyFont="1" applyBorder="1" applyAlignment="1"/>
    <xf numFmtId="0" fontId="1" fillId="0" borderId="1" xfId="0" applyFont="1" applyBorder="1" applyAlignment="1"/>
    <xf numFmtId="165" fontId="0" fillId="0" borderId="1" xfId="1" applyNumberFormat="1" applyFont="1" applyBorder="1"/>
    <xf numFmtId="0" fontId="0" fillId="0" borderId="1" xfId="1" applyNumberFormat="1" applyFont="1" applyBorder="1" applyAlignment="1"/>
    <xf numFmtId="0" fontId="0" fillId="0" borderId="1" xfId="0" applyNumberFormat="1" applyBorder="1" applyAlignment="1"/>
    <xf numFmtId="0" fontId="0" fillId="20" borderId="1" xfId="0" applyFill="1" applyBorder="1" applyAlignment="1">
      <alignment horizontal="right"/>
    </xf>
    <xf numFmtId="0" fontId="0" fillId="20" borderId="1" xfId="0" applyFill="1" applyBorder="1"/>
    <xf numFmtId="165" fontId="0" fillId="20" borderId="1" xfId="1" applyNumberFormat="1" applyFont="1" applyFill="1" applyBorder="1"/>
    <xf numFmtId="0" fontId="0" fillId="5" borderId="1" xfId="0" applyFill="1" applyBorder="1" applyAlignment="1">
      <alignment horizontal="right"/>
    </xf>
    <xf numFmtId="165" fontId="0" fillId="5" borderId="1" xfId="1" applyNumberFormat="1" applyFont="1" applyFill="1" applyBorder="1"/>
    <xf numFmtId="0" fontId="0" fillId="5" borderId="1" xfId="0" applyFill="1" applyBorder="1" applyAlignment="1">
      <alignment horizontal="right" wrapText="1"/>
    </xf>
    <xf numFmtId="0" fontId="0" fillId="0" borderId="1" xfId="0" applyFill="1" applyBorder="1" applyAlignment="1">
      <alignment horizontal="right"/>
    </xf>
    <xf numFmtId="0" fontId="0" fillId="0" borderId="1" xfId="0" applyFill="1" applyBorder="1"/>
    <xf numFmtId="165" fontId="0" fillId="0" borderId="1" xfId="1" applyNumberFormat="1" applyFont="1" applyFill="1" applyBorder="1"/>
    <xf numFmtId="0" fontId="0" fillId="20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0" xfId="0"/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165" fontId="16" fillId="28" borderId="6" xfId="1" applyNumberFormat="1" applyFont="1" applyFill="1" applyBorder="1" applyAlignment="1">
      <alignment horizontal="center" vertical="center"/>
    </xf>
    <xf numFmtId="165" fontId="15" fillId="28" borderId="6" xfId="1" applyNumberFormat="1" applyFont="1" applyFill="1" applyBorder="1" applyAlignment="1">
      <alignment horizontal="center" vertical="center"/>
    </xf>
    <xf numFmtId="165" fontId="16" fillId="28" borderId="1" xfId="1" applyNumberFormat="1" applyFont="1" applyFill="1" applyBorder="1" applyAlignment="1">
      <alignment horizontal="center"/>
    </xf>
    <xf numFmtId="165" fontId="7" fillId="28" borderId="7" xfId="1" applyNumberFormat="1" applyFont="1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Fill="1" applyBorder="1" applyAlignment="1">
      <alignment horizontal="right"/>
    </xf>
    <xf numFmtId="0" fontId="0" fillId="25" borderId="0" xfId="0" applyFill="1"/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0" xfId="0" applyAlignment="1">
      <alignment horizontal="center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0" xfId="0" applyAlignment="1">
      <alignment horizontal="center" vertical="center"/>
    </xf>
    <xf numFmtId="2" fontId="0" fillId="0" borderId="7" xfId="0" applyNumberFormat="1" applyBorder="1"/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0" xfId="0" applyAlignment="1">
      <alignment horizontal="center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/>
    <xf numFmtId="0" fontId="1" fillId="0" borderId="2" xfId="0" applyFont="1" applyBorder="1"/>
    <xf numFmtId="0" fontId="2" fillId="0" borderId="0" xfId="0" applyFont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1" fillId="0" borderId="0" xfId="0" applyFont="1" applyAlignment="1">
      <alignment horizontal="right"/>
    </xf>
    <xf numFmtId="0" fontId="0" fillId="5" borderId="1" xfId="0" applyFill="1" applyBorder="1"/>
    <xf numFmtId="0" fontId="1" fillId="0" borderId="0" xfId="0" applyFont="1" applyBorder="1" applyAlignment="1">
      <alignment horizontal="right"/>
    </xf>
    <xf numFmtId="44" fontId="1" fillId="0" borderId="0" xfId="1" applyFont="1" applyBorder="1"/>
    <xf numFmtId="0" fontId="2" fillId="6" borderId="1" xfId="0" applyFont="1" applyFill="1" applyBorder="1" applyAlignment="1"/>
    <xf numFmtId="0" fontId="1" fillId="0" borderId="4" xfId="0" applyFont="1" applyBorder="1"/>
    <xf numFmtId="0" fontId="4" fillId="0" borderId="2" xfId="0" applyFont="1" applyBorder="1"/>
    <xf numFmtId="0" fontId="5" fillId="0" borderId="4" xfId="0" applyFont="1" applyBorder="1"/>
    <xf numFmtId="0" fontId="0" fillId="0" borderId="1" xfId="0" applyBorder="1" applyAlignment="1"/>
    <xf numFmtId="165" fontId="0" fillId="0" borderId="1" xfId="1" applyNumberFormat="1" applyFont="1" applyBorder="1" applyAlignment="1"/>
    <xf numFmtId="0" fontId="6" fillId="0" borderId="1" xfId="0" applyFont="1" applyBorder="1" applyAlignment="1"/>
    <xf numFmtId="0" fontId="1" fillId="0" borderId="1" xfId="0" applyFont="1" applyBorder="1" applyAlignment="1"/>
    <xf numFmtId="165" fontId="0" fillId="0" borderId="1" xfId="1" applyNumberFormat="1" applyFont="1" applyBorder="1"/>
    <xf numFmtId="0" fontId="0" fillId="0" borderId="1" xfId="1" applyNumberFormat="1" applyFont="1" applyBorder="1" applyAlignment="1"/>
    <xf numFmtId="0" fontId="0" fillId="0" borderId="1" xfId="0" applyNumberFormat="1" applyBorder="1" applyAlignment="1"/>
    <xf numFmtId="0" fontId="0" fillId="20" borderId="1" xfId="0" applyFill="1" applyBorder="1" applyAlignment="1">
      <alignment horizontal="right"/>
    </xf>
    <xf numFmtId="0" fontId="0" fillId="20" borderId="1" xfId="0" applyFill="1" applyBorder="1"/>
    <xf numFmtId="165" fontId="0" fillId="20" borderId="1" xfId="1" applyNumberFormat="1" applyFont="1" applyFill="1" applyBorder="1"/>
    <xf numFmtId="0" fontId="0" fillId="5" borderId="1" xfId="0" applyFill="1" applyBorder="1" applyAlignment="1">
      <alignment horizontal="right"/>
    </xf>
    <xf numFmtId="165" fontId="0" fillId="5" borderId="1" xfId="1" applyNumberFormat="1" applyFont="1" applyFill="1" applyBorder="1"/>
    <xf numFmtId="0" fontId="0" fillId="5" borderId="1" xfId="0" applyFill="1" applyBorder="1" applyAlignment="1">
      <alignment horizontal="right" wrapText="1"/>
    </xf>
    <xf numFmtId="0" fontId="0" fillId="0" borderId="1" xfId="0" applyFill="1" applyBorder="1" applyAlignment="1">
      <alignment horizontal="right"/>
    </xf>
    <xf numFmtId="0" fontId="0" fillId="0" borderId="1" xfId="0" applyFill="1" applyBorder="1"/>
    <xf numFmtId="165" fontId="0" fillId="0" borderId="1" xfId="1" applyNumberFormat="1" applyFont="1" applyFill="1" applyBorder="1"/>
    <xf numFmtId="0" fontId="0" fillId="20" borderId="1" xfId="0" applyFill="1" applyBorder="1" applyAlignment="1">
      <alignment horizontal="right" wrapText="1"/>
    </xf>
    <xf numFmtId="0" fontId="0" fillId="0" borderId="1" xfId="0" applyFill="1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20" borderId="1" xfId="0" applyFill="1" applyBorder="1"/>
    <xf numFmtId="165" fontId="0" fillId="20" borderId="1" xfId="1" applyNumberFormat="1" applyFont="1" applyFill="1" applyBorder="1"/>
    <xf numFmtId="0" fontId="0" fillId="0" borderId="1" xfId="0" applyFill="1" applyBorder="1" applyAlignment="1">
      <alignment horizontal="right"/>
    </xf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/>
    <xf numFmtId="0" fontId="1" fillId="0" borderId="2" xfId="0" applyFont="1" applyBorder="1"/>
    <xf numFmtId="0" fontId="2" fillId="0" borderId="0" xfId="0" applyFont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1" fillId="0" borderId="0" xfId="0" applyFont="1" applyAlignment="1">
      <alignment horizontal="right"/>
    </xf>
    <xf numFmtId="0" fontId="0" fillId="5" borderId="1" xfId="0" applyFill="1" applyBorder="1"/>
    <xf numFmtId="0" fontId="1" fillId="0" borderId="0" xfId="0" applyFont="1" applyBorder="1" applyAlignment="1">
      <alignment horizontal="right"/>
    </xf>
    <xf numFmtId="44" fontId="1" fillId="0" borderId="0" xfId="1" applyFont="1" applyBorder="1"/>
    <xf numFmtId="0" fontId="2" fillId="6" borderId="1" xfId="0" applyFont="1" applyFill="1" applyBorder="1" applyAlignment="1"/>
    <xf numFmtId="0" fontId="1" fillId="0" borderId="4" xfId="0" applyFont="1" applyBorder="1"/>
    <xf numFmtId="0" fontId="4" fillId="0" borderId="2" xfId="0" applyFont="1" applyBorder="1"/>
    <xf numFmtId="0" fontId="5" fillId="0" borderId="4" xfId="0" applyFont="1" applyBorder="1"/>
    <xf numFmtId="0" fontId="0" fillId="0" borderId="1" xfId="0" applyBorder="1" applyAlignment="1"/>
    <xf numFmtId="165" fontId="0" fillId="0" borderId="1" xfId="1" applyNumberFormat="1" applyFont="1" applyBorder="1" applyAlignment="1"/>
    <xf numFmtId="0" fontId="6" fillId="0" borderId="1" xfId="0" applyFont="1" applyBorder="1" applyAlignment="1"/>
    <xf numFmtId="0" fontId="1" fillId="0" borderId="1" xfId="0" applyFont="1" applyBorder="1" applyAlignment="1"/>
    <xf numFmtId="165" fontId="0" fillId="0" borderId="1" xfId="1" applyNumberFormat="1" applyFont="1" applyBorder="1"/>
    <xf numFmtId="0" fontId="0" fillId="0" borderId="1" xfId="1" applyNumberFormat="1" applyFont="1" applyBorder="1" applyAlignment="1"/>
    <xf numFmtId="0" fontId="0" fillId="0" borderId="1" xfId="0" applyNumberFormat="1" applyBorder="1" applyAlignment="1"/>
    <xf numFmtId="0" fontId="0" fillId="20" borderId="1" xfId="0" applyFill="1" applyBorder="1" applyAlignment="1">
      <alignment horizontal="right"/>
    </xf>
    <xf numFmtId="0" fontId="0" fillId="20" borderId="1" xfId="0" applyFill="1" applyBorder="1"/>
    <xf numFmtId="165" fontId="0" fillId="20" borderId="1" xfId="1" applyNumberFormat="1" applyFont="1" applyFill="1" applyBorder="1"/>
    <xf numFmtId="0" fontId="0" fillId="5" borderId="1" xfId="0" applyFill="1" applyBorder="1" applyAlignment="1">
      <alignment horizontal="right"/>
    </xf>
    <xf numFmtId="165" fontId="0" fillId="5" borderId="1" xfId="1" applyNumberFormat="1" applyFont="1" applyFill="1" applyBorder="1"/>
    <xf numFmtId="0" fontId="0" fillId="0" borderId="1" xfId="0" applyFill="1" applyBorder="1" applyAlignment="1">
      <alignment horizontal="right"/>
    </xf>
    <xf numFmtId="0" fontId="0" fillId="0" borderId="1" xfId="0" applyFill="1" applyBorder="1" applyAlignment="1">
      <alignment horizontal="right" wrapText="1"/>
    </xf>
    <xf numFmtId="0" fontId="0" fillId="0" borderId="1" xfId="0" applyFill="1" applyBorder="1"/>
    <xf numFmtId="165" fontId="0" fillId="0" borderId="1" xfId="1" applyNumberFormat="1" applyFont="1" applyFill="1" applyBorder="1"/>
    <xf numFmtId="0" fontId="0" fillId="20" borderId="1" xfId="0" applyFill="1" applyBorder="1" applyAlignment="1">
      <alignment horizontal="right" wrapText="1"/>
    </xf>
    <xf numFmtId="0" fontId="0" fillId="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1" xfId="0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20" borderId="1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0" xfId="0" applyAlignment="1">
      <alignment horizontal="center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165" fontId="18" fillId="0" borderId="1" xfId="1" applyNumberFormat="1" applyFont="1" applyBorder="1"/>
    <xf numFmtId="0" fontId="18" fillId="0" borderId="1" xfId="0" applyFont="1" applyBorder="1"/>
    <xf numFmtId="0" fontId="16" fillId="0" borderId="1" xfId="0" applyFont="1" applyBorder="1"/>
    <xf numFmtId="37" fontId="0" fillId="0" borderId="1" xfId="0" applyNumberFormat="1" applyBorder="1"/>
    <xf numFmtId="37" fontId="16" fillId="0" borderId="1" xfId="0" applyNumberFormat="1" applyFont="1" applyBorder="1" applyAlignment="1">
      <alignment horizontal="center"/>
    </xf>
    <xf numFmtId="0" fontId="16" fillId="0" borderId="0" xfId="0" applyFont="1" applyAlignment="1">
      <alignment horizontal="center" wrapText="1"/>
    </xf>
    <xf numFmtId="1" fontId="0" fillId="0" borderId="35" xfId="0" applyNumberFormat="1" applyBorder="1"/>
    <xf numFmtId="14" fontId="0" fillId="0" borderId="37" xfId="0" applyNumberFormat="1" applyBorder="1"/>
    <xf numFmtId="0" fontId="0" fillId="0" borderId="37" xfId="0" applyBorder="1"/>
    <xf numFmtId="0" fontId="0" fillId="0" borderId="2" xfId="0" applyBorder="1"/>
    <xf numFmtId="165" fontId="16" fillId="0" borderId="0" xfId="1" applyNumberFormat="1" applyFont="1" applyFill="1" applyBorder="1" applyAlignment="1">
      <alignment horizontal="center"/>
    </xf>
    <xf numFmtId="0" fontId="16" fillId="0" borderId="6" xfId="0" applyFont="1" applyBorder="1" applyAlignment="1">
      <alignment horizontal="left" vertical="center"/>
    </xf>
    <xf numFmtId="0" fontId="0" fillId="3" borderId="1" xfId="0" applyFill="1" applyBorder="1"/>
    <xf numFmtId="0" fontId="27" fillId="0" borderId="0" xfId="7" applyFont="1" applyAlignment="1"/>
    <xf numFmtId="0" fontId="29" fillId="0" borderId="41" xfId="7" applyFont="1" applyFill="1" applyBorder="1" applyAlignment="1">
      <alignment horizontal="left"/>
    </xf>
    <xf numFmtId="0" fontId="29" fillId="0" borderId="42" xfId="7" applyFont="1" applyFill="1" applyBorder="1" applyAlignment="1">
      <alignment horizontal="left"/>
    </xf>
    <xf numFmtId="0" fontId="29" fillId="0" borderId="42" xfId="7" applyFont="1" applyFill="1" applyBorder="1" applyAlignment="1">
      <alignment horizontal="center"/>
    </xf>
    <xf numFmtId="0" fontId="30" fillId="0" borderId="42" xfId="7" applyFont="1" applyFill="1" applyBorder="1" applyAlignment="1">
      <alignment horizontal="center"/>
    </xf>
    <xf numFmtId="0" fontId="29" fillId="0" borderId="42" xfId="7" applyFont="1" applyFill="1" applyBorder="1" applyAlignment="1">
      <alignment horizontal="right"/>
    </xf>
    <xf numFmtId="0" fontId="29" fillId="0" borderId="43" xfId="7" applyFont="1" applyFill="1" applyBorder="1" applyAlignment="1">
      <alignment horizontal="left"/>
    </xf>
    <xf numFmtId="44" fontId="29" fillId="0" borderId="43" xfId="8" applyFont="1" applyFill="1" applyBorder="1" applyAlignment="1">
      <alignment horizontal="left"/>
    </xf>
    <xf numFmtId="0" fontId="31" fillId="30" borderId="0" xfId="7" applyFont="1" applyFill="1"/>
    <xf numFmtId="0" fontId="29" fillId="0" borderId="44" xfId="7" applyFont="1" applyFill="1" applyBorder="1" applyAlignment="1">
      <alignment horizontal="left"/>
    </xf>
    <xf numFmtId="0" fontId="29" fillId="0" borderId="45" xfId="7" applyFont="1" applyFill="1" applyBorder="1" applyAlignment="1">
      <alignment horizontal="left"/>
    </xf>
    <xf numFmtId="0" fontId="29" fillId="0" borderId="46" xfId="7" applyFont="1" applyFill="1" applyBorder="1" applyAlignment="1">
      <alignment horizontal="center"/>
    </xf>
    <xf numFmtId="0" fontId="30" fillId="0" borderId="45" xfId="7" applyFont="1" applyFill="1" applyBorder="1" applyAlignment="1">
      <alignment horizontal="center"/>
    </xf>
    <xf numFmtId="0" fontId="29" fillId="31" borderId="41" xfId="7" applyFont="1" applyFill="1" applyBorder="1" applyAlignment="1">
      <alignment horizontal="left"/>
    </xf>
    <xf numFmtId="0" fontId="29" fillId="31" borderId="42" xfId="7" applyFont="1" applyFill="1" applyBorder="1" applyAlignment="1">
      <alignment horizontal="left"/>
    </xf>
    <xf numFmtId="0" fontId="29" fillId="31" borderId="42" xfId="7" applyFont="1" applyFill="1" applyBorder="1" applyAlignment="1">
      <alignment horizontal="center"/>
    </xf>
    <xf numFmtId="0" fontId="30" fillId="31" borderId="42" xfId="7" applyFont="1" applyFill="1" applyBorder="1" applyAlignment="1">
      <alignment horizontal="center"/>
    </xf>
    <xf numFmtId="0" fontId="29" fillId="31" borderId="42" xfId="7" applyFont="1" applyFill="1" applyBorder="1" applyAlignment="1">
      <alignment horizontal="right"/>
    </xf>
    <xf numFmtId="0" fontId="29" fillId="31" borderId="43" xfId="7" applyFont="1" applyFill="1" applyBorder="1" applyAlignment="1">
      <alignment horizontal="left"/>
    </xf>
    <xf numFmtId="44" fontId="29" fillId="31" borderId="43" xfId="8" applyFont="1" applyFill="1" applyBorder="1" applyAlignment="1">
      <alignment horizontal="left"/>
    </xf>
    <xf numFmtId="44" fontId="29" fillId="32" borderId="43" xfId="8" applyFont="1" applyFill="1" applyBorder="1" applyAlignment="1">
      <alignment horizontal="left"/>
    </xf>
    <xf numFmtId="0" fontId="29" fillId="0" borderId="47" xfId="7" applyFont="1" applyFill="1" applyBorder="1" applyAlignment="1">
      <alignment horizontal="center"/>
    </xf>
    <xf numFmtId="0" fontId="29" fillId="0" borderId="47" xfId="7" applyFont="1" applyFill="1" applyBorder="1" applyAlignment="1">
      <alignment horizontal="right"/>
    </xf>
    <xf numFmtId="0" fontId="29" fillId="0" borderId="45" xfId="7" applyFont="1" applyFill="1" applyBorder="1" applyAlignment="1">
      <alignment horizontal="right"/>
    </xf>
    <xf numFmtId="0" fontId="29" fillId="0" borderId="45" xfId="7" applyFont="1" applyFill="1" applyBorder="1" applyAlignment="1">
      <alignment horizontal="center"/>
    </xf>
    <xf numFmtId="0" fontId="29" fillId="0" borderId="0" xfId="7" applyFont="1" applyFill="1" applyAlignment="1">
      <alignment horizontal="right"/>
    </xf>
    <xf numFmtId="0" fontId="29" fillId="0" borderId="49" xfId="7" applyFont="1" applyFill="1" applyBorder="1" applyAlignment="1">
      <alignment horizontal="left"/>
    </xf>
    <xf numFmtId="0" fontId="29" fillId="0" borderId="41" xfId="7" applyFont="1" applyBorder="1" applyAlignment="1">
      <alignment horizontal="left"/>
    </xf>
    <xf numFmtId="0" fontId="29" fillId="0" borderId="42" xfId="7" applyFont="1" applyBorder="1" applyAlignment="1">
      <alignment horizontal="left"/>
    </xf>
    <xf numFmtId="0" fontId="29" fillId="0" borderId="42" xfId="7" applyFont="1" applyBorder="1" applyAlignment="1">
      <alignment horizontal="center"/>
    </xf>
    <xf numFmtId="0" fontId="29" fillId="30" borderId="42" xfId="7" applyFont="1" applyFill="1" applyBorder="1" applyAlignment="1">
      <alignment horizontal="right"/>
    </xf>
    <xf numFmtId="0" fontId="29" fillId="0" borderId="43" xfId="7" applyFont="1" applyBorder="1" applyAlignment="1">
      <alignment horizontal="left"/>
    </xf>
    <xf numFmtId="44" fontId="29" fillId="0" borderId="43" xfId="8" applyFont="1" applyBorder="1" applyAlignment="1">
      <alignment horizontal="left"/>
    </xf>
    <xf numFmtId="0" fontId="29" fillId="30" borderId="42" xfId="7" applyFont="1" applyFill="1" applyBorder="1" applyAlignment="1">
      <alignment horizontal="center"/>
    </xf>
    <xf numFmtId="0" fontId="29" fillId="33" borderId="41" xfId="7" applyFont="1" applyFill="1" applyBorder="1" applyAlignment="1">
      <alignment horizontal="left"/>
    </xf>
    <xf numFmtId="0" fontId="29" fillId="33" borderId="42" xfId="7" applyFont="1" applyFill="1" applyBorder="1" applyAlignment="1">
      <alignment horizontal="left"/>
    </xf>
    <xf numFmtId="0" fontId="29" fillId="33" borderId="42" xfId="7" applyFont="1" applyFill="1" applyBorder="1" applyAlignment="1">
      <alignment horizontal="center"/>
    </xf>
    <xf numFmtId="0" fontId="29" fillId="33" borderId="42" xfId="7" applyFont="1" applyFill="1" applyBorder="1" applyAlignment="1">
      <alignment horizontal="right"/>
    </xf>
    <xf numFmtId="0" fontId="29" fillId="33" borderId="43" xfId="7" applyFont="1" applyFill="1" applyBorder="1" applyAlignment="1">
      <alignment horizontal="left"/>
    </xf>
    <xf numFmtId="44" fontId="29" fillId="33" borderId="43" xfId="8" applyFont="1" applyFill="1" applyBorder="1" applyAlignment="1">
      <alignment horizontal="left"/>
    </xf>
    <xf numFmtId="0" fontId="34" fillId="0" borderId="0" xfId="7" applyFont="1" applyAlignment="1"/>
    <xf numFmtId="0" fontId="29" fillId="0" borderId="42" xfId="7" applyFont="1" applyBorder="1" applyAlignment="1">
      <alignment horizontal="right"/>
    </xf>
    <xf numFmtId="0" fontId="35" fillId="0" borderId="42" xfId="9" applyBorder="1" applyAlignment="1">
      <alignment horizontal="center"/>
    </xf>
    <xf numFmtId="0" fontId="31" fillId="0" borderId="0" xfId="7" applyFont="1" applyAlignment="1">
      <alignment horizontal="left"/>
    </xf>
    <xf numFmtId="0" fontId="31" fillId="0" borderId="0" xfId="7" applyFont="1" applyAlignment="1">
      <alignment horizontal="right"/>
    </xf>
    <xf numFmtId="0" fontId="31" fillId="0" borderId="0" xfId="7" applyFont="1" applyAlignment="1">
      <alignment horizontal="center"/>
    </xf>
    <xf numFmtId="0" fontId="27" fillId="0" borderId="0" xfId="7" applyFont="1" applyAlignment="1">
      <alignment horizontal="center"/>
    </xf>
    <xf numFmtId="0" fontId="29" fillId="31" borderId="47" xfId="7" applyFont="1" applyFill="1" applyBorder="1" applyAlignment="1">
      <alignment horizontal="right"/>
    </xf>
    <xf numFmtId="0" fontId="13" fillId="0" borderId="45" xfId="7" applyFont="1" applyFill="1" applyBorder="1" applyAlignment="1"/>
    <xf numFmtId="0" fontId="34" fillId="0" borderId="1" xfId="7" applyFont="1" applyBorder="1" applyAlignment="1"/>
    <xf numFmtId="0" fontId="28" fillId="29" borderId="38" xfId="7" applyFont="1" applyFill="1" applyBorder="1" applyAlignment="1">
      <alignment horizontal="center" wrapText="1"/>
    </xf>
    <xf numFmtId="0" fontId="28" fillId="29" borderId="39" xfId="7" applyFont="1" applyFill="1" applyBorder="1" applyAlignment="1">
      <alignment horizontal="center" wrapText="1"/>
    </xf>
    <xf numFmtId="0" fontId="28" fillId="29" borderId="40" xfId="7" applyFont="1" applyFill="1" applyBorder="1" applyAlignment="1">
      <alignment horizontal="center" wrapText="1"/>
    </xf>
    <xf numFmtId="0" fontId="29" fillId="0" borderId="41" xfId="0" applyFont="1" applyBorder="1" applyAlignment="1">
      <alignment horizontal="left"/>
    </xf>
    <xf numFmtId="0" fontId="29" fillId="0" borderId="42" xfId="0" applyFont="1" applyBorder="1" applyAlignment="1">
      <alignment horizontal="left"/>
    </xf>
    <xf numFmtId="0" fontId="29" fillId="0" borderId="42" xfId="0" applyFont="1" applyBorder="1" applyAlignment="1">
      <alignment horizontal="center"/>
    </xf>
    <xf numFmtId="0" fontId="29" fillId="0" borderId="42" xfId="0" applyFont="1" applyBorder="1" applyAlignment="1">
      <alignment horizontal="right"/>
    </xf>
    <xf numFmtId="0" fontId="29" fillId="0" borderId="43" xfId="0" applyFont="1" applyBorder="1" applyAlignment="1">
      <alignment horizontal="left"/>
    </xf>
    <xf numFmtId="0" fontId="0" fillId="0" borderId="0" xfId="0" applyFont="1" applyAlignment="1"/>
    <xf numFmtId="0" fontId="0" fillId="5" borderId="4" xfId="0" applyFill="1" applyBorder="1" applyAlignment="1">
      <alignment horizontal="right"/>
    </xf>
    <xf numFmtId="0" fontId="0" fillId="0" borderId="2" xfId="0" applyFill="1" applyBorder="1" applyAlignment="1">
      <alignment horizontal="right"/>
    </xf>
    <xf numFmtId="49" fontId="0" fillId="0" borderId="1" xfId="0" applyNumberFormat="1" applyFill="1" applyBorder="1" applyAlignment="1">
      <alignment horizontal="right"/>
    </xf>
    <xf numFmtId="0" fontId="26" fillId="0" borderId="42" xfId="6" applyBorder="1" applyAlignment="1">
      <alignment horizontal="center"/>
    </xf>
    <xf numFmtId="14" fontId="0" fillId="0" borderId="0" xfId="0" applyNumberFormat="1" applyBorder="1"/>
    <xf numFmtId="0" fontId="0" fillId="0" borderId="0" xfId="0" applyBorder="1"/>
    <xf numFmtId="0" fontId="0" fillId="0" borderId="0" xfId="0" applyNumberFormat="1" applyBorder="1"/>
    <xf numFmtId="0" fontId="29" fillId="0" borderId="42" xfId="0" applyFont="1" applyBorder="1" applyAlignment="1">
      <alignment horizontal="left" wrapText="1"/>
    </xf>
    <xf numFmtId="0" fontId="0" fillId="0" borderId="0" xfId="0" applyFill="1" applyBorder="1"/>
    <xf numFmtId="167" fontId="0" fillId="0" borderId="1" xfId="0" applyNumberFormat="1" applyBorder="1" applyAlignment="1">
      <alignment horizontal="center" wrapText="1"/>
    </xf>
    <xf numFmtId="0" fontId="0" fillId="3" borderId="0" xfId="0" applyFill="1"/>
    <xf numFmtId="0" fontId="0" fillId="3" borderId="1" xfId="0" applyFill="1" applyBorder="1" applyAlignment="1">
      <alignment horizontal="right"/>
    </xf>
    <xf numFmtId="167" fontId="0" fillId="0" borderId="1" xfId="0" applyNumberFormat="1" applyBorder="1" applyAlignment="1">
      <alignment horizontal="center"/>
    </xf>
    <xf numFmtId="0" fontId="36" fillId="0" borderId="42" xfId="0" applyFont="1" applyBorder="1" applyAlignment="1">
      <alignment horizontal="center" wrapText="1"/>
    </xf>
    <xf numFmtId="49" fontId="0" fillId="20" borderId="1" xfId="0" applyNumberFormat="1" applyFill="1" applyBorder="1" applyAlignment="1">
      <alignment horizontal="right"/>
    </xf>
    <xf numFmtId="0" fontId="37" fillId="34" borderId="41" xfId="7" applyFont="1" applyFill="1" applyBorder="1" applyAlignment="1">
      <alignment horizontal="left"/>
    </xf>
    <xf numFmtId="0" fontId="37" fillId="34" borderId="42" xfId="7" applyFont="1" applyFill="1" applyBorder="1" applyAlignment="1">
      <alignment horizontal="left"/>
    </xf>
    <xf numFmtId="0" fontId="37" fillId="34" borderId="42" xfId="7" applyFont="1" applyFill="1" applyBorder="1" applyAlignment="1">
      <alignment horizontal="center"/>
    </xf>
    <xf numFmtId="0" fontId="38" fillId="34" borderId="42" xfId="7" applyFont="1" applyFill="1" applyBorder="1" applyAlignment="1">
      <alignment horizontal="center"/>
    </xf>
    <xf numFmtId="0" fontId="37" fillId="34" borderId="42" xfId="7" applyFont="1" applyFill="1" applyBorder="1" applyAlignment="1">
      <alignment horizontal="right"/>
    </xf>
    <xf numFmtId="0" fontId="37" fillId="34" borderId="43" xfId="7" applyFont="1" applyFill="1" applyBorder="1" applyAlignment="1">
      <alignment horizontal="left"/>
    </xf>
    <xf numFmtId="44" fontId="37" fillId="34" borderId="43" xfId="8" applyFont="1" applyFill="1" applyBorder="1" applyAlignment="1">
      <alignment horizontal="left"/>
    </xf>
    <xf numFmtId="0" fontId="29" fillId="3" borderId="41" xfId="7" applyFont="1" applyFill="1" applyBorder="1" applyAlignment="1">
      <alignment horizontal="left"/>
    </xf>
    <xf numFmtId="0" fontId="29" fillId="3" borderId="42" xfId="7" applyFont="1" applyFill="1" applyBorder="1" applyAlignment="1">
      <alignment horizontal="left"/>
    </xf>
    <xf numFmtId="0" fontId="29" fillId="3" borderId="42" xfId="7" applyFont="1" applyFill="1" applyBorder="1" applyAlignment="1">
      <alignment horizontal="center"/>
    </xf>
    <xf numFmtId="0" fontId="30" fillId="3" borderId="48" xfId="7" applyFont="1" applyFill="1" applyBorder="1" applyAlignment="1">
      <alignment horizontal="center"/>
    </xf>
    <xf numFmtId="0" fontId="29" fillId="3" borderId="45" xfId="7" applyFont="1" applyFill="1" applyBorder="1" applyAlignment="1">
      <alignment horizontal="right"/>
    </xf>
    <xf numFmtId="0" fontId="29" fillId="3" borderId="43" xfId="7" applyFont="1" applyFill="1" applyBorder="1" applyAlignment="1">
      <alignment horizontal="left"/>
    </xf>
    <xf numFmtId="44" fontId="29" fillId="3" borderId="43" xfId="8" applyFont="1" applyFill="1" applyBorder="1" applyAlignment="1">
      <alignment horizontal="left"/>
    </xf>
    <xf numFmtId="0" fontId="29" fillId="3" borderId="45" xfId="7" applyFont="1" applyFill="1" applyBorder="1" applyAlignment="1">
      <alignment horizontal="center"/>
    </xf>
    <xf numFmtId="14" fontId="31" fillId="30" borderId="0" xfId="7" applyNumberFormat="1" applyFont="1" applyFill="1"/>
    <xf numFmtId="0" fontId="30" fillId="3" borderId="42" xfId="7" applyFont="1" applyFill="1" applyBorder="1" applyAlignment="1">
      <alignment horizontal="center"/>
    </xf>
    <xf numFmtId="0" fontId="26" fillId="3" borderId="42" xfId="6" applyFill="1" applyBorder="1" applyAlignment="1">
      <alignment horizontal="center"/>
    </xf>
    <xf numFmtId="0" fontId="29" fillId="3" borderId="46" xfId="7" applyFont="1" applyFill="1" applyBorder="1" applyAlignment="1">
      <alignment horizontal="right"/>
    </xf>
    <xf numFmtId="0" fontId="29" fillId="3" borderId="46" xfId="7" applyFont="1" applyFill="1" applyBorder="1" applyAlignment="1">
      <alignment horizontal="center"/>
    </xf>
    <xf numFmtId="0" fontId="29" fillId="3" borderId="42" xfId="7" applyFont="1" applyFill="1" applyBorder="1" applyAlignment="1">
      <alignment horizontal="right"/>
    </xf>
    <xf numFmtId="0" fontId="29" fillId="3" borderId="49" xfId="7" applyFont="1" applyFill="1" applyBorder="1" applyAlignment="1">
      <alignment horizontal="left"/>
    </xf>
    <xf numFmtId="0" fontId="29" fillId="3" borderId="45" xfId="7" applyFont="1" applyFill="1" applyBorder="1" applyAlignment="1">
      <alignment horizontal="left"/>
    </xf>
    <xf numFmtId="0" fontId="30" fillId="3" borderId="45" xfId="7" applyFont="1" applyFill="1" applyBorder="1" applyAlignment="1">
      <alignment horizontal="center"/>
    </xf>
    <xf numFmtId="0" fontId="29" fillId="35" borderId="42" xfId="7" applyFont="1" applyFill="1" applyBorder="1" applyAlignment="1">
      <alignment horizontal="right"/>
    </xf>
    <xf numFmtId="0" fontId="29" fillId="35" borderId="42" xfId="7" applyFont="1" applyFill="1" applyBorder="1" applyAlignment="1">
      <alignment horizontal="center"/>
    </xf>
    <xf numFmtId="0" fontId="29" fillId="34" borderId="41" xfId="7" applyFont="1" applyFill="1" applyBorder="1" applyAlignment="1">
      <alignment horizontal="left"/>
    </xf>
    <xf numFmtId="0" fontId="29" fillId="34" borderId="47" xfId="7" applyFont="1" applyFill="1" applyBorder="1" applyAlignment="1">
      <alignment horizontal="left"/>
    </xf>
    <xf numFmtId="0" fontId="29" fillId="34" borderId="42" xfId="7" applyFont="1" applyFill="1" applyBorder="1" applyAlignment="1">
      <alignment horizontal="left"/>
    </xf>
    <xf numFmtId="0" fontId="29" fillId="34" borderId="42" xfId="7" applyFont="1" applyFill="1" applyBorder="1" applyAlignment="1">
      <alignment horizontal="center"/>
    </xf>
    <xf numFmtId="0" fontId="29" fillId="36" borderId="42" xfId="7" applyFont="1" applyFill="1" applyBorder="1" applyAlignment="1">
      <alignment horizontal="right"/>
    </xf>
    <xf numFmtId="0" fontId="29" fillId="34" borderId="43" xfId="7" applyFont="1" applyFill="1" applyBorder="1" applyAlignment="1">
      <alignment horizontal="left"/>
    </xf>
    <xf numFmtId="44" fontId="29" fillId="34" borderId="43" xfId="8" applyFont="1" applyFill="1" applyBorder="1" applyAlignment="1">
      <alignment horizontal="left"/>
    </xf>
    <xf numFmtId="0" fontId="29" fillId="36" borderId="42" xfId="7" applyFont="1" applyFill="1" applyBorder="1" applyAlignment="1">
      <alignment horizontal="center"/>
    </xf>
    <xf numFmtId="0" fontId="29" fillId="36" borderId="41" xfId="7" applyFont="1" applyFill="1" applyBorder="1" applyAlignment="1">
      <alignment horizontal="left"/>
    </xf>
    <xf numFmtId="0" fontId="29" fillId="34" borderId="42" xfId="7" applyFont="1" applyFill="1" applyBorder="1" applyAlignment="1">
      <alignment horizontal="right"/>
    </xf>
    <xf numFmtId="0" fontId="29" fillId="0" borderId="49" xfId="7" applyFont="1" applyBorder="1" applyAlignment="1">
      <alignment horizontal="left"/>
    </xf>
    <xf numFmtId="0" fontId="29" fillId="0" borderId="45" xfId="7" applyFont="1" applyBorder="1" applyAlignment="1">
      <alignment horizontal="left"/>
    </xf>
    <xf numFmtId="0" fontId="29" fillId="0" borderId="45" xfId="7" applyFont="1" applyBorder="1" applyAlignment="1">
      <alignment horizontal="center"/>
    </xf>
    <xf numFmtId="0" fontId="35" fillId="0" borderId="48" xfId="9" applyBorder="1" applyAlignment="1">
      <alignment horizontal="center"/>
    </xf>
    <xf numFmtId="0" fontId="29" fillId="0" borderId="48" xfId="7" applyFont="1" applyBorder="1" applyAlignment="1">
      <alignment horizontal="center"/>
    </xf>
    <xf numFmtId="0" fontId="26" fillId="0" borderId="48" xfId="6" applyBorder="1" applyAlignment="1">
      <alignment horizontal="center"/>
    </xf>
    <xf numFmtId="0" fontId="29" fillId="0" borderId="0" xfId="7" applyFont="1" applyFill="1" applyBorder="1" applyAlignment="1">
      <alignment horizontal="right"/>
    </xf>
    <xf numFmtId="0" fontId="29" fillId="0" borderId="1" xfId="7" applyFont="1" applyBorder="1" applyAlignment="1">
      <alignment horizontal="right"/>
    </xf>
    <xf numFmtId="0" fontId="29" fillId="30" borderId="45" xfId="7" applyFont="1" applyFill="1" applyBorder="1" applyAlignment="1">
      <alignment horizontal="right"/>
    </xf>
    <xf numFmtId="0" fontId="13" fillId="0" borderId="42" xfId="7" applyFont="1" applyFill="1" applyBorder="1" applyAlignment="1"/>
    <xf numFmtId="0" fontId="29" fillId="0" borderId="45" xfId="7" applyFont="1" applyBorder="1" applyAlignment="1">
      <alignment horizontal="right"/>
    </xf>
    <xf numFmtId="0" fontId="29" fillId="30" borderId="45" xfId="7" applyFont="1" applyFill="1" applyBorder="1" applyAlignment="1">
      <alignment horizontal="center"/>
    </xf>
    <xf numFmtId="0" fontId="31" fillId="0" borderId="42" xfId="7" applyFont="1" applyFill="1" applyBorder="1" applyAlignment="1">
      <alignment horizontal="center"/>
    </xf>
    <xf numFmtId="0" fontId="39" fillId="29" borderId="39" xfId="7" applyFont="1" applyFill="1" applyBorder="1" applyAlignment="1">
      <alignment horizontal="center" wrapText="1"/>
    </xf>
    <xf numFmtId="0" fontId="37" fillId="0" borderId="42" xfId="7" applyFont="1" applyFill="1" applyBorder="1" applyAlignment="1">
      <alignment horizontal="center"/>
    </xf>
    <xf numFmtId="0" fontId="40" fillId="0" borderId="42" xfId="9" applyFont="1" applyBorder="1" applyAlignment="1">
      <alignment horizontal="center"/>
    </xf>
    <xf numFmtId="0" fontId="38" fillId="0" borderId="42" xfId="7" applyFont="1" applyFill="1" applyBorder="1" applyAlignment="1">
      <alignment horizontal="center"/>
    </xf>
    <xf numFmtId="0" fontId="38" fillId="0" borderId="45" xfId="7" applyFont="1" applyFill="1" applyBorder="1" applyAlignment="1">
      <alignment horizontal="center"/>
    </xf>
    <xf numFmtId="0" fontId="40" fillId="0" borderId="48" xfId="9" applyFont="1" applyBorder="1" applyAlignment="1">
      <alignment horizontal="center"/>
    </xf>
    <xf numFmtId="0" fontId="37" fillId="0" borderId="48" xfId="7" applyFont="1" applyBorder="1" applyAlignment="1">
      <alignment horizontal="center"/>
    </xf>
    <xf numFmtId="0" fontId="41" fillId="0" borderId="48" xfId="6" applyFont="1" applyBorder="1" applyAlignment="1">
      <alignment horizontal="center"/>
    </xf>
    <xf numFmtId="0" fontId="41" fillId="0" borderId="42" xfId="6" applyFont="1" applyBorder="1" applyAlignment="1">
      <alignment horizontal="center"/>
    </xf>
    <xf numFmtId="0" fontId="40" fillId="0" borderId="45" xfId="9" applyFont="1" applyBorder="1" applyAlignment="1">
      <alignment horizontal="center"/>
    </xf>
    <xf numFmtId="0" fontId="37" fillId="0" borderId="42" xfId="0" applyFont="1" applyBorder="1" applyAlignment="1">
      <alignment horizontal="center"/>
    </xf>
    <xf numFmtId="0" fontId="37" fillId="0" borderId="42" xfId="7" applyFont="1" applyBorder="1" applyAlignment="1">
      <alignment horizontal="center"/>
    </xf>
    <xf numFmtId="0" fontId="42" fillId="0" borderId="0" xfId="0" applyFont="1"/>
    <xf numFmtId="0" fontId="43" fillId="0" borderId="41" xfId="7" applyFont="1" applyFill="1" applyBorder="1" applyAlignment="1">
      <alignment horizontal="left"/>
    </xf>
    <xf numFmtId="0" fontId="32" fillId="0" borderId="41" xfId="7" applyFont="1" applyFill="1" applyBorder="1" applyAlignment="1">
      <alignment horizontal="left"/>
    </xf>
    <xf numFmtId="11" fontId="0" fillId="20" borderId="1" xfId="0" applyNumberFormat="1" applyFill="1" applyBorder="1" applyAlignment="1">
      <alignment horizontal="right"/>
    </xf>
    <xf numFmtId="165" fontId="16" fillId="3" borderId="1" xfId="1" applyNumberFormat="1" applyFont="1" applyFill="1" applyBorder="1"/>
    <xf numFmtId="0" fontId="0" fillId="20" borderId="1" xfId="0" applyFont="1" applyFill="1" applyBorder="1" applyAlignment="1">
      <alignment horizontal="right" vertical="center"/>
    </xf>
    <xf numFmtId="165" fontId="16" fillId="37" borderId="1" xfId="1" applyNumberFormat="1" applyFont="1" applyFill="1" applyBorder="1" applyAlignment="1">
      <alignment horizontal="center"/>
    </xf>
    <xf numFmtId="0" fontId="0" fillId="5" borderId="1" xfId="0" applyFont="1" applyFill="1" applyBorder="1" applyAlignment="1">
      <alignment horizontal="right" vertical="center"/>
    </xf>
    <xf numFmtId="11" fontId="0" fillId="5" borderId="1" xfId="0" applyNumberFormat="1" applyFill="1" applyBorder="1" applyAlignment="1">
      <alignment horizontal="right"/>
    </xf>
    <xf numFmtId="165" fontId="16" fillId="38" borderId="1" xfId="1" applyNumberFormat="1" applyFont="1" applyFill="1" applyBorder="1" applyAlignment="1">
      <alignment horizontal="center"/>
    </xf>
    <xf numFmtId="0" fontId="15" fillId="39" borderId="5" xfId="0" applyFont="1" applyFill="1" applyBorder="1" applyAlignment="1">
      <alignment horizontal="center" vertical="center"/>
    </xf>
    <xf numFmtId="166" fontId="15" fillId="39" borderId="33" xfId="0" applyNumberFormat="1" applyFont="1" applyFill="1" applyBorder="1" applyAlignment="1">
      <alignment horizontal="center" vertical="center"/>
    </xf>
    <xf numFmtId="165" fontId="16" fillId="39" borderId="6" xfId="1" applyNumberFormat="1" applyFont="1" applyFill="1" applyBorder="1" applyAlignment="1">
      <alignment horizontal="center" vertical="center"/>
    </xf>
    <xf numFmtId="165" fontId="15" fillId="39" borderId="6" xfId="1" applyNumberFormat="1" applyFont="1" applyFill="1" applyBorder="1" applyAlignment="1">
      <alignment horizontal="center" vertical="center"/>
    </xf>
    <xf numFmtId="165" fontId="16" fillId="39" borderId="1" xfId="1" applyNumberFormat="1" applyFont="1" applyFill="1" applyBorder="1" applyAlignment="1">
      <alignment horizontal="center"/>
    </xf>
    <xf numFmtId="165" fontId="7" fillId="39" borderId="7" xfId="1" applyNumberFormat="1" applyFont="1" applyFill="1" applyBorder="1" applyAlignment="1">
      <alignment horizontal="right"/>
    </xf>
    <xf numFmtId="0" fontId="6" fillId="20" borderId="1" xfId="0" applyFont="1" applyFill="1" applyBorder="1" applyAlignment="1"/>
    <xf numFmtId="0" fontId="0" fillId="20" borderId="1" xfId="0" applyNumberFormat="1" applyFill="1" applyBorder="1" applyAlignment="1"/>
    <xf numFmtId="165" fontId="0" fillId="20" borderId="1" xfId="1" applyNumberFormat="1" applyFont="1" applyFill="1" applyBorder="1" applyAlignment="1"/>
    <xf numFmtId="0" fontId="44" fillId="0" borderId="1" xfId="0" applyFont="1" applyBorder="1" applyAlignment="1">
      <alignment horizontal="center"/>
    </xf>
    <xf numFmtId="0" fontId="29" fillId="0" borderId="50" xfId="7" applyFont="1" applyFill="1" applyBorder="1" applyAlignment="1">
      <alignment horizontal="left"/>
    </xf>
    <xf numFmtId="0" fontId="29" fillId="0" borderId="47" xfId="7" applyFont="1" applyBorder="1" applyAlignment="1">
      <alignment horizontal="center"/>
    </xf>
    <xf numFmtId="0" fontId="26" fillId="0" borderId="1" xfId="6" applyBorder="1" applyAlignment="1">
      <alignment horizontal="center"/>
    </xf>
    <xf numFmtId="0" fontId="29" fillId="30" borderId="47" xfId="7" applyFont="1" applyFill="1" applyBorder="1" applyAlignment="1">
      <alignment horizontal="right"/>
    </xf>
    <xf numFmtId="0" fontId="29" fillId="0" borderId="51" xfId="7" applyFont="1" applyBorder="1" applyAlignment="1">
      <alignment horizontal="left"/>
    </xf>
    <xf numFmtId="44" fontId="29" fillId="0" borderId="51" xfId="8" applyFont="1" applyBorder="1" applyAlignment="1">
      <alignment horizontal="left"/>
    </xf>
    <xf numFmtId="44" fontId="29" fillId="0" borderId="51" xfId="8" applyFont="1" applyFill="1" applyBorder="1" applyAlignment="1">
      <alignment horizontal="left"/>
    </xf>
    <xf numFmtId="0" fontId="29" fillId="30" borderId="47" xfId="7" applyFont="1" applyFill="1" applyBorder="1" applyAlignment="1">
      <alignment horizontal="center"/>
    </xf>
    <xf numFmtId="0" fontId="31" fillId="0" borderId="1" xfId="7" applyFont="1" applyBorder="1" applyAlignment="1">
      <alignment horizontal="left"/>
    </xf>
    <xf numFmtId="0" fontId="31" fillId="30" borderId="1" xfId="7" applyFont="1" applyFill="1" applyBorder="1"/>
    <xf numFmtId="0" fontId="29" fillId="0" borderId="1" xfId="7" applyFont="1" applyBorder="1" applyAlignment="1">
      <alignment horizontal="center"/>
    </xf>
    <xf numFmtId="0" fontId="29" fillId="0" borderId="48" xfId="7" applyFont="1" applyFill="1" applyBorder="1" applyAlignment="1">
      <alignment horizontal="center"/>
    </xf>
    <xf numFmtId="0" fontId="29" fillId="0" borderId="48" xfId="0" applyFont="1" applyBorder="1" applyAlignment="1">
      <alignment horizontal="center"/>
    </xf>
    <xf numFmtId="44" fontId="29" fillId="0" borderId="1" xfId="8" applyFont="1" applyFill="1" applyBorder="1" applyAlignment="1">
      <alignment horizontal="left"/>
    </xf>
    <xf numFmtId="0" fontId="45" fillId="0" borderId="1" xfId="0" applyFont="1" applyBorder="1"/>
    <xf numFmtId="0" fontId="14" fillId="30" borderId="1" xfId="7" applyFont="1" applyFill="1" applyBorder="1" applyAlignment="1">
      <alignment horizontal="center"/>
    </xf>
    <xf numFmtId="0" fontId="0" fillId="0" borderId="1" xfId="7" applyFont="1" applyBorder="1" applyAlignment="1">
      <alignment horizontal="left"/>
    </xf>
    <xf numFmtId="0" fontId="14" fillId="0" borderId="4" xfId="7" applyFont="1" applyBorder="1" applyAlignment="1">
      <alignment horizontal="center"/>
    </xf>
    <xf numFmtId="0" fontId="14" fillId="0" borderId="1" xfId="7" applyFont="1" applyBorder="1" applyAlignment="1">
      <alignment horizontal="center"/>
    </xf>
    <xf numFmtId="165" fontId="16" fillId="40" borderId="6" xfId="1" applyNumberFormat="1" applyFont="1" applyFill="1" applyBorder="1" applyAlignment="1">
      <alignment horizontal="center" vertical="center"/>
    </xf>
    <xf numFmtId="165" fontId="15" fillId="40" borderId="6" xfId="1" applyNumberFormat="1" applyFont="1" applyFill="1" applyBorder="1" applyAlignment="1">
      <alignment horizontal="center" vertical="center"/>
    </xf>
    <xf numFmtId="165" fontId="16" fillId="40" borderId="1" xfId="1" applyNumberFormat="1" applyFont="1" applyFill="1" applyBorder="1" applyAlignment="1">
      <alignment horizontal="center"/>
    </xf>
    <xf numFmtId="165" fontId="7" fillId="40" borderId="7" xfId="1" applyNumberFormat="1" applyFont="1" applyFill="1" applyBorder="1" applyAlignment="1">
      <alignment horizontal="right"/>
    </xf>
    <xf numFmtId="0" fontId="26" fillId="0" borderId="42" xfId="6" applyFill="1" applyBorder="1" applyAlignment="1">
      <alignment horizontal="center"/>
    </xf>
    <xf numFmtId="0" fontId="26" fillId="0" borderId="42" xfId="6" applyBorder="1" applyAlignment="1">
      <alignment horizontal="left" wrapText="1"/>
    </xf>
    <xf numFmtId="0" fontId="3" fillId="0" borderId="1" xfId="7" applyFont="1" applyBorder="1" applyAlignment="1">
      <alignment horizontal="right"/>
    </xf>
    <xf numFmtId="0" fontId="3" fillId="30" borderId="1" xfId="7" applyFont="1" applyFill="1" applyBorder="1" applyAlignment="1">
      <alignment horizontal="center"/>
    </xf>
    <xf numFmtId="0" fontId="0" fillId="0" borderId="1" xfId="0" applyFont="1" applyBorder="1"/>
    <xf numFmtId="0" fontId="36" fillId="3" borderId="42" xfId="7" applyFont="1" applyFill="1" applyBorder="1" applyAlignment="1">
      <alignment horizontal="left" wrapText="1"/>
    </xf>
    <xf numFmtId="0" fontId="29" fillId="3" borderId="48" xfId="7" applyFont="1" applyFill="1" applyBorder="1" applyAlignment="1">
      <alignment horizontal="center" wrapText="1"/>
    </xf>
    <xf numFmtId="0" fontId="45" fillId="3" borderId="0" xfId="0" applyFont="1" applyFill="1"/>
    <xf numFmtId="168" fontId="0" fillId="0" borderId="0" xfId="0" applyNumberFormat="1"/>
    <xf numFmtId="14" fontId="0" fillId="41" borderId="0" xfId="0" applyNumberFormat="1" applyFill="1" applyAlignment="1">
      <alignment horizontal="left"/>
    </xf>
    <xf numFmtId="0" fontId="0" fillId="41" borderId="0" xfId="0" applyFill="1"/>
    <xf numFmtId="168" fontId="0" fillId="41" borderId="0" xfId="0" applyNumberFormat="1" applyFill="1"/>
    <xf numFmtId="14" fontId="0" fillId="42" borderId="0" xfId="0" applyNumberFormat="1" applyFill="1" applyAlignment="1">
      <alignment horizontal="left"/>
    </xf>
    <xf numFmtId="0" fontId="0" fillId="42" borderId="0" xfId="0" applyFill="1"/>
    <xf numFmtId="168" fontId="0" fillId="42" borderId="0" xfId="0" applyNumberFormat="1" applyFill="1"/>
    <xf numFmtId="0" fontId="46" fillId="20" borderId="0" xfId="0" applyFont="1" applyFill="1"/>
    <xf numFmtId="168" fontId="46" fillId="20" borderId="0" xfId="0" applyNumberFormat="1" applyFont="1" applyFill="1"/>
    <xf numFmtId="14" fontId="0" fillId="43" borderId="0" xfId="0" applyNumberFormat="1" applyFill="1" applyAlignment="1">
      <alignment horizontal="left"/>
    </xf>
    <xf numFmtId="0" fontId="0" fillId="43" borderId="0" xfId="0" applyFill="1"/>
    <xf numFmtId="168" fontId="0" fillId="43" borderId="0" xfId="0" applyNumberFormat="1" applyFill="1"/>
    <xf numFmtId="14" fontId="1" fillId="41" borderId="0" xfId="0" applyNumberFormat="1" applyFont="1" applyFill="1" applyAlignment="1">
      <alignment horizontal="left"/>
    </xf>
    <xf numFmtId="14" fontId="1" fillId="42" borderId="0" xfId="0" applyNumberFormat="1" applyFont="1" applyFill="1" applyAlignment="1">
      <alignment horizontal="left"/>
    </xf>
    <xf numFmtId="14" fontId="1" fillId="43" borderId="0" xfId="0" applyNumberFormat="1" applyFont="1" applyFill="1" applyAlignment="1">
      <alignment horizontal="left"/>
    </xf>
    <xf numFmtId="14" fontId="0" fillId="0" borderId="52" xfId="0" applyNumberFormat="1" applyBorder="1"/>
    <xf numFmtId="0" fontId="0" fillId="0" borderId="52" xfId="0" applyBorder="1"/>
    <xf numFmtId="11" fontId="0" fillId="0" borderId="1" xfId="0" quotePrefix="1" applyNumberFormat="1" applyFill="1" applyBorder="1" applyAlignment="1">
      <alignment horizontal="right"/>
    </xf>
    <xf numFmtId="165" fontId="16" fillId="44" borderId="6" xfId="1" applyNumberFormat="1" applyFont="1" applyFill="1" applyBorder="1" applyAlignment="1">
      <alignment horizontal="center" vertical="center"/>
    </xf>
    <xf numFmtId="165" fontId="15" fillId="44" borderId="6" xfId="1" applyNumberFormat="1" applyFont="1" applyFill="1" applyBorder="1" applyAlignment="1">
      <alignment horizontal="center" vertical="center"/>
    </xf>
    <xf numFmtId="165" fontId="16" fillId="44" borderId="1" xfId="1" applyNumberFormat="1" applyFont="1" applyFill="1" applyBorder="1" applyAlignment="1">
      <alignment horizontal="center"/>
    </xf>
    <xf numFmtId="165" fontId="7" fillId="44" borderId="7" xfId="1" applyNumberFormat="1" applyFont="1" applyFill="1" applyBorder="1" applyAlignment="1">
      <alignment horizontal="right"/>
    </xf>
    <xf numFmtId="0" fontId="0" fillId="0" borderId="1" xfId="0" applyFont="1" applyFill="1" applyBorder="1" applyAlignment="1">
      <alignment horizontal="right" vertical="center"/>
    </xf>
    <xf numFmtId="168" fontId="1" fillId="41" borderId="0" xfId="0" applyNumberFormat="1" applyFont="1" applyFill="1"/>
    <xf numFmtId="0" fontId="14" fillId="0" borderId="1" xfId="7" applyFont="1" applyBorder="1" applyAlignment="1">
      <alignment horizontal="left"/>
    </xf>
    <xf numFmtId="0" fontId="26" fillId="3" borderId="53" xfId="6" applyFill="1" applyBorder="1" applyAlignment="1">
      <alignment horizontal="center"/>
    </xf>
    <xf numFmtId="0" fontId="26" fillId="0" borderId="1" xfId="6" applyBorder="1"/>
    <xf numFmtId="44" fontId="29" fillId="3" borderId="51" xfId="8" applyFont="1" applyFill="1" applyBorder="1" applyAlignment="1">
      <alignment horizontal="left"/>
    </xf>
    <xf numFmtId="0" fontId="3" fillId="3" borderId="53" xfId="7" applyFont="1" applyFill="1" applyBorder="1" applyAlignment="1">
      <alignment horizontal="left"/>
    </xf>
    <xf numFmtId="0" fontId="31" fillId="3" borderId="53" xfId="7" applyFont="1" applyFill="1" applyBorder="1" applyAlignment="1">
      <alignment horizontal="left"/>
    </xf>
    <xf numFmtId="44" fontId="29" fillId="3" borderId="53" xfId="8" applyFont="1" applyFill="1" applyBorder="1" applyAlignment="1">
      <alignment horizontal="left"/>
    </xf>
    <xf numFmtId="0" fontId="31" fillId="3" borderId="31" xfId="7" applyFont="1" applyFill="1" applyBorder="1" applyAlignment="1">
      <alignment horizontal="center"/>
    </xf>
    <xf numFmtId="0" fontId="31" fillId="3" borderId="53" xfId="7" applyFont="1" applyFill="1" applyBorder="1" applyAlignment="1">
      <alignment horizontal="center"/>
    </xf>
    <xf numFmtId="0" fontId="14" fillId="35" borderId="53" xfId="7" applyFont="1" applyFill="1" applyBorder="1" applyAlignment="1">
      <alignment horizontal="center"/>
    </xf>
    <xf numFmtId="0" fontId="31" fillId="30" borderId="53" xfId="7" applyFont="1" applyFill="1" applyBorder="1"/>
    <xf numFmtId="0" fontId="29" fillId="30" borderId="1" xfId="7" applyFont="1" applyFill="1" applyBorder="1" applyAlignment="1">
      <alignment horizontal="right"/>
    </xf>
    <xf numFmtId="0" fontId="29" fillId="0" borderId="1" xfId="7" applyFont="1" applyBorder="1" applyAlignment="1">
      <alignment horizontal="left"/>
    </xf>
    <xf numFmtId="44" fontId="29" fillId="0" borderId="1" xfId="8" applyFont="1" applyBorder="1" applyAlignment="1">
      <alignment horizontal="left"/>
    </xf>
    <xf numFmtId="0" fontId="29" fillId="30" borderId="1" xfId="7" applyFont="1" applyFill="1" applyBorder="1" applyAlignment="1">
      <alignment horizontal="center"/>
    </xf>
    <xf numFmtId="0" fontId="29" fillId="0" borderId="1" xfId="7" applyFont="1" applyFill="1" applyBorder="1" applyAlignment="1">
      <alignment horizontal="center"/>
    </xf>
    <xf numFmtId="0" fontId="26" fillId="0" borderId="45" xfId="6" applyBorder="1" applyAlignment="1">
      <alignment horizontal="center"/>
    </xf>
    <xf numFmtId="168" fontId="1" fillId="42" borderId="0" xfId="0" applyNumberFormat="1" applyFont="1" applyFill="1"/>
    <xf numFmtId="165" fontId="16" fillId="26" borderId="1" xfId="1" applyNumberFormat="1" applyFont="1" applyFill="1" applyBorder="1" applyAlignment="1">
      <alignment horizontal="center"/>
    </xf>
    <xf numFmtId="165" fontId="7" fillId="26" borderId="7" xfId="1" applyNumberFormat="1" applyFont="1" applyFill="1" applyBorder="1" applyAlignment="1">
      <alignment horizontal="right"/>
    </xf>
    <xf numFmtId="165" fontId="16" fillId="26" borderId="6" xfId="1" applyNumberFormat="1" applyFont="1" applyFill="1" applyBorder="1" applyAlignment="1">
      <alignment horizontal="center" vertical="center"/>
    </xf>
    <xf numFmtId="165" fontId="15" fillId="26" borderId="6" xfId="1" applyNumberFormat="1" applyFont="1" applyFill="1" applyBorder="1" applyAlignment="1">
      <alignment horizontal="center" vertical="center"/>
    </xf>
    <xf numFmtId="0" fontId="1" fillId="41" borderId="0" xfId="0" applyFont="1" applyFill="1"/>
    <xf numFmtId="0" fontId="1" fillId="42" borderId="0" xfId="0" applyFont="1" applyFill="1"/>
    <xf numFmtId="44" fontId="29" fillId="0" borderId="54" xfId="8" applyFont="1" applyBorder="1" applyAlignment="1">
      <alignment horizontal="left"/>
    </xf>
    <xf numFmtId="14" fontId="0" fillId="0" borderId="34" xfId="0" applyNumberFormat="1" applyBorder="1"/>
    <xf numFmtId="14" fontId="16" fillId="0" borderId="0" xfId="0" applyNumberFormat="1" applyFont="1"/>
    <xf numFmtId="0" fontId="13" fillId="3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14" fillId="0" borderId="5" xfId="0" applyFont="1" applyBorder="1" applyAlignment="1">
      <alignment horizontal="center" wrapText="1"/>
    </xf>
    <xf numFmtId="0" fontId="18" fillId="0" borderId="5" xfId="0" applyFont="1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16" fontId="0" fillId="0" borderId="1" xfId="0" applyNumberFormat="1" applyFill="1" applyBorder="1" applyAlignment="1">
      <alignment horizontal="center"/>
    </xf>
    <xf numFmtId="0" fontId="1" fillId="43" borderId="0" xfId="0" applyFont="1" applyFill="1"/>
    <xf numFmtId="168" fontId="1" fillId="43" borderId="0" xfId="0" applyNumberFormat="1" applyFont="1" applyFill="1"/>
    <xf numFmtId="167" fontId="0" fillId="0" borderId="1" xfId="2" applyNumberFormat="1" applyFont="1" applyBorder="1" applyAlignment="1">
      <alignment horizontal="center" wrapText="1"/>
    </xf>
    <xf numFmtId="165" fontId="0" fillId="0" borderId="0" xfId="1" applyNumberFormat="1" applyFont="1" applyBorder="1"/>
    <xf numFmtId="0" fontId="0" fillId="0" borderId="0" xfId="0" applyBorder="1" applyAlignment="1">
      <alignment horizontal="center"/>
    </xf>
    <xf numFmtId="14" fontId="0" fillId="45" borderId="0" xfId="0" applyNumberFormat="1" applyFill="1" applyAlignment="1">
      <alignment horizontal="left"/>
    </xf>
    <xf numFmtId="0" fontId="0" fillId="45" borderId="0" xfId="0" applyFill="1"/>
    <xf numFmtId="168" fontId="0" fillId="45" borderId="0" xfId="0" applyNumberFormat="1" applyFill="1"/>
    <xf numFmtId="16" fontId="0" fillId="0" borderId="1" xfId="0" applyNumberFormat="1" applyFill="1" applyBorder="1"/>
    <xf numFmtId="14" fontId="0" fillId="46" borderId="0" xfId="0" applyNumberFormat="1" applyFill="1" applyAlignment="1">
      <alignment horizontal="left"/>
    </xf>
    <xf numFmtId="168" fontId="0" fillId="46" borderId="0" xfId="0" applyNumberFormat="1" applyFill="1"/>
    <xf numFmtId="0" fontId="0" fillId="46" borderId="0" xfId="0" applyFill="1"/>
    <xf numFmtId="0" fontId="13" fillId="43" borderId="1" xfId="0" applyFont="1" applyFill="1" applyBorder="1" applyAlignment="1">
      <alignment horizontal="center"/>
    </xf>
    <xf numFmtId="0" fontId="13" fillId="0" borderId="7" xfId="0" applyFont="1" applyBorder="1"/>
    <xf numFmtId="164" fontId="1" fillId="0" borderId="0" xfId="0" applyNumberFormat="1" applyFont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right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1" fillId="0" borderId="1" xfId="0" applyFont="1" applyBorder="1" applyAlignment="1">
      <alignment horizontal="right"/>
    </xf>
    <xf numFmtId="0" fontId="19" fillId="20" borderId="1" xfId="0" applyFont="1" applyFill="1" applyBorder="1" applyAlignment="1">
      <alignment horizontal="center"/>
    </xf>
    <xf numFmtId="0" fontId="19" fillId="20" borderId="2" xfId="0" applyFont="1" applyFill="1" applyBorder="1" applyAlignment="1">
      <alignment horizontal="center"/>
    </xf>
    <xf numFmtId="0" fontId="19" fillId="20" borderId="3" xfId="0" applyFont="1" applyFill="1" applyBorder="1" applyAlignment="1">
      <alignment horizontal="center"/>
    </xf>
    <xf numFmtId="0" fontId="19" fillId="20" borderId="4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6" borderId="4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1" fillId="0" borderId="4" xfId="0" applyFont="1" applyBorder="1" applyAlignment="1">
      <alignment horizontal="right"/>
    </xf>
    <xf numFmtId="0" fontId="2" fillId="8" borderId="2" xfId="0" applyFont="1" applyFill="1" applyBorder="1" applyAlignment="1">
      <alignment horizontal="center"/>
    </xf>
    <xf numFmtId="0" fontId="2" fillId="8" borderId="3" xfId="0" applyFont="1" applyFill="1" applyBorder="1" applyAlignment="1">
      <alignment horizontal="center"/>
    </xf>
    <xf numFmtId="0" fontId="2" fillId="8" borderId="4" xfId="0" applyFont="1" applyFill="1" applyBorder="1" applyAlignment="1">
      <alignment horizontal="center"/>
    </xf>
    <xf numFmtId="165" fontId="2" fillId="3" borderId="2" xfId="1" applyNumberFormat="1" applyFont="1" applyFill="1" applyBorder="1" applyAlignment="1">
      <alignment horizontal="center"/>
    </xf>
    <xf numFmtId="165" fontId="2" fillId="3" borderId="3" xfId="1" applyNumberFormat="1" applyFont="1" applyFill="1" applyBorder="1" applyAlignment="1">
      <alignment horizontal="center"/>
    </xf>
    <xf numFmtId="165" fontId="2" fillId="3" borderId="4" xfId="1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9" borderId="1" xfId="0" applyFont="1" applyFill="1" applyBorder="1" applyAlignment="1">
      <alignment horizontal="right"/>
    </xf>
    <xf numFmtId="0" fontId="1" fillId="0" borderId="32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33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9" fillId="0" borderId="23" xfId="0" applyFont="1" applyBorder="1" applyAlignment="1">
      <alignment horizontal="right" vertical="center" wrapText="1"/>
    </xf>
    <xf numFmtId="0" fontId="9" fillId="0" borderId="30" xfId="0" applyFont="1" applyBorder="1" applyAlignment="1">
      <alignment horizontal="right" vertical="center" wrapText="1"/>
    </xf>
    <xf numFmtId="0" fontId="9" fillId="0" borderId="24" xfId="0" applyFont="1" applyBorder="1" applyAlignment="1">
      <alignment horizontal="right" vertical="center" wrapText="1"/>
    </xf>
    <xf numFmtId="0" fontId="9" fillId="0" borderId="22" xfId="0" applyFont="1" applyBorder="1" applyAlignment="1">
      <alignment horizontal="center" wrapText="1"/>
    </xf>
    <xf numFmtId="0" fontId="9" fillId="0" borderId="9" xfId="0" applyFont="1" applyBorder="1" applyAlignment="1">
      <alignment horizontal="center" wrapText="1"/>
    </xf>
    <xf numFmtId="0" fontId="9" fillId="0" borderId="10" xfId="0" applyFont="1" applyBorder="1" applyAlignment="1">
      <alignment horizontal="center" wrapText="1"/>
    </xf>
    <xf numFmtId="0" fontId="9" fillId="10" borderId="22" xfId="0" applyFont="1" applyFill="1" applyBorder="1" applyAlignment="1">
      <alignment horizontal="center" wrapText="1"/>
    </xf>
    <xf numFmtId="0" fontId="9" fillId="10" borderId="10" xfId="0" applyFont="1" applyFill="1" applyBorder="1" applyAlignment="1">
      <alignment horizont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9" fillId="0" borderId="23" xfId="0" applyFont="1" applyBorder="1" applyAlignment="1">
      <alignment vertical="center" wrapText="1"/>
    </xf>
    <xf numFmtId="0" fontId="9" fillId="0" borderId="24" xfId="0" applyFont="1" applyBorder="1" applyAlignment="1">
      <alignment vertical="center" wrapText="1"/>
    </xf>
    <xf numFmtId="0" fontId="9" fillId="15" borderId="25" xfId="0" applyFont="1" applyFill="1" applyBorder="1" applyAlignment="1">
      <alignment vertical="center" wrapText="1"/>
    </xf>
    <xf numFmtId="0" fontId="9" fillId="15" borderId="26" xfId="0" applyFont="1" applyFill="1" applyBorder="1" applyAlignment="1">
      <alignment vertical="center" wrapText="1"/>
    </xf>
    <xf numFmtId="0" fontId="9" fillId="15" borderId="27" xfId="0" applyFont="1" applyFill="1" applyBorder="1" applyAlignment="1">
      <alignment vertical="center" wrapText="1"/>
    </xf>
    <xf numFmtId="0" fontId="9" fillId="15" borderId="28" xfId="0" applyFont="1" applyFill="1" applyBorder="1" applyAlignment="1">
      <alignment vertical="center" wrapText="1"/>
    </xf>
    <xf numFmtId="0" fontId="9" fillId="16" borderId="27" xfId="0" applyFont="1" applyFill="1" applyBorder="1" applyAlignment="1">
      <alignment vertical="center" wrapText="1"/>
    </xf>
    <xf numFmtId="0" fontId="9" fillId="16" borderId="28" xfId="0" applyFont="1" applyFill="1" applyBorder="1" applyAlignment="1">
      <alignment vertical="center" wrapText="1"/>
    </xf>
    <xf numFmtId="0" fontId="9" fillId="10" borderId="29" xfId="0" applyFont="1" applyFill="1" applyBorder="1" applyAlignment="1">
      <alignment vertical="center" wrapText="1"/>
    </xf>
    <xf numFmtId="0" fontId="9" fillId="10" borderId="13" xfId="0" applyFont="1" applyFill="1" applyBorder="1" applyAlignment="1">
      <alignment vertical="center" wrapText="1"/>
    </xf>
    <xf numFmtId="0" fontId="9" fillId="0" borderId="29" xfId="0" applyFont="1" applyBorder="1" applyAlignment="1">
      <alignment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13" fillId="0" borderId="31" xfId="0" applyFont="1" applyBorder="1" applyAlignment="1">
      <alignment horizontal="center"/>
    </xf>
  </cellXfs>
  <cellStyles count="10">
    <cellStyle name="Comma" xfId="2" builtinId="3"/>
    <cellStyle name="Currency" xfId="1" builtinId="4"/>
    <cellStyle name="Currency 2" xfId="8" xr:uid="{C99DB25F-3112-460F-AAD5-684F12DB988D}"/>
    <cellStyle name="Hyperlink" xfId="6" builtinId="8"/>
    <cellStyle name="Hyperlink 2" xfId="5" xr:uid="{E629BB19-1721-4035-AED2-E8F963DB326E}"/>
    <cellStyle name="Hyperlink 3" xfId="9" xr:uid="{711D77DC-8FAE-4D97-AA5C-3611A5581FD0}"/>
    <cellStyle name="Normal" xfId="0" builtinId="0"/>
    <cellStyle name="Normal 2" xfId="4" xr:uid="{CB1C368E-A2C6-4DB0-BA64-BAA9EB2E6186}"/>
    <cellStyle name="Normal 3" xfId="7" xr:uid="{48141D22-E4A1-4AA9-9728-D36287C85528}"/>
    <cellStyle name="Percent" xfId="3" builtinId="5"/>
  </cellStyles>
  <dxfs count="1251"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sharedStrings" Target="sharedStrings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theme" Target="theme/theme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styles" Target="styles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calcChain" Target="calcChain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2.xml.rels><?xml version="1.0" encoding="UTF-8" standalone="yes"?>
<Relationships xmlns="http://schemas.openxmlformats.org/package/2006/relationships"><Relationship Id="rId13" Type="http://schemas.openxmlformats.org/officeDocument/2006/relationships/hyperlink" Target="mailto:savagetacostruck@gmail.com" TargetMode="External"/><Relationship Id="rId18" Type="http://schemas.openxmlformats.org/officeDocument/2006/relationships/hyperlink" Target="mailto:bunzgourmetburgers@gmail.com" TargetMode="External"/><Relationship Id="rId26" Type="http://schemas.openxmlformats.org/officeDocument/2006/relationships/hyperlink" Target="mailto:unclealbbq@gmail.com" TargetMode="External"/><Relationship Id="rId39" Type="http://schemas.openxmlformats.org/officeDocument/2006/relationships/hyperlink" Target="mailto:info@sugoitaliano.com" TargetMode="External"/><Relationship Id="rId21" Type="http://schemas.openxmlformats.org/officeDocument/2006/relationships/hyperlink" Target="mailto:mleatsla@gmail.com" TargetMode="External"/><Relationship Id="rId34" Type="http://schemas.openxmlformats.org/officeDocument/2006/relationships/hyperlink" Target="mailto:somethinggoodla@gmail.com" TargetMode="External"/><Relationship Id="rId42" Type="http://schemas.openxmlformats.org/officeDocument/2006/relationships/hyperlink" Target="mailto:bollywoodbites@yahoo.com" TargetMode="External"/><Relationship Id="rId47" Type="http://schemas.openxmlformats.org/officeDocument/2006/relationships/comments" Target="../comments3.xml"/><Relationship Id="rId7" Type="http://schemas.openxmlformats.org/officeDocument/2006/relationships/hyperlink" Target="mailto:lalockedownbbq@gmail.com" TargetMode="External"/><Relationship Id="rId2" Type="http://schemas.openxmlformats.org/officeDocument/2006/relationships/hyperlink" Target="mailto:bisonburgertruck@gmail.com" TargetMode="External"/><Relationship Id="rId16" Type="http://schemas.openxmlformats.org/officeDocument/2006/relationships/hyperlink" Target="mailto:lori@babysbadassburgers.com" TargetMode="External"/><Relationship Id="rId29" Type="http://schemas.openxmlformats.org/officeDocument/2006/relationships/hyperlink" Target="mailto:manuelr@bittiebitez.com" TargetMode="External"/><Relationship Id="rId1" Type="http://schemas.openxmlformats.org/officeDocument/2006/relationships/hyperlink" Target="mailto:info@bellysslidersandwings.com" TargetMode="External"/><Relationship Id="rId6" Type="http://schemas.openxmlformats.org/officeDocument/2006/relationships/hyperlink" Target="mailto:pepesredtacos@gmail.com" TargetMode="External"/><Relationship Id="rId11" Type="http://schemas.openxmlformats.org/officeDocument/2006/relationships/hyperlink" Target="mailto:pinchofflavor@gmail.com" TargetMode="External"/><Relationship Id="rId24" Type="http://schemas.openxmlformats.org/officeDocument/2006/relationships/hyperlink" Target="mailto:eddie@kogibbq.com" TargetMode="External"/><Relationship Id="rId32" Type="http://schemas.openxmlformats.org/officeDocument/2006/relationships/hyperlink" Target="mailto:lizzcontreras11@gmail.com" TargetMode="External"/><Relationship Id="rId37" Type="http://schemas.openxmlformats.org/officeDocument/2006/relationships/hyperlink" Target="mailto:streetsofvietnamtruck@gmail.com" TargetMode="External"/><Relationship Id="rId40" Type="http://schemas.openxmlformats.org/officeDocument/2006/relationships/hyperlink" Target="mailto:westsidebanhmi@gmail.com" TargetMode="External"/><Relationship Id="rId45" Type="http://schemas.openxmlformats.org/officeDocument/2006/relationships/printerSettings" Target="../printerSettings/printerSettings401.bin"/><Relationship Id="rId5" Type="http://schemas.openxmlformats.org/officeDocument/2006/relationships/hyperlink" Target="mailto:flaminhotchicken@gmail.com" TargetMode="External"/><Relationship Id="rId15" Type="http://schemas.openxmlformats.org/officeDocument/2006/relationships/hyperlink" Target="mailto:info@tokyostylefoodtruck.com" TargetMode="External"/><Relationship Id="rId23" Type="http://schemas.openxmlformats.org/officeDocument/2006/relationships/hyperlink" Target="mailto:coop@goodeatsnvibes.com" TargetMode="External"/><Relationship Id="rId28" Type="http://schemas.openxmlformats.org/officeDocument/2006/relationships/hyperlink" Target="mailto:alohafridaysla@aol.com" TargetMode="External"/><Relationship Id="rId36" Type="http://schemas.openxmlformats.org/officeDocument/2006/relationships/hyperlink" Target="mailto:thefixonwheels@gmail.com" TargetMode="External"/><Relationship Id="rId10" Type="http://schemas.openxmlformats.org/officeDocument/2006/relationships/hyperlink" Target="mailto:chefjasonm@gmail.com" TargetMode="External"/><Relationship Id="rId19" Type="http://schemas.openxmlformats.org/officeDocument/2006/relationships/hyperlink" Target="mailto:Main@perumikhuna.com" TargetMode="External"/><Relationship Id="rId31" Type="http://schemas.openxmlformats.org/officeDocument/2006/relationships/hyperlink" Target="mailto:sweetsonwheels2016@gmail.com" TargetMode="External"/><Relationship Id="rId44" Type="http://schemas.openxmlformats.org/officeDocument/2006/relationships/hyperlink" Target="mailto:kevin@klein-consultingservices.com" TargetMode="External"/><Relationship Id="rId4" Type="http://schemas.openxmlformats.org/officeDocument/2006/relationships/hyperlink" Target="mailto:cerdavegatacos@gmail.com" TargetMode="External"/><Relationship Id="rId9" Type="http://schemas.openxmlformats.org/officeDocument/2006/relationships/hyperlink" Target="mailto:pepesredtacos@gmail.com" TargetMode="External"/><Relationship Id="rId14" Type="http://schemas.openxmlformats.org/officeDocument/2006/relationships/hyperlink" Target="mailto:foodtruck@stoutburgersandbeers.com" TargetMode="External"/><Relationship Id="rId22" Type="http://schemas.openxmlformats.org/officeDocument/2006/relationships/hyperlink" Target="mailto:chris@chefchristzorin.com" TargetMode="External"/><Relationship Id="rId27" Type="http://schemas.openxmlformats.org/officeDocument/2006/relationships/hyperlink" Target="mailto:salpiconshopfruit@gmail.com" TargetMode="External"/><Relationship Id="rId30" Type="http://schemas.openxmlformats.org/officeDocument/2006/relationships/hyperlink" Target="mailto:jacobwoo@egrouptrading.com" TargetMode="External"/><Relationship Id="rId35" Type="http://schemas.openxmlformats.org/officeDocument/2006/relationships/hyperlink" Target="mailto:gofusionngrill@gmail.com" TargetMode="External"/><Relationship Id="rId43" Type="http://schemas.openxmlformats.org/officeDocument/2006/relationships/hyperlink" Target="mailto:a.karagiannakis@lovegreekcuisine.com" TargetMode="External"/><Relationship Id="rId8" Type="http://schemas.openxmlformats.org/officeDocument/2006/relationships/hyperlink" Target="mailto:originalherbivore@gmail.com" TargetMode="External"/><Relationship Id="rId3" Type="http://schemas.openxmlformats.org/officeDocument/2006/relationships/hyperlink" Target="mailto:thetacocartella@gmail.com" TargetMode="External"/><Relationship Id="rId12" Type="http://schemas.openxmlformats.org/officeDocument/2006/relationships/hyperlink" Target="mailto:eh@poutinebrothers.com" TargetMode="External"/><Relationship Id="rId17" Type="http://schemas.openxmlformats.org/officeDocument/2006/relationships/hyperlink" Target="mailto:wafltruck@gmail.com" TargetMode="External"/><Relationship Id="rId25" Type="http://schemas.openxmlformats.org/officeDocument/2006/relationships/hyperlink" Target="mailto:Chefandy02@gmail.com" TargetMode="External"/><Relationship Id="rId33" Type="http://schemas.openxmlformats.org/officeDocument/2006/relationships/hyperlink" Target="mailto:isaacjckim@gmail.com" TargetMode="External"/><Relationship Id="rId38" Type="http://schemas.openxmlformats.org/officeDocument/2006/relationships/hyperlink" Target="mailto:heritagelafoodtruck@gmail.com" TargetMode="External"/><Relationship Id="rId46" Type="http://schemas.openxmlformats.org/officeDocument/2006/relationships/vmlDrawing" Target="../drawings/vmlDrawing3.vml"/><Relationship Id="rId20" Type="http://schemas.openxmlformats.org/officeDocument/2006/relationships/hyperlink" Target="mailto:stopbyecafe@gmail.com" TargetMode="External"/><Relationship Id="rId41" Type="http://schemas.openxmlformats.org/officeDocument/2006/relationships/hyperlink" Target="mailto:riceballsoffire@gmail.com" TargetMode="External"/></Relationships>
</file>

<file path=xl/worksheets/_rels/sheet403.xml.rels><?xml version="1.0" encoding="UTF-8" standalone="yes"?>
<Relationships xmlns="http://schemas.openxmlformats.org/package/2006/relationships"><Relationship Id="rId8" Type="http://schemas.openxmlformats.org/officeDocument/2006/relationships/hyperlink" Target="mailto:lizzcontreras11@gmail.com" TargetMode="External"/><Relationship Id="rId13" Type="http://schemas.openxmlformats.org/officeDocument/2006/relationships/hyperlink" Target="mailto:originalherbivore@gmail.com" TargetMode="External"/><Relationship Id="rId18" Type="http://schemas.openxmlformats.org/officeDocument/2006/relationships/hyperlink" Target="mailto:salpiconshopfruit@gmail.com" TargetMode="External"/><Relationship Id="rId26" Type="http://schemas.openxmlformats.org/officeDocument/2006/relationships/hyperlink" Target="mailto:thefixonwheels@gmail.com" TargetMode="External"/><Relationship Id="rId3" Type="http://schemas.openxmlformats.org/officeDocument/2006/relationships/hyperlink" Target="mailto:lori@babysbadassburgers.com" TargetMode="External"/><Relationship Id="rId21" Type="http://schemas.openxmlformats.org/officeDocument/2006/relationships/hyperlink" Target="mailto:info@tokyostylefoodtruck.com" TargetMode="External"/><Relationship Id="rId7" Type="http://schemas.openxmlformats.org/officeDocument/2006/relationships/hyperlink" Target="mailto:cerdavegatacos@gmail.com" TargetMode="External"/><Relationship Id="rId12" Type="http://schemas.openxmlformats.org/officeDocument/2006/relationships/hyperlink" Target="mailto:eddie@kogibbq.com" TargetMode="External"/><Relationship Id="rId17" Type="http://schemas.openxmlformats.org/officeDocument/2006/relationships/hyperlink" Target="mailto:eh@poutinebrothers.com" TargetMode="External"/><Relationship Id="rId25" Type="http://schemas.openxmlformats.org/officeDocument/2006/relationships/hyperlink" Target="mailto:sweetsonwheels2016@gmail.com" TargetMode="External"/><Relationship Id="rId2" Type="http://schemas.openxmlformats.org/officeDocument/2006/relationships/hyperlink" Target="mailto:bisonburgertruck@gmail.com" TargetMode="External"/><Relationship Id="rId16" Type="http://schemas.openxmlformats.org/officeDocument/2006/relationships/hyperlink" Target="mailto:pinchofflavor@gmail.com" TargetMode="External"/><Relationship Id="rId20" Type="http://schemas.openxmlformats.org/officeDocument/2006/relationships/hyperlink" Target="mailto:jacobwoo@egrouptrading.com" TargetMode="External"/><Relationship Id="rId1" Type="http://schemas.openxmlformats.org/officeDocument/2006/relationships/hyperlink" Target="mailto:info@bellysslidersandwings.com" TargetMode="External"/><Relationship Id="rId6" Type="http://schemas.openxmlformats.org/officeDocument/2006/relationships/hyperlink" Target="mailto:thetacocartella@gmail.com" TargetMode="External"/><Relationship Id="rId11" Type="http://schemas.openxmlformats.org/officeDocument/2006/relationships/hyperlink" Target="mailto:mleatsla@gmail.com" TargetMode="External"/><Relationship Id="rId24" Type="http://schemas.openxmlformats.org/officeDocument/2006/relationships/hyperlink" Target="mailto:unclealbbq@gmail.com" TargetMode="External"/><Relationship Id="rId5" Type="http://schemas.openxmlformats.org/officeDocument/2006/relationships/hyperlink" Target="mailto:manuelr@bittiebitez.com" TargetMode="External"/><Relationship Id="rId15" Type="http://schemas.openxmlformats.org/officeDocument/2006/relationships/hyperlink" Target="mailto:chefjasonm@gmail.com" TargetMode="External"/><Relationship Id="rId23" Type="http://schemas.openxmlformats.org/officeDocument/2006/relationships/hyperlink" Target="mailto:stopbyecafe@gmail.com" TargetMode="External"/><Relationship Id="rId10" Type="http://schemas.openxmlformats.org/officeDocument/2006/relationships/hyperlink" Target="mailto:gofusionngrill@gmail.com" TargetMode="External"/><Relationship Id="rId19" Type="http://schemas.openxmlformats.org/officeDocument/2006/relationships/hyperlink" Target="mailto:savagetacostruck@gmail.com" TargetMode="External"/><Relationship Id="rId4" Type="http://schemas.openxmlformats.org/officeDocument/2006/relationships/hyperlink" Target="mailto:alohafridaysla@aol.com" TargetMode="External"/><Relationship Id="rId9" Type="http://schemas.openxmlformats.org/officeDocument/2006/relationships/hyperlink" Target="mailto:flaminhotchicken@gmail.com" TargetMode="External"/><Relationship Id="rId14" Type="http://schemas.openxmlformats.org/officeDocument/2006/relationships/hyperlink" Target="mailto:isaacjckim@gmail.com" TargetMode="External"/><Relationship Id="rId22" Type="http://schemas.openxmlformats.org/officeDocument/2006/relationships/hyperlink" Target="mailto:wafltruck@gmail.com" TargetMode="External"/><Relationship Id="rId27" Type="http://schemas.openxmlformats.org/officeDocument/2006/relationships/hyperlink" Target="mailto:streetsofvietnamtruck@gmail.com" TargetMode="Externa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20D93-78B6-430E-9553-F3D718194DE6}">
  <sheetPr codeName="Sheet1">
    <pageSetUpPr fitToPage="1"/>
  </sheetPr>
  <dimension ref="B2:H46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24.42578125" style="934" bestFit="1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44728</v>
      </c>
      <c r="F2" s="1247"/>
      <c r="G2" s="1247"/>
      <c r="H2" s="1247"/>
    </row>
    <row r="3" spans="2:8">
      <c r="B3" s="936"/>
      <c r="C3" s="936"/>
    </row>
    <row r="4" spans="2:8">
      <c r="B4" s="936"/>
      <c r="C4" s="936"/>
    </row>
    <row r="5" spans="2:8">
      <c r="B5" s="936"/>
      <c r="C5" s="936"/>
    </row>
    <row r="6" spans="2:8" ht="19.5">
      <c r="B6" s="940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974" customFormat="1">
      <c r="B8" s="1251"/>
      <c r="C8" s="1251"/>
      <c r="D8" s="1252"/>
      <c r="E8" s="1254"/>
    </row>
    <row r="9" spans="2:8" ht="20.100000000000001" customHeight="1">
      <c r="B9" s="973" t="s">
        <v>281</v>
      </c>
      <c r="C9" s="975" t="s">
        <v>16</v>
      </c>
      <c r="D9" s="964">
        <v>93</v>
      </c>
      <c r="E9" s="965">
        <f>D9*9.5</f>
        <v>883.5</v>
      </c>
    </row>
    <row r="10" spans="2:8" ht="20.100000000000001" customHeight="1">
      <c r="B10" s="973" t="s">
        <v>250</v>
      </c>
      <c r="C10" s="975" t="s">
        <v>16</v>
      </c>
      <c r="D10" s="943">
        <v>242</v>
      </c>
      <c r="E10" s="961">
        <f>D10*9.5</f>
        <v>2299</v>
      </c>
    </row>
    <row r="11" spans="2:8" ht="20.100000000000001" customHeight="1">
      <c r="B11" s="973" t="s">
        <v>243</v>
      </c>
      <c r="C11" s="975" t="s">
        <v>16</v>
      </c>
      <c r="D11" s="943">
        <v>119</v>
      </c>
      <c r="E11" s="961">
        <f t="shared" ref="E11:E12" si="0">D11*9.5</f>
        <v>1130.5</v>
      </c>
    </row>
    <row r="12" spans="2:8" ht="20.100000000000001" customHeight="1">
      <c r="B12" s="973" t="s">
        <v>49</v>
      </c>
      <c r="C12" s="975" t="s">
        <v>16</v>
      </c>
      <c r="D12" s="943">
        <v>232</v>
      </c>
      <c r="E12" s="961">
        <f t="shared" si="0"/>
        <v>2204</v>
      </c>
    </row>
    <row r="13" spans="2:8" ht="20.100000000000001" customHeight="1">
      <c r="B13" s="971" t="s">
        <v>70</v>
      </c>
      <c r="C13" s="975" t="s">
        <v>16</v>
      </c>
      <c r="D13" s="943">
        <v>212</v>
      </c>
      <c r="E13" s="961">
        <f>D13*9.5</f>
        <v>2014</v>
      </c>
    </row>
    <row r="14" spans="2:8" ht="20.100000000000001" customHeight="1">
      <c r="B14" s="972"/>
      <c r="C14" s="972" t="s">
        <v>26</v>
      </c>
      <c r="D14" s="958"/>
      <c r="E14" s="959">
        <f>D14*9.5</f>
        <v>0</v>
      </c>
    </row>
    <row r="15" spans="2:8" ht="20.100000000000001" customHeight="1">
      <c r="B15" s="1255" t="s">
        <v>24</v>
      </c>
      <c r="C15" s="1255"/>
      <c r="D15" s="964">
        <f>SUM(D9:D14)</f>
        <v>898</v>
      </c>
      <c r="E15" s="965">
        <f>D15*9.5</f>
        <v>8531</v>
      </c>
    </row>
    <row r="17" spans="2:5" ht="19.5">
      <c r="B17" s="941" t="s">
        <v>21</v>
      </c>
      <c r="C17" s="1256" t="s">
        <v>46</v>
      </c>
      <c r="D17" s="1257"/>
      <c r="E17" s="1258"/>
    </row>
    <row r="18" spans="2:5" ht="15" customHeight="1">
      <c r="B18" s="1251" t="s">
        <v>0</v>
      </c>
      <c r="C18" s="1251" t="s">
        <v>1</v>
      </c>
      <c r="D18" s="1252" t="s">
        <v>40</v>
      </c>
      <c r="E18" s="1253" t="s">
        <v>31</v>
      </c>
    </row>
    <row r="19" spans="2:5" s="974" customFormat="1">
      <c r="B19" s="1251"/>
      <c r="C19" s="1251"/>
      <c r="D19" s="1252"/>
      <c r="E19" s="1254"/>
    </row>
    <row r="20" spans="2:5" ht="20.100000000000001" customHeight="1">
      <c r="B20" s="972"/>
      <c r="C20" s="972" t="s">
        <v>16</v>
      </c>
      <c r="D20" s="958"/>
      <c r="E20" s="959">
        <f>D20*9.5</f>
        <v>0</v>
      </c>
    </row>
    <row r="21" spans="2:5" ht="20.100000000000001" customHeight="1">
      <c r="B21" s="972"/>
      <c r="C21" s="972" t="s">
        <v>16</v>
      </c>
      <c r="D21" s="958"/>
      <c r="E21" s="959">
        <f>D21*9.5</f>
        <v>0</v>
      </c>
    </row>
    <row r="22" spans="2:5" ht="20.100000000000001" customHeight="1">
      <c r="B22" s="972"/>
      <c r="C22" s="972"/>
      <c r="D22" s="958"/>
      <c r="E22" s="959">
        <f>D22*10</f>
        <v>0</v>
      </c>
    </row>
    <row r="23" spans="2:5" ht="20.100000000000001" customHeight="1">
      <c r="B23" s="972"/>
      <c r="C23" s="972" t="s">
        <v>26</v>
      </c>
      <c r="D23" s="958"/>
      <c r="E23" s="959">
        <f>D23*9.5</f>
        <v>0</v>
      </c>
    </row>
    <row r="24" spans="2:5" ht="20.100000000000001" customHeight="1">
      <c r="B24" s="972"/>
      <c r="C24" s="972" t="s">
        <v>26</v>
      </c>
      <c r="D24" s="958"/>
      <c r="E24" s="959">
        <f>D24*9.5</f>
        <v>0</v>
      </c>
    </row>
    <row r="25" spans="2:5" ht="20.100000000000001" customHeight="1">
      <c r="B25" s="1259" t="s">
        <v>24</v>
      </c>
      <c r="C25" s="1259"/>
      <c r="D25" s="937">
        <f>SUM(D20:D24)</f>
        <v>0</v>
      </c>
      <c r="E25" s="954">
        <f>D25*9.5</f>
        <v>0</v>
      </c>
    </row>
    <row r="26" spans="2:5">
      <c r="B26" s="944"/>
      <c r="C26" s="944"/>
      <c r="D26" s="945"/>
      <c r="E26" s="945"/>
    </row>
    <row r="27" spans="2:5" ht="19.5">
      <c r="B27" s="946" t="s">
        <v>28</v>
      </c>
      <c r="C27" s="1264" t="s">
        <v>165</v>
      </c>
      <c r="D27" s="1265"/>
      <c r="E27" s="1266"/>
    </row>
    <row r="28" spans="2:5" ht="15" customHeight="1">
      <c r="B28" s="1251" t="s">
        <v>0</v>
      </c>
      <c r="C28" s="1251" t="s">
        <v>1</v>
      </c>
      <c r="D28" s="1252" t="s">
        <v>40</v>
      </c>
      <c r="E28" s="1253" t="s">
        <v>31</v>
      </c>
    </row>
    <row r="29" spans="2:5">
      <c r="B29" s="1251"/>
      <c r="C29" s="1251"/>
      <c r="D29" s="1252"/>
      <c r="E29" s="1254"/>
    </row>
    <row r="30" spans="2:5">
      <c r="B30" s="972"/>
      <c r="C30" s="972" t="s">
        <v>26</v>
      </c>
      <c r="D30" s="958"/>
      <c r="E30" s="959">
        <f>D30*9.5</f>
        <v>0</v>
      </c>
    </row>
    <row r="31" spans="2:5">
      <c r="B31" s="972"/>
      <c r="C31" s="972" t="s">
        <v>16</v>
      </c>
      <c r="D31" s="958"/>
      <c r="E31" s="959">
        <f>D31*9.5</f>
        <v>0</v>
      </c>
    </row>
    <row r="32" spans="2:5">
      <c r="B32" s="966"/>
      <c r="C32" s="972" t="s">
        <v>71</v>
      </c>
      <c r="D32" s="958"/>
      <c r="E32" s="959">
        <f>D32*9.5</f>
        <v>0</v>
      </c>
    </row>
    <row r="33" spans="2:5">
      <c r="B33" s="966"/>
      <c r="C33" s="972" t="s">
        <v>71</v>
      </c>
      <c r="D33" s="958"/>
      <c r="E33" s="959">
        <f>D33*9.5</f>
        <v>0</v>
      </c>
    </row>
    <row r="34" spans="2:5" ht="20.100000000000001" customHeight="1">
      <c r="B34" s="1259" t="s">
        <v>24</v>
      </c>
      <c r="C34" s="1259"/>
      <c r="D34" s="937">
        <f>SUM(D30:D33)</f>
        <v>0</v>
      </c>
      <c r="E34" s="954">
        <f>D34*9.5</f>
        <v>0</v>
      </c>
    </row>
    <row r="35" spans="2:5" ht="19.5">
      <c r="B35" s="1260" t="s">
        <v>200</v>
      </c>
      <c r="C35" s="1260"/>
      <c r="D35" s="1260"/>
      <c r="E35" s="1260"/>
    </row>
    <row r="36" spans="2:5">
      <c r="B36" s="950"/>
      <c r="C36" s="952" t="s">
        <v>34</v>
      </c>
      <c r="D36" s="952" t="s">
        <v>35</v>
      </c>
      <c r="E36" s="952" t="s">
        <v>37</v>
      </c>
    </row>
    <row r="37" spans="2:5">
      <c r="B37" s="953" t="s">
        <v>39</v>
      </c>
      <c r="C37" s="955">
        <f>D15</f>
        <v>898</v>
      </c>
      <c r="D37" s="956">
        <f>D25</f>
        <v>0</v>
      </c>
      <c r="E37" s="956">
        <f>D34</f>
        <v>0</v>
      </c>
    </row>
    <row r="38" spans="2:5">
      <c r="B38" s="953" t="s">
        <v>36</v>
      </c>
      <c r="C38" s="951">
        <f>C37*9.5</f>
        <v>8531</v>
      </c>
      <c r="D38" s="951">
        <f>D37*9.5</f>
        <v>0</v>
      </c>
      <c r="E38" s="951">
        <f>E37*9.5</f>
        <v>0</v>
      </c>
    </row>
    <row r="39" spans="2:5" ht="19.5">
      <c r="B39" s="1261" t="s">
        <v>199</v>
      </c>
      <c r="C39" s="1262"/>
      <c r="D39" s="1262"/>
      <c r="E39" s="1263"/>
    </row>
    <row r="40" spans="2:5">
      <c r="B40" s="377" t="s">
        <v>198</v>
      </c>
      <c r="C40" s="378">
        <f>C37+D37+E37</f>
        <v>898</v>
      </c>
      <c r="D40" s="378" t="s">
        <v>253</v>
      </c>
      <c r="E40" s="381">
        <f>C40*9.5</f>
        <v>8531</v>
      </c>
    </row>
    <row r="41" spans="2:5">
      <c r="B41" s="377" t="s">
        <v>197</v>
      </c>
      <c r="C41" s="378">
        <f>C42-C40</f>
        <v>-212</v>
      </c>
      <c r="D41" s="378" t="s">
        <v>204</v>
      </c>
      <c r="E41" s="381">
        <f>C41*9</f>
        <v>-1908</v>
      </c>
    </row>
    <row r="42" spans="2:5" ht="19.5">
      <c r="B42" s="941" t="s">
        <v>201</v>
      </c>
      <c r="C42" s="380">
        <f>'Patron Counts v Swipes'!D490</f>
        <v>686</v>
      </c>
      <c r="D42" s="380" t="s">
        <v>202</v>
      </c>
      <c r="E42" s="379">
        <f>SUM(E40+E41)</f>
        <v>6623</v>
      </c>
    </row>
    <row r="44" spans="2:5">
      <c r="B44" s="938" t="s">
        <v>5</v>
      </c>
      <c r="C44" s="947"/>
    </row>
    <row r="45" spans="2:5">
      <c r="B45" s="948" t="s">
        <v>4</v>
      </c>
      <c r="C45" s="949"/>
    </row>
    <row r="46" spans="2:5">
      <c r="B46" s="948" t="s">
        <v>25</v>
      </c>
      <c r="C46" s="949"/>
    </row>
  </sheetData>
  <mergeCells count="22">
    <mergeCell ref="B34:C34"/>
    <mergeCell ref="B35:E35"/>
    <mergeCell ref="B39:E39"/>
    <mergeCell ref="B25:C25"/>
    <mergeCell ref="C27:E27"/>
    <mergeCell ref="B28:B29"/>
    <mergeCell ref="C28:C29"/>
    <mergeCell ref="D28:D29"/>
    <mergeCell ref="E28:E29"/>
    <mergeCell ref="B15:C15"/>
    <mergeCell ref="C17:E17"/>
    <mergeCell ref="B18:B19"/>
    <mergeCell ref="C18:C19"/>
    <mergeCell ref="D18:D19"/>
    <mergeCell ref="E18:E19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A6E7E-97E7-48F7-A566-E0EF5E3CE056}">
  <sheetPr codeName="Sheet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24.42578125" style="934" bestFit="1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44727</v>
      </c>
      <c r="F2" s="1247"/>
      <c r="G2" s="1247"/>
      <c r="H2" s="1247"/>
    </row>
    <row r="3" spans="2:8">
      <c r="B3" s="936"/>
      <c r="C3" s="936"/>
    </row>
    <row r="4" spans="2:8">
      <c r="B4" s="936"/>
      <c r="C4" s="936"/>
    </row>
    <row r="5" spans="2:8">
      <c r="B5" s="936"/>
      <c r="C5" s="936"/>
    </row>
    <row r="6" spans="2:8" ht="19.5">
      <c r="B6" s="940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974" customFormat="1">
      <c r="B8" s="1251"/>
      <c r="C8" s="1251"/>
      <c r="D8" s="1252"/>
      <c r="E8" s="1254"/>
    </row>
    <row r="9" spans="2:8" ht="20.100000000000001" customHeight="1">
      <c r="B9" s="973" t="s">
        <v>250</v>
      </c>
      <c r="C9" s="975" t="s">
        <v>16</v>
      </c>
      <c r="D9" s="964">
        <v>84</v>
      </c>
      <c r="E9" s="965">
        <f>D9*9.5</f>
        <v>798</v>
      </c>
    </row>
    <row r="10" spans="2:8" ht="20.100000000000001" customHeight="1">
      <c r="B10" s="973" t="s">
        <v>45</v>
      </c>
      <c r="C10" s="975" t="s">
        <v>16</v>
      </c>
      <c r="D10" s="943">
        <v>87</v>
      </c>
      <c r="E10" s="961">
        <f>D10*9.5</f>
        <v>826.5</v>
      </c>
    </row>
    <row r="11" spans="2:8" ht="20.100000000000001" customHeight="1">
      <c r="B11" s="971" t="s">
        <v>322</v>
      </c>
      <c r="C11" s="975" t="s">
        <v>16</v>
      </c>
      <c r="D11" s="943">
        <v>101</v>
      </c>
      <c r="E11" s="961">
        <f>D11*9.5</f>
        <v>959.5</v>
      </c>
    </row>
    <row r="12" spans="2:8" ht="20.100000000000001" customHeight="1">
      <c r="B12" s="972"/>
      <c r="C12" s="972" t="s">
        <v>26</v>
      </c>
      <c r="D12" s="958"/>
      <c r="E12" s="959">
        <f>D12*9.5</f>
        <v>0</v>
      </c>
    </row>
    <row r="13" spans="2:8" ht="20.100000000000001" customHeight="1">
      <c r="B13" s="1255" t="s">
        <v>24</v>
      </c>
      <c r="C13" s="1255"/>
      <c r="D13" s="964">
        <f>SUM(D9:D12)</f>
        <v>272</v>
      </c>
      <c r="E13" s="965">
        <f>D13*9.5</f>
        <v>2584</v>
      </c>
    </row>
    <row r="15" spans="2:8" ht="19.5">
      <c r="B15" s="941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974" customFormat="1">
      <c r="B17" s="1251"/>
      <c r="C17" s="1251"/>
      <c r="D17" s="1252"/>
      <c r="E17" s="1254"/>
    </row>
    <row r="18" spans="2:5" ht="20.100000000000001" customHeight="1">
      <c r="B18" s="972"/>
      <c r="C18" s="972" t="s">
        <v>16</v>
      </c>
      <c r="D18" s="958"/>
      <c r="E18" s="959">
        <f>D18*9.5</f>
        <v>0</v>
      </c>
    </row>
    <row r="19" spans="2:5" ht="20.100000000000001" customHeight="1">
      <c r="B19" s="972"/>
      <c r="C19" s="972" t="s">
        <v>16</v>
      </c>
      <c r="D19" s="958"/>
      <c r="E19" s="959">
        <f>D19*9.5</f>
        <v>0</v>
      </c>
    </row>
    <row r="20" spans="2:5" ht="20.100000000000001" customHeight="1">
      <c r="B20" s="972"/>
      <c r="C20" s="972"/>
      <c r="D20" s="958"/>
      <c r="E20" s="959">
        <f>D20*10</f>
        <v>0</v>
      </c>
    </row>
    <row r="21" spans="2:5" ht="20.100000000000001" customHeight="1">
      <c r="B21" s="972"/>
      <c r="C21" s="972" t="s">
        <v>26</v>
      </c>
      <c r="D21" s="958"/>
      <c r="E21" s="959">
        <f>D21*9.5</f>
        <v>0</v>
      </c>
    </row>
    <row r="22" spans="2:5" ht="20.100000000000001" customHeight="1">
      <c r="B22" s="972"/>
      <c r="C22" s="972" t="s">
        <v>26</v>
      </c>
      <c r="D22" s="958"/>
      <c r="E22" s="959">
        <f>D22*9.5</f>
        <v>0</v>
      </c>
    </row>
    <row r="23" spans="2:5" ht="20.100000000000001" customHeight="1">
      <c r="B23" s="1259" t="s">
        <v>24</v>
      </c>
      <c r="C23" s="1259"/>
      <c r="D23" s="937">
        <f>SUM(D18:D22)</f>
        <v>0</v>
      </c>
      <c r="E23" s="954">
        <f>D23*9.5</f>
        <v>0</v>
      </c>
    </row>
    <row r="24" spans="2:5">
      <c r="B24" s="944"/>
      <c r="C24" s="944"/>
      <c r="D24" s="945"/>
      <c r="E24" s="945"/>
    </row>
    <row r="25" spans="2:5" ht="19.5">
      <c r="B25" s="946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972"/>
      <c r="C28" s="972" t="s">
        <v>26</v>
      </c>
      <c r="D28" s="958"/>
      <c r="E28" s="959">
        <f>D28*9.5</f>
        <v>0</v>
      </c>
    </row>
    <row r="29" spans="2:5">
      <c r="B29" s="972"/>
      <c r="C29" s="972" t="s">
        <v>16</v>
      </c>
      <c r="D29" s="958"/>
      <c r="E29" s="959">
        <f>D29*9.5</f>
        <v>0</v>
      </c>
    </row>
    <row r="30" spans="2:5">
      <c r="B30" s="966"/>
      <c r="C30" s="972" t="s">
        <v>71</v>
      </c>
      <c r="D30" s="958"/>
      <c r="E30" s="959">
        <f>D30*9.5</f>
        <v>0</v>
      </c>
    </row>
    <row r="31" spans="2:5">
      <c r="B31" s="966"/>
      <c r="C31" s="972" t="s">
        <v>71</v>
      </c>
      <c r="D31" s="958"/>
      <c r="E31" s="959">
        <f>D31*9.5</f>
        <v>0</v>
      </c>
    </row>
    <row r="32" spans="2:5" ht="20.100000000000001" customHeight="1">
      <c r="B32" s="1259" t="s">
        <v>24</v>
      </c>
      <c r="C32" s="1259"/>
      <c r="D32" s="937">
        <f>SUM(D28:D31)</f>
        <v>0</v>
      </c>
      <c r="E32" s="954">
        <f>D32*9.5</f>
        <v>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D13</f>
        <v>272</v>
      </c>
      <c r="D35" s="956">
        <f>D23</f>
        <v>0</v>
      </c>
      <c r="E35" s="956">
        <f>D32</f>
        <v>0</v>
      </c>
    </row>
    <row r="36" spans="2:5">
      <c r="B36" s="953" t="s">
        <v>36</v>
      </c>
      <c r="C36" s="951">
        <f>C35*9.5</f>
        <v>2584</v>
      </c>
      <c r="D36" s="951">
        <f>D35*9.5</f>
        <v>0</v>
      </c>
      <c r="E36" s="951">
        <f>E35*9.5</f>
        <v>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272</v>
      </c>
      <c r="D38" s="378" t="s">
        <v>253</v>
      </c>
      <c r="E38" s="381">
        <f>C38*9.5</f>
        <v>2584</v>
      </c>
    </row>
    <row r="39" spans="2:5">
      <c r="B39" s="377" t="s">
        <v>197</v>
      </c>
      <c r="C39" s="378">
        <f>C40-C38</f>
        <v>0</v>
      </c>
      <c r="D39" s="378" t="s">
        <v>204</v>
      </c>
      <c r="E39" s="381">
        <f>C39*9</f>
        <v>0</v>
      </c>
    </row>
    <row r="40" spans="2:5" ht="19.5">
      <c r="B40" s="941" t="s">
        <v>201</v>
      </c>
      <c r="C40" s="380">
        <f>'Patron Counts v Swipes'!D484</f>
        <v>272</v>
      </c>
      <c r="D40" s="380" t="s">
        <v>202</v>
      </c>
      <c r="E40" s="379">
        <f>SUM(E38+E39)</f>
        <v>2584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BE3D4-D0CB-41DD-B3BE-B01B05ADAEDF}">
  <sheetPr codeName="Sheet3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24.42578125" style="934" bestFit="1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44726</v>
      </c>
      <c r="F2" s="1247"/>
      <c r="G2" s="1247"/>
      <c r="H2" s="1247"/>
    </row>
    <row r="3" spans="2:8">
      <c r="B3" s="936"/>
      <c r="C3" s="936"/>
    </row>
    <row r="4" spans="2:8">
      <c r="B4" s="936"/>
      <c r="C4" s="936"/>
    </row>
    <row r="5" spans="2:8">
      <c r="B5" s="936"/>
      <c r="C5" s="936"/>
    </row>
    <row r="6" spans="2:8" ht="19.5">
      <c r="B6" s="940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974" customFormat="1">
      <c r="B8" s="1251"/>
      <c r="C8" s="1251"/>
      <c r="D8" s="1252"/>
      <c r="E8" s="1254"/>
    </row>
    <row r="9" spans="2:8" ht="20.100000000000001" customHeight="1">
      <c r="B9" s="973" t="s">
        <v>321</v>
      </c>
      <c r="C9" s="975" t="s">
        <v>16</v>
      </c>
      <c r="D9" s="964">
        <v>111</v>
      </c>
      <c r="E9" s="965">
        <f>D9*9.5</f>
        <v>1054.5</v>
      </c>
    </row>
    <row r="10" spans="2:8" ht="20.100000000000001" customHeight="1">
      <c r="B10" s="973" t="s">
        <v>82</v>
      </c>
      <c r="C10" s="975" t="s">
        <v>16</v>
      </c>
      <c r="D10" s="943">
        <v>56</v>
      </c>
      <c r="E10" s="961">
        <f>D10*9.5</f>
        <v>532</v>
      </c>
    </row>
    <row r="11" spans="2:8" ht="20.100000000000001" customHeight="1">
      <c r="B11" s="971" t="s">
        <v>65</v>
      </c>
      <c r="C11" s="975" t="s">
        <v>16</v>
      </c>
      <c r="D11" s="943">
        <v>76</v>
      </c>
      <c r="E11" s="961">
        <f>D11*9.5</f>
        <v>722</v>
      </c>
    </row>
    <row r="12" spans="2:8" ht="20.100000000000001" customHeight="1">
      <c r="B12" s="972"/>
      <c r="C12" s="972" t="s">
        <v>26</v>
      </c>
      <c r="D12" s="958"/>
      <c r="E12" s="959">
        <f>D12*9.5</f>
        <v>0</v>
      </c>
    </row>
    <row r="13" spans="2:8" ht="20.100000000000001" customHeight="1">
      <c r="B13" s="1255" t="s">
        <v>24</v>
      </c>
      <c r="C13" s="1255"/>
      <c r="D13" s="964">
        <f>SUM(D9:D12)</f>
        <v>243</v>
      </c>
      <c r="E13" s="965">
        <f>D13*9.5</f>
        <v>2308.5</v>
      </c>
    </row>
    <row r="15" spans="2:8" ht="19.5">
      <c r="B15" s="941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974" customFormat="1">
      <c r="B17" s="1251"/>
      <c r="C17" s="1251"/>
      <c r="D17" s="1252"/>
      <c r="E17" s="1254"/>
    </row>
    <row r="18" spans="2:5" ht="20.100000000000001" customHeight="1">
      <c r="B18" s="972"/>
      <c r="C18" s="972" t="s">
        <v>16</v>
      </c>
      <c r="D18" s="958"/>
      <c r="E18" s="959">
        <f>D18*9.5</f>
        <v>0</v>
      </c>
    </row>
    <row r="19" spans="2:5" ht="20.100000000000001" customHeight="1">
      <c r="B19" s="972"/>
      <c r="C19" s="972" t="s">
        <v>16</v>
      </c>
      <c r="D19" s="958"/>
      <c r="E19" s="959">
        <f>D19*9.5</f>
        <v>0</v>
      </c>
    </row>
    <row r="20" spans="2:5" ht="20.100000000000001" customHeight="1">
      <c r="B20" s="972"/>
      <c r="C20" s="972"/>
      <c r="D20" s="958"/>
      <c r="E20" s="959">
        <f>D20*10</f>
        <v>0</v>
      </c>
    </row>
    <row r="21" spans="2:5" ht="20.100000000000001" customHeight="1">
      <c r="B21" s="972"/>
      <c r="C21" s="972" t="s">
        <v>26</v>
      </c>
      <c r="D21" s="958"/>
      <c r="E21" s="959">
        <f>D21*9.5</f>
        <v>0</v>
      </c>
    </row>
    <row r="22" spans="2:5" ht="20.100000000000001" customHeight="1">
      <c r="B22" s="972"/>
      <c r="C22" s="972" t="s">
        <v>26</v>
      </c>
      <c r="D22" s="958"/>
      <c r="E22" s="959">
        <f>D22*9.5</f>
        <v>0</v>
      </c>
    </row>
    <row r="23" spans="2:5" ht="20.100000000000001" customHeight="1">
      <c r="B23" s="1259" t="s">
        <v>24</v>
      </c>
      <c r="C23" s="1259"/>
      <c r="D23" s="937">
        <f>SUM(D18:D22)</f>
        <v>0</v>
      </c>
      <c r="E23" s="954">
        <f>D23*9.5</f>
        <v>0</v>
      </c>
    </row>
    <row r="24" spans="2:5">
      <c r="B24" s="944"/>
      <c r="C24" s="944"/>
      <c r="D24" s="945"/>
      <c r="E24" s="945"/>
    </row>
    <row r="25" spans="2:5" ht="19.5">
      <c r="B25" s="946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972"/>
      <c r="C28" s="972" t="s">
        <v>26</v>
      </c>
      <c r="D28" s="958"/>
      <c r="E28" s="959">
        <f>D28*9.5</f>
        <v>0</v>
      </c>
    </row>
    <row r="29" spans="2:5">
      <c r="B29" s="972"/>
      <c r="C29" s="972" t="s">
        <v>16</v>
      </c>
      <c r="D29" s="958"/>
      <c r="E29" s="959">
        <f>D29*9.5</f>
        <v>0</v>
      </c>
    </row>
    <row r="30" spans="2:5">
      <c r="B30" s="966"/>
      <c r="C30" s="972" t="s">
        <v>71</v>
      </c>
      <c r="D30" s="958"/>
      <c r="E30" s="959">
        <f>D30*9.5</f>
        <v>0</v>
      </c>
    </row>
    <row r="31" spans="2:5">
      <c r="B31" s="966"/>
      <c r="C31" s="972" t="s">
        <v>71</v>
      </c>
      <c r="D31" s="958"/>
      <c r="E31" s="959">
        <f>D31*9.5</f>
        <v>0</v>
      </c>
    </row>
    <row r="32" spans="2:5" ht="20.100000000000001" customHeight="1">
      <c r="B32" s="1259" t="s">
        <v>24</v>
      </c>
      <c r="C32" s="1259"/>
      <c r="D32" s="937">
        <f>SUM(D28:D31)</f>
        <v>0</v>
      </c>
      <c r="E32" s="954">
        <f>D32*9.5</f>
        <v>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D13</f>
        <v>243</v>
      </c>
      <c r="D35" s="956">
        <f>D23</f>
        <v>0</v>
      </c>
      <c r="E35" s="956">
        <f>D32</f>
        <v>0</v>
      </c>
    </row>
    <row r="36" spans="2:5">
      <c r="B36" s="953" t="s">
        <v>36</v>
      </c>
      <c r="C36" s="951">
        <f>C35*9.5</f>
        <v>2308.5</v>
      </c>
      <c r="D36" s="951">
        <f>D35*9.5</f>
        <v>0</v>
      </c>
      <c r="E36" s="951">
        <f>E35*9.5</f>
        <v>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243</v>
      </c>
      <c r="D38" s="378" t="s">
        <v>253</v>
      </c>
      <c r="E38" s="381">
        <f>C38*9.5</f>
        <v>2308.5</v>
      </c>
    </row>
    <row r="39" spans="2:5">
      <c r="B39" s="377" t="s">
        <v>197</v>
      </c>
      <c r="C39" s="378">
        <f>C40-C38</f>
        <v>0</v>
      </c>
      <c r="D39" s="378" t="s">
        <v>204</v>
      </c>
      <c r="E39" s="381">
        <f>C39*9</f>
        <v>0</v>
      </c>
    </row>
    <row r="40" spans="2:5" ht="19.5">
      <c r="B40" s="941" t="s">
        <v>201</v>
      </c>
      <c r="C40" s="380">
        <f>'Patron Counts v Swipes'!D478</f>
        <v>243</v>
      </c>
      <c r="D40" s="380" t="s">
        <v>202</v>
      </c>
      <c r="E40" s="379">
        <f>SUM(E38+E39)</f>
        <v>2308.5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62F43-CAF7-43B7-8471-87AE2EC1D65D}">
  <sheetPr codeName="Sheet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24.42578125" style="934" bestFit="1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44725</v>
      </c>
      <c r="F2" s="1247"/>
      <c r="G2" s="1247"/>
      <c r="H2" s="1247"/>
    </row>
    <row r="3" spans="2:8">
      <c r="B3" s="936"/>
      <c r="C3" s="936"/>
    </row>
    <row r="4" spans="2:8">
      <c r="B4" s="936"/>
      <c r="C4" s="936"/>
    </row>
    <row r="5" spans="2:8">
      <c r="B5" s="936"/>
      <c r="C5" s="936"/>
    </row>
    <row r="6" spans="2:8" ht="19.5">
      <c r="B6" s="940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974" customFormat="1">
      <c r="B8" s="1251"/>
      <c r="C8" s="1251"/>
      <c r="D8" s="1252"/>
      <c r="E8" s="1254"/>
    </row>
    <row r="9" spans="2:8" ht="20.100000000000001" customHeight="1">
      <c r="B9" s="973" t="s">
        <v>244</v>
      </c>
      <c r="C9" s="975" t="s">
        <v>16</v>
      </c>
      <c r="D9" s="964">
        <v>39</v>
      </c>
      <c r="E9" s="965">
        <f>D9*9.5</f>
        <v>370.5</v>
      </c>
    </row>
    <row r="10" spans="2:8" ht="20.100000000000001" customHeight="1">
      <c r="B10" s="975" t="s">
        <v>63</v>
      </c>
      <c r="C10" s="975" t="s">
        <v>16</v>
      </c>
      <c r="D10" s="943">
        <v>52</v>
      </c>
      <c r="E10" s="961">
        <f>D10*9.5</f>
        <v>494</v>
      </c>
    </row>
    <row r="11" spans="2:8" ht="20.100000000000001" customHeight="1">
      <c r="B11" s="975" t="s">
        <v>184</v>
      </c>
      <c r="C11" s="975" t="s">
        <v>16</v>
      </c>
      <c r="D11" s="943">
        <v>57</v>
      </c>
      <c r="E11" s="961">
        <f>D11*9.5</f>
        <v>541.5</v>
      </c>
    </row>
    <row r="12" spans="2:8" ht="20.100000000000001" customHeight="1">
      <c r="B12" s="972"/>
      <c r="C12" s="972" t="s">
        <v>26</v>
      </c>
      <c r="D12" s="958"/>
      <c r="E12" s="959">
        <f>D12*9.5</f>
        <v>0</v>
      </c>
    </row>
    <row r="13" spans="2:8" ht="20.100000000000001" customHeight="1">
      <c r="B13" s="1255" t="s">
        <v>24</v>
      </c>
      <c r="C13" s="1255"/>
      <c r="D13" s="964">
        <f>SUM(D9:D12)</f>
        <v>148</v>
      </c>
      <c r="E13" s="965">
        <f>D13*9.5</f>
        <v>1406</v>
      </c>
    </row>
    <row r="15" spans="2:8" ht="19.5">
      <c r="B15" s="941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974" customFormat="1">
      <c r="B17" s="1251"/>
      <c r="C17" s="1251"/>
      <c r="D17" s="1252"/>
      <c r="E17" s="1254"/>
    </row>
    <row r="18" spans="2:5" ht="20.100000000000001" customHeight="1">
      <c r="B18" s="972"/>
      <c r="C18" s="972" t="s">
        <v>16</v>
      </c>
      <c r="D18" s="958"/>
      <c r="E18" s="959">
        <f>D18*9.5</f>
        <v>0</v>
      </c>
    </row>
    <row r="19" spans="2:5" ht="20.100000000000001" customHeight="1">
      <c r="B19" s="972"/>
      <c r="C19" s="972" t="s">
        <v>16</v>
      </c>
      <c r="D19" s="958"/>
      <c r="E19" s="959">
        <f>D19*9.5</f>
        <v>0</v>
      </c>
    </row>
    <row r="20" spans="2:5" ht="20.100000000000001" customHeight="1">
      <c r="B20" s="972"/>
      <c r="C20" s="972"/>
      <c r="D20" s="958"/>
      <c r="E20" s="959">
        <f>D20*10</f>
        <v>0</v>
      </c>
    </row>
    <row r="21" spans="2:5" ht="20.100000000000001" customHeight="1">
      <c r="B21" s="972"/>
      <c r="C21" s="972" t="s">
        <v>26</v>
      </c>
      <c r="D21" s="958"/>
      <c r="E21" s="959">
        <f>D21*9.5</f>
        <v>0</v>
      </c>
    </row>
    <row r="22" spans="2:5" ht="20.100000000000001" customHeight="1">
      <c r="B22" s="972"/>
      <c r="C22" s="972" t="s">
        <v>26</v>
      </c>
      <c r="D22" s="958"/>
      <c r="E22" s="959">
        <f>D22*9.5</f>
        <v>0</v>
      </c>
    </row>
    <row r="23" spans="2:5" ht="20.100000000000001" customHeight="1">
      <c r="B23" s="1259" t="s">
        <v>24</v>
      </c>
      <c r="C23" s="1259"/>
      <c r="D23" s="937">
        <f>SUM(D18:D22)</f>
        <v>0</v>
      </c>
      <c r="E23" s="954">
        <f>D23*9.5</f>
        <v>0</v>
      </c>
    </row>
    <row r="24" spans="2:5">
      <c r="B24" s="944"/>
      <c r="C24" s="944"/>
      <c r="D24" s="945"/>
      <c r="E24" s="945"/>
    </row>
    <row r="25" spans="2:5" ht="19.5">
      <c r="B25" s="946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972"/>
      <c r="C28" s="972" t="s">
        <v>26</v>
      </c>
      <c r="D28" s="958"/>
      <c r="E28" s="959">
        <f>D28*9.5</f>
        <v>0</v>
      </c>
    </row>
    <row r="29" spans="2:5">
      <c r="B29" s="972"/>
      <c r="C29" s="972" t="s">
        <v>16</v>
      </c>
      <c r="D29" s="958"/>
      <c r="E29" s="959">
        <f>D29*9.5</f>
        <v>0</v>
      </c>
    </row>
    <row r="30" spans="2:5">
      <c r="B30" s="966"/>
      <c r="C30" s="972" t="s">
        <v>71</v>
      </c>
      <c r="D30" s="958"/>
      <c r="E30" s="959">
        <f>D30*9.5</f>
        <v>0</v>
      </c>
    </row>
    <row r="31" spans="2:5">
      <c r="B31" s="966"/>
      <c r="C31" s="972" t="s">
        <v>71</v>
      </c>
      <c r="D31" s="958"/>
      <c r="E31" s="959">
        <f>D31*9.5</f>
        <v>0</v>
      </c>
    </row>
    <row r="32" spans="2:5" ht="20.100000000000001" customHeight="1">
      <c r="B32" s="1259" t="s">
        <v>24</v>
      </c>
      <c r="C32" s="1259"/>
      <c r="D32" s="937">
        <f>SUM(D28:D31)</f>
        <v>0</v>
      </c>
      <c r="E32" s="954">
        <f>D32*9.5</f>
        <v>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D13</f>
        <v>148</v>
      </c>
      <c r="D35" s="956">
        <f>D23</f>
        <v>0</v>
      </c>
      <c r="E35" s="956">
        <f>D32</f>
        <v>0</v>
      </c>
    </row>
    <row r="36" spans="2:5">
      <c r="B36" s="953" t="s">
        <v>36</v>
      </c>
      <c r="C36" s="951">
        <f>C35*9.5</f>
        <v>1406</v>
      </c>
      <c r="D36" s="951">
        <f>D35*9.5</f>
        <v>0</v>
      </c>
      <c r="E36" s="951">
        <f>E35*9.5</f>
        <v>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148</v>
      </c>
      <c r="D38" s="378" t="s">
        <v>253</v>
      </c>
      <c r="E38" s="381">
        <f>C38*9.5</f>
        <v>1406</v>
      </c>
    </row>
    <row r="39" spans="2:5">
      <c r="B39" s="377" t="s">
        <v>197</v>
      </c>
      <c r="C39" s="378">
        <f>C40-C38</f>
        <v>0</v>
      </c>
      <c r="D39" s="378" t="s">
        <v>204</v>
      </c>
      <c r="E39" s="381">
        <f>C39*9</f>
        <v>0</v>
      </c>
    </row>
    <row r="40" spans="2:5" ht="19.5">
      <c r="B40" s="941" t="s">
        <v>201</v>
      </c>
      <c r="C40" s="380">
        <f>'Patron Counts v Swipes'!D472</f>
        <v>148</v>
      </c>
      <c r="D40" s="380" t="s">
        <v>202</v>
      </c>
      <c r="E40" s="379">
        <f>SUM(E38+E39)</f>
        <v>1406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929E-9D3C-477A-BFB6-6BB5D7A5F351}">
  <sheetPr codeName="Sheet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24.42578125" style="934" bestFit="1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44724</v>
      </c>
      <c r="F2" s="1247"/>
      <c r="G2" s="1247"/>
      <c r="H2" s="1247"/>
    </row>
    <row r="3" spans="2:8">
      <c r="B3" s="936"/>
      <c r="C3" s="936"/>
    </row>
    <row r="4" spans="2:8">
      <c r="B4" s="936"/>
      <c r="C4" s="936"/>
    </row>
    <row r="5" spans="2:8">
      <c r="B5" s="936"/>
      <c r="C5" s="936"/>
    </row>
    <row r="6" spans="2:8" ht="19.5">
      <c r="B6" s="940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974" customFormat="1">
      <c r="B8" s="1251"/>
      <c r="C8" s="1251"/>
      <c r="D8" s="1252"/>
      <c r="E8" s="1254"/>
    </row>
    <row r="9" spans="2:8" ht="20.100000000000001" customHeight="1">
      <c r="B9" s="973"/>
      <c r="C9" s="973" t="s">
        <v>26</v>
      </c>
      <c r="D9" s="964"/>
      <c r="E9" s="965">
        <f>D9*9.5</f>
        <v>0</v>
      </c>
    </row>
    <row r="10" spans="2:8" ht="20.100000000000001" customHeight="1">
      <c r="B10" s="972"/>
      <c r="C10" s="972" t="s">
        <v>16</v>
      </c>
      <c r="D10" s="958"/>
      <c r="E10" s="959">
        <f>D10*9.5</f>
        <v>0</v>
      </c>
    </row>
    <row r="11" spans="2:8" ht="20.100000000000001" customHeight="1">
      <c r="B11" s="972"/>
      <c r="C11" s="972" t="s">
        <v>26</v>
      </c>
      <c r="D11" s="958"/>
      <c r="E11" s="959">
        <f>D11*9.5</f>
        <v>0</v>
      </c>
    </row>
    <row r="12" spans="2:8" ht="20.100000000000001" customHeight="1">
      <c r="B12" s="972"/>
      <c r="C12" s="972" t="s">
        <v>26</v>
      </c>
      <c r="D12" s="958"/>
      <c r="E12" s="959">
        <f>D12*9.5</f>
        <v>0</v>
      </c>
    </row>
    <row r="13" spans="2:8" ht="20.100000000000001" customHeight="1">
      <c r="B13" s="1255" t="s">
        <v>24</v>
      </c>
      <c r="C13" s="1255"/>
      <c r="D13" s="964">
        <f>SUM(D9:D12)</f>
        <v>0</v>
      </c>
      <c r="E13" s="965">
        <f>D13*9.5</f>
        <v>0</v>
      </c>
    </row>
    <row r="15" spans="2:8" ht="19.5">
      <c r="B15" s="941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974" customFormat="1">
      <c r="B17" s="1251"/>
      <c r="C17" s="1251"/>
      <c r="D17" s="1252"/>
      <c r="E17" s="1254"/>
    </row>
    <row r="18" spans="2:5" ht="20.100000000000001" customHeight="1">
      <c r="B18" s="973"/>
      <c r="C18" s="973" t="s">
        <v>16</v>
      </c>
      <c r="D18" s="964"/>
      <c r="E18" s="965">
        <f>D18*9.5</f>
        <v>0</v>
      </c>
    </row>
    <row r="19" spans="2:5" ht="20.100000000000001" customHeight="1">
      <c r="B19" s="973"/>
      <c r="C19" s="973" t="s">
        <v>16</v>
      </c>
      <c r="D19" s="964"/>
      <c r="E19" s="965">
        <f>D19*9.5</f>
        <v>0</v>
      </c>
    </row>
    <row r="20" spans="2:5" ht="20.100000000000001" customHeight="1">
      <c r="B20" s="972"/>
      <c r="C20" s="972"/>
      <c r="D20" s="958"/>
      <c r="E20" s="959">
        <f>D20*10</f>
        <v>0</v>
      </c>
    </row>
    <row r="21" spans="2:5" ht="20.100000000000001" customHeight="1">
      <c r="B21" s="971"/>
      <c r="C21" s="975" t="s">
        <v>26</v>
      </c>
      <c r="D21" s="943"/>
      <c r="E21" s="961">
        <f>D21*9.5</f>
        <v>0</v>
      </c>
    </row>
    <row r="22" spans="2:5" ht="20.100000000000001" customHeight="1">
      <c r="B22" s="971"/>
      <c r="C22" s="975" t="s">
        <v>26</v>
      </c>
      <c r="D22" s="943"/>
      <c r="E22" s="961">
        <f>D22*9.5</f>
        <v>0</v>
      </c>
    </row>
    <row r="23" spans="2:5" ht="20.100000000000001" customHeight="1">
      <c r="B23" s="1259" t="s">
        <v>24</v>
      </c>
      <c r="C23" s="1259"/>
      <c r="D23" s="937">
        <f>SUM(D18:D22)</f>
        <v>0</v>
      </c>
      <c r="E23" s="954">
        <f>D23*9.5</f>
        <v>0</v>
      </c>
    </row>
    <row r="24" spans="2:5">
      <c r="B24" s="944"/>
      <c r="C24" s="944"/>
      <c r="D24" s="945"/>
      <c r="E24" s="945"/>
    </row>
    <row r="25" spans="2:5" ht="19.5">
      <c r="B25" s="946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975"/>
      <c r="C28" s="975" t="s">
        <v>26</v>
      </c>
      <c r="D28" s="943"/>
      <c r="E28" s="961">
        <f>D28*9.5</f>
        <v>0</v>
      </c>
    </row>
    <row r="29" spans="2:5">
      <c r="B29" s="975"/>
      <c r="C29" s="975" t="s">
        <v>16</v>
      </c>
      <c r="D29" s="943"/>
      <c r="E29" s="961">
        <f>D29*9.5</f>
        <v>0</v>
      </c>
    </row>
    <row r="30" spans="2:5">
      <c r="B30" s="976"/>
      <c r="C30" s="975" t="s">
        <v>71</v>
      </c>
      <c r="D30" s="943"/>
      <c r="E30" s="961">
        <f>D30*9.5</f>
        <v>0</v>
      </c>
    </row>
    <row r="31" spans="2:5">
      <c r="B31" s="966"/>
      <c r="C31" s="972" t="s">
        <v>71</v>
      </c>
      <c r="D31" s="958"/>
      <c r="E31" s="959">
        <f>D31*9.5</f>
        <v>0</v>
      </c>
    </row>
    <row r="32" spans="2:5" ht="20.100000000000001" customHeight="1">
      <c r="B32" s="1259" t="s">
        <v>24</v>
      </c>
      <c r="C32" s="1259"/>
      <c r="D32" s="937">
        <f>SUM(D28:D31)</f>
        <v>0</v>
      </c>
      <c r="E32" s="954">
        <f>D32*9.5</f>
        <v>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D13</f>
        <v>0</v>
      </c>
      <c r="D35" s="956">
        <f>D23</f>
        <v>0</v>
      </c>
      <c r="E35" s="956">
        <f>D32</f>
        <v>0</v>
      </c>
    </row>
    <row r="36" spans="2:5">
      <c r="B36" s="953" t="s">
        <v>36</v>
      </c>
      <c r="C36" s="951">
        <f>C35*9.5</f>
        <v>0</v>
      </c>
      <c r="D36" s="951">
        <f>D35*9.5</f>
        <v>0</v>
      </c>
      <c r="E36" s="951">
        <f>E35*9.5</f>
        <v>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0</v>
      </c>
      <c r="D38" s="378" t="s">
        <v>253</v>
      </c>
      <c r="E38" s="381">
        <f>C38*9.5</f>
        <v>0</v>
      </c>
    </row>
    <row r="39" spans="2:5">
      <c r="B39" s="377" t="s">
        <v>197</v>
      </c>
      <c r="C39" s="378">
        <f>C40-C38</f>
        <v>0</v>
      </c>
      <c r="D39" s="378" t="s">
        <v>204</v>
      </c>
      <c r="E39" s="381">
        <f>C39*9</f>
        <v>0</v>
      </c>
    </row>
    <row r="40" spans="2:5" ht="19.5">
      <c r="B40" s="941" t="s">
        <v>201</v>
      </c>
      <c r="C40" s="380">
        <f>'Patron Counts v Swipes'!D466</f>
        <v>0</v>
      </c>
      <c r="D40" s="380" t="s">
        <v>202</v>
      </c>
      <c r="E40" s="379">
        <f>SUM(E38+E39)</f>
        <v>0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80973-E7D6-4341-8FCB-89D0EDEE4668}">
  <sheetPr codeName="Sheet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24.42578125" style="934" bestFit="1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44723</v>
      </c>
      <c r="F2" s="1247"/>
      <c r="G2" s="1247"/>
      <c r="H2" s="1247"/>
    </row>
    <row r="3" spans="2:8">
      <c r="B3" s="936"/>
      <c r="C3" s="936"/>
    </row>
    <row r="4" spans="2:8">
      <c r="B4" s="936"/>
      <c r="C4" s="936"/>
    </row>
    <row r="5" spans="2:8">
      <c r="B5" s="936"/>
      <c r="C5" s="936"/>
    </row>
    <row r="6" spans="2:8" ht="19.5">
      <c r="B6" s="940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974" customFormat="1">
      <c r="B8" s="1251"/>
      <c r="C8" s="1251"/>
      <c r="D8" s="1252"/>
      <c r="E8" s="1254"/>
    </row>
    <row r="9" spans="2:8" ht="20.100000000000001" customHeight="1">
      <c r="B9" s="973"/>
      <c r="C9" s="973" t="s">
        <v>26</v>
      </c>
      <c r="D9" s="964"/>
      <c r="E9" s="965">
        <f>D9*9.5</f>
        <v>0</v>
      </c>
    </row>
    <row r="10" spans="2:8" ht="20.100000000000001" customHeight="1">
      <c r="B10" s="972"/>
      <c r="C10" s="972" t="s">
        <v>16</v>
      </c>
      <c r="D10" s="958"/>
      <c r="E10" s="959">
        <f>D10*9.5</f>
        <v>0</v>
      </c>
    </row>
    <row r="11" spans="2:8" ht="20.100000000000001" customHeight="1">
      <c r="B11" s="972"/>
      <c r="C11" s="972" t="s">
        <v>26</v>
      </c>
      <c r="D11" s="958"/>
      <c r="E11" s="959">
        <f>D11*9.5</f>
        <v>0</v>
      </c>
    </row>
    <row r="12" spans="2:8" ht="20.100000000000001" customHeight="1">
      <c r="B12" s="972"/>
      <c r="C12" s="972" t="s">
        <v>26</v>
      </c>
      <c r="D12" s="958"/>
      <c r="E12" s="959">
        <f>D12*9.5</f>
        <v>0</v>
      </c>
    </row>
    <row r="13" spans="2:8" ht="20.100000000000001" customHeight="1">
      <c r="B13" s="1255" t="s">
        <v>24</v>
      </c>
      <c r="C13" s="1255"/>
      <c r="D13" s="964">
        <f>SUM(D9:D12)</f>
        <v>0</v>
      </c>
      <c r="E13" s="965">
        <f>D13*9.5</f>
        <v>0</v>
      </c>
    </row>
    <row r="15" spans="2:8" ht="19.5">
      <c r="B15" s="941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974" customFormat="1">
      <c r="B17" s="1251"/>
      <c r="C17" s="1251"/>
      <c r="D17" s="1252"/>
      <c r="E17" s="1254"/>
    </row>
    <row r="18" spans="2:5" ht="20.100000000000001" customHeight="1">
      <c r="B18" s="973"/>
      <c r="C18" s="973" t="s">
        <v>16</v>
      </c>
      <c r="D18" s="964"/>
      <c r="E18" s="965">
        <f>D18*9.5</f>
        <v>0</v>
      </c>
    </row>
    <row r="19" spans="2:5" ht="20.100000000000001" customHeight="1">
      <c r="B19" s="973"/>
      <c r="C19" s="973" t="s">
        <v>16</v>
      </c>
      <c r="D19" s="964"/>
      <c r="E19" s="965">
        <f>D19*9.5</f>
        <v>0</v>
      </c>
    </row>
    <row r="20" spans="2:5" ht="20.100000000000001" customHeight="1">
      <c r="B20" s="972"/>
      <c r="C20" s="972"/>
      <c r="D20" s="958"/>
      <c r="E20" s="959">
        <f>D20*10</f>
        <v>0</v>
      </c>
    </row>
    <row r="21" spans="2:5" ht="20.100000000000001" customHeight="1">
      <c r="B21" s="971"/>
      <c r="C21" s="975" t="s">
        <v>26</v>
      </c>
      <c r="D21" s="943"/>
      <c r="E21" s="961">
        <f>D21*9.5</f>
        <v>0</v>
      </c>
    </row>
    <row r="22" spans="2:5" ht="20.100000000000001" customHeight="1">
      <c r="B22" s="971"/>
      <c r="C22" s="975" t="s">
        <v>26</v>
      </c>
      <c r="D22" s="943"/>
      <c r="E22" s="961">
        <f>D22*9.5</f>
        <v>0</v>
      </c>
    </row>
    <row r="23" spans="2:5" ht="20.100000000000001" customHeight="1">
      <c r="B23" s="1259" t="s">
        <v>24</v>
      </c>
      <c r="C23" s="1259"/>
      <c r="D23" s="937">
        <f>SUM(D18:D22)</f>
        <v>0</v>
      </c>
      <c r="E23" s="954">
        <f>D23*9.5</f>
        <v>0</v>
      </c>
    </row>
    <row r="24" spans="2:5">
      <c r="B24" s="944"/>
      <c r="C24" s="944"/>
      <c r="D24" s="945"/>
      <c r="E24" s="945"/>
    </row>
    <row r="25" spans="2:5" ht="19.5">
      <c r="B25" s="946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975"/>
      <c r="C28" s="975" t="s">
        <v>26</v>
      </c>
      <c r="D28" s="943"/>
      <c r="E28" s="961">
        <f>D28*9.5</f>
        <v>0</v>
      </c>
    </row>
    <row r="29" spans="2:5">
      <c r="B29" s="975"/>
      <c r="C29" s="975" t="s">
        <v>16</v>
      </c>
      <c r="D29" s="943"/>
      <c r="E29" s="961">
        <f>D29*9.5</f>
        <v>0</v>
      </c>
    </row>
    <row r="30" spans="2:5">
      <c r="B30" s="976"/>
      <c r="C30" s="975" t="s">
        <v>71</v>
      </c>
      <c r="D30" s="943"/>
      <c r="E30" s="961">
        <f>D30*9.5</f>
        <v>0</v>
      </c>
    </row>
    <row r="31" spans="2:5">
      <c r="B31" s="966"/>
      <c r="C31" s="972" t="s">
        <v>71</v>
      </c>
      <c r="D31" s="958"/>
      <c r="E31" s="959">
        <f>D31*9.5</f>
        <v>0</v>
      </c>
    </row>
    <row r="32" spans="2:5" ht="20.100000000000001" customHeight="1">
      <c r="B32" s="1259" t="s">
        <v>24</v>
      </c>
      <c r="C32" s="1259"/>
      <c r="D32" s="937">
        <f>SUM(D28:D31)</f>
        <v>0</v>
      </c>
      <c r="E32" s="954">
        <f>D32*9.5</f>
        <v>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D13</f>
        <v>0</v>
      </c>
      <c r="D35" s="956">
        <f>D23</f>
        <v>0</v>
      </c>
      <c r="E35" s="956">
        <f>D32</f>
        <v>0</v>
      </c>
    </row>
    <row r="36" spans="2:5">
      <c r="B36" s="953" t="s">
        <v>36</v>
      </c>
      <c r="C36" s="951">
        <f>C35*9.5</f>
        <v>0</v>
      </c>
      <c r="D36" s="951">
        <f>D35*9.5</f>
        <v>0</v>
      </c>
      <c r="E36" s="951">
        <f>E35*9.5</f>
        <v>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0</v>
      </c>
      <c r="D38" s="378" t="s">
        <v>253</v>
      </c>
      <c r="E38" s="381">
        <f>C38*9.5</f>
        <v>0</v>
      </c>
    </row>
    <row r="39" spans="2:5">
      <c r="B39" s="377" t="s">
        <v>197</v>
      </c>
      <c r="C39" s="378">
        <f>C40-C38</f>
        <v>0</v>
      </c>
      <c r="D39" s="378" t="s">
        <v>204</v>
      </c>
      <c r="E39" s="381">
        <f>C39*9</f>
        <v>0</v>
      </c>
    </row>
    <row r="40" spans="2:5" ht="19.5">
      <c r="B40" s="941" t="s">
        <v>201</v>
      </c>
      <c r="C40" s="380">
        <f>'Patron Counts v Swipes'!D460</f>
        <v>0</v>
      </c>
      <c r="D40" s="380" t="s">
        <v>202</v>
      </c>
      <c r="E40" s="379">
        <f>SUM(E38+E39)</f>
        <v>0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4AAE5-7247-44D2-AAE9-A9107DDA04BB}">
  <sheetPr codeName="Sheet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24.42578125" style="934" bestFit="1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44722</v>
      </c>
      <c r="F2" s="1247"/>
      <c r="G2" s="1247"/>
      <c r="H2" s="1247"/>
    </row>
    <row r="3" spans="2:8">
      <c r="B3" s="936"/>
      <c r="C3" s="936"/>
    </row>
    <row r="4" spans="2:8">
      <c r="B4" s="936"/>
      <c r="C4" s="936"/>
    </row>
    <row r="5" spans="2:8">
      <c r="B5" s="936"/>
      <c r="C5" s="936"/>
    </row>
    <row r="6" spans="2:8" ht="19.5">
      <c r="B6" s="940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974" customFormat="1">
      <c r="B8" s="1251"/>
      <c r="C8" s="1251"/>
      <c r="D8" s="1252"/>
      <c r="E8" s="1254"/>
    </row>
    <row r="9" spans="2:8" ht="20.100000000000001" customHeight="1">
      <c r="B9" s="973"/>
      <c r="C9" s="973" t="s">
        <v>26</v>
      </c>
      <c r="D9" s="964"/>
      <c r="E9" s="965">
        <f>D9*9.5</f>
        <v>0</v>
      </c>
    </row>
    <row r="10" spans="2:8" ht="20.100000000000001" customHeight="1">
      <c r="B10" s="972"/>
      <c r="C10" s="972" t="s">
        <v>16</v>
      </c>
      <c r="D10" s="958"/>
      <c r="E10" s="959">
        <f>D10*9.5</f>
        <v>0</v>
      </c>
    </row>
    <row r="11" spans="2:8" ht="20.100000000000001" customHeight="1">
      <c r="B11" s="972"/>
      <c r="C11" s="972" t="s">
        <v>26</v>
      </c>
      <c r="D11" s="958"/>
      <c r="E11" s="959">
        <f>D11*9.5</f>
        <v>0</v>
      </c>
    </row>
    <row r="12" spans="2:8" ht="20.100000000000001" customHeight="1">
      <c r="B12" s="972"/>
      <c r="C12" s="972" t="s">
        <v>26</v>
      </c>
      <c r="D12" s="958"/>
      <c r="E12" s="959">
        <f>D12*9.5</f>
        <v>0</v>
      </c>
    </row>
    <row r="13" spans="2:8" ht="20.100000000000001" customHeight="1">
      <c r="B13" s="1255" t="s">
        <v>24</v>
      </c>
      <c r="C13" s="1255"/>
      <c r="D13" s="964">
        <f>SUM(D9:D12)</f>
        <v>0</v>
      </c>
      <c r="E13" s="965">
        <f>D13*9.5</f>
        <v>0</v>
      </c>
    </row>
    <row r="15" spans="2:8" ht="19.5">
      <c r="B15" s="941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974" customFormat="1">
      <c r="B17" s="1251"/>
      <c r="C17" s="1251"/>
      <c r="D17" s="1252"/>
      <c r="E17" s="1254"/>
    </row>
    <row r="18" spans="2:5" ht="20.100000000000001" customHeight="1">
      <c r="B18" s="973"/>
      <c r="C18" s="973" t="s">
        <v>16</v>
      </c>
      <c r="D18" s="964"/>
      <c r="E18" s="965">
        <f>D18*9.5</f>
        <v>0</v>
      </c>
    </row>
    <row r="19" spans="2:5" ht="20.100000000000001" customHeight="1">
      <c r="B19" s="973"/>
      <c r="C19" s="973" t="s">
        <v>16</v>
      </c>
      <c r="D19" s="964"/>
      <c r="E19" s="965">
        <f>D19*9.5</f>
        <v>0</v>
      </c>
    </row>
    <row r="20" spans="2:5" ht="20.100000000000001" customHeight="1">
      <c r="B20" s="972"/>
      <c r="C20" s="972"/>
      <c r="D20" s="958"/>
      <c r="E20" s="959">
        <f>D20*10</f>
        <v>0</v>
      </c>
    </row>
    <row r="21" spans="2:5" ht="20.100000000000001" customHeight="1">
      <c r="B21" s="971"/>
      <c r="C21" s="975" t="s">
        <v>26</v>
      </c>
      <c r="D21" s="943"/>
      <c r="E21" s="961">
        <f>D21*9.5</f>
        <v>0</v>
      </c>
    </row>
    <row r="22" spans="2:5" ht="20.100000000000001" customHeight="1">
      <c r="B22" s="971"/>
      <c r="C22" s="975" t="s">
        <v>26</v>
      </c>
      <c r="D22" s="943"/>
      <c r="E22" s="961">
        <f>D22*9.5</f>
        <v>0</v>
      </c>
    </row>
    <row r="23" spans="2:5" ht="20.100000000000001" customHeight="1">
      <c r="B23" s="1259" t="s">
        <v>24</v>
      </c>
      <c r="C23" s="1259"/>
      <c r="D23" s="937">
        <f>SUM(D18:D22)</f>
        <v>0</v>
      </c>
      <c r="E23" s="954">
        <f>D23*9.5</f>
        <v>0</v>
      </c>
    </row>
    <row r="24" spans="2:5">
      <c r="B24" s="944"/>
      <c r="C24" s="944"/>
      <c r="D24" s="945"/>
      <c r="E24" s="945"/>
    </row>
    <row r="25" spans="2:5" ht="19.5">
      <c r="B25" s="946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975"/>
      <c r="C28" s="975" t="s">
        <v>26</v>
      </c>
      <c r="D28" s="943"/>
      <c r="E28" s="961">
        <f>D28*9.5</f>
        <v>0</v>
      </c>
    </row>
    <row r="29" spans="2:5">
      <c r="B29" s="975"/>
      <c r="C29" s="975" t="s">
        <v>16</v>
      </c>
      <c r="D29" s="943"/>
      <c r="E29" s="961">
        <f>D29*9.5</f>
        <v>0</v>
      </c>
    </row>
    <row r="30" spans="2:5">
      <c r="B30" s="976"/>
      <c r="C30" s="975" t="s">
        <v>71</v>
      </c>
      <c r="D30" s="943"/>
      <c r="E30" s="961">
        <f>D30*9.5</f>
        <v>0</v>
      </c>
    </row>
    <row r="31" spans="2:5">
      <c r="B31" s="966"/>
      <c r="C31" s="972" t="s">
        <v>71</v>
      </c>
      <c r="D31" s="958"/>
      <c r="E31" s="959">
        <f>D31*9.5</f>
        <v>0</v>
      </c>
    </row>
    <row r="32" spans="2:5" ht="20.100000000000001" customHeight="1">
      <c r="B32" s="1259" t="s">
        <v>24</v>
      </c>
      <c r="C32" s="1259"/>
      <c r="D32" s="937">
        <f>SUM(D28:D31)</f>
        <v>0</v>
      </c>
      <c r="E32" s="954">
        <f>D32*9.5</f>
        <v>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D13</f>
        <v>0</v>
      </c>
      <c r="D35" s="956">
        <f>D23</f>
        <v>0</v>
      </c>
      <c r="E35" s="956">
        <f>D32</f>
        <v>0</v>
      </c>
    </row>
    <row r="36" spans="2:5">
      <c r="B36" s="953" t="s">
        <v>36</v>
      </c>
      <c r="C36" s="951">
        <f>C35*9.5</f>
        <v>0</v>
      </c>
      <c r="D36" s="951">
        <f>D35*9.5</f>
        <v>0</v>
      </c>
      <c r="E36" s="951">
        <f>E35*9.5</f>
        <v>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0</v>
      </c>
      <c r="D38" s="378" t="s">
        <v>253</v>
      </c>
      <c r="E38" s="381">
        <f>C38*9.5</f>
        <v>0</v>
      </c>
    </row>
    <row r="39" spans="2:5">
      <c r="B39" s="377" t="s">
        <v>197</v>
      </c>
      <c r="C39" s="378">
        <f>C40-C38</f>
        <v>1201</v>
      </c>
      <c r="D39" s="378" t="s">
        <v>204</v>
      </c>
      <c r="E39" s="381">
        <f>C39*9</f>
        <v>10809</v>
      </c>
    </row>
    <row r="40" spans="2:5" ht="19.5">
      <c r="B40" s="941" t="s">
        <v>201</v>
      </c>
      <c r="C40" s="380">
        <f>'Patron Counts v Swipes'!D454</f>
        <v>1201</v>
      </c>
      <c r="D40" s="380" t="s">
        <v>202</v>
      </c>
      <c r="E40" s="379">
        <f>SUM(E38+E39)</f>
        <v>10809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7A8A4-0DA2-4E88-82DF-BCBD6036AC71}">
  <sheetPr codeName="Sheet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24.42578125" style="934" bestFit="1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44721</v>
      </c>
      <c r="F2" s="1247"/>
      <c r="G2" s="1247"/>
      <c r="H2" s="1247"/>
    </row>
    <row r="3" spans="2:8">
      <c r="B3" s="936"/>
      <c r="C3" s="936"/>
    </row>
    <row r="4" spans="2:8">
      <c r="B4" s="936"/>
      <c r="C4" s="936"/>
    </row>
    <row r="5" spans="2:8">
      <c r="B5" s="936"/>
      <c r="C5" s="936"/>
    </row>
    <row r="6" spans="2:8" ht="19.5">
      <c r="B6" s="940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974" customFormat="1">
      <c r="B8" s="1251"/>
      <c r="C8" s="1251"/>
      <c r="D8" s="1252"/>
      <c r="E8" s="1254"/>
    </row>
    <row r="9" spans="2:8" ht="20.100000000000001" customHeight="1">
      <c r="B9" s="973"/>
      <c r="C9" s="973" t="s">
        <v>26</v>
      </c>
      <c r="D9" s="964"/>
      <c r="E9" s="965">
        <f>D9*9.5</f>
        <v>0</v>
      </c>
    </row>
    <row r="10" spans="2:8" ht="20.100000000000001" customHeight="1">
      <c r="B10" s="972"/>
      <c r="C10" s="972" t="s">
        <v>16</v>
      </c>
      <c r="D10" s="958"/>
      <c r="E10" s="959">
        <f>D10*9.5</f>
        <v>0</v>
      </c>
    </row>
    <row r="11" spans="2:8" ht="20.100000000000001" customHeight="1">
      <c r="B11" s="972"/>
      <c r="C11" s="972" t="s">
        <v>26</v>
      </c>
      <c r="D11" s="958"/>
      <c r="E11" s="959">
        <f>D11*9.5</f>
        <v>0</v>
      </c>
    </row>
    <row r="12" spans="2:8" ht="20.100000000000001" customHeight="1">
      <c r="B12" s="972"/>
      <c r="C12" s="972" t="s">
        <v>26</v>
      </c>
      <c r="D12" s="958"/>
      <c r="E12" s="959">
        <f>D12*9.5</f>
        <v>0</v>
      </c>
    </row>
    <row r="13" spans="2:8" ht="20.100000000000001" customHeight="1">
      <c r="B13" s="1255" t="s">
        <v>24</v>
      </c>
      <c r="C13" s="1255"/>
      <c r="D13" s="964">
        <f>SUM(D9:D12)</f>
        <v>0</v>
      </c>
      <c r="E13" s="965">
        <f>D13*9.5</f>
        <v>0</v>
      </c>
    </row>
    <row r="15" spans="2:8" ht="19.5">
      <c r="B15" s="941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974" customFormat="1">
      <c r="B17" s="1251"/>
      <c r="C17" s="1251"/>
      <c r="D17" s="1252"/>
      <c r="E17" s="1254"/>
    </row>
    <row r="18" spans="2:5" ht="20.100000000000001" customHeight="1">
      <c r="B18" s="973"/>
      <c r="C18" s="973" t="s">
        <v>16</v>
      </c>
      <c r="D18" s="964"/>
      <c r="E18" s="965">
        <f>D18*9.5</f>
        <v>0</v>
      </c>
    </row>
    <row r="19" spans="2:5" ht="20.100000000000001" customHeight="1">
      <c r="B19" s="973"/>
      <c r="C19" s="973" t="s">
        <v>16</v>
      </c>
      <c r="D19" s="964"/>
      <c r="E19" s="965">
        <f>D19*9.5</f>
        <v>0</v>
      </c>
    </row>
    <row r="20" spans="2:5" ht="20.100000000000001" customHeight="1">
      <c r="B20" s="972"/>
      <c r="C20" s="972"/>
      <c r="D20" s="958"/>
      <c r="E20" s="959">
        <f>D20*10</f>
        <v>0</v>
      </c>
    </row>
    <row r="21" spans="2:5" ht="20.100000000000001" customHeight="1">
      <c r="B21" s="971"/>
      <c r="C21" s="975" t="s">
        <v>26</v>
      </c>
      <c r="D21" s="943"/>
      <c r="E21" s="961">
        <f>D21*9.5</f>
        <v>0</v>
      </c>
    </row>
    <row r="22" spans="2:5" ht="20.100000000000001" customHeight="1">
      <c r="B22" s="971"/>
      <c r="C22" s="975" t="s">
        <v>26</v>
      </c>
      <c r="D22" s="943"/>
      <c r="E22" s="961">
        <f>D22*9.5</f>
        <v>0</v>
      </c>
    </row>
    <row r="23" spans="2:5" ht="20.100000000000001" customHeight="1">
      <c r="B23" s="1259" t="s">
        <v>24</v>
      </c>
      <c r="C23" s="1259"/>
      <c r="D23" s="937">
        <f>SUM(D18:D22)</f>
        <v>0</v>
      </c>
      <c r="E23" s="954">
        <f>D23*9.5</f>
        <v>0</v>
      </c>
    </row>
    <row r="24" spans="2:5">
      <c r="B24" s="944"/>
      <c r="C24" s="944"/>
      <c r="D24" s="945"/>
      <c r="E24" s="945"/>
    </row>
    <row r="25" spans="2:5" ht="19.5">
      <c r="B25" s="946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975"/>
      <c r="C28" s="975" t="s">
        <v>26</v>
      </c>
      <c r="D28" s="943"/>
      <c r="E28" s="961">
        <f>D28*9.5</f>
        <v>0</v>
      </c>
    </row>
    <row r="29" spans="2:5">
      <c r="B29" s="975"/>
      <c r="C29" s="975" t="s">
        <v>16</v>
      </c>
      <c r="D29" s="943"/>
      <c r="E29" s="961">
        <f>D29*9.5</f>
        <v>0</v>
      </c>
    </row>
    <row r="30" spans="2:5">
      <c r="B30" s="976"/>
      <c r="C30" s="975" t="s">
        <v>71</v>
      </c>
      <c r="D30" s="943"/>
      <c r="E30" s="961">
        <f>D30*9.5</f>
        <v>0</v>
      </c>
    </row>
    <row r="31" spans="2:5">
      <c r="B31" s="966"/>
      <c r="C31" s="972" t="s">
        <v>71</v>
      </c>
      <c r="D31" s="958"/>
      <c r="E31" s="959">
        <f>D31*9.5</f>
        <v>0</v>
      </c>
    </row>
    <row r="32" spans="2:5" ht="20.100000000000001" customHeight="1">
      <c r="B32" s="1259" t="s">
        <v>24</v>
      </c>
      <c r="C32" s="1259"/>
      <c r="D32" s="937">
        <f>SUM(D28:D31)</f>
        <v>0</v>
      </c>
      <c r="E32" s="954">
        <f>D32*9.5</f>
        <v>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D13</f>
        <v>0</v>
      </c>
      <c r="D35" s="956">
        <f>D23</f>
        <v>0</v>
      </c>
      <c r="E35" s="956">
        <f>D32</f>
        <v>0</v>
      </c>
    </row>
    <row r="36" spans="2:5">
      <c r="B36" s="953" t="s">
        <v>36</v>
      </c>
      <c r="C36" s="951">
        <f>C35*9.5</f>
        <v>0</v>
      </c>
      <c r="D36" s="951">
        <f>D35*9.5</f>
        <v>0</v>
      </c>
      <c r="E36" s="951">
        <f>E35*9.5</f>
        <v>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0</v>
      </c>
      <c r="D38" s="378" t="s">
        <v>253</v>
      </c>
      <c r="E38" s="381">
        <f>C38*9.5</f>
        <v>0</v>
      </c>
    </row>
    <row r="39" spans="2:5">
      <c r="B39" s="377" t="s">
        <v>197</v>
      </c>
      <c r="C39" s="378">
        <f>C40-C38</f>
        <v>2094</v>
      </c>
      <c r="D39" s="378" t="s">
        <v>204</v>
      </c>
      <c r="E39" s="381">
        <f>C39*9</f>
        <v>18846</v>
      </c>
    </row>
    <row r="40" spans="2:5" ht="19.5">
      <c r="B40" s="941" t="s">
        <v>201</v>
      </c>
      <c r="C40" s="380">
        <f>'Patron Counts v Swipes'!D448</f>
        <v>2094</v>
      </c>
      <c r="D40" s="380" t="s">
        <v>202</v>
      </c>
      <c r="E40" s="379">
        <f>SUM(E38+E39)</f>
        <v>18846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700B-7483-4AE2-9F26-88A82A890C7C}">
  <sheetPr codeName="Sheet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24.42578125" style="934" bestFit="1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44720</v>
      </c>
      <c r="F2" s="1247"/>
      <c r="G2" s="1247"/>
      <c r="H2" s="1247"/>
    </row>
    <row r="3" spans="2:8">
      <c r="B3" s="936"/>
      <c r="C3" s="936"/>
    </row>
    <row r="4" spans="2:8">
      <c r="B4" s="936"/>
      <c r="C4" s="936"/>
    </row>
    <row r="5" spans="2:8">
      <c r="B5" s="936"/>
      <c r="C5" s="936"/>
    </row>
    <row r="6" spans="2:8" ht="19.5">
      <c r="B6" s="940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974" customFormat="1">
      <c r="B8" s="1251"/>
      <c r="C8" s="1251"/>
      <c r="D8" s="1252"/>
      <c r="E8" s="1254"/>
    </row>
    <row r="9" spans="2:8" ht="20.100000000000001" customHeight="1">
      <c r="B9" s="973"/>
      <c r="C9" s="973" t="s">
        <v>26</v>
      </c>
      <c r="D9" s="964"/>
      <c r="E9" s="965">
        <f>D9*9.5</f>
        <v>0</v>
      </c>
    </row>
    <row r="10" spans="2:8" ht="20.100000000000001" customHeight="1">
      <c r="B10" s="972"/>
      <c r="C10" s="972" t="s">
        <v>16</v>
      </c>
      <c r="D10" s="958"/>
      <c r="E10" s="959">
        <f>D10*9.5</f>
        <v>0</v>
      </c>
    </row>
    <row r="11" spans="2:8" ht="20.100000000000001" customHeight="1">
      <c r="B11" s="972"/>
      <c r="C11" s="972" t="s">
        <v>26</v>
      </c>
      <c r="D11" s="958"/>
      <c r="E11" s="959">
        <f>D11*9.5</f>
        <v>0</v>
      </c>
    </row>
    <row r="12" spans="2:8" ht="20.100000000000001" customHeight="1">
      <c r="B12" s="972"/>
      <c r="C12" s="972" t="s">
        <v>26</v>
      </c>
      <c r="D12" s="958"/>
      <c r="E12" s="959">
        <f>D12*9.5</f>
        <v>0</v>
      </c>
    </row>
    <row r="13" spans="2:8" ht="20.100000000000001" customHeight="1">
      <c r="B13" s="1255" t="s">
        <v>24</v>
      </c>
      <c r="C13" s="1255"/>
      <c r="D13" s="964">
        <f>SUM(D9:D12)</f>
        <v>0</v>
      </c>
      <c r="E13" s="965">
        <f>D13*9.5</f>
        <v>0</v>
      </c>
    </row>
    <row r="15" spans="2:8" ht="19.5">
      <c r="B15" s="941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974" customFormat="1">
      <c r="B17" s="1251"/>
      <c r="C17" s="1251"/>
      <c r="D17" s="1252"/>
      <c r="E17" s="1254"/>
    </row>
    <row r="18" spans="2:5" ht="20.100000000000001" customHeight="1">
      <c r="B18" s="973" t="s">
        <v>45</v>
      </c>
      <c r="C18" s="973" t="s">
        <v>16</v>
      </c>
      <c r="D18" s="964">
        <v>463</v>
      </c>
      <c r="E18" s="965">
        <f>D18*9.5</f>
        <v>4398.5</v>
      </c>
    </row>
    <row r="19" spans="2:5" ht="20.100000000000001" customHeight="1">
      <c r="B19" s="973" t="s">
        <v>78</v>
      </c>
      <c r="C19" s="973" t="s">
        <v>16</v>
      </c>
      <c r="D19" s="964">
        <v>141</v>
      </c>
      <c r="E19" s="965">
        <f>D19*9.5</f>
        <v>1339.5</v>
      </c>
    </row>
    <row r="20" spans="2:5" ht="20.100000000000001" customHeight="1">
      <c r="B20" s="972"/>
      <c r="C20" s="972"/>
      <c r="D20" s="958"/>
      <c r="E20" s="959">
        <f>D20*10</f>
        <v>0</v>
      </c>
    </row>
    <row r="21" spans="2:5" ht="20.100000000000001" customHeight="1">
      <c r="B21" s="971" t="s">
        <v>51</v>
      </c>
      <c r="C21" s="975" t="s">
        <v>26</v>
      </c>
      <c r="D21" s="943">
        <v>409</v>
      </c>
      <c r="E21" s="961">
        <f>D21*9.5</f>
        <v>3885.5</v>
      </c>
    </row>
    <row r="22" spans="2:5" ht="20.100000000000001" customHeight="1">
      <c r="B22" s="971" t="s">
        <v>44</v>
      </c>
      <c r="C22" s="975" t="s">
        <v>26</v>
      </c>
      <c r="D22" s="943">
        <v>375</v>
      </c>
      <c r="E22" s="961">
        <f>D22*9.5</f>
        <v>3562.5</v>
      </c>
    </row>
    <row r="23" spans="2:5" ht="20.100000000000001" customHeight="1">
      <c r="B23" s="1259" t="s">
        <v>24</v>
      </c>
      <c r="C23" s="1259"/>
      <c r="D23" s="937">
        <f>SUM(D18:D22)</f>
        <v>1388</v>
      </c>
      <c r="E23" s="954">
        <f>D23*9.5</f>
        <v>13186</v>
      </c>
    </row>
    <row r="24" spans="2:5">
      <c r="B24" s="944"/>
      <c r="C24" s="944"/>
      <c r="D24" s="945"/>
      <c r="E24" s="945"/>
    </row>
    <row r="25" spans="2:5" ht="19.5">
      <c r="B25" s="946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975" t="s">
        <v>300</v>
      </c>
      <c r="C28" s="975" t="s">
        <v>26</v>
      </c>
      <c r="D28" s="943">
        <v>266</v>
      </c>
      <c r="E28" s="961">
        <f>D28*9.5</f>
        <v>2527</v>
      </c>
    </row>
    <row r="29" spans="2:5">
      <c r="B29" s="975" t="s">
        <v>281</v>
      </c>
      <c r="C29" s="975" t="s">
        <v>16</v>
      </c>
      <c r="D29" s="943">
        <v>172</v>
      </c>
      <c r="E29" s="961">
        <f>D29*9.5</f>
        <v>1634</v>
      </c>
    </row>
    <row r="30" spans="2:5">
      <c r="B30" s="976" t="s">
        <v>278</v>
      </c>
      <c r="C30" s="975" t="s">
        <v>71</v>
      </c>
      <c r="D30" s="943">
        <v>535</v>
      </c>
      <c r="E30" s="961">
        <f>D30*9.5</f>
        <v>5082.5</v>
      </c>
    </row>
    <row r="31" spans="2:5">
      <c r="B31" s="966"/>
      <c r="C31" s="972" t="s">
        <v>71</v>
      </c>
      <c r="D31" s="958"/>
      <c r="E31" s="959">
        <f>D31*9.5</f>
        <v>0</v>
      </c>
    </row>
    <row r="32" spans="2:5" ht="20.100000000000001" customHeight="1">
      <c r="B32" s="1259" t="s">
        <v>24</v>
      </c>
      <c r="C32" s="1259"/>
      <c r="D32" s="937">
        <f>SUM(D28:D31)</f>
        <v>973</v>
      </c>
      <c r="E32" s="954">
        <f>D32*9.5</f>
        <v>9243.5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D13</f>
        <v>0</v>
      </c>
      <c r="D35" s="956">
        <f>D23</f>
        <v>1388</v>
      </c>
      <c r="E35" s="956">
        <f>D32</f>
        <v>973</v>
      </c>
    </row>
    <row r="36" spans="2:5">
      <c r="B36" s="953" t="s">
        <v>36</v>
      </c>
      <c r="C36" s="951">
        <f>C35*9.5</f>
        <v>0</v>
      </c>
      <c r="D36" s="951">
        <f>D35*9.5</f>
        <v>13186</v>
      </c>
      <c r="E36" s="951">
        <f>E35*9.5</f>
        <v>9243.5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2361</v>
      </c>
      <c r="D38" s="378" t="s">
        <v>253</v>
      </c>
      <c r="E38" s="381">
        <f>C38*9.5</f>
        <v>22429.5</v>
      </c>
    </row>
    <row r="39" spans="2:5">
      <c r="B39" s="377" t="s">
        <v>197</v>
      </c>
      <c r="C39" s="378">
        <f>C40-C38</f>
        <v>2600</v>
      </c>
      <c r="D39" s="378" t="s">
        <v>204</v>
      </c>
      <c r="E39" s="381">
        <f>C39*9</f>
        <v>23400</v>
      </c>
    </row>
    <row r="40" spans="2:5" ht="19.5">
      <c r="B40" s="941" t="s">
        <v>201</v>
      </c>
      <c r="C40" s="380">
        <f>'Patron Counts v Swipes'!D442</f>
        <v>4961</v>
      </c>
      <c r="D40" s="380" t="s">
        <v>202</v>
      </c>
      <c r="E40" s="379">
        <f>SUM(E38+E39)</f>
        <v>45829.5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99F4C-96BF-42DE-A7A0-09EF2B4583DC}">
  <sheetPr codeName="Sheet1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24.42578125" style="934" bestFit="1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44719</v>
      </c>
      <c r="F2" s="1247"/>
      <c r="G2" s="1247"/>
      <c r="H2" s="1247"/>
    </row>
    <row r="3" spans="2:8">
      <c r="B3" s="936"/>
      <c r="C3" s="936"/>
    </row>
    <row r="4" spans="2:8">
      <c r="B4" s="936"/>
      <c r="C4" s="936"/>
    </row>
    <row r="5" spans="2:8">
      <c r="B5" s="936"/>
      <c r="C5" s="936"/>
    </row>
    <row r="6" spans="2:8" ht="19.5">
      <c r="B6" s="940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974" customFormat="1">
      <c r="B8" s="1251"/>
      <c r="C8" s="1251"/>
      <c r="D8" s="1252"/>
      <c r="E8" s="1254"/>
    </row>
    <row r="9" spans="2:8" ht="20.100000000000001" customHeight="1">
      <c r="B9" s="973"/>
      <c r="C9" s="973" t="s">
        <v>26</v>
      </c>
      <c r="D9" s="964"/>
      <c r="E9" s="965">
        <f>D9*9.5</f>
        <v>0</v>
      </c>
    </row>
    <row r="10" spans="2:8" ht="20.100000000000001" customHeight="1">
      <c r="B10" s="972"/>
      <c r="C10" s="972" t="s">
        <v>16</v>
      </c>
      <c r="D10" s="958"/>
      <c r="E10" s="959">
        <f>D10*9.5</f>
        <v>0</v>
      </c>
    </row>
    <row r="11" spans="2:8" ht="20.100000000000001" customHeight="1">
      <c r="B11" s="972"/>
      <c r="C11" s="972" t="s">
        <v>26</v>
      </c>
      <c r="D11" s="958"/>
      <c r="E11" s="959">
        <f>D11*9.5</f>
        <v>0</v>
      </c>
    </row>
    <row r="12" spans="2:8" ht="20.100000000000001" customHeight="1">
      <c r="B12" s="972"/>
      <c r="C12" s="972" t="s">
        <v>26</v>
      </c>
      <c r="D12" s="958"/>
      <c r="E12" s="959">
        <f>D12*9.5</f>
        <v>0</v>
      </c>
    </row>
    <row r="13" spans="2:8" ht="20.100000000000001" customHeight="1">
      <c r="B13" s="1255" t="s">
        <v>24</v>
      </c>
      <c r="C13" s="1255"/>
      <c r="D13" s="964">
        <f>SUM(D9:D12)</f>
        <v>0</v>
      </c>
      <c r="E13" s="965">
        <f>D13*9.5</f>
        <v>0</v>
      </c>
    </row>
    <row r="15" spans="2:8" ht="19.5">
      <c r="B15" s="941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974" customFormat="1">
      <c r="B17" s="1251"/>
      <c r="C17" s="1251"/>
      <c r="D17" s="1252"/>
      <c r="E17" s="1254"/>
    </row>
    <row r="18" spans="2:5" ht="20.100000000000001" customHeight="1">
      <c r="B18" s="973" t="s">
        <v>53</v>
      </c>
      <c r="C18" s="973" t="s">
        <v>16</v>
      </c>
      <c r="D18" s="964">
        <v>200</v>
      </c>
      <c r="E18" s="965">
        <f>D18*9.5</f>
        <v>1900</v>
      </c>
    </row>
    <row r="19" spans="2:5" ht="20.100000000000001" customHeight="1">
      <c r="B19" s="973" t="s">
        <v>244</v>
      </c>
      <c r="C19" s="973" t="s">
        <v>16</v>
      </c>
      <c r="D19" s="964">
        <v>537</v>
      </c>
      <c r="E19" s="965">
        <f>D19*9.5</f>
        <v>5101.5</v>
      </c>
    </row>
    <row r="20" spans="2:5" ht="20.100000000000001" customHeight="1">
      <c r="B20" s="972"/>
      <c r="C20" s="972"/>
      <c r="D20" s="958"/>
      <c r="E20" s="959">
        <f>D20*10</f>
        <v>0</v>
      </c>
    </row>
    <row r="21" spans="2:5" ht="20.100000000000001" customHeight="1">
      <c r="B21" s="971" t="s">
        <v>303</v>
      </c>
      <c r="C21" s="975" t="s">
        <v>26</v>
      </c>
      <c r="D21" s="943">
        <v>981</v>
      </c>
      <c r="E21" s="961">
        <f>D21*9.5</f>
        <v>9319.5</v>
      </c>
    </row>
    <row r="22" spans="2:5" ht="20.100000000000001" customHeight="1">
      <c r="B22" s="971" t="s">
        <v>250</v>
      </c>
      <c r="C22" s="975" t="s">
        <v>26</v>
      </c>
      <c r="D22" s="943">
        <v>338</v>
      </c>
      <c r="E22" s="961">
        <f>D22*9.5</f>
        <v>3211</v>
      </c>
    </row>
    <row r="23" spans="2:5" ht="20.100000000000001" customHeight="1">
      <c r="B23" s="1259" t="s">
        <v>24</v>
      </c>
      <c r="C23" s="1259"/>
      <c r="D23" s="937">
        <f>SUM(D18:D22)</f>
        <v>2056</v>
      </c>
      <c r="E23" s="954">
        <f>D23*9.5</f>
        <v>19532</v>
      </c>
    </row>
    <row r="24" spans="2:5">
      <c r="B24" s="944"/>
      <c r="C24" s="944"/>
      <c r="D24" s="945"/>
      <c r="E24" s="945"/>
    </row>
    <row r="25" spans="2:5" ht="19.5">
      <c r="B25" s="946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975" t="s">
        <v>65</v>
      </c>
      <c r="C28" s="975" t="s">
        <v>26</v>
      </c>
      <c r="D28" s="943">
        <v>287</v>
      </c>
      <c r="E28" s="961">
        <f>D28*9.5</f>
        <v>2726.5</v>
      </c>
    </row>
    <row r="29" spans="2:5">
      <c r="B29" s="975" t="s">
        <v>235</v>
      </c>
      <c r="C29" s="975" t="s">
        <v>16</v>
      </c>
      <c r="D29" s="943">
        <v>605</v>
      </c>
      <c r="E29" s="961">
        <f>D29*9.5</f>
        <v>5747.5</v>
      </c>
    </row>
    <row r="30" spans="2:5">
      <c r="B30" s="976" t="s">
        <v>53</v>
      </c>
      <c r="C30" s="975" t="s">
        <v>71</v>
      </c>
      <c r="D30" s="943">
        <v>248</v>
      </c>
      <c r="E30" s="961">
        <f>D30*9.5</f>
        <v>2356</v>
      </c>
    </row>
    <row r="31" spans="2:5">
      <c r="B31" s="966"/>
      <c r="C31" s="972" t="s">
        <v>71</v>
      </c>
      <c r="D31" s="958"/>
      <c r="E31" s="959">
        <f>D31*9.5</f>
        <v>0</v>
      </c>
    </row>
    <row r="32" spans="2:5" ht="20.100000000000001" customHeight="1">
      <c r="B32" s="1259" t="s">
        <v>24</v>
      </c>
      <c r="C32" s="1259"/>
      <c r="D32" s="937">
        <f>SUM(D28:D31)</f>
        <v>1140</v>
      </c>
      <c r="E32" s="954">
        <f>D32*9.5</f>
        <v>10830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D13</f>
        <v>0</v>
      </c>
      <c r="D35" s="956">
        <f>D23</f>
        <v>2056</v>
      </c>
      <c r="E35" s="956">
        <f>D32</f>
        <v>1140</v>
      </c>
    </row>
    <row r="36" spans="2:5">
      <c r="B36" s="953" t="s">
        <v>36</v>
      </c>
      <c r="C36" s="951">
        <f>C35*9.5</f>
        <v>0</v>
      </c>
      <c r="D36" s="951">
        <f>D35*9.5</f>
        <v>19532</v>
      </c>
      <c r="E36" s="951">
        <f>E35*9.5</f>
        <v>10830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3196</v>
      </c>
      <c r="D38" s="378" t="s">
        <v>253</v>
      </c>
      <c r="E38" s="381">
        <f>C38*9.5</f>
        <v>30362</v>
      </c>
    </row>
    <row r="39" spans="2:5">
      <c r="B39" s="377" t="s">
        <v>197</v>
      </c>
      <c r="C39" s="378">
        <f>C40-C38</f>
        <v>2571</v>
      </c>
      <c r="D39" s="378" t="s">
        <v>204</v>
      </c>
      <c r="E39" s="381">
        <f>C39*9</f>
        <v>23139</v>
      </c>
    </row>
    <row r="40" spans="2:5" ht="19.5">
      <c r="B40" s="941" t="s">
        <v>201</v>
      </c>
      <c r="C40" s="380">
        <f>'Patron Counts v Swipes'!D436</f>
        <v>5767</v>
      </c>
      <c r="D40" s="380" t="s">
        <v>202</v>
      </c>
      <c r="E40" s="379">
        <f>SUM(E38+E39)</f>
        <v>53501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EBFB5-6147-4DB8-846E-47328358E28B}">
  <sheetPr codeName="Sheet1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24.42578125" style="934" bestFit="1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44718</v>
      </c>
      <c r="F2" s="1247"/>
      <c r="G2" s="1247"/>
      <c r="H2" s="1247"/>
    </row>
    <row r="3" spans="2:8">
      <c r="B3" s="936"/>
      <c r="C3" s="936"/>
    </row>
    <row r="4" spans="2:8">
      <c r="B4" s="936"/>
      <c r="C4" s="936"/>
    </row>
    <row r="5" spans="2:8">
      <c r="B5" s="936"/>
      <c r="C5" s="936"/>
    </row>
    <row r="6" spans="2:8" ht="19.5">
      <c r="B6" s="940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935" customFormat="1">
      <c r="B8" s="1251"/>
      <c r="C8" s="1251"/>
      <c r="D8" s="1252"/>
      <c r="E8" s="1254"/>
    </row>
    <row r="9" spans="2:8" ht="20.100000000000001" customHeight="1">
      <c r="B9" s="969"/>
      <c r="C9" s="969" t="s">
        <v>26</v>
      </c>
      <c r="D9" s="964"/>
      <c r="E9" s="965">
        <f>D9*9.5</f>
        <v>0</v>
      </c>
    </row>
    <row r="10" spans="2:8" ht="20.100000000000001" customHeight="1">
      <c r="B10" s="957"/>
      <c r="C10" s="957" t="s">
        <v>16</v>
      </c>
      <c r="D10" s="958"/>
      <c r="E10" s="959">
        <f>D10*9.5</f>
        <v>0</v>
      </c>
    </row>
    <row r="11" spans="2:8" ht="20.100000000000001" customHeight="1">
      <c r="B11" s="957"/>
      <c r="C11" s="957" t="s">
        <v>26</v>
      </c>
      <c r="D11" s="958"/>
      <c r="E11" s="959">
        <f>D11*9.5</f>
        <v>0</v>
      </c>
    </row>
    <row r="12" spans="2:8" ht="20.100000000000001" customHeight="1">
      <c r="B12" s="957"/>
      <c r="C12" s="957" t="s">
        <v>26</v>
      </c>
      <c r="D12" s="958"/>
      <c r="E12" s="959">
        <f>D12*9.5</f>
        <v>0</v>
      </c>
    </row>
    <row r="13" spans="2:8" ht="20.100000000000001" customHeight="1">
      <c r="B13" s="1255" t="s">
        <v>24</v>
      </c>
      <c r="C13" s="1255"/>
      <c r="D13" s="964">
        <f>SUM(D9:D12)</f>
        <v>0</v>
      </c>
      <c r="E13" s="965">
        <f>D13*9.5</f>
        <v>0</v>
      </c>
    </row>
    <row r="15" spans="2:8" ht="19.5">
      <c r="B15" s="941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935" customFormat="1">
      <c r="B17" s="1251"/>
      <c r="C17" s="1251"/>
      <c r="D17" s="1252"/>
      <c r="E17" s="1254"/>
    </row>
    <row r="18" spans="2:5" ht="20.100000000000001" customHeight="1">
      <c r="B18" s="973" t="s">
        <v>276</v>
      </c>
      <c r="C18" s="969" t="s">
        <v>16</v>
      </c>
      <c r="D18" s="964">
        <v>237</v>
      </c>
      <c r="E18" s="965">
        <f>D18*9.5</f>
        <v>2251.5</v>
      </c>
    </row>
    <row r="19" spans="2:5" ht="20.100000000000001" customHeight="1">
      <c r="B19" s="973" t="s">
        <v>183</v>
      </c>
      <c r="C19" s="969" t="s">
        <v>16</v>
      </c>
      <c r="D19" s="964">
        <v>346</v>
      </c>
      <c r="E19" s="965">
        <f>D19*9.5</f>
        <v>3287</v>
      </c>
    </row>
    <row r="20" spans="2:5" ht="20.100000000000001" customHeight="1">
      <c r="B20" s="972"/>
      <c r="C20" s="957"/>
      <c r="D20" s="958"/>
      <c r="E20" s="959">
        <f>D20*10</f>
        <v>0</v>
      </c>
    </row>
    <row r="21" spans="2:5" ht="20.100000000000001" customHeight="1">
      <c r="B21" s="971" t="s">
        <v>143</v>
      </c>
      <c r="C21" s="960" t="s">
        <v>26</v>
      </c>
      <c r="D21" s="943">
        <v>435</v>
      </c>
      <c r="E21" s="961">
        <f>D21*9.5</f>
        <v>4132.5</v>
      </c>
    </row>
    <row r="22" spans="2:5" ht="20.100000000000001" customHeight="1">
      <c r="B22" s="971" t="s">
        <v>82</v>
      </c>
      <c r="C22" s="960" t="s">
        <v>26</v>
      </c>
      <c r="D22" s="943">
        <v>421</v>
      </c>
      <c r="E22" s="961">
        <f>D22*9.5</f>
        <v>3999.5</v>
      </c>
    </row>
    <row r="23" spans="2:5" ht="20.100000000000001" customHeight="1">
      <c r="B23" s="1259" t="s">
        <v>24</v>
      </c>
      <c r="C23" s="1259"/>
      <c r="D23" s="937">
        <f>SUM(D18:D22)</f>
        <v>1439</v>
      </c>
      <c r="E23" s="954">
        <f>D23*9.5</f>
        <v>13670.5</v>
      </c>
    </row>
    <row r="24" spans="2:5">
      <c r="B24" s="944"/>
      <c r="C24" s="944"/>
      <c r="D24" s="945"/>
      <c r="E24" s="945"/>
    </row>
    <row r="25" spans="2:5" ht="19.5">
      <c r="B25" s="946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975" t="s">
        <v>295</v>
      </c>
      <c r="C28" s="960" t="s">
        <v>26</v>
      </c>
      <c r="D28" s="943">
        <v>340</v>
      </c>
      <c r="E28" s="961">
        <f>D28*9.5</f>
        <v>3230</v>
      </c>
    </row>
    <row r="29" spans="2:5">
      <c r="B29" s="975" t="s">
        <v>235</v>
      </c>
      <c r="C29" s="960" t="s">
        <v>16</v>
      </c>
      <c r="D29" s="943">
        <v>693</v>
      </c>
      <c r="E29" s="961">
        <f>D29*9.5</f>
        <v>6583.5</v>
      </c>
    </row>
    <row r="30" spans="2:5">
      <c r="B30" s="976" t="s">
        <v>56</v>
      </c>
      <c r="C30" s="960" t="s">
        <v>71</v>
      </c>
      <c r="D30" s="943">
        <v>273</v>
      </c>
      <c r="E30" s="961">
        <f>D30*9.5</f>
        <v>2593.5</v>
      </c>
    </row>
    <row r="31" spans="2:5">
      <c r="B31" s="966"/>
      <c r="C31" s="957" t="s">
        <v>71</v>
      </c>
      <c r="D31" s="958"/>
      <c r="E31" s="959">
        <f>D31*9.5</f>
        <v>0</v>
      </c>
    </row>
    <row r="32" spans="2:5" ht="20.100000000000001" customHeight="1">
      <c r="B32" s="1259" t="s">
        <v>24</v>
      </c>
      <c r="C32" s="1259"/>
      <c r="D32" s="937">
        <f>SUM(D28:D31)</f>
        <v>1306</v>
      </c>
      <c r="E32" s="954">
        <f>D32*9.5</f>
        <v>12407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D13</f>
        <v>0</v>
      </c>
      <c r="D35" s="956">
        <f>D23</f>
        <v>1439</v>
      </c>
      <c r="E35" s="956">
        <f>D32</f>
        <v>1306</v>
      </c>
    </row>
    <row r="36" spans="2:5">
      <c r="B36" s="953" t="s">
        <v>36</v>
      </c>
      <c r="C36" s="951">
        <f>C35*9.5</f>
        <v>0</v>
      </c>
      <c r="D36" s="951">
        <f>D35*9.5</f>
        <v>13670.5</v>
      </c>
      <c r="E36" s="951">
        <f>E35*9.5</f>
        <v>12407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2745</v>
      </c>
      <c r="D38" s="378" t="s">
        <v>253</v>
      </c>
      <c r="E38" s="381">
        <f>C38*9.5</f>
        <v>26077.5</v>
      </c>
    </row>
    <row r="39" spans="2:5">
      <c r="B39" s="377" t="s">
        <v>197</v>
      </c>
      <c r="C39" s="378">
        <f>C40-C38</f>
        <v>3080</v>
      </c>
      <c r="D39" s="378" t="s">
        <v>204</v>
      </c>
      <c r="E39" s="381">
        <f>C39*9</f>
        <v>27720</v>
      </c>
    </row>
    <row r="40" spans="2:5" ht="19.5">
      <c r="B40" s="941" t="s">
        <v>201</v>
      </c>
      <c r="C40" s="380">
        <f>'Patron Counts v Swipes'!D430</f>
        <v>5825</v>
      </c>
      <c r="D40" s="380" t="s">
        <v>202</v>
      </c>
      <c r="E40" s="379">
        <f>SUM(E38+E39)</f>
        <v>53797.5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2CC08-FDE3-4A09-BE31-FA5D6B5AE27D}">
  <sheetPr codeName="Sheet1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24.42578125" style="934" bestFit="1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44717</v>
      </c>
      <c r="F2" s="1247"/>
      <c r="G2" s="1247"/>
      <c r="H2" s="1247"/>
    </row>
    <row r="3" spans="2:8">
      <c r="B3" s="936"/>
      <c r="C3" s="936"/>
    </row>
    <row r="4" spans="2:8">
      <c r="B4" s="936"/>
      <c r="C4" s="936"/>
    </row>
    <row r="5" spans="2:8">
      <c r="B5" s="936"/>
      <c r="C5" s="936"/>
    </row>
    <row r="6" spans="2:8" ht="19.5">
      <c r="B6" s="940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935" customFormat="1">
      <c r="B8" s="1251"/>
      <c r="C8" s="1251"/>
      <c r="D8" s="1252"/>
      <c r="E8" s="1254"/>
    </row>
    <row r="9" spans="2:8" ht="20.100000000000001" customHeight="1">
      <c r="B9" s="967" t="s">
        <v>279</v>
      </c>
      <c r="C9" s="962" t="s">
        <v>26</v>
      </c>
      <c r="D9" s="964">
        <v>808</v>
      </c>
      <c r="E9" s="965">
        <f>D9*9.5</f>
        <v>7676</v>
      </c>
    </row>
    <row r="10" spans="2:8" ht="20.100000000000001" customHeight="1">
      <c r="B10" s="957"/>
      <c r="C10" s="957" t="s">
        <v>16</v>
      </c>
      <c r="D10" s="958"/>
      <c r="E10" s="959">
        <f>D10*9.5</f>
        <v>0</v>
      </c>
    </row>
    <row r="11" spans="2:8" ht="20.100000000000001" customHeight="1">
      <c r="B11" s="957"/>
      <c r="C11" s="957" t="s">
        <v>26</v>
      </c>
      <c r="D11" s="958"/>
      <c r="E11" s="959">
        <f>D11*9.5</f>
        <v>0</v>
      </c>
    </row>
    <row r="12" spans="2:8" ht="20.100000000000001" customHeight="1">
      <c r="B12" s="957"/>
      <c r="C12" s="957" t="s">
        <v>26</v>
      </c>
      <c r="D12" s="958"/>
      <c r="E12" s="959">
        <f>D12*9.5</f>
        <v>0</v>
      </c>
    </row>
    <row r="13" spans="2:8" ht="20.100000000000001" customHeight="1">
      <c r="B13" s="1255" t="s">
        <v>24</v>
      </c>
      <c r="C13" s="1255"/>
      <c r="D13" s="964">
        <f>SUM(D9:D12)</f>
        <v>808</v>
      </c>
      <c r="E13" s="965">
        <f>D13*9.5</f>
        <v>7676</v>
      </c>
    </row>
    <row r="15" spans="2:8" ht="19.5">
      <c r="B15" s="941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935" customFormat="1">
      <c r="B17" s="1251"/>
      <c r="C17" s="1251"/>
      <c r="D17" s="1252"/>
      <c r="E17" s="1254"/>
    </row>
    <row r="18" spans="2:5" ht="20.100000000000001" customHeight="1">
      <c r="B18" s="957"/>
      <c r="C18" s="957" t="s">
        <v>16</v>
      </c>
      <c r="D18" s="958"/>
      <c r="E18" s="959">
        <f>D18*9.5</f>
        <v>0</v>
      </c>
    </row>
    <row r="19" spans="2:5" ht="20.100000000000001" customHeight="1">
      <c r="B19" s="957"/>
      <c r="C19" s="957" t="s">
        <v>16</v>
      </c>
      <c r="D19" s="958"/>
      <c r="E19" s="959">
        <f>D19*9.5</f>
        <v>0</v>
      </c>
    </row>
    <row r="20" spans="2:5" ht="20.100000000000001" customHeight="1">
      <c r="B20" s="957"/>
      <c r="C20" s="957"/>
      <c r="D20" s="958"/>
      <c r="E20" s="959">
        <f>D20*10</f>
        <v>0</v>
      </c>
    </row>
    <row r="21" spans="2:5" ht="20.100000000000001" customHeight="1">
      <c r="B21" s="968" t="s">
        <v>250</v>
      </c>
      <c r="C21" s="960" t="s">
        <v>26</v>
      </c>
      <c r="D21" s="943">
        <v>517</v>
      </c>
      <c r="E21" s="961">
        <f>D21*9.5</f>
        <v>4911.5</v>
      </c>
    </row>
    <row r="22" spans="2:5" ht="20.100000000000001" customHeight="1">
      <c r="B22" s="968" t="s">
        <v>301</v>
      </c>
      <c r="C22" s="960" t="s">
        <v>26</v>
      </c>
      <c r="D22" s="943">
        <v>450</v>
      </c>
      <c r="E22" s="961">
        <f>D22*9.5</f>
        <v>4275</v>
      </c>
    </row>
    <row r="23" spans="2:5" ht="20.100000000000001" customHeight="1">
      <c r="B23" s="1259" t="s">
        <v>24</v>
      </c>
      <c r="C23" s="1259"/>
      <c r="D23" s="937">
        <f>SUM(D18:D22)</f>
        <v>967</v>
      </c>
      <c r="E23" s="954">
        <f>D23*9.5</f>
        <v>9186.5</v>
      </c>
    </row>
    <row r="24" spans="2:5">
      <c r="B24" s="944"/>
      <c r="C24" s="944"/>
      <c r="D24" s="945"/>
      <c r="E24" s="945"/>
    </row>
    <row r="25" spans="2:5" ht="19.5">
      <c r="B25" s="946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969" t="s">
        <v>306</v>
      </c>
      <c r="C28" s="960" t="s">
        <v>26</v>
      </c>
      <c r="D28" s="943"/>
      <c r="E28" s="961">
        <f>D28*9.5</f>
        <v>0</v>
      </c>
    </row>
    <row r="29" spans="2:5">
      <c r="B29" s="969" t="s">
        <v>258</v>
      </c>
      <c r="C29" s="960" t="s">
        <v>16</v>
      </c>
      <c r="D29" s="943">
        <v>267</v>
      </c>
      <c r="E29" s="961">
        <f>D29*9.5</f>
        <v>2536.5</v>
      </c>
    </row>
    <row r="30" spans="2:5">
      <c r="B30" s="970" t="s">
        <v>314</v>
      </c>
      <c r="C30" s="960" t="s">
        <v>71</v>
      </c>
      <c r="D30" s="943">
        <v>249</v>
      </c>
      <c r="E30" s="961">
        <f>D30*9.5</f>
        <v>2365.5</v>
      </c>
    </row>
    <row r="31" spans="2:5">
      <c r="B31" s="966"/>
      <c r="C31" s="957" t="s">
        <v>71</v>
      </c>
      <c r="D31" s="958"/>
      <c r="E31" s="959">
        <f>D31*9.5</f>
        <v>0</v>
      </c>
    </row>
    <row r="32" spans="2:5" ht="20.100000000000001" customHeight="1">
      <c r="B32" s="1259" t="s">
        <v>24</v>
      </c>
      <c r="C32" s="1259"/>
      <c r="D32" s="937">
        <f>SUM(D28:D31)</f>
        <v>516</v>
      </c>
      <c r="E32" s="954">
        <f>D32*9.5</f>
        <v>4902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D13</f>
        <v>808</v>
      </c>
      <c r="D35" s="956">
        <f>D23</f>
        <v>967</v>
      </c>
      <c r="E35" s="956">
        <f>D32</f>
        <v>516</v>
      </c>
    </row>
    <row r="36" spans="2:5">
      <c r="B36" s="953" t="s">
        <v>36</v>
      </c>
      <c r="C36" s="951">
        <f>C35*9.5</f>
        <v>7676</v>
      </c>
      <c r="D36" s="951">
        <f>D35*9.5</f>
        <v>9186.5</v>
      </c>
      <c r="E36" s="951">
        <f>E35*9.5</f>
        <v>4902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2291</v>
      </c>
      <c r="D38" s="378" t="s">
        <v>253</v>
      </c>
      <c r="E38" s="381">
        <f>C38*9.5</f>
        <v>21764.5</v>
      </c>
    </row>
    <row r="39" spans="2:5">
      <c r="B39" s="377" t="s">
        <v>197</v>
      </c>
      <c r="C39" s="378">
        <f>C40-C38</f>
        <v>726</v>
      </c>
      <c r="D39" s="378" t="s">
        <v>204</v>
      </c>
      <c r="E39" s="381">
        <f>C39*9</f>
        <v>6534</v>
      </c>
    </row>
    <row r="40" spans="2:5" ht="19.5">
      <c r="B40" s="941" t="s">
        <v>201</v>
      </c>
      <c r="C40" s="380">
        <f>'Patron Counts v Swipes'!D424</f>
        <v>3017</v>
      </c>
      <c r="D40" s="380" t="s">
        <v>202</v>
      </c>
      <c r="E40" s="379">
        <f>SUM(E38+E39)</f>
        <v>28298.5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33A42-B5C7-4B09-8359-4A92FE98F573}">
  <sheetPr codeName="Sheet13">
    <pageSetUpPr fitToPage="1"/>
  </sheetPr>
  <dimension ref="B2:H44"/>
  <sheetViews>
    <sheetView workbookViewId="0"/>
  </sheetViews>
  <sheetFormatPr defaultColWidth="9.140625" defaultRowHeight="15"/>
  <cols>
    <col min="1" max="1" width="9.140625" style="896"/>
    <col min="2" max="2" width="36.7109375" style="896" customWidth="1"/>
    <col min="3" max="3" width="24.42578125" style="896" bestFit="1" customWidth="1"/>
    <col min="4" max="4" width="36.7109375" style="896" customWidth="1"/>
    <col min="5" max="5" width="22.7109375" style="896" customWidth="1"/>
    <col min="6" max="8" width="15.7109375" style="896" customWidth="1"/>
    <col min="9" max="16384" width="9.140625" style="896"/>
  </cols>
  <sheetData>
    <row r="2" spans="2:8" ht="19.5">
      <c r="B2" s="901" t="s">
        <v>13</v>
      </c>
      <c r="C2" s="898"/>
      <c r="D2" s="904" t="s">
        <v>27</v>
      </c>
      <c r="E2" s="1247">
        <v>44716</v>
      </c>
      <c r="F2" s="1247"/>
      <c r="G2" s="1247"/>
      <c r="H2" s="1247"/>
    </row>
    <row r="3" spans="2:8">
      <c r="B3" s="898"/>
      <c r="C3" s="898"/>
    </row>
    <row r="4" spans="2:8">
      <c r="B4" s="898"/>
      <c r="C4" s="898"/>
    </row>
    <row r="5" spans="2:8">
      <c r="B5" s="898"/>
      <c r="C5" s="898"/>
    </row>
    <row r="6" spans="2:8" ht="19.5">
      <c r="B6" s="902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897" customFormat="1">
      <c r="B8" s="1251"/>
      <c r="C8" s="1251"/>
      <c r="D8" s="1252"/>
      <c r="E8" s="1254"/>
    </row>
    <row r="9" spans="2:8" ht="20.100000000000001" customHeight="1">
      <c r="B9" s="929" t="s">
        <v>78</v>
      </c>
      <c r="C9" s="925" t="s">
        <v>26</v>
      </c>
      <c r="D9" s="926">
        <v>318</v>
      </c>
      <c r="E9" s="927">
        <f>D9*9.5</f>
        <v>3021</v>
      </c>
    </row>
    <row r="10" spans="2:8" ht="20.100000000000001" customHeight="1">
      <c r="B10" s="919"/>
      <c r="C10" s="919" t="s">
        <v>16</v>
      </c>
      <c r="D10" s="920"/>
      <c r="E10" s="921">
        <f>D10*9.5</f>
        <v>0</v>
      </c>
    </row>
    <row r="11" spans="2:8" ht="20.100000000000001" customHeight="1">
      <c r="B11" s="919"/>
      <c r="C11" s="919" t="s">
        <v>26</v>
      </c>
      <c r="D11" s="920"/>
      <c r="E11" s="921">
        <f>D11*9.5</f>
        <v>0</v>
      </c>
    </row>
    <row r="12" spans="2:8" ht="20.100000000000001" customHeight="1">
      <c r="B12" s="919"/>
      <c r="C12" s="919" t="s">
        <v>26</v>
      </c>
      <c r="D12" s="920"/>
      <c r="E12" s="921">
        <f>D12*9.5</f>
        <v>0</v>
      </c>
    </row>
    <row r="13" spans="2:8" ht="20.100000000000001" customHeight="1">
      <c r="B13" s="1255" t="s">
        <v>24</v>
      </c>
      <c r="C13" s="1255"/>
      <c r="D13" s="926">
        <f>SUM(D9:D12)</f>
        <v>318</v>
      </c>
      <c r="E13" s="927">
        <f>D13*9.5</f>
        <v>3021</v>
      </c>
    </row>
    <row r="15" spans="2:8" ht="19.5">
      <c r="B15" s="903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897" customFormat="1">
      <c r="B17" s="1251"/>
      <c r="C17" s="1251"/>
      <c r="D17" s="1252"/>
      <c r="E17" s="1254"/>
    </row>
    <row r="18" spans="2:5" ht="20.100000000000001" customHeight="1">
      <c r="B18" s="930"/>
      <c r="C18" s="930" t="s">
        <v>16</v>
      </c>
      <c r="D18" s="931"/>
      <c r="E18" s="932">
        <f>D18*9.5</f>
        <v>0</v>
      </c>
    </row>
    <row r="19" spans="2:5" ht="20.100000000000001" customHeight="1">
      <c r="B19" s="930"/>
      <c r="C19" s="930" t="s">
        <v>16</v>
      </c>
      <c r="D19" s="931"/>
      <c r="E19" s="932">
        <f>D19*9.5</f>
        <v>0</v>
      </c>
    </row>
    <row r="20" spans="2:5" ht="20.100000000000001" customHeight="1">
      <c r="B20" s="919"/>
      <c r="C20" s="919"/>
      <c r="D20" s="920"/>
      <c r="E20" s="921">
        <f>D20*10</f>
        <v>0</v>
      </c>
    </row>
    <row r="21" spans="2:5" ht="20.100000000000001" customHeight="1">
      <c r="B21" s="933" t="s">
        <v>196</v>
      </c>
      <c r="C21" s="922" t="s">
        <v>26</v>
      </c>
      <c r="D21" s="905"/>
      <c r="E21" s="923">
        <f>D21*9.5</f>
        <v>0</v>
      </c>
    </row>
    <row r="22" spans="2:5" ht="20.100000000000001" customHeight="1">
      <c r="B22" s="933" t="s">
        <v>250</v>
      </c>
      <c r="C22" s="922" t="s">
        <v>26</v>
      </c>
      <c r="D22" s="905">
        <v>425</v>
      </c>
      <c r="E22" s="923">
        <f>D22*9.5</f>
        <v>4037.5</v>
      </c>
    </row>
    <row r="23" spans="2:5" ht="20.100000000000001" customHeight="1">
      <c r="B23" s="1259" t="s">
        <v>24</v>
      </c>
      <c r="C23" s="1259"/>
      <c r="D23" s="899">
        <f>SUM(D18:D22)</f>
        <v>425</v>
      </c>
      <c r="E23" s="916">
        <f>D23*9.5</f>
        <v>4037.5</v>
      </c>
    </row>
    <row r="24" spans="2:5">
      <c r="B24" s="906"/>
      <c r="C24" s="906"/>
      <c r="D24" s="907"/>
      <c r="E24" s="907"/>
    </row>
    <row r="25" spans="2:5" ht="19.5">
      <c r="B25" s="908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962" t="s">
        <v>306</v>
      </c>
      <c r="C28" s="922" t="s">
        <v>26</v>
      </c>
      <c r="D28" s="905"/>
      <c r="E28" s="923">
        <f>D28*9.5</f>
        <v>0</v>
      </c>
    </row>
    <row r="29" spans="2:5">
      <c r="B29" s="962" t="s">
        <v>56</v>
      </c>
      <c r="C29" s="922" t="s">
        <v>16</v>
      </c>
      <c r="D29" s="905">
        <v>276</v>
      </c>
      <c r="E29" s="923">
        <f>D29*9.5</f>
        <v>2622</v>
      </c>
    </row>
    <row r="30" spans="2:5">
      <c r="B30" s="963" t="s">
        <v>235</v>
      </c>
      <c r="C30" s="922" t="s">
        <v>71</v>
      </c>
      <c r="D30" s="905">
        <v>702</v>
      </c>
      <c r="E30" s="923">
        <f>D30*9.5</f>
        <v>6669</v>
      </c>
    </row>
    <row r="31" spans="2:5">
      <c r="B31" s="928"/>
      <c r="C31" s="919" t="s">
        <v>71</v>
      </c>
      <c r="D31" s="920"/>
      <c r="E31" s="921">
        <f>D31*9.5</f>
        <v>0</v>
      </c>
    </row>
    <row r="32" spans="2:5" ht="20.100000000000001" customHeight="1">
      <c r="B32" s="1259" t="s">
        <v>24</v>
      </c>
      <c r="C32" s="1259"/>
      <c r="D32" s="899">
        <f>SUM(D28:D31)</f>
        <v>978</v>
      </c>
      <c r="E32" s="916">
        <f>D32*9.5</f>
        <v>9291</v>
      </c>
    </row>
    <row r="33" spans="2:5" ht="19.5">
      <c r="B33" s="1260" t="s">
        <v>200</v>
      </c>
      <c r="C33" s="1260"/>
      <c r="D33" s="1260"/>
      <c r="E33" s="1260"/>
    </row>
    <row r="34" spans="2:5">
      <c r="B34" s="912"/>
      <c r="C34" s="914" t="s">
        <v>34</v>
      </c>
      <c r="D34" s="914" t="s">
        <v>35</v>
      </c>
      <c r="E34" s="914" t="s">
        <v>37</v>
      </c>
    </row>
    <row r="35" spans="2:5">
      <c r="B35" s="915" t="s">
        <v>39</v>
      </c>
      <c r="C35" s="917">
        <f>D13</f>
        <v>318</v>
      </c>
      <c r="D35" s="918">
        <f>D23</f>
        <v>425</v>
      </c>
      <c r="E35" s="918">
        <f>D32</f>
        <v>978</v>
      </c>
    </row>
    <row r="36" spans="2:5">
      <c r="B36" s="915" t="s">
        <v>36</v>
      </c>
      <c r="C36" s="913">
        <f>C35*9.5</f>
        <v>3021</v>
      </c>
      <c r="D36" s="913">
        <f>D35*9.5</f>
        <v>4037.5</v>
      </c>
      <c r="E36" s="913">
        <f>E35*9.5</f>
        <v>9291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1721</v>
      </c>
      <c r="D38" s="378" t="s">
        <v>253</v>
      </c>
      <c r="E38" s="381">
        <f>C38*9.5</f>
        <v>16349.5</v>
      </c>
    </row>
    <row r="39" spans="2:5">
      <c r="B39" s="377" t="s">
        <v>197</v>
      </c>
      <c r="C39" s="378">
        <f>C40-C38</f>
        <v>416</v>
      </c>
      <c r="D39" s="378" t="s">
        <v>204</v>
      </c>
      <c r="E39" s="381">
        <f>C39*9</f>
        <v>3744</v>
      </c>
    </row>
    <row r="40" spans="2:5" ht="19.5">
      <c r="B40" s="903" t="s">
        <v>201</v>
      </c>
      <c r="C40" s="380">
        <f>'Patron Counts v Swipes'!D418</f>
        <v>2137</v>
      </c>
      <c r="D40" s="380" t="s">
        <v>202</v>
      </c>
      <c r="E40" s="379">
        <f>SUM(E38+E39)</f>
        <v>20093.5</v>
      </c>
    </row>
    <row r="42" spans="2:5">
      <c r="B42" s="900" t="s">
        <v>5</v>
      </c>
      <c r="C42" s="909"/>
    </row>
    <row r="43" spans="2:5">
      <c r="B43" s="910" t="s">
        <v>4</v>
      </c>
      <c r="C43" s="911"/>
    </row>
    <row r="44" spans="2:5">
      <c r="B44" s="910" t="s">
        <v>25</v>
      </c>
      <c r="C44" s="911"/>
    </row>
  </sheetData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98BB-5882-4E64-81B9-98F6751CF1B9}">
  <sheetPr codeName="Sheet14">
    <pageSetUpPr fitToPage="1"/>
  </sheetPr>
  <dimension ref="B2:H44"/>
  <sheetViews>
    <sheetView workbookViewId="0"/>
  </sheetViews>
  <sheetFormatPr defaultColWidth="9.140625" defaultRowHeight="15"/>
  <cols>
    <col min="1" max="1" width="9.140625" style="865"/>
    <col min="2" max="2" width="36.7109375" style="865" customWidth="1"/>
    <col min="3" max="3" width="24.42578125" style="865" bestFit="1" customWidth="1"/>
    <col min="4" max="4" width="36.7109375" style="865" customWidth="1"/>
    <col min="5" max="5" width="22.7109375" style="865" customWidth="1"/>
    <col min="6" max="8" width="15.7109375" style="865" customWidth="1"/>
    <col min="9" max="16384" width="9.140625" style="865"/>
  </cols>
  <sheetData>
    <row r="2" spans="2:8" ht="19.5">
      <c r="B2" s="834" t="s">
        <v>13</v>
      </c>
      <c r="C2" s="831"/>
      <c r="D2" s="837" t="s">
        <v>27</v>
      </c>
      <c r="E2" s="1247">
        <v>44715</v>
      </c>
      <c r="F2" s="1247"/>
      <c r="G2" s="1247"/>
      <c r="H2" s="1247"/>
    </row>
    <row r="3" spans="2:8">
      <c r="B3" s="831"/>
      <c r="C3" s="831"/>
    </row>
    <row r="4" spans="2:8">
      <c r="B4" s="831"/>
      <c r="C4" s="831"/>
    </row>
    <row r="5" spans="2:8">
      <c r="B5" s="831"/>
      <c r="C5" s="831"/>
    </row>
    <row r="6" spans="2:8" ht="19.5">
      <c r="B6" s="835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890" customFormat="1">
      <c r="B8" s="1251"/>
      <c r="C8" s="1251"/>
      <c r="D8" s="1252"/>
      <c r="E8" s="1254"/>
    </row>
    <row r="9" spans="2:8" ht="20.100000000000001" customHeight="1">
      <c r="B9" s="888"/>
      <c r="C9" s="888" t="s">
        <v>26</v>
      </c>
      <c r="D9" s="853"/>
      <c r="E9" s="854">
        <f>D9*9.5</f>
        <v>0</v>
      </c>
    </row>
    <row r="10" spans="2:8" ht="20.100000000000001" customHeight="1">
      <c r="B10" s="888"/>
      <c r="C10" s="888" t="s">
        <v>16</v>
      </c>
      <c r="D10" s="853"/>
      <c r="E10" s="854">
        <f>D10*9.5</f>
        <v>0</v>
      </c>
    </row>
    <row r="11" spans="2:8" ht="20.100000000000001" customHeight="1">
      <c r="B11" s="888"/>
      <c r="C11" s="888" t="s">
        <v>26</v>
      </c>
      <c r="D11" s="853"/>
      <c r="E11" s="854">
        <f>D11*9.5</f>
        <v>0</v>
      </c>
    </row>
    <row r="12" spans="2:8" ht="20.100000000000001" customHeight="1">
      <c r="B12" s="888"/>
      <c r="C12" s="888" t="s">
        <v>26</v>
      </c>
      <c r="D12" s="853"/>
      <c r="E12" s="854">
        <f>D12*9.5</f>
        <v>0</v>
      </c>
    </row>
    <row r="13" spans="2:8" ht="20.100000000000001" customHeight="1">
      <c r="B13" s="1255" t="s">
        <v>24</v>
      </c>
      <c r="C13" s="1255"/>
      <c r="D13" s="859">
        <f>SUM(D9:D12)</f>
        <v>0</v>
      </c>
      <c r="E13" s="860">
        <f>D13*9.5</f>
        <v>0</v>
      </c>
    </row>
    <row r="15" spans="2:8" ht="19.5">
      <c r="B15" s="836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890" customFormat="1">
      <c r="B17" s="1251"/>
      <c r="C17" s="1251"/>
      <c r="D17" s="1252"/>
      <c r="E17" s="1254"/>
    </row>
    <row r="18" spans="2:5" ht="20.100000000000001" customHeight="1">
      <c r="B18" s="895" t="s">
        <v>250</v>
      </c>
      <c r="C18" s="889" t="s">
        <v>16</v>
      </c>
      <c r="D18" s="859">
        <v>216</v>
      </c>
      <c r="E18" s="860">
        <f>D18*9.5</f>
        <v>2052</v>
      </c>
    </row>
    <row r="19" spans="2:5" ht="20.100000000000001" customHeight="1">
      <c r="B19" s="895" t="s">
        <v>172</v>
      </c>
      <c r="C19" s="889" t="s">
        <v>16</v>
      </c>
      <c r="D19" s="859">
        <v>180</v>
      </c>
      <c r="E19" s="860">
        <f>D19*9.5</f>
        <v>1710</v>
      </c>
    </row>
    <row r="20" spans="2:5" ht="20.100000000000001" customHeight="1">
      <c r="B20" s="894"/>
      <c r="C20" s="888"/>
      <c r="D20" s="853"/>
      <c r="E20" s="854">
        <f>D20*10</f>
        <v>0</v>
      </c>
    </row>
    <row r="21" spans="2:5" ht="20.100000000000001" customHeight="1">
      <c r="B21" s="893" t="s">
        <v>314</v>
      </c>
      <c r="C21" s="891" t="s">
        <v>26</v>
      </c>
      <c r="D21" s="838">
        <v>244</v>
      </c>
      <c r="E21" s="856">
        <f>D21*9.5</f>
        <v>2318</v>
      </c>
    </row>
    <row r="22" spans="2:5" ht="20.100000000000001" customHeight="1">
      <c r="B22" s="893" t="s">
        <v>56</v>
      </c>
      <c r="C22" s="891" t="s">
        <v>26</v>
      </c>
      <c r="D22" s="838">
        <v>325</v>
      </c>
      <c r="E22" s="856">
        <f>D22*9.5</f>
        <v>3087.5</v>
      </c>
    </row>
    <row r="23" spans="2:5" ht="20.100000000000001" customHeight="1">
      <c r="B23" s="1259" t="s">
        <v>24</v>
      </c>
      <c r="C23" s="1259"/>
      <c r="D23" s="832">
        <f>SUM(D18:D22)</f>
        <v>965</v>
      </c>
      <c r="E23" s="849">
        <f>D23*9.5</f>
        <v>9167.5</v>
      </c>
    </row>
    <row r="24" spans="2:5">
      <c r="B24" s="839"/>
      <c r="C24" s="839"/>
      <c r="D24" s="840"/>
      <c r="E24" s="840"/>
    </row>
    <row r="25" spans="2:5" ht="19.5">
      <c r="B25" s="841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922" t="s">
        <v>314</v>
      </c>
      <c r="C28" s="891" t="s">
        <v>26</v>
      </c>
      <c r="D28" s="838">
        <v>226</v>
      </c>
      <c r="E28" s="856">
        <f>D28*9.5</f>
        <v>2147</v>
      </c>
    </row>
    <row r="29" spans="2:5">
      <c r="B29" s="922" t="s">
        <v>250</v>
      </c>
      <c r="C29" s="891" t="s">
        <v>16</v>
      </c>
      <c r="D29" s="838">
        <v>435</v>
      </c>
      <c r="E29" s="856">
        <f>D29*9.5</f>
        <v>4132.5</v>
      </c>
    </row>
    <row r="30" spans="2:5">
      <c r="B30" s="924" t="s">
        <v>235</v>
      </c>
      <c r="C30" s="891" t="s">
        <v>71</v>
      </c>
      <c r="D30" s="838">
        <v>579</v>
      </c>
      <c r="E30" s="856">
        <f>D30*9.5</f>
        <v>5500.5</v>
      </c>
    </row>
    <row r="31" spans="2:5">
      <c r="B31" s="861"/>
      <c r="C31" s="888" t="s">
        <v>71</v>
      </c>
      <c r="D31" s="853"/>
      <c r="E31" s="854">
        <f>D31*9.5</f>
        <v>0</v>
      </c>
    </row>
    <row r="32" spans="2:5" ht="20.100000000000001" customHeight="1">
      <c r="B32" s="1259" t="s">
        <v>24</v>
      </c>
      <c r="C32" s="1259"/>
      <c r="D32" s="832">
        <f>SUM(D28:D31)</f>
        <v>1240</v>
      </c>
      <c r="E32" s="849">
        <f>D32*9.5</f>
        <v>11780</v>
      </c>
    </row>
    <row r="33" spans="2:5" ht="19.5">
      <c r="B33" s="1260" t="s">
        <v>200</v>
      </c>
      <c r="C33" s="1260"/>
      <c r="D33" s="1260"/>
      <c r="E33" s="1260"/>
    </row>
    <row r="34" spans="2:5">
      <c r="B34" s="845"/>
      <c r="C34" s="847" t="s">
        <v>34</v>
      </c>
      <c r="D34" s="847" t="s">
        <v>35</v>
      </c>
      <c r="E34" s="847" t="s">
        <v>37</v>
      </c>
    </row>
    <row r="35" spans="2:5">
      <c r="B35" s="848" t="s">
        <v>39</v>
      </c>
      <c r="C35" s="850">
        <f>D13</f>
        <v>0</v>
      </c>
      <c r="D35" s="851">
        <f>D23</f>
        <v>965</v>
      </c>
      <c r="E35" s="851">
        <f>D32</f>
        <v>1240</v>
      </c>
    </row>
    <row r="36" spans="2:5">
      <c r="B36" s="848" t="s">
        <v>36</v>
      </c>
      <c r="C36" s="846">
        <f>C35*9.5</f>
        <v>0</v>
      </c>
      <c r="D36" s="846">
        <f>D35*9.5</f>
        <v>9167.5</v>
      </c>
      <c r="E36" s="846">
        <f>E35*9.5</f>
        <v>11780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2205</v>
      </c>
      <c r="D38" s="378" t="s">
        <v>253</v>
      </c>
      <c r="E38" s="381">
        <f>C38*9.5</f>
        <v>20947.5</v>
      </c>
    </row>
    <row r="39" spans="2:5">
      <c r="B39" s="377" t="s">
        <v>197</v>
      </c>
      <c r="C39" s="378">
        <f>C40-C38</f>
        <v>3730</v>
      </c>
      <c r="D39" s="378" t="s">
        <v>204</v>
      </c>
      <c r="E39" s="381">
        <f>C39*9</f>
        <v>33570</v>
      </c>
    </row>
    <row r="40" spans="2:5" ht="19.5">
      <c r="B40" s="836" t="s">
        <v>201</v>
      </c>
      <c r="C40" s="380">
        <f>'Patron Counts v Swipes'!D412</f>
        <v>5935</v>
      </c>
      <c r="D40" s="380" t="s">
        <v>202</v>
      </c>
      <c r="E40" s="379">
        <f>SUM(E38+E39)</f>
        <v>54517.5</v>
      </c>
    </row>
    <row r="42" spans="2:5">
      <c r="B42" s="833" t="s">
        <v>5</v>
      </c>
      <c r="C42" s="842"/>
    </row>
    <row r="43" spans="2:5">
      <c r="B43" s="843" t="s">
        <v>4</v>
      </c>
      <c r="C43" s="844"/>
    </row>
    <row r="44" spans="2:5">
      <c r="B44" s="843" t="s">
        <v>25</v>
      </c>
      <c r="C44" s="844"/>
    </row>
  </sheetData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69E75-DC3C-4493-9F2E-A5BF56F03C2F}">
  <sheetPr codeName="Sheet15">
    <pageSetUpPr fitToPage="1"/>
  </sheetPr>
  <dimension ref="B2:H44"/>
  <sheetViews>
    <sheetView workbookViewId="0"/>
  </sheetViews>
  <sheetFormatPr defaultColWidth="9.140625" defaultRowHeight="15"/>
  <cols>
    <col min="1" max="1" width="9.140625" style="865"/>
    <col min="2" max="2" width="36.7109375" style="865" customWidth="1"/>
    <col min="3" max="3" width="24.42578125" style="865" bestFit="1" customWidth="1"/>
    <col min="4" max="4" width="36.7109375" style="865" customWidth="1"/>
    <col min="5" max="5" width="22.7109375" style="865" customWidth="1"/>
    <col min="6" max="8" width="15.7109375" style="865" customWidth="1"/>
    <col min="9" max="16384" width="9.140625" style="865"/>
  </cols>
  <sheetData>
    <row r="2" spans="2:8" ht="19.5">
      <c r="B2" s="834" t="s">
        <v>13</v>
      </c>
      <c r="C2" s="831"/>
      <c r="D2" s="837" t="s">
        <v>27</v>
      </c>
      <c r="E2" s="1247">
        <v>44714</v>
      </c>
      <c r="F2" s="1247"/>
      <c r="G2" s="1247"/>
      <c r="H2" s="1247"/>
    </row>
    <row r="3" spans="2:8">
      <c r="B3" s="831"/>
      <c r="C3" s="831"/>
    </row>
    <row r="4" spans="2:8">
      <c r="B4" s="831"/>
      <c r="C4" s="831"/>
    </row>
    <row r="5" spans="2:8">
      <c r="B5" s="831"/>
      <c r="C5" s="831"/>
    </row>
    <row r="6" spans="2:8" ht="19.5">
      <c r="B6" s="835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882" customFormat="1">
      <c r="B8" s="1251"/>
      <c r="C8" s="1251"/>
      <c r="D8" s="1252"/>
      <c r="E8" s="1254"/>
    </row>
    <row r="9" spans="2:8" ht="20.100000000000001" customHeight="1">
      <c r="B9" s="880"/>
      <c r="C9" s="880" t="s">
        <v>26</v>
      </c>
      <c r="D9" s="853"/>
      <c r="E9" s="854">
        <f>D9*9.5</f>
        <v>0</v>
      </c>
    </row>
    <row r="10" spans="2:8" ht="20.100000000000001" customHeight="1">
      <c r="B10" s="880"/>
      <c r="C10" s="880" t="s">
        <v>16</v>
      </c>
      <c r="D10" s="853"/>
      <c r="E10" s="854">
        <f>D10*9.5</f>
        <v>0</v>
      </c>
    </row>
    <row r="11" spans="2:8" ht="20.100000000000001" customHeight="1">
      <c r="B11" s="880"/>
      <c r="C11" s="880" t="s">
        <v>26</v>
      </c>
      <c r="D11" s="853"/>
      <c r="E11" s="854">
        <f>D11*9.5</f>
        <v>0</v>
      </c>
    </row>
    <row r="12" spans="2:8" ht="20.100000000000001" customHeight="1">
      <c r="B12" s="880"/>
      <c r="C12" s="880" t="s">
        <v>26</v>
      </c>
      <c r="D12" s="853"/>
      <c r="E12" s="854">
        <f>D12*9.5</f>
        <v>0</v>
      </c>
    </row>
    <row r="13" spans="2:8" ht="20.100000000000001" customHeight="1">
      <c r="B13" s="1255" t="s">
        <v>24</v>
      </c>
      <c r="C13" s="1255"/>
      <c r="D13" s="859">
        <f>SUM(D9:D12)</f>
        <v>0</v>
      </c>
      <c r="E13" s="860">
        <f>D13*9.5</f>
        <v>0</v>
      </c>
    </row>
    <row r="15" spans="2:8" ht="19.5">
      <c r="B15" s="836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882" customFormat="1">
      <c r="B17" s="1251"/>
      <c r="C17" s="1251"/>
      <c r="D17" s="1252"/>
      <c r="E17" s="1254"/>
    </row>
    <row r="18" spans="2:5" ht="20.100000000000001" customHeight="1">
      <c r="B18" s="889" t="s">
        <v>65</v>
      </c>
      <c r="C18" s="881" t="s">
        <v>16</v>
      </c>
      <c r="D18" s="859">
        <v>383</v>
      </c>
      <c r="E18" s="860">
        <f>D18*9.5</f>
        <v>3638.5</v>
      </c>
    </row>
    <row r="19" spans="2:5" ht="20.100000000000001" customHeight="1">
      <c r="B19" s="889" t="s">
        <v>244</v>
      </c>
      <c r="C19" s="881" t="s">
        <v>16</v>
      </c>
      <c r="D19" s="859">
        <v>508</v>
      </c>
      <c r="E19" s="860">
        <f>D19*9.5</f>
        <v>4826</v>
      </c>
    </row>
    <row r="20" spans="2:5" ht="20.100000000000001" customHeight="1">
      <c r="B20" s="888"/>
      <c r="C20" s="880"/>
      <c r="D20" s="853"/>
      <c r="E20" s="854">
        <f>D20*10</f>
        <v>0</v>
      </c>
    </row>
    <row r="21" spans="2:5" ht="20.100000000000001" customHeight="1">
      <c r="B21" s="887" t="s">
        <v>12</v>
      </c>
      <c r="C21" s="883" t="s">
        <v>26</v>
      </c>
      <c r="D21" s="838">
        <v>320</v>
      </c>
      <c r="E21" s="856">
        <f>D21*9.5</f>
        <v>3040</v>
      </c>
    </row>
    <row r="22" spans="2:5" ht="20.100000000000001" customHeight="1">
      <c r="B22" s="887" t="s">
        <v>44</v>
      </c>
      <c r="C22" s="883" t="s">
        <v>26</v>
      </c>
      <c r="D22" s="838">
        <v>373</v>
      </c>
      <c r="E22" s="856">
        <f>D22*9.5</f>
        <v>3543.5</v>
      </c>
    </row>
    <row r="23" spans="2:5" ht="20.100000000000001" customHeight="1">
      <c r="B23" s="1259" t="s">
        <v>24</v>
      </c>
      <c r="C23" s="1259"/>
      <c r="D23" s="832">
        <f>SUM(D18:D22)</f>
        <v>1584</v>
      </c>
      <c r="E23" s="849">
        <f>D23*9.5</f>
        <v>15048</v>
      </c>
    </row>
    <row r="24" spans="2:5">
      <c r="B24" s="839"/>
      <c r="C24" s="839"/>
      <c r="D24" s="840"/>
      <c r="E24" s="840"/>
    </row>
    <row r="25" spans="2:5" ht="19.5">
      <c r="B25" s="841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891" t="s">
        <v>256</v>
      </c>
      <c r="C28" s="883" t="s">
        <v>26</v>
      </c>
      <c r="D28" s="838">
        <v>289</v>
      </c>
      <c r="E28" s="856">
        <f>D28*9.5</f>
        <v>2745.5</v>
      </c>
    </row>
    <row r="29" spans="2:5">
      <c r="B29" s="891" t="s">
        <v>70</v>
      </c>
      <c r="C29" s="883" t="s">
        <v>16</v>
      </c>
      <c r="D29" s="838"/>
      <c r="E29" s="856">
        <f>D29*9.5</f>
        <v>0</v>
      </c>
    </row>
    <row r="30" spans="2:5">
      <c r="B30" s="892" t="s">
        <v>258</v>
      </c>
      <c r="C30" s="883" t="s">
        <v>71</v>
      </c>
      <c r="D30" s="838">
        <v>230</v>
      </c>
      <c r="E30" s="856">
        <f>D30*9.5</f>
        <v>2185</v>
      </c>
    </row>
    <row r="31" spans="2:5">
      <c r="B31" s="861"/>
      <c r="C31" s="880" t="s">
        <v>71</v>
      </c>
      <c r="D31" s="853"/>
      <c r="E31" s="854">
        <f>D31*9.5</f>
        <v>0</v>
      </c>
    </row>
    <row r="32" spans="2:5" ht="20.100000000000001" customHeight="1">
      <c r="B32" s="1259" t="s">
        <v>24</v>
      </c>
      <c r="C32" s="1259"/>
      <c r="D32" s="832">
        <f>SUM(D28:D31)</f>
        <v>519</v>
      </c>
      <c r="E32" s="849">
        <f>D32*9.5</f>
        <v>4930.5</v>
      </c>
    </row>
    <row r="33" spans="2:5" ht="19.5">
      <c r="B33" s="1260" t="s">
        <v>200</v>
      </c>
      <c r="C33" s="1260"/>
      <c r="D33" s="1260"/>
      <c r="E33" s="1260"/>
    </row>
    <row r="34" spans="2:5">
      <c r="B34" s="845"/>
      <c r="C34" s="847" t="s">
        <v>34</v>
      </c>
      <c r="D34" s="847" t="s">
        <v>35</v>
      </c>
      <c r="E34" s="847" t="s">
        <v>37</v>
      </c>
    </row>
    <row r="35" spans="2:5">
      <c r="B35" s="848" t="s">
        <v>39</v>
      </c>
      <c r="C35" s="850">
        <f>D13</f>
        <v>0</v>
      </c>
      <c r="D35" s="851">
        <f>D23</f>
        <v>1584</v>
      </c>
      <c r="E35" s="851">
        <f>D32</f>
        <v>519</v>
      </c>
    </row>
    <row r="36" spans="2:5">
      <c r="B36" s="848" t="s">
        <v>36</v>
      </c>
      <c r="C36" s="846">
        <f>C35*9.5</f>
        <v>0</v>
      </c>
      <c r="D36" s="846">
        <f>D35*9.5</f>
        <v>15048</v>
      </c>
      <c r="E36" s="846">
        <f>E35*9.5</f>
        <v>4930.5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2103</v>
      </c>
      <c r="D38" s="378" t="s">
        <v>253</v>
      </c>
      <c r="E38" s="381">
        <f>C38*9.5</f>
        <v>19978.5</v>
      </c>
    </row>
    <row r="39" spans="2:5">
      <c r="B39" s="377" t="s">
        <v>197</v>
      </c>
      <c r="C39" s="378">
        <f>C40-C38</f>
        <v>4620</v>
      </c>
      <c r="D39" s="378" t="s">
        <v>204</v>
      </c>
      <c r="E39" s="381">
        <f>C39*9</f>
        <v>41580</v>
      </c>
    </row>
    <row r="40" spans="2:5" ht="19.5">
      <c r="B40" s="836" t="s">
        <v>201</v>
      </c>
      <c r="C40" s="380">
        <f>'Patron Counts v Swipes'!D406</f>
        <v>6723</v>
      </c>
      <c r="D40" s="380" t="s">
        <v>202</v>
      </c>
      <c r="E40" s="379">
        <f>SUM(E38+E39)</f>
        <v>61558.5</v>
      </c>
    </row>
    <row r="42" spans="2:5">
      <c r="B42" s="833" t="s">
        <v>5</v>
      </c>
      <c r="C42" s="842"/>
    </row>
    <row r="43" spans="2:5">
      <c r="B43" s="843" t="s">
        <v>4</v>
      </c>
      <c r="C43" s="844"/>
    </row>
    <row r="44" spans="2:5">
      <c r="B44" s="843" t="s">
        <v>25</v>
      </c>
      <c r="C44" s="844"/>
    </row>
  </sheetData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C436B-A4CD-4F48-B0A6-FD2D56FF80E0}">
  <sheetPr codeName="Sheet16">
    <pageSetUpPr fitToPage="1"/>
  </sheetPr>
  <dimension ref="B2:H44"/>
  <sheetViews>
    <sheetView workbookViewId="0"/>
  </sheetViews>
  <sheetFormatPr defaultColWidth="9.140625" defaultRowHeight="15"/>
  <cols>
    <col min="1" max="1" width="9.140625" style="865"/>
    <col min="2" max="2" width="36.7109375" style="865" customWidth="1"/>
    <col min="3" max="3" width="24.42578125" style="865" bestFit="1" customWidth="1"/>
    <col min="4" max="4" width="36.7109375" style="865" customWidth="1"/>
    <col min="5" max="5" width="22.7109375" style="865" customWidth="1"/>
    <col min="6" max="8" width="15.7109375" style="865" customWidth="1"/>
    <col min="9" max="16384" width="9.140625" style="865"/>
  </cols>
  <sheetData>
    <row r="2" spans="2:8" ht="19.5">
      <c r="B2" s="834" t="s">
        <v>13</v>
      </c>
      <c r="C2" s="831"/>
      <c r="D2" s="837" t="s">
        <v>27</v>
      </c>
      <c r="E2" s="1247">
        <v>44713</v>
      </c>
      <c r="F2" s="1247"/>
      <c r="G2" s="1247"/>
      <c r="H2" s="1247"/>
    </row>
    <row r="3" spans="2:8">
      <c r="B3" s="831"/>
      <c r="C3" s="831"/>
    </row>
    <row r="4" spans="2:8">
      <c r="B4" s="831"/>
      <c r="C4" s="831"/>
    </row>
    <row r="5" spans="2:8">
      <c r="B5" s="831"/>
      <c r="C5" s="831"/>
    </row>
    <row r="6" spans="2:8" ht="19.5">
      <c r="B6" s="835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830" customFormat="1">
      <c r="B8" s="1251"/>
      <c r="C8" s="1251"/>
      <c r="D8" s="1252"/>
      <c r="E8" s="1254"/>
    </row>
    <row r="9" spans="2:8" ht="20.100000000000001" customHeight="1">
      <c r="B9" s="873"/>
      <c r="C9" s="873" t="s">
        <v>26</v>
      </c>
      <c r="D9" s="853"/>
      <c r="E9" s="854">
        <f>D9*9.5</f>
        <v>0</v>
      </c>
    </row>
    <row r="10" spans="2:8" ht="20.100000000000001" customHeight="1">
      <c r="B10" s="873"/>
      <c r="C10" s="873" t="s">
        <v>16</v>
      </c>
      <c r="D10" s="853"/>
      <c r="E10" s="854">
        <f>D10*9.5</f>
        <v>0</v>
      </c>
    </row>
    <row r="11" spans="2:8" ht="20.100000000000001" customHeight="1">
      <c r="B11" s="873"/>
      <c r="C11" s="873" t="s">
        <v>26</v>
      </c>
      <c r="D11" s="853"/>
      <c r="E11" s="854">
        <f>D11*9.5</f>
        <v>0</v>
      </c>
    </row>
    <row r="12" spans="2:8" ht="20.100000000000001" customHeight="1">
      <c r="B12" s="873"/>
      <c r="C12" s="873" t="s">
        <v>26</v>
      </c>
      <c r="D12" s="853"/>
      <c r="E12" s="854">
        <f>D12*9.5</f>
        <v>0</v>
      </c>
    </row>
    <row r="13" spans="2:8" ht="20.100000000000001" customHeight="1">
      <c r="B13" s="1255" t="s">
        <v>24</v>
      </c>
      <c r="C13" s="1255"/>
      <c r="D13" s="859">
        <f>SUM(D9:D12)</f>
        <v>0</v>
      </c>
      <c r="E13" s="860">
        <f>D13*9.5</f>
        <v>0</v>
      </c>
    </row>
    <row r="15" spans="2:8" ht="19.5">
      <c r="B15" s="836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830" customFormat="1">
      <c r="B17" s="1251"/>
      <c r="C17" s="1251"/>
      <c r="D17" s="1252"/>
      <c r="E17" s="1254"/>
    </row>
    <row r="18" spans="2:5" ht="20.100000000000001" customHeight="1">
      <c r="B18" s="881" t="s">
        <v>305</v>
      </c>
      <c r="C18" s="877" t="s">
        <v>16</v>
      </c>
      <c r="D18" s="859">
        <v>234</v>
      </c>
      <c r="E18" s="860">
        <f>D18*9.5</f>
        <v>2223</v>
      </c>
    </row>
    <row r="19" spans="2:5" ht="20.100000000000001" customHeight="1">
      <c r="B19" s="881" t="s">
        <v>271</v>
      </c>
      <c r="C19" s="877" t="s">
        <v>16</v>
      </c>
      <c r="D19" s="859">
        <v>428</v>
      </c>
      <c r="E19" s="860">
        <f>D19*9.5</f>
        <v>4066</v>
      </c>
    </row>
    <row r="20" spans="2:5" ht="20.100000000000001" customHeight="1">
      <c r="B20" s="880"/>
      <c r="C20" s="873"/>
      <c r="D20" s="853"/>
      <c r="E20" s="854">
        <f>D20*10</f>
        <v>0</v>
      </c>
    </row>
    <row r="21" spans="2:5" ht="20.100000000000001" customHeight="1">
      <c r="B21" s="879" t="s">
        <v>45</v>
      </c>
      <c r="C21" s="875" t="s">
        <v>26</v>
      </c>
      <c r="D21" s="838">
        <v>425</v>
      </c>
      <c r="E21" s="856">
        <f>D21*9.5</f>
        <v>4037.5</v>
      </c>
    </row>
    <row r="22" spans="2:5" ht="20.100000000000001" customHeight="1">
      <c r="B22" s="879" t="s">
        <v>276</v>
      </c>
      <c r="C22" s="875" t="s">
        <v>26</v>
      </c>
      <c r="D22" s="838">
        <v>322</v>
      </c>
      <c r="E22" s="856">
        <f>D22*9.5</f>
        <v>3059</v>
      </c>
    </row>
    <row r="23" spans="2:5" ht="20.100000000000001" customHeight="1">
      <c r="B23" s="1259" t="s">
        <v>24</v>
      </c>
      <c r="C23" s="1259"/>
      <c r="D23" s="832">
        <f>SUM(D18:D22)</f>
        <v>1409</v>
      </c>
      <c r="E23" s="849">
        <f>D23*9.5</f>
        <v>13385.5</v>
      </c>
    </row>
    <row r="24" spans="2:5">
      <c r="B24" s="839"/>
      <c r="C24" s="839"/>
      <c r="D24" s="840"/>
      <c r="E24" s="840"/>
    </row>
    <row r="25" spans="2:5" ht="19.5">
      <c r="B25" s="841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883" t="s">
        <v>45</v>
      </c>
      <c r="C28" s="875" t="s">
        <v>26</v>
      </c>
      <c r="D28" s="838">
        <v>404</v>
      </c>
      <c r="E28" s="856">
        <f>D28*9.5</f>
        <v>3838</v>
      </c>
    </row>
    <row r="29" spans="2:5">
      <c r="B29" s="883" t="s">
        <v>235</v>
      </c>
      <c r="C29" s="875" t="s">
        <v>16</v>
      </c>
      <c r="D29" s="838">
        <v>603</v>
      </c>
      <c r="E29" s="856">
        <f>D29*9.5</f>
        <v>5728.5</v>
      </c>
    </row>
    <row r="30" spans="2:5">
      <c r="B30" s="884" t="s">
        <v>238</v>
      </c>
      <c r="C30" s="875" t="s">
        <v>71</v>
      </c>
      <c r="D30" s="838">
        <v>262</v>
      </c>
      <c r="E30" s="856">
        <f>D30*9.5</f>
        <v>2489</v>
      </c>
    </row>
    <row r="31" spans="2:5">
      <c r="B31" s="861"/>
      <c r="C31" s="873" t="s">
        <v>71</v>
      </c>
      <c r="D31" s="853"/>
      <c r="E31" s="854">
        <f>D31*9.5</f>
        <v>0</v>
      </c>
    </row>
    <row r="32" spans="2:5" ht="20.100000000000001" customHeight="1">
      <c r="B32" s="1259" t="s">
        <v>24</v>
      </c>
      <c r="C32" s="1259"/>
      <c r="D32" s="832">
        <f>SUM(D28:D31)</f>
        <v>1269</v>
      </c>
      <c r="E32" s="849">
        <f>D32*9.5</f>
        <v>12055.5</v>
      </c>
    </row>
    <row r="33" spans="2:5" ht="19.5">
      <c r="B33" s="1260" t="s">
        <v>200</v>
      </c>
      <c r="C33" s="1260"/>
      <c r="D33" s="1260"/>
      <c r="E33" s="1260"/>
    </row>
    <row r="34" spans="2:5">
      <c r="B34" s="845"/>
      <c r="C34" s="847" t="s">
        <v>34</v>
      </c>
      <c r="D34" s="847" t="s">
        <v>35</v>
      </c>
      <c r="E34" s="847" t="s">
        <v>37</v>
      </c>
    </row>
    <row r="35" spans="2:5">
      <c r="B35" s="848" t="s">
        <v>39</v>
      </c>
      <c r="C35" s="850">
        <f>D13</f>
        <v>0</v>
      </c>
      <c r="D35" s="851">
        <f>D23</f>
        <v>1409</v>
      </c>
      <c r="E35" s="851">
        <f>D32</f>
        <v>1269</v>
      </c>
    </row>
    <row r="36" spans="2:5">
      <c r="B36" s="848" t="s">
        <v>36</v>
      </c>
      <c r="C36" s="846">
        <f>C35*9.5</f>
        <v>0</v>
      </c>
      <c r="D36" s="846">
        <f>D35*9.5</f>
        <v>13385.5</v>
      </c>
      <c r="E36" s="846">
        <f>E35*9.5</f>
        <v>12055.5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2678</v>
      </c>
      <c r="D38" s="378" t="s">
        <v>253</v>
      </c>
      <c r="E38" s="381">
        <f>C38*9.5</f>
        <v>25441</v>
      </c>
    </row>
    <row r="39" spans="2:5">
      <c r="B39" s="377" t="s">
        <v>197</v>
      </c>
      <c r="C39" s="378">
        <f>C40-C38</f>
        <v>4853</v>
      </c>
      <c r="D39" s="378" t="s">
        <v>204</v>
      </c>
      <c r="E39" s="381">
        <f>C39*9</f>
        <v>43677</v>
      </c>
    </row>
    <row r="40" spans="2:5" ht="19.5">
      <c r="B40" s="836" t="s">
        <v>201</v>
      </c>
      <c r="C40" s="380">
        <f>'Patron Counts v Swipes'!D400</f>
        <v>7531</v>
      </c>
      <c r="D40" s="380" t="s">
        <v>202</v>
      </c>
      <c r="E40" s="379">
        <f>SUM(E38+E39)</f>
        <v>69118</v>
      </c>
    </row>
    <row r="42" spans="2:5">
      <c r="B42" s="833" t="s">
        <v>5</v>
      </c>
      <c r="C42" s="842"/>
    </row>
    <row r="43" spans="2:5">
      <c r="B43" s="843" t="s">
        <v>4</v>
      </c>
      <c r="C43" s="844"/>
    </row>
    <row r="44" spans="2:5">
      <c r="B44" s="843" t="s">
        <v>25</v>
      </c>
      <c r="C44" s="844"/>
    </row>
  </sheetData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D89E1-7353-444A-8246-959ECC3F8B21}">
  <sheetPr codeName="Sheet17">
    <pageSetUpPr fitToPage="1"/>
  </sheetPr>
  <dimension ref="B2:H44"/>
  <sheetViews>
    <sheetView workbookViewId="0"/>
  </sheetViews>
  <sheetFormatPr defaultColWidth="9.140625" defaultRowHeight="15"/>
  <cols>
    <col min="1" max="1" width="9.140625" style="865"/>
    <col min="2" max="2" width="36.7109375" style="865" customWidth="1"/>
    <col min="3" max="3" width="24.42578125" style="865" bestFit="1" customWidth="1"/>
    <col min="4" max="4" width="36.7109375" style="865" customWidth="1"/>
    <col min="5" max="5" width="22.7109375" style="865" customWidth="1"/>
    <col min="6" max="8" width="15.7109375" style="865" customWidth="1"/>
    <col min="9" max="16384" width="9.140625" style="865"/>
  </cols>
  <sheetData>
    <row r="2" spans="2:8" ht="19.5">
      <c r="B2" s="834" t="s">
        <v>13</v>
      </c>
      <c r="C2" s="831"/>
      <c r="D2" s="837" t="s">
        <v>27</v>
      </c>
      <c r="E2" s="1247">
        <v>44712</v>
      </c>
      <c r="F2" s="1247"/>
      <c r="G2" s="1247"/>
      <c r="H2" s="1247"/>
    </row>
    <row r="3" spans="2:8">
      <c r="B3" s="831"/>
      <c r="C3" s="831"/>
    </row>
    <row r="4" spans="2:8">
      <c r="B4" s="831"/>
      <c r="C4" s="831"/>
    </row>
    <row r="5" spans="2:8">
      <c r="B5" s="831"/>
      <c r="C5" s="831"/>
    </row>
    <row r="6" spans="2:8" ht="19.5">
      <c r="B6" s="835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830" customFormat="1">
      <c r="B8" s="1251"/>
      <c r="C8" s="1251"/>
      <c r="D8" s="1252"/>
      <c r="E8" s="1254"/>
    </row>
    <row r="9" spans="2:8" ht="20.100000000000001" customHeight="1">
      <c r="B9" s="863"/>
      <c r="C9" s="863" t="s">
        <v>26</v>
      </c>
      <c r="D9" s="853"/>
      <c r="E9" s="854">
        <f>D9*9.5</f>
        <v>0</v>
      </c>
    </row>
    <row r="10" spans="2:8" ht="20.100000000000001" customHeight="1">
      <c r="B10" s="863"/>
      <c r="C10" s="863" t="s">
        <v>16</v>
      </c>
      <c r="D10" s="853"/>
      <c r="E10" s="854">
        <f>D10*9.5</f>
        <v>0</v>
      </c>
    </row>
    <row r="11" spans="2:8" ht="20.100000000000001" customHeight="1">
      <c r="B11" s="863"/>
      <c r="C11" s="863" t="s">
        <v>26</v>
      </c>
      <c r="D11" s="853"/>
      <c r="E11" s="854">
        <f>D11*9.5</f>
        <v>0</v>
      </c>
    </row>
    <row r="12" spans="2:8" ht="20.100000000000001" customHeight="1">
      <c r="B12" s="863"/>
      <c r="C12" s="863" t="s">
        <v>26</v>
      </c>
      <c r="D12" s="853"/>
      <c r="E12" s="854">
        <f>D12*9.5</f>
        <v>0</v>
      </c>
    </row>
    <row r="13" spans="2:8" ht="20.100000000000001" customHeight="1">
      <c r="B13" s="1255" t="s">
        <v>24</v>
      </c>
      <c r="C13" s="1255"/>
      <c r="D13" s="859">
        <f>SUM(D9:D12)</f>
        <v>0</v>
      </c>
      <c r="E13" s="860">
        <f>D13*9.5</f>
        <v>0</v>
      </c>
    </row>
    <row r="15" spans="2:8" ht="19.5">
      <c r="B15" s="836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830" customFormat="1">
      <c r="B17" s="1251"/>
      <c r="C17" s="1251"/>
      <c r="D17" s="1252"/>
      <c r="E17" s="1254"/>
    </row>
    <row r="18" spans="2:5" ht="20.100000000000001" customHeight="1">
      <c r="B18" s="874" t="s">
        <v>260</v>
      </c>
      <c r="C18" s="864" t="s">
        <v>16</v>
      </c>
      <c r="D18" s="859">
        <v>363</v>
      </c>
      <c r="E18" s="860">
        <f>D18*9.5</f>
        <v>3448.5</v>
      </c>
    </row>
    <row r="19" spans="2:5" ht="20.100000000000001" customHeight="1">
      <c r="B19" s="874" t="s">
        <v>281</v>
      </c>
      <c r="C19" s="864" t="s">
        <v>16</v>
      </c>
      <c r="D19" s="859">
        <v>305</v>
      </c>
      <c r="E19" s="860">
        <f>D19*9.5</f>
        <v>2897.5</v>
      </c>
    </row>
    <row r="20" spans="2:5" ht="20.100000000000001" customHeight="1">
      <c r="B20" s="873"/>
      <c r="C20" s="863"/>
      <c r="D20" s="853"/>
      <c r="E20" s="854">
        <f>D20*10</f>
        <v>0</v>
      </c>
    </row>
    <row r="21" spans="2:5" ht="20.100000000000001" customHeight="1">
      <c r="B21" s="872" t="s">
        <v>303</v>
      </c>
      <c r="C21" s="866" t="s">
        <v>26</v>
      </c>
      <c r="D21" s="838">
        <v>977</v>
      </c>
      <c r="E21" s="856">
        <f>D21*9.5</f>
        <v>9281.5</v>
      </c>
    </row>
    <row r="22" spans="2:5" ht="20.100000000000001" customHeight="1">
      <c r="B22" s="872" t="s">
        <v>205</v>
      </c>
      <c r="C22" s="866" t="s">
        <v>26</v>
      </c>
      <c r="D22" s="838">
        <v>251</v>
      </c>
      <c r="E22" s="856">
        <f>D22*9.5</f>
        <v>2384.5</v>
      </c>
    </row>
    <row r="23" spans="2:5" ht="20.100000000000001" customHeight="1">
      <c r="B23" s="1259" t="s">
        <v>24</v>
      </c>
      <c r="C23" s="1259"/>
      <c r="D23" s="832">
        <f>SUM(D18:D22)</f>
        <v>1896</v>
      </c>
      <c r="E23" s="849">
        <f>D23*9.5</f>
        <v>18012</v>
      </c>
    </row>
    <row r="24" spans="2:5">
      <c r="B24" s="839"/>
      <c r="C24" s="839"/>
      <c r="D24" s="840"/>
      <c r="E24" s="840"/>
    </row>
    <row r="25" spans="2:5" ht="19.5">
      <c r="B25" s="841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875" t="s">
        <v>188</v>
      </c>
      <c r="C28" s="866" t="s">
        <v>26</v>
      </c>
      <c r="D28" s="838">
        <v>236</v>
      </c>
      <c r="E28" s="856">
        <f>D28*9.5</f>
        <v>2242</v>
      </c>
    </row>
    <row r="29" spans="2:5">
      <c r="B29" s="877" t="s">
        <v>260</v>
      </c>
      <c r="C29" s="866" t="s">
        <v>16</v>
      </c>
      <c r="D29" s="838">
        <v>271</v>
      </c>
      <c r="E29" s="856">
        <f>D29*9.5</f>
        <v>2574.5</v>
      </c>
    </row>
    <row r="30" spans="2:5">
      <c r="B30" s="876" t="s">
        <v>278</v>
      </c>
      <c r="C30" s="866" t="s">
        <v>71</v>
      </c>
      <c r="D30" s="838">
        <v>568</v>
      </c>
      <c r="E30" s="856">
        <f>D30*9.5</f>
        <v>5396</v>
      </c>
    </row>
    <row r="31" spans="2:5">
      <c r="B31" s="861"/>
      <c r="C31" s="863" t="s">
        <v>71</v>
      </c>
      <c r="D31" s="853"/>
      <c r="E31" s="854">
        <f>D31*9.5</f>
        <v>0</v>
      </c>
    </row>
    <row r="32" spans="2:5" ht="20.100000000000001" customHeight="1">
      <c r="B32" s="1259" t="s">
        <v>24</v>
      </c>
      <c r="C32" s="1259"/>
      <c r="D32" s="832">
        <f>SUM(D28:D31)</f>
        <v>1075</v>
      </c>
      <c r="E32" s="849">
        <f>D32*9.5</f>
        <v>10212.5</v>
      </c>
    </row>
    <row r="33" spans="2:5" ht="19.5">
      <c r="B33" s="1260" t="s">
        <v>200</v>
      </c>
      <c r="C33" s="1260"/>
      <c r="D33" s="1260"/>
      <c r="E33" s="1260"/>
    </row>
    <row r="34" spans="2:5">
      <c r="B34" s="845"/>
      <c r="C34" s="847" t="s">
        <v>34</v>
      </c>
      <c r="D34" s="847" t="s">
        <v>35</v>
      </c>
      <c r="E34" s="847" t="s">
        <v>37</v>
      </c>
    </row>
    <row r="35" spans="2:5">
      <c r="B35" s="848" t="s">
        <v>39</v>
      </c>
      <c r="C35" s="850">
        <f>D13</f>
        <v>0</v>
      </c>
      <c r="D35" s="851">
        <f>D23</f>
        <v>1896</v>
      </c>
      <c r="E35" s="851">
        <f>D32</f>
        <v>1075</v>
      </c>
    </row>
    <row r="36" spans="2:5">
      <c r="B36" s="848" t="s">
        <v>36</v>
      </c>
      <c r="C36" s="846">
        <f>C35*9.5</f>
        <v>0</v>
      </c>
      <c r="D36" s="846">
        <f>D35*9.5</f>
        <v>18012</v>
      </c>
      <c r="E36" s="846">
        <f>E35*9.5</f>
        <v>10212.5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2971</v>
      </c>
      <c r="D38" s="378" t="s">
        <v>253</v>
      </c>
      <c r="E38" s="381">
        <f>C38*9.5</f>
        <v>28224.5</v>
      </c>
    </row>
    <row r="39" spans="2:5">
      <c r="B39" s="377" t="s">
        <v>197</v>
      </c>
      <c r="C39" s="378">
        <f>C40-C38</f>
        <v>4602</v>
      </c>
      <c r="D39" s="378" t="s">
        <v>204</v>
      </c>
      <c r="E39" s="381">
        <f>C39*9</f>
        <v>41418</v>
      </c>
    </row>
    <row r="40" spans="2:5" ht="19.5">
      <c r="B40" s="836" t="s">
        <v>201</v>
      </c>
      <c r="C40" s="380">
        <f>'Patron Counts v Swipes'!D394</f>
        <v>7573</v>
      </c>
      <c r="D40" s="380" t="s">
        <v>202</v>
      </c>
      <c r="E40" s="379">
        <f>SUM(E38+E39)</f>
        <v>69642.5</v>
      </c>
    </row>
    <row r="42" spans="2:5">
      <c r="B42" s="833" t="s">
        <v>5</v>
      </c>
      <c r="C42" s="842"/>
    </row>
    <row r="43" spans="2:5">
      <c r="B43" s="843" t="s">
        <v>4</v>
      </c>
      <c r="C43" s="844"/>
    </row>
    <row r="44" spans="2:5">
      <c r="B44" s="843" t="s">
        <v>25</v>
      </c>
      <c r="C44" s="844"/>
    </row>
  </sheetData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A93C3-1610-4D7B-A3D6-207AA6A11B06}">
  <sheetPr codeName="Sheet18">
    <pageSetUpPr fitToPage="1"/>
  </sheetPr>
  <dimension ref="B2:H44"/>
  <sheetViews>
    <sheetView workbookViewId="0"/>
  </sheetViews>
  <sheetFormatPr defaultColWidth="9.140625" defaultRowHeight="15"/>
  <cols>
    <col min="1" max="1" width="9.140625" style="829"/>
    <col min="2" max="2" width="36.7109375" style="829" customWidth="1"/>
    <col min="3" max="3" width="24.42578125" style="829" bestFit="1" customWidth="1"/>
    <col min="4" max="4" width="36.7109375" style="829" customWidth="1"/>
    <col min="5" max="5" width="22.7109375" style="829" customWidth="1"/>
    <col min="6" max="8" width="15.7109375" style="829" customWidth="1"/>
    <col min="9" max="16384" width="9.140625" style="829"/>
  </cols>
  <sheetData>
    <row r="2" spans="2:8" ht="19.5">
      <c r="B2" s="834" t="s">
        <v>13</v>
      </c>
      <c r="C2" s="831"/>
      <c r="D2" s="837" t="s">
        <v>27</v>
      </c>
      <c r="E2" s="1247">
        <v>44711</v>
      </c>
      <c r="F2" s="1247"/>
      <c r="G2" s="1247"/>
      <c r="H2" s="1247"/>
    </row>
    <row r="3" spans="2:8">
      <c r="B3" s="831"/>
      <c r="C3" s="831"/>
    </row>
    <row r="4" spans="2:8">
      <c r="B4" s="831"/>
      <c r="C4" s="831"/>
    </row>
    <row r="5" spans="2:8">
      <c r="B5" s="831"/>
      <c r="C5" s="831"/>
    </row>
    <row r="6" spans="2:8" ht="19.5">
      <c r="B6" s="835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830" customFormat="1">
      <c r="B8" s="1251"/>
      <c r="C8" s="1251"/>
      <c r="D8" s="1252"/>
      <c r="E8" s="1254"/>
    </row>
    <row r="9" spans="2:8" ht="20.100000000000001" customHeight="1">
      <c r="B9" s="852"/>
      <c r="C9" s="852" t="s">
        <v>26</v>
      </c>
      <c r="D9" s="853"/>
      <c r="E9" s="854">
        <f>D9*9.5</f>
        <v>0</v>
      </c>
    </row>
    <row r="10" spans="2:8" ht="20.100000000000001" customHeight="1">
      <c r="B10" s="852"/>
      <c r="C10" s="852" t="s">
        <v>16</v>
      </c>
      <c r="D10" s="853"/>
      <c r="E10" s="854">
        <f>D10*9.5</f>
        <v>0</v>
      </c>
    </row>
    <row r="11" spans="2:8" ht="20.100000000000001" customHeight="1">
      <c r="B11" s="852"/>
      <c r="C11" s="852" t="s">
        <v>26</v>
      </c>
      <c r="D11" s="853"/>
      <c r="E11" s="854">
        <f>D11*9.5</f>
        <v>0</v>
      </c>
    </row>
    <row r="12" spans="2:8" ht="20.100000000000001" customHeight="1">
      <c r="B12" s="852"/>
      <c r="C12" s="852" t="s">
        <v>26</v>
      </c>
      <c r="D12" s="853"/>
      <c r="E12" s="854">
        <f>D12*9.5</f>
        <v>0</v>
      </c>
    </row>
    <row r="13" spans="2:8" ht="20.100000000000001" customHeight="1">
      <c r="B13" s="1255" t="s">
        <v>24</v>
      </c>
      <c r="C13" s="1255"/>
      <c r="D13" s="859">
        <f>SUM(D9:D12)</f>
        <v>0</v>
      </c>
      <c r="E13" s="860">
        <f>D13*9.5</f>
        <v>0</v>
      </c>
    </row>
    <row r="15" spans="2:8" ht="19.5">
      <c r="B15" s="836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830" customFormat="1">
      <c r="B17" s="1251"/>
      <c r="C17" s="1251"/>
      <c r="D17" s="1252"/>
      <c r="E17" s="1254"/>
    </row>
    <row r="18" spans="2:5" ht="20.100000000000001" customHeight="1">
      <c r="B18" s="864" t="s">
        <v>243</v>
      </c>
      <c r="C18" s="858" t="s">
        <v>16</v>
      </c>
      <c r="D18" s="859">
        <v>710</v>
      </c>
      <c r="E18" s="860">
        <f>D18*9.5</f>
        <v>6745</v>
      </c>
    </row>
    <row r="19" spans="2:5" ht="20.100000000000001" customHeight="1">
      <c r="B19" s="864" t="s">
        <v>295</v>
      </c>
      <c r="C19" s="858" t="s">
        <v>16</v>
      </c>
      <c r="D19" s="859">
        <v>333</v>
      </c>
      <c r="E19" s="860">
        <f>D19*9.5</f>
        <v>3163.5</v>
      </c>
    </row>
    <row r="20" spans="2:5" ht="20.100000000000001" customHeight="1">
      <c r="B20" s="863"/>
      <c r="C20" s="852"/>
      <c r="D20" s="853"/>
      <c r="E20" s="854">
        <f>D20*10</f>
        <v>0</v>
      </c>
    </row>
    <row r="21" spans="2:5" ht="20.100000000000001" customHeight="1">
      <c r="B21" s="862" t="s">
        <v>82</v>
      </c>
      <c r="C21" s="855" t="s">
        <v>26</v>
      </c>
      <c r="D21" s="838">
        <v>425</v>
      </c>
      <c r="E21" s="856">
        <f>D21*9.5</f>
        <v>4037.5</v>
      </c>
    </row>
    <row r="22" spans="2:5" ht="20.100000000000001" customHeight="1">
      <c r="B22" s="862" t="s">
        <v>143</v>
      </c>
      <c r="C22" s="855" t="s">
        <v>26</v>
      </c>
      <c r="D22" s="838">
        <v>409</v>
      </c>
      <c r="E22" s="856">
        <f>D22*9.5</f>
        <v>3885.5</v>
      </c>
    </row>
    <row r="23" spans="2:5" ht="20.100000000000001" customHeight="1">
      <c r="B23" s="1259" t="s">
        <v>24</v>
      </c>
      <c r="C23" s="1259"/>
      <c r="D23" s="832">
        <f>SUM(D18:D22)</f>
        <v>1877</v>
      </c>
      <c r="E23" s="849">
        <f>D23*9.5</f>
        <v>17831.5</v>
      </c>
    </row>
    <row r="24" spans="2:5">
      <c r="B24" s="839"/>
      <c r="C24" s="839"/>
      <c r="D24" s="840"/>
      <c r="E24" s="840"/>
    </row>
    <row r="25" spans="2:5" ht="19.5">
      <c r="B25" s="841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866" t="s">
        <v>82</v>
      </c>
      <c r="C28" s="855" t="s">
        <v>26</v>
      </c>
      <c r="D28" s="838">
        <v>205</v>
      </c>
      <c r="E28" s="856">
        <f>D28*9.5</f>
        <v>1947.5</v>
      </c>
    </row>
    <row r="29" spans="2:5">
      <c r="B29" s="866" t="s">
        <v>279</v>
      </c>
      <c r="C29" s="855" t="s">
        <v>16</v>
      </c>
      <c r="D29" s="838">
        <v>480</v>
      </c>
      <c r="E29" s="856">
        <f>D29*9.5</f>
        <v>4560</v>
      </c>
    </row>
    <row r="30" spans="2:5">
      <c r="B30" s="867" t="s">
        <v>278</v>
      </c>
      <c r="C30" s="855" t="s">
        <v>71</v>
      </c>
      <c r="D30" s="838">
        <v>491</v>
      </c>
      <c r="E30" s="856">
        <f>D30*9.5</f>
        <v>4664.5</v>
      </c>
    </row>
    <row r="31" spans="2:5">
      <c r="B31" s="861"/>
      <c r="C31" s="852" t="s">
        <v>71</v>
      </c>
      <c r="D31" s="853"/>
      <c r="E31" s="854">
        <f>D31*9.5</f>
        <v>0</v>
      </c>
    </row>
    <row r="32" spans="2:5" ht="20.100000000000001" customHeight="1">
      <c r="B32" s="1259" t="s">
        <v>24</v>
      </c>
      <c r="C32" s="1259"/>
      <c r="D32" s="832">
        <f>SUM(D28:D31)</f>
        <v>1176</v>
      </c>
      <c r="E32" s="849">
        <f>D32*9.5</f>
        <v>11172</v>
      </c>
    </row>
    <row r="33" spans="2:5" ht="19.5">
      <c r="B33" s="1260" t="s">
        <v>200</v>
      </c>
      <c r="C33" s="1260"/>
      <c r="D33" s="1260"/>
      <c r="E33" s="1260"/>
    </row>
    <row r="34" spans="2:5">
      <c r="B34" s="845"/>
      <c r="C34" s="847" t="s">
        <v>34</v>
      </c>
      <c r="D34" s="847" t="s">
        <v>35</v>
      </c>
      <c r="E34" s="847" t="s">
        <v>37</v>
      </c>
    </row>
    <row r="35" spans="2:5">
      <c r="B35" s="848" t="s">
        <v>39</v>
      </c>
      <c r="C35" s="850">
        <f>D13</f>
        <v>0</v>
      </c>
      <c r="D35" s="851">
        <f>D23</f>
        <v>1877</v>
      </c>
      <c r="E35" s="851">
        <f>D32</f>
        <v>1176</v>
      </c>
    </row>
    <row r="36" spans="2:5">
      <c r="B36" s="848" t="s">
        <v>36</v>
      </c>
      <c r="C36" s="846">
        <f>C35*9.5</f>
        <v>0</v>
      </c>
      <c r="D36" s="846">
        <f>D35*9.5</f>
        <v>17831.5</v>
      </c>
      <c r="E36" s="846">
        <f>E35*9.5</f>
        <v>11172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3053</v>
      </c>
      <c r="D38" s="378" t="s">
        <v>253</v>
      </c>
      <c r="E38" s="381">
        <f>C38*9.5</f>
        <v>29003.5</v>
      </c>
    </row>
    <row r="39" spans="2:5">
      <c r="B39" s="377" t="s">
        <v>197</v>
      </c>
      <c r="C39" s="378">
        <f>C40-C38</f>
        <v>285</v>
      </c>
      <c r="D39" s="378" t="s">
        <v>204</v>
      </c>
      <c r="E39" s="381">
        <f>C39*9</f>
        <v>2565</v>
      </c>
    </row>
    <row r="40" spans="2:5" ht="19.5">
      <c r="B40" s="836" t="s">
        <v>201</v>
      </c>
      <c r="C40" s="380">
        <f>'Patron Counts v Swipes'!D388</f>
        <v>3338</v>
      </c>
      <c r="D40" s="380" t="s">
        <v>202</v>
      </c>
      <c r="E40" s="379">
        <f>SUM(E38+E39)</f>
        <v>31568.5</v>
      </c>
    </row>
    <row r="42" spans="2:5">
      <c r="B42" s="833" t="s">
        <v>5</v>
      </c>
      <c r="C42" s="842"/>
    </row>
    <row r="43" spans="2:5">
      <c r="B43" s="843" t="s">
        <v>4</v>
      </c>
      <c r="C43" s="844"/>
    </row>
    <row r="44" spans="2:5">
      <c r="B44" s="843" t="s">
        <v>25</v>
      </c>
      <c r="C44" s="844"/>
    </row>
  </sheetData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51B8F-8165-4E63-8095-916C71DC8E05}">
  <sheetPr codeName="Sheet19">
    <pageSetUpPr fitToPage="1"/>
  </sheetPr>
  <dimension ref="B2:H44"/>
  <sheetViews>
    <sheetView workbookViewId="0"/>
  </sheetViews>
  <sheetFormatPr defaultColWidth="9.140625" defaultRowHeight="15"/>
  <cols>
    <col min="1" max="1" width="9.140625" style="793"/>
    <col min="2" max="2" width="36.7109375" style="793" customWidth="1"/>
    <col min="3" max="3" width="24.42578125" style="793" bestFit="1" customWidth="1"/>
    <col min="4" max="4" width="36.7109375" style="793" customWidth="1"/>
    <col min="5" max="5" width="22.7109375" style="793" customWidth="1"/>
    <col min="6" max="8" width="15.7109375" style="793" customWidth="1"/>
    <col min="9" max="16384" width="9.140625" style="793"/>
  </cols>
  <sheetData>
    <row r="2" spans="2:8" ht="19.5">
      <c r="B2" s="798" t="s">
        <v>13</v>
      </c>
      <c r="C2" s="795"/>
      <c r="D2" s="801" t="s">
        <v>27</v>
      </c>
      <c r="E2" s="1247">
        <v>44708</v>
      </c>
      <c r="F2" s="1247"/>
      <c r="G2" s="1247"/>
      <c r="H2" s="1247"/>
    </row>
    <row r="3" spans="2:8">
      <c r="B3" s="795"/>
      <c r="C3" s="795"/>
    </row>
    <row r="4" spans="2:8">
      <c r="B4" s="795"/>
      <c r="C4" s="795"/>
    </row>
    <row r="5" spans="2:8">
      <c r="B5" s="795"/>
      <c r="C5" s="795"/>
    </row>
    <row r="6" spans="2:8" ht="19.5">
      <c r="B6" s="799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794" customFormat="1">
      <c r="B8" s="1251"/>
      <c r="C8" s="1251"/>
      <c r="D8" s="1252"/>
      <c r="E8" s="1254"/>
    </row>
    <row r="9" spans="2:8" ht="20.100000000000001" customHeight="1">
      <c r="B9" s="816"/>
      <c r="C9" s="816" t="s">
        <v>26</v>
      </c>
      <c r="D9" s="817"/>
      <c r="E9" s="818">
        <f>D9*9.5</f>
        <v>0</v>
      </c>
    </row>
    <row r="10" spans="2:8" ht="20.100000000000001" customHeight="1">
      <c r="B10" s="816"/>
      <c r="C10" s="816" t="s">
        <v>16</v>
      </c>
      <c r="D10" s="817"/>
      <c r="E10" s="818">
        <f>D10*9.5</f>
        <v>0</v>
      </c>
    </row>
    <row r="11" spans="2:8" ht="20.100000000000001" customHeight="1">
      <c r="B11" s="816"/>
      <c r="C11" s="816" t="s">
        <v>26</v>
      </c>
      <c r="D11" s="817"/>
      <c r="E11" s="818">
        <f>D11*9.5</f>
        <v>0</v>
      </c>
    </row>
    <row r="12" spans="2:8" ht="20.100000000000001" customHeight="1">
      <c r="B12" s="816"/>
      <c r="C12" s="816" t="s">
        <v>26</v>
      </c>
      <c r="D12" s="817"/>
      <c r="E12" s="818">
        <f>D12*9.5</f>
        <v>0</v>
      </c>
    </row>
    <row r="13" spans="2:8" ht="20.100000000000001" customHeight="1">
      <c r="B13" s="1255" t="s">
        <v>24</v>
      </c>
      <c r="C13" s="1255"/>
      <c r="D13" s="823">
        <f>SUM(D9:D12)</f>
        <v>0</v>
      </c>
      <c r="E13" s="824">
        <f>D13*9.5</f>
        <v>0</v>
      </c>
    </row>
    <row r="15" spans="2:8" ht="19.5">
      <c r="B15" s="800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794" customFormat="1">
      <c r="B17" s="1251"/>
      <c r="C17" s="1251"/>
      <c r="D17" s="1252"/>
      <c r="E17" s="1254"/>
    </row>
    <row r="18" spans="2:5" ht="20.100000000000001" customHeight="1">
      <c r="B18" s="828" t="s">
        <v>305</v>
      </c>
      <c r="C18" s="822" t="s">
        <v>16</v>
      </c>
      <c r="D18" s="823">
        <v>249</v>
      </c>
      <c r="E18" s="824">
        <f>D18*9.5</f>
        <v>2365.5</v>
      </c>
    </row>
    <row r="19" spans="2:5" ht="20.100000000000001" customHeight="1">
      <c r="B19" s="828" t="s">
        <v>260</v>
      </c>
      <c r="C19" s="822" t="s">
        <v>16</v>
      </c>
      <c r="D19" s="823">
        <v>383</v>
      </c>
      <c r="E19" s="824">
        <f>D19*9.5</f>
        <v>3638.5</v>
      </c>
    </row>
    <row r="20" spans="2:5" ht="20.100000000000001" customHeight="1">
      <c r="B20" s="827"/>
      <c r="C20" s="816"/>
      <c r="D20" s="817"/>
      <c r="E20" s="818">
        <f>D20*10</f>
        <v>0</v>
      </c>
    </row>
    <row r="21" spans="2:5" ht="20.100000000000001" customHeight="1">
      <c r="B21" s="826" t="s">
        <v>45</v>
      </c>
      <c r="C21" s="819" t="s">
        <v>26</v>
      </c>
      <c r="D21" s="802">
        <v>420</v>
      </c>
      <c r="E21" s="820">
        <f>D21*9.5</f>
        <v>3990</v>
      </c>
    </row>
    <row r="22" spans="2:5" ht="20.100000000000001" customHeight="1">
      <c r="B22" s="826" t="s">
        <v>306</v>
      </c>
      <c r="C22" s="819" t="s">
        <v>26</v>
      </c>
      <c r="D22" s="802"/>
      <c r="E22" s="820">
        <f>D22*9.5</f>
        <v>0</v>
      </c>
    </row>
    <row r="23" spans="2:5" ht="20.100000000000001" customHeight="1">
      <c r="B23" s="1259" t="s">
        <v>24</v>
      </c>
      <c r="C23" s="1259"/>
      <c r="D23" s="796">
        <f>SUM(D18:D22)</f>
        <v>1052</v>
      </c>
      <c r="E23" s="813">
        <f>D23*9.5</f>
        <v>9994</v>
      </c>
    </row>
    <row r="24" spans="2:5">
      <c r="B24" s="803"/>
      <c r="C24" s="803"/>
      <c r="D24" s="804"/>
      <c r="E24" s="804"/>
    </row>
    <row r="25" spans="2:5" ht="19.5">
      <c r="B25" s="805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855" t="s">
        <v>45</v>
      </c>
      <c r="C28" s="819" t="s">
        <v>26</v>
      </c>
      <c r="D28" s="802">
        <v>312</v>
      </c>
      <c r="E28" s="820">
        <f>D28*9.5</f>
        <v>2964</v>
      </c>
    </row>
    <row r="29" spans="2:5">
      <c r="B29" s="855" t="s">
        <v>279</v>
      </c>
      <c r="C29" s="819" t="s">
        <v>16</v>
      </c>
      <c r="D29" s="802">
        <v>479</v>
      </c>
      <c r="E29" s="820">
        <f>D29*9.5</f>
        <v>4550.5</v>
      </c>
    </row>
    <row r="30" spans="2:5">
      <c r="B30" s="857" t="s">
        <v>258</v>
      </c>
      <c r="C30" s="819" t="s">
        <v>71</v>
      </c>
      <c r="D30" s="802">
        <v>425</v>
      </c>
      <c r="E30" s="820">
        <f>D30*9.5</f>
        <v>4037.5</v>
      </c>
    </row>
    <row r="31" spans="2:5">
      <c r="B31" s="825"/>
      <c r="C31" s="816" t="s">
        <v>71</v>
      </c>
      <c r="D31" s="817"/>
      <c r="E31" s="818">
        <f>D31*9.5</f>
        <v>0</v>
      </c>
    </row>
    <row r="32" spans="2:5" ht="20.100000000000001" customHeight="1">
      <c r="B32" s="1259" t="s">
        <v>24</v>
      </c>
      <c r="C32" s="1259"/>
      <c r="D32" s="796">
        <f>SUM(D28:D31)</f>
        <v>1216</v>
      </c>
      <c r="E32" s="813">
        <f>D32*9.5</f>
        <v>11552</v>
      </c>
    </row>
    <row r="33" spans="2:5" ht="19.5">
      <c r="B33" s="1260" t="s">
        <v>200</v>
      </c>
      <c r="C33" s="1260"/>
      <c r="D33" s="1260"/>
      <c r="E33" s="1260"/>
    </row>
    <row r="34" spans="2:5">
      <c r="B34" s="809"/>
      <c r="C34" s="811" t="s">
        <v>34</v>
      </c>
      <c r="D34" s="811" t="s">
        <v>35</v>
      </c>
      <c r="E34" s="811" t="s">
        <v>37</v>
      </c>
    </row>
    <row r="35" spans="2:5">
      <c r="B35" s="812" t="s">
        <v>39</v>
      </c>
      <c r="C35" s="814">
        <f>D13</f>
        <v>0</v>
      </c>
      <c r="D35" s="815">
        <f>D23</f>
        <v>1052</v>
      </c>
      <c r="E35" s="815">
        <f>D32</f>
        <v>1216</v>
      </c>
    </row>
    <row r="36" spans="2:5">
      <c r="B36" s="812" t="s">
        <v>36</v>
      </c>
      <c r="C36" s="810">
        <f>C35*9.5</f>
        <v>0</v>
      </c>
      <c r="D36" s="810">
        <f>D35*9.5</f>
        <v>9994</v>
      </c>
      <c r="E36" s="810">
        <f>E35*9.5</f>
        <v>11552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2268</v>
      </c>
      <c r="D38" s="378" t="s">
        <v>253</v>
      </c>
      <c r="E38" s="381">
        <f>C38*9.5</f>
        <v>21546</v>
      </c>
    </row>
    <row r="39" spans="2:5">
      <c r="B39" s="377" t="s">
        <v>197</v>
      </c>
      <c r="C39" s="378">
        <f>C40-C38</f>
        <v>2684</v>
      </c>
      <c r="D39" s="378" t="s">
        <v>204</v>
      </c>
      <c r="E39" s="381">
        <f>C39*9</f>
        <v>24156</v>
      </c>
    </row>
    <row r="40" spans="2:5" ht="19.5">
      <c r="B40" s="800" t="s">
        <v>201</v>
      </c>
      <c r="C40" s="380">
        <f>'Patron Counts v Swipes'!D370</f>
        <v>4952</v>
      </c>
      <c r="D40" s="380" t="s">
        <v>202</v>
      </c>
      <c r="E40" s="379">
        <f>SUM(E38+E39)</f>
        <v>45702</v>
      </c>
    </row>
    <row r="42" spans="2:5">
      <c r="B42" s="797" t="s">
        <v>5</v>
      </c>
      <c r="C42" s="806"/>
    </row>
    <row r="43" spans="2:5">
      <c r="B43" s="807" t="s">
        <v>4</v>
      </c>
      <c r="C43" s="808"/>
    </row>
    <row r="44" spans="2:5">
      <c r="B44" s="807" t="s">
        <v>25</v>
      </c>
      <c r="C44" s="808"/>
    </row>
  </sheetData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D8F24-E96C-4CC8-8762-A443E5A96995}">
  <sheetPr codeName="Sheet20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4.42578125" style="753" bestFit="1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44707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6"/>
      <c r="C9" s="766" t="s">
        <v>26</v>
      </c>
      <c r="D9" s="692"/>
      <c r="E9" s="693">
        <f>D9*9.5</f>
        <v>0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55" t="s">
        <v>24</v>
      </c>
      <c r="C13" s="1255"/>
      <c r="D13" s="784">
        <f>SUM(D9:D12)</f>
        <v>0</v>
      </c>
      <c r="E13" s="776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92" t="s">
        <v>279</v>
      </c>
      <c r="C18" s="767" t="s">
        <v>16</v>
      </c>
      <c r="D18" s="784">
        <v>585</v>
      </c>
      <c r="E18" s="776">
        <f>D18*9.5</f>
        <v>5557.5</v>
      </c>
    </row>
    <row r="19" spans="2:5" ht="20.100000000000001" customHeight="1">
      <c r="B19" s="792" t="s">
        <v>281</v>
      </c>
      <c r="C19" s="767" t="s">
        <v>16</v>
      </c>
      <c r="D19" s="784">
        <v>298</v>
      </c>
      <c r="E19" s="776">
        <f>D19*9.5</f>
        <v>2831</v>
      </c>
    </row>
    <row r="20" spans="2:5" ht="20.100000000000001" customHeight="1">
      <c r="B20" s="791"/>
      <c r="C20" s="766"/>
      <c r="D20" s="692"/>
      <c r="E20" s="693">
        <f>D20*10</f>
        <v>0</v>
      </c>
    </row>
    <row r="21" spans="2:5" ht="20.100000000000001" customHeight="1">
      <c r="B21" s="790" t="s">
        <v>303</v>
      </c>
      <c r="C21" s="768" t="s">
        <v>26</v>
      </c>
      <c r="D21" s="667">
        <v>896</v>
      </c>
      <c r="E21" s="685">
        <f>D21*9.5</f>
        <v>8512</v>
      </c>
    </row>
    <row r="22" spans="2:5" ht="20.100000000000001" customHeight="1">
      <c r="B22" s="790" t="s">
        <v>313</v>
      </c>
      <c r="C22" s="768" t="s">
        <v>26</v>
      </c>
      <c r="D22" s="667">
        <v>358</v>
      </c>
      <c r="E22" s="685">
        <f>D22*9.5</f>
        <v>3401</v>
      </c>
    </row>
    <row r="23" spans="2:5" ht="20.100000000000001" customHeight="1">
      <c r="B23" s="1259" t="s">
        <v>24</v>
      </c>
      <c r="C23" s="1259"/>
      <c r="D23" s="754">
        <f>SUM(D18:D22)</f>
        <v>2137</v>
      </c>
      <c r="E23" s="678">
        <f>D23*9.5</f>
        <v>20301.5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819" t="s">
        <v>70</v>
      </c>
      <c r="C28" s="768" t="s">
        <v>26</v>
      </c>
      <c r="D28" s="667">
        <v>433</v>
      </c>
      <c r="E28" s="685">
        <f>D28*9.5</f>
        <v>4113.5</v>
      </c>
    </row>
    <row r="29" spans="2:5">
      <c r="B29" s="819" t="s">
        <v>278</v>
      </c>
      <c r="C29" s="768" t="s">
        <v>16</v>
      </c>
      <c r="D29" s="667">
        <v>446</v>
      </c>
      <c r="E29" s="685">
        <f>D29*9.5</f>
        <v>4237</v>
      </c>
    </row>
    <row r="30" spans="2:5">
      <c r="B30" s="821" t="s">
        <v>281</v>
      </c>
      <c r="C30" s="768" t="s">
        <v>71</v>
      </c>
      <c r="D30" s="667">
        <v>151</v>
      </c>
      <c r="E30" s="685">
        <f>D30*9.5</f>
        <v>1434.5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1030</v>
      </c>
      <c r="E32" s="678">
        <f>D32*9.5</f>
        <v>9785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2137</v>
      </c>
      <c r="E35" s="680">
        <f>D32</f>
        <v>1030</v>
      </c>
    </row>
    <row r="36" spans="2:5">
      <c r="B36" s="677" t="s">
        <v>36</v>
      </c>
      <c r="C36" s="675">
        <f>C35*9.5</f>
        <v>0</v>
      </c>
      <c r="D36" s="675">
        <f>D35*9.5</f>
        <v>20301.5</v>
      </c>
      <c r="E36" s="675">
        <f>E35*9.5</f>
        <v>9785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3167</v>
      </c>
      <c r="D38" s="378" t="s">
        <v>253</v>
      </c>
      <c r="E38" s="381">
        <f>C38*9.5</f>
        <v>30086.5</v>
      </c>
    </row>
    <row r="39" spans="2:5">
      <c r="B39" s="377" t="s">
        <v>197</v>
      </c>
      <c r="C39" s="378">
        <f>C40-C38</f>
        <v>3959</v>
      </c>
      <c r="D39" s="378" t="s">
        <v>204</v>
      </c>
      <c r="E39" s="381">
        <f>C39*9</f>
        <v>35631</v>
      </c>
    </row>
    <row r="40" spans="2:5" ht="19.5">
      <c r="B40" s="665" t="s">
        <v>201</v>
      </c>
      <c r="C40" s="380">
        <f>'Patron Counts v Swipes'!D364</f>
        <v>7126</v>
      </c>
      <c r="D40" s="380" t="s">
        <v>202</v>
      </c>
      <c r="E40" s="379">
        <f>SUM(E38+E39)</f>
        <v>65717.5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2515F-9BD3-46DD-B3F3-D75CF931D41D}">
  <sheetPr codeName="Sheet21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4.42578125" style="753" bestFit="1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44706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6"/>
      <c r="C9" s="766" t="s">
        <v>26</v>
      </c>
      <c r="D9" s="692"/>
      <c r="E9" s="693">
        <f>D9*9.5</f>
        <v>0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55" t="s">
        <v>24</v>
      </c>
      <c r="C13" s="1255"/>
      <c r="D13" s="784">
        <f>SUM(D9:D12)</f>
        <v>0</v>
      </c>
      <c r="E13" s="776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7" t="s">
        <v>53</v>
      </c>
      <c r="C18" s="767" t="s">
        <v>16</v>
      </c>
      <c r="D18" s="784">
        <v>150</v>
      </c>
      <c r="E18" s="776">
        <f>D18*9.5</f>
        <v>1425</v>
      </c>
    </row>
    <row r="19" spans="2:5" ht="20.100000000000001" customHeight="1">
      <c r="B19" s="767" t="s">
        <v>78</v>
      </c>
      <c r="C19" s="767" t="s">
        <v>16</v>
      </c>
      <c r="D19" s="784">
        <v>212</v>
      </c>
      <c r="E19" s="776">
        <f>D19*9.5</f>
        <v>2014</v>
      </c>
    </row>
    <row r="20" spans="2:5" ht="20.100000000000001" customHeight="1">
      <c r="B20" s="766"/>
      <c r="C20" s="766"/>
      <c r="D20" s="692"/>
      <c r="E20" s="693">
        <f>D20*10</f>
        <v>0</v>
      </c>
    </row>
    <row r="21" spans="2:5" ht="20.100000000000001" customHeight="1">
      <c r="B21" s="765" t="s">
        <v>311</v>
      </c>
      <c r="C21" s="768" t="s">
        <v>26</v>
      </c>
      <c r="D21" s="667">
        <v>253</v>
      </c>
      <c r="E21" s="685">
        <f>D21*9.5</f>
        <v>2403.5</v>
      </c>
    </row>
    <row r="22" spans="2:5" ht="20.100000000000001" customHeight="1">
      <c r="B22" s="765" t="s">
        <v>312</v>
      </c>
      <c r="C22" s="768" t="s">
        <v>26</v>
      </c>
      <c r="D22" s="667">
        <v>386</v>
      </c>
      <c r="E22" s="685">
        <f>D22*9.5</f>
        <v>3667</v>
      </c>
    </row>
    <row r="23" spans="2:5" ht="20.100000000000001" customHeight="1">
      <c r="B23" s="1259" t="s">
        <v>24</v>
      </c>
      <c r="C23" s="1259"/>
      <c r="D23" s="754">
        <f>SUM(D18:D22)</f>
        <v>1001</v>
      </c>
      <c r="E23" s="678">
        <f>D23*9.5</f>
        <v>9509.5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5" t="s">
        <v>256</v>
      </c>
      <c r="C28" s="768" t="s">
        <v>26</v>
      </c>
      <c r="D28" s="667">
        <v>197</v>
      </c>
      <c r="E28" s="685">
        <f>D28*9.5</f>
        <v>1871.5</v>
      </c>
    </row>
    <row r="29" spans="2:5">
      <c r="B29" s="768" t="s">
        <v>53</v>
      </c>
      <c r="C29" s="768" t="s">
        <v>16</v>
      </c>
      <c r="D29" s="667">
        <v>125</v>
      </c>
      <c r="E29" s="685">
        <f>D29*9.5</f>
        <v>1187.5</v>
      </c>
    </row>
    <row r="30" spans="2:5">
      <c r="B30" s="769" t="s">
        <v>278</v>
      </c>
      <c r="C30" s="768" t="s">
        <v>71</v>
      </c>
      <c r="D30" s="667">
        <v>527</v>
      </c>
      <c r="E30" s="685">
        <f>D30*9.5</f>
        <v>5006.5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849</v>
      </c>
      <c r="E32" s="678">
        <f>D32*9.5</f>
        <v>8065.5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1001</v>
      </c>
      <c r="E35" s="680">
        <f>D32</f>
        <v>849</v>
      </c>
    </row>
    <row r="36" spans="2:5">
      <c r="B36" s="677" t="s">
        <v>36</v>
      </c>
      <c r="C36" s="675">
        <f>C35*9.5</f>
        <v>0</v>
      </c>
      <c r="D36" s="675">
        <f>D35*9.5</f>
        <v>9509.5</v>
      </c>
      <c r="E36" s="675">
        <f>E35*9.5</f>
        <v>8065.5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1850</v>
      </c>
      <c r="D38" s="378" t="s">
        <v>253</v>
      </c>
      <c r="E38" s="381">
        <f>C38*9.5</f>
        <v>17575</v>
      </c>
    </row>
    <row r="39" spans="2:5">
      <c r="B39" s="377" t="s">
        <v>197</v>
      </c>
      <c r="C39" s="378">
        <f>C40-C38</f>
        <v>4379</v>
      </c>
      <c r="D39" s="378" t="s">
        <v>204</v>
      </c>
      <c r="E39" s="381">
        <f>C39*9</f>
        <v>39411</v>
      </c>
    </row>
    <row r="40" spans="2:5" ht="19.5">
      <c r="B40" s="665" t="s">
        <v>201</v>
      </c>
      <c r="C40" s="380">
        <f>'Patron Counts v Swipes'!D358</f>
        <v>6229</v>
      </c>
      <c r="D40" s="380" t="s">
        <v>202</v>
      </c>
      <c r="E40" s="379">
        <f>SUM(E38+E39)</f>
        <v>56986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4D35-8AD5-470A-89B3-AFDE0FB1230D}">
  <sheetPr codeName="Sheet22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4.42578125" style="753" bestFit="1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44705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6"/>
      <c r="C9" s="766" t="s">
        <v>26</v>
      </c>
      <c r="D9" s="692"/>
      <c r="E9" s="693">
        <f>D9*9.5</f>
        <v>0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55" t="s">
        <v>24</v>
      </c>
      <c r="C13" s="1255"/>
      <c r="D13" s="784">
        <f>SUM(D9:D12)</f>
        <v>0</v>
      </c>
      <c r="E13" s="776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7" t="s">
        <v>70</v>
      </c>
      <c r="C18" s="767" t="s">
        <v>16</v>
      </c>
      <c r="D18" s="784">
        <v>553</v>
      </c>
      <c r="E18" s="776">
        <f>D18*9.5</f>
        <v>5253.5</v>
      </c>
    </row>
    <row r="19" spans="2:5" ht="20.100000000000001" customHeight="1">
      <c r="B19" s="767" t="s">
        <v>170</v>
      </c>
      <c r="C19" s="767" t="s">
        <v>16</v>
      </c>
      <c r="D19" s="784">
        <v>434</v>
      </c>
      <c r="E19" s="776">
        <f>D19*9.5</f>
        <v>4123</v>
      </c>
    </row>
    <row r="20" spans="2:5" ht="20.100000000000001" customHeight="1">
      <c r="B20" s="766"/>
      <c r="C20" s="766"/>
      <c r="D20" s="692"/>
      <c r="E20" s="693">
        <f>D20*10</f>
        <v>0</v>
      </c>
    </row>
    <row r="21" spans="2:5" ht="20.100000000000001" customHeight="1">
      <c r="B21" s="765" t="s">
        <v>250</v>
      </c>
      <c r="C21" s="768" t="s">
        <v>26</v>
      </c>
      <c r="D21" s="667">
        <v>430</v>
      </c>
      <c r="E21" s="685">
        <f>D21*9.5</f>
        <v>4085</v>
      </c>
    </row>
    <row r="22" spans="2:5" ht="20.100000000000001" customHeight="1">
      <c r="B22" s="765" t="s">
        <v>65</v>
      </c>
      <c r="C22" s="768" t="s">
        <v>26</v>
      </c>
      <c r="D22" s="667">
        <v>391</v>
      </c>
      <c r="E22" s="685">
        <f>D22*9.5</f>
        <v>3714.5</v>
      </c>
    </row>
    <row r="23" spans="2:5" ht="20.100000000000001" customHeight="1">
      <c r="B23" s="1259" t="s">
        <v>24</v>
      </c>
      <c r="C23" s="1259"/>
      <c r="D23" s="754">
        <f>SUM(D18:D22)</f>
        <v>1808</v>
      </c>
      <c r="E23" s="678">
        <f>D23*9.5</f>
        <v>17176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5" t="s">
        <v>205</v>
      </c>
      <c r="C28" s="768" t="s">
        <v>26</v>
      </c>
      <c r="D28" s="667">
        <v>167</v>
      </c>
      <c r="E28" s="685">
        <f>D28*9.5</f>
        <v>1586.5</v>
      </c>
    </row>
    <row r="29" spans="2:5">
      <c r="B29" s="768" t="s">
        <v>310</v>
      </c>
      <c r="C29" s="768" t="s">
        <v>16</v>
      </c>
      <c r="D29" s="667">
        <v>308</v>
      </c>
      <c r="E29" s="685">
        <f>D29*9.5</f>
        <v>2926</v>
      </c>
    </row>
    <row r="30" spans="2:5">
      <c r="B30" s="769" t="s">
        <v>235</v>
      </c>
      <c r="C30" s="768" t="s">
        <v>71</v>
      </c>
      <c r="D30" s="667">
        <v>479</v>
      </c>
      <c r="E30" s="685">
        <f>D30*9.5</f>
        <v>4550.5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954</v>
      </c>
      <c r="E32" s="678">
        <f>D32*9.5</f>
        <v>9063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1808</v>
      </c>
      <c r="E35" s="680">
        <f>D32</f>
        <v>954</v>
      </c>
    </row>
    <row r="36" spans="2:5">
      <c r="B36" s="677" t="s">
        <v>36</v>
      </c>
      <c r="C36" s="675">
        <f>C35*9.5</f>
        <v>0</v>
      </c>
      <c r="D36" s="675">
        <f>D35*9.5</f>
        <v>17176</v>
      </c>
      <c r="E36" s="675">
        <f>E35*9.5</f>
        <v>9063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2762</v>
      </c>
      <c r="D38" s="378" t="s">
        <v>253</v>
      </c>
      <c r="E38" s="381">
        <f>C38*9.5</f>
        <v>26239</v>
      </c>
    </row>
    <row r="39" spans="2:5">
      <c r="B39" s="377" t="s">
        <v>197</v>
      </c>
      <c r="C39" s="378">
        <f>C40-C38</f>
        <v>4437</v>
      </c>
      <c r="D39" s="378" t="s">
        <v>204</v>
      </c>
      <c r="E39" s="381">
        <f>C39*9</f>
        <v>39933</v>
      </c>
    </row>
    <row r="40" spans="2:5" ht="19.5">
      <c r="B40" s="665" t="s">
        <v>201</v>
      </c>
      <c r="C40" s="380">
        <f>'Patron Counts v Swipes'!D352</f>
        <v>7199</v>
      </c>
      <c r="D40" s="380" t="s">
        <v>202</v>
      </c>
      <c r="E40" s="379">
        <f>SUM(E38+E39)</f>
        <v>66172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OxHg3cngDn8PFcTJ0524q55YRWSw1cHl3ug5iosfXRW4F1nxWySlK7SRvXhKF4j93rAH6S3h187QzczNU8jnZQ==" saltValue="T/ZgLEYo6XUVd9/5ilGcCg==" spinCount="100000" sheet="1" objects="1" scenarios="1"/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72475-2BE3-47AF-885E-E52837D3443D}">
  <sheetPr codeName="Sheet23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4.42578125" style="753" bestFit="1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44704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6"/>
      <c r="C9" s="766" t="s">
        <v>26</v>
      </c>
      <c r="D9" s="692"/>
      <c r="E9" s="693">
        <f>D9*9.5</f>
        <v>0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55" t="s">
        <v>24</v>
      </c>
      <c r="C13" s="1255"/>
      <c r="D13" s="784">
        <f>SUM(D9:D12)</f>
        <v>0</v>
      </c>
      <c r="E13" s="776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7" t="s">
        <v>53</v>
      </c>
      <c r="C18" s="767" t="s">
        <v>16</v>
      </c>
      <c r="D18" s="784">
        <v>200</v>
      </c>
      <c r="E18" s="776">
        <f>D18*9.5</f>
        <v>1900</v>
      </c>
    </row>
    <row r="19" spans="2:5" ht="20.100000000000001" customHeight="1">
      <c r="B19" s="767" t="s">
        <v>245</v>
      </c>
      <c r="C19" s="767" t="s">
        <v>16</v>
      </c>
      <c r="D19" s="784">
        <v>313</v>
      </c>
      <c r="E19" s="776">
        <f>D19*9.5</f>
        <v>2973.5</v>
      </c>
    </row>
    <row r="20" spans="2:5" ht="20.100000000000001" customHeight="1">
      <c r="B20" s="766"/>
      <c r="C20" s="766"/>
      <c r="D20" s="692"/>
      <c r="E20" s="693">
        <f>D20*10</f>
        <v>0</v>
      </c>
    </row>
    <row r="21" spans="2:5" ht="20.100000000000001" customHeight="1">
      <c r="B21" s="765" t="s">
        <v>244</v>
      </c>
      <c r="C21" s="768" t="s">
        <v>26</v>
      </c>
      <c r="D21" s="667">
        <v>485</v>
      </c>
      <c r="E21" s="685">
        <f>D21*9.5</f>
        <v>4607.5</v>
      </c>
    </row>
    <row r="22" spans="2:5" ht="20.100000000000001" customHeight="1">
      <c r="B22" s="765" t="s">
        <v>12</v>
      </c>
      <c r="C22" s="768" t="s">
        <v>26</v>
      </c>
      <c r="D22" s="667">
        <v>275</v>
      </c>
      <c r="E22" s="685">
        <f>D22*9.5</f>
        <v>2612.5</v>
      </c>
    </row>
    <row r="23" spans="2:5" ht="20.100000000000001" customHeight="1">
      <c r="B23" s="1259" t="s">
        <v>24</v>
      </c>
      <c r="C23" s="1259"/>
      <c r="D23" s="754">
        <f>SUM(D18:D22)</f>
        <v>1273</v>
      </c>
      <c r="E23" s="678">
        <f>D23*9.5</f>
        <v>12093.5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5" t="s">
        <v>65</v>
      </c>
      <c r="C28" s="768" t="s">
        <v>26</v>
      </c>
      <c r="D28" s="667">
        <v>317</v>
      </c>
      <c r="E28" s="685">
        <f>D28*9.5</f>
        <v>3011.5</v>
      </c>
    </row>
    <row r="29" spans="2:5">
      <c r="B29" s="768" t="s">
        <v>53</v>
      </c>
      <c r="C29" s="768" t="s">
        <v>16</v>
      </c>
      <c r="D29" s="667">
        <v>171</v>
      </c>
      <c r="E29" s="685">
        <f>D29*9.5</f>
        <v>1624.5</v>
      </c>
    </row>
    <row r="30" spans="2:5">
      <c r="B30" s="769" t="s">
        <v>235</v>
      </c>
      <c r="C30" s="768" t="s">
        <v>71</v>
      </c>
      <c r="D30" s="667">
        <v>476</v>
      </c>
      <c r="E30" s="685">
        <f>D30*9.5</f>
        <v>4522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964</v>
      </c>
      <c r="E32" s="678">
        <f>D32*9.5</f>
        <v>9158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1273</v>
      </c>
      <c r="E35" s="680">
        <f>D32</f>
        <v>964</v>
      </c>
    </row>
    <row r="36" spans="2:5">
      <c r="B36" s="677" t="s">
        <v>36</v>
      </c>
      <c r="C36" s="675">
        <f>C35*9.5</f>
        <v>0</v>
      </c>
      <c r="D36" s="675">
        <f>D35*9.5</f>
        <v>12093.5</v>
      </c>
      <c r="E36" s="675">
        <f>E35*9.5</f>
        <v>9158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2237</v>
      </c>
      <c r="D38" s="378" t="s">
        <v>253</v>
      </c>
      <c r="E38" s="381">
        <f>C38*9.5</f>
        <v>21251.5</v>
      </c>
    </row>
    <row r="39" spans="2:5">
      <c r="B39" s="377" t="s">
        <v>197</v>
      </c>
      <c r="C39" s="378">
        <f>C40-C38</f>
        <v>3668</v>
      </c>
      <c r="D39" s="378" t="s">
        <v>204</v>
      </c>
      <c r="E39" s="381">
        <f>C39*9</f>
        <v>33012</v>
      </c>
    </row>
    <row r="40" spans="2:5" ht="19.5">
      <c r="B40" s="665" t="s">
        <v>201</v>
      </c>
      <c r="C40" s="380">
        <f>'Patron Counts v Swipes'!D346</f>
        <v>5905</v>
      </c>
      <c r="D40" s="380" t="s">
        <v>202</v>
      </c>
      <c r="E40" s="379">
        <f>SUM(E38+E39)</f>
        <v>54263.5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NTFlUj8fPY44q5zvEEeK0ZPgz2bq+VJLuCiHC36ugnZk/gdIqPalQaz3+BaBgSHQBQwnOMKZpKsKbySmU19NEQ==" saltValue="y2XMnl6krav2FpjQRm9iA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C86D0-9897-4E75-953A-CD29BD230BD2}">
  <sheetPr codeName="Sheet24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4.42578125" style="753" bestFit="1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44703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7" t="s">
        <v>250</v>
      </c>
      <c r="C9" s="767" t="s">
        <v>26</v>
      </c>
      <c r="D9" s="784">
        <v>349</v>
      </c>
      <c r="E9" s="776">
        <f>D9*9.5</f>
        <v>3315.5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55" t="s">
        <v>24</v>
      </c>
      <c r="C13" s="1255"/>
      <c r="D13" s="784">
        <f>SUM(D9:D12)</f>
        <v>349</v>
      </c>
      <c r="E13" s="776">
        <f>D13*9.5</f>
        <v>3315.5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6"/>
      <c r="C18" s="766" t="s">
        <v>16</v>
      </c>
      <c r="D18" s="692"/>
      <c r="E18" s="693">
        <f>D18*9.5</f>
        <v>0</v>
      </c>
    </row>
    <row r="19" spans="2:5" ht="20.100000000000001" customHeight="1">
      <c r="B19" s="766"/>
      <c r="C19" s="766" t="s">
        <v>16</v>
      </c>
      <c r="D19" s="692"/>
      <c r="E19" s="693">
        <f>D19*9.5</f>
        <v>0</v>
      </c>
    </row>
    <row r="20" spans="2:5" ht="20.100000000000001" customHeight="1">
      <c r="B20" s="766"/>
      <c r="C20" s="766"/>
      <c r="D20" s="692"/>
      <c r="E20" s="693">
        <f>D20*10</f>
        <v>0</v>
      </c>
    </row>
    <row r="21" spans="2:5" ht="20.100000000000001" customHeight="1">
      <c r="B21" s="765" t="s">
        <v>44</v>
      </c>
      <c r="C21" s="768" t="s">
        <v>26</v>
      </c>
      <c r="D21" s="667">
        <v>400</v>
      </c>
      <c r="E21" s="685">
        <f>D21*9.5</f>
        <v>3800</v>
      </c>
    </row>
    <row r="22" spans="2:5" ht="20.100000000000001" customHeight="1">
      <c r="B22" s="765" t="s">
        <v>309</v>
      </c>
      <c r="C22" s="768" t="s">
        <v>26</v>
      </c>
      <c r="D22" s="667">
        <v>333</v>
      </c>
      <c r="E22" s="685">
        <f>D22*9.5</f>
        <v>3163.5</v>
      </c>
    </row>
    <row r="23" spans="2:5" ht="20.100000000000001" customHeight="1">
      <c r="B23" s="1259" t="s">
        <v>24</v>
      </c>
      <c r="C23" s="1259"/>
      <c r="D23" s="754">
        <f>SUM(D18:D22)</f>
        <v>733</v>
      </c>
      <c r="E23" s="678">
        <f>D23*9.5</f>
        <v>6963.5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5" t="s">
        <v>44</v>
      </c>
      <c r="C28" s="768" t="s">
        <v>26</v>
      </c>
      <c r="D28" s="667">
        <v>322</v>
      </c>
      <c r="E28" s="685">
        <f>D28*9.5</f>
        <v>3059</v>
      </c>
    </row>
    <row r="29" spans="2:5">
      <c r="B29" s="768" t="s">
        <v>301</v>
      </c>
      <c r="C29" s="768" t="s">
        <v>16</v>
      </c>
      <c r="D29" s="667">
        <v>335</v>
      </c>
      <c r="E29" s="685">
        <f>D29*9.5</f>
        <v>3182.5</v>
      </c>
    </row>
    <row r="30" spans="2:5">
      <c r="B30" s="769" t="s">
        <v>235</v>
      </c>
      <c r="C30" s="768" t="s">
        <v>71</v>
      </c>
      <c r="D30" s="667">
        <v>515</v>
      </c>
      <c r="E30" s="685">
        <f>D30*9.5</f>
        <v>4892.5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1172</v>
      </c>
      <c r="E32" s="678">
        <f>D32*9.5</f>
        <v>11134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349</v>
      </c>
      <c r="D35" s="680">
        <f>D23</f>
        <v>733</v>
      </c>
      <c r="E35" s="680">
        <f>D32</f>
        <v>1172</v>
      </c>
    </row>
    <row r="36" spans="2:5">
      <c r="B36" s="677" t="s">
        <v>36</v>
      </c>
      <c r="C36" s="675">
        <f>C35*9.5</f>
        <v>3315.5</v>
      </c>
      <c r="D36" s="675">
        <f>D35*9.5</f>
        <v>6963.5</v>
      </c>
      <c r="E36" s="675">
        <f>E35*9.5</f>
        <v>11134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2254</v>
      </c>
      <c r="D38" s="378" t="s">
        <v>253</v>
      </c>
      <c r="E38" s="381">
        <f>C38*9.5</f>
        <v>21413</v>
      </c>
    </row>
    <row r="39" spans="2:5">
      <c r="B39" s="377" t="s">
        <v>197</v>
      </c>
      <c r="C39" s="378">
        <f>C40-C38</f>
        <v>266</v>
      </c>
      <c r="D39" s="378" t="s">
        <v>204</v>
      </c>
      <c r="E39" s="381">
        <f>C39*9</f>
        <v>2394</v>
      </c>
    </row>
    <row r="40" spans="2:5" ht="19.5">
      <c r="B40" s="665" t="s">
        <v>201</v>
      </c>
      <c r="C40" s="380">
        <f>'Patron Counts v Swipes'!D340</f>
        <v>2520</v>
      </c>
      <c r="D40" s="380" t="s">
        <v>202</v>
      </c>
      <c r="E40" s="379">
        <f>SUM(E38+E39)</f>
        <v>23807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BpUrSwoi0uWKWY9Eq1mxDAS5Gj4XRwc5lfviCghC3t8Yyv6WuLXuSHw6j2ZSiTJ/F1ZmW6c3HFRbysBvas5YFg==" saltValue="uvqj2mTxDHqqdlB+7mvvb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23392-68BC-4DE2-8A6F-73D9B203B841}">
  <sheetPr codeName="Sheet25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4.42578125" style="753" bestFit="1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44702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7" t="s">
        <v>300</v>
      </c>
      <c r="C9" s="767" t="s">
        <v>26</v>
      </c>
      <c r="D9" s="784">
        <v>400</v>
      </c>
      <c r="E9" s="776">
        <f>D9*9.5</f>
        <v>3800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55" t="s">
        <v>24</v>
      </c>
      <c r="C13" s="1255"/>
      <c r="D13" s="784">
        <f>SUM(D9:D12)</f>
        <v>400</v>
      </c>
      <c r="E13" s="776">
        <f>D13*9.5</f>
        <v>3800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6"/>
      <c r="C18" s="766" t="s">
        <v>16</v>
      </c>
      <c r="D18" s="692"/>
      <c r="E18" s="693">
        <f>D18*9.5</f>
        <v>0</v>
      </c>
    </row>
    <row r="19" spans="2:5" ht="20.100000000000001" customHeight="1">
      <c r="B19" s="766"/>
      <c r="C19" s="766" t="s">
        <v>16</v>
      </c>
      <c r="D19" s="692"/>
      <c r="E19" s="693">
        <f>D19*9.5</f>
        <v>0</v>
      </c>
    </row>
    <row r="20" spans="2:5" ht="20.100000000000001" customHeight="1">
      <c r="B20" s="766"/>
      <c r="C20" s="766"/>
      <c r="D20" s="692"/>
      <c r="E20" s="693">
        <f>D20*10</f>
        <v>0</v>
      </c>
    </row>
    <row r="21" spans="2:5" ht="20.100000000000001" customHeight="1">
      <c r="B21" s="765" t="s">
        <v>303</v>
      </c>
      <c r="C21" s="768" t="s">
        <v>26</v>
      </c>
      <c r="D21" s="667">
        <v>897</v>
      </c>
      <c r="E21" s="685">
        <f>D21*9.5</f>
        <v>8521.5</v>
      </c>
    </row>
    <row r="22" spans="2:5" ht="20.100000000000001" customHeight="1">
      <c r="B22" s="765" t="s">
        <v>250</v>
      </c>
      <c r="C22" s="768" t="s">
        <v>26</v>
      </c>
      <c r="D22" s="667">
        <v>376</v>
      </c>
      <c r="E22" s="685">
        <f>D22*9.5</f>
        <v>3572</v>
      </c>
    </row>
    <row r="23" spans="2:5" ht="20.100000000000001" customHeight="1">
      <c r="B23" s="1259" t="s">
        <v>24</v>
      </c>
      <c r="C23" s="1259"/>
      <c r="D23" s="754">
        <f>SUM(D18:D22)</f>
        <v>1273</v>
      </c>
      <c r="E23" s="678">
        <f>D23*9.5</f>
        <v>12093.5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8" t="s">
        <v>307</v>
      </c>
      <c r="C28" s="768" t="s">
        <v>26</v>
      </c>
      <c r="D28" s="667">
        <v>235</v>
      </c>
      <c r="E28" s="685">
        <f>D28*9.5</f>
        <v>2232.5</v>
      </c>
    </row>
    <row r="29" spans="2:5">
      <c r="B29" s="768" t="s">
        <v>308</v>
      </c>
      <c r="C29" s="768" t="s">
        <v>16</v>
      </c>
      <c r="D29" s="667">
        <v>175</v>
      </c>
      <c r="E29" s="685">
        <f>D29*9.5</f>
        <v>1662.5</v>
      </c>
    </row>
    <row r="30" spans="2:5">
      <c r="B30" s="769" t="s">
        <v>258</v>
      </c>
      <c r="C30" s="768" t="s">
        <v>71</v>
      </c>
      <c r="D30" s="667">
        <v>208</v>
      </c>
      <c r="E30" s="685">
        <f>D30*9.5</f>
        <v>1976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618</v>
      </c>
      <c r="E32" s="678">
        <f>D32*9.5</f>
        <v>5871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400</v>
      </c>
      <c r="D35" s="680">
        <f>D23</f>
        <v>1273</v>
      </c>
      <c r="E35" s="680">
        <f>D32</f>
        <v>618</v>
      </c>
    </row>
    <row r="36" spans="2:5">
      <c r="B36" s="677" t="s">
        <v>36</v>
      </c>
      <c r="C36" s="675">
        <f>C35*9.5</f>
        <v>3800</v>
      </c>
      <c r="D36" s="675">
        <f>D35*9.5</f>
        <v>12093.5</v>
      </c>
      <c r="E36" s="675">
        <f>E35*9.5</f>
        <v>5871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2291</v>
      </c>
      <c r="D38" s="378" t="s">
        <v>253</v>
      </c>
      <c r="E38" s="381">
        <f>C38*9.5</f>
        <v>21764.5</v>
      </c>
    </row>
    <row r="39" spans="2:5">
      <c r="B39" s="377" t="s">
        <v>197</v>
      </c>
      <c r="C39" s="378">
        <f>C40-C38</f>
        <v>186</v>
      </c>
      <c r="D39" s="378" t="s">
        <v>204</v>
      </c>
      <c r="E39" s="381">
        <f>C39*9</f>
        <v>1674</v>
      </c>
    </row>
    <row r="40" spans="2:5" ht="19.5">
      <c r="B40" s="665" t="s">
        <v>201</v>
      </c>
      <c r="C40" s="380">
        <f>'Patron Counts v Swipes'!D334</f>
        <v>2477</v>
      </c>
      <c r="D40" s="380" t="s">
        <v>202</v>
      </c>
      <c r="E40" s="379">
        <f>SUM(E38+E39)</f>
        <v>23438.5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LTl1BSagEBBrfynNaPKh9B9H0S8zwGcmVTetR4acSOV4i9V51pwKRMo378Yp2KOiCsti1okfjAYDqgutlXC/gQ==" saltValue="OgeUqYXsgLmNI2WZADo01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34800-0418-4AEA-9FE4-B7D4AFE921E6}">
  <sheetPr codeName="Sheet26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4.42578125" style="753" bestFit="1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44701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6"/>
      <c r="C9" s="766" t="s">
        <v>26</v>
      </c>
      <c r="D9" s="692">
        <v>0</v>
      </c>
      <c r="E9" s="693">
        <f>D9*9.5</f>
        <v>0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7" t="s">
        <v>250</v>
      </c>
      <c r="C18" s="768" t="s">
        <v>16</v>
      </c>
      <c r="D18" s="784">
        <v>395</v>
      </c>
      <c r="E18" s="776">
        <f>D18*9.5</f>
        <v>3752.5</v>
      </c>
    </row>
    <row r="19" spans="2:5" ht="20.100000000000001" customHeight="1">
      <c r="B19" s="767" t="s">
        <v>143</v>
      </c>
      <c r="C19" s="768" t="s">
        <v>16</v>
      </c>
      <c r="D19" s="784">
        <v>362</v>
      </c>
      <c r="E19" s="776">
        <f>D19*9.5</f>
        <v>3439</v>
      </c>
    </row>
    <row r="20" spans="2:5" ht="20.100000000000001" customHeight="1">
      <c r="B20" s="766"/>
      <c r="C20" s="766"/>
      <c r="D20" s="692"/>
      <c r="E20" s="693">
        <f>D20*10</f>
        <v>0</v>
      </c>
    </row>
    <row r="21" spans="2:5" ht="20.100000000000001" customHeight="1">
      <c r="B21" s="765" t="s">
        <v>45</v>
      </c>
      <c r="C21" s="768" t="s">
        <v>26</v>
      </c>
      <c r="D21" s="667">
        <v>376</v>
      </c>
      <c r="E21" s="685">
        <f>D21*9.5</f>
        <v>3572</v>
      </c>
    </row>
    <row r="22" spans="2:5" ht="20.100000000000001" customHeight="1">
      <c r="B22" s="765" t="s">
        <v>69</v>
      </c>
      <c r="C22" s="768" t="s">
        <v>26</v>
      </c>
      <c r="D22" s="667"/>
      <c r="E22" s="685">
        <f>D22*9.5</f>
        <v>0</v>
      </c>
    </row>
    <row r="23" spans="2:5" ht="20.100000000000001" customHeight="1">
      <c r="B23" s="1259" t="s">
        <v>24</v>
      </c>
      <c r="C23" s="1259"/>
      <c r="D23" s="754">
        <f>SUM(D18:D22)</f>
        <v>1133</v>
      </c>
      <c r="E23" s="678">
        <f>D23*9.5</f>
        <v>10763.5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8" t="s">
        <v>65</v>
      </c>
      <c r="C28" s="768" t="s">
        <v>26</v>
      </c>
      <c r="D28" s="667">
        <v>235</v>
      </c>
      <c r="E28" s="685">
        <f>D28*9.5</f>
        <v>2232.5</v>
      </c>
    </row>
    <row r="29" spans="2:5">
      <c r="B29" s="768" t="s">
        <v>276</v>
      </c>
      <c r="C29" s="768" t="s">
        <v>16</v>
      </c>
      <c r="D29" s="667">
        <v>159</v>
      </c>
      <c r="E29" s="685">
        <f>D29*9.5</f>
        <v>1510.5</v>
      </c>
    </row>
    <row r="30" spans="2:5">
      <c r="B30" s="769" t="s">
        <v>235</v>
      </c>
      <c r="C30" s="768" t="s">
        <v>71</v>
      </c>
      <c r="D30" s="667">
        <v>448</v>
      </c>
      <c r="E30" s="685">
        <f>D30*9.5</f>
        <v>4256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842</v>
      </c>
      <c r="E32" s="678">
        <f>D32*9.5</f>
        <v>7999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1133</v>
      </c>
      <c r="E35" s="680">
        <f>D32</f>
        <v>842</v>
      </c>
    </row>
    <row r="36" spans="2:5">
      <c r="B36" s="677" t="s">
        <v>36</v>
      </c>
      <c r="C36" s="675">
        <f>C35*9.5</f>
        <v>0</v>
      </c>
      <c r="D36" s="675">
        <f>D35*9.5</f>
        <v>10763.5</v>
      </c>
      <c r="E36" s="675">
        <f>E35*9.5</f>
        <v>7999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1975</v>
      </c>
      <c r="D38" s="378" t="s">
        <v>253</v>
      </c>
      <c r="E38" s="381">
        <f>C38*9.5</f>
        <v>18762.5</v>
      </c>
    </row>
    <row r="39" spans="2:5">
      <c r="B39" s="377" t="s">
        <v>197</v>
      </c>
      <c r="C39" s="378">
        <f>C40-C38</f>
        <v>2887</v>
      </c>
      <c r="D39" s="378" t="s">
        <v>204</v>
      </c>
      <c r="E39" s="381">
        <f>C39*9</f>
        <v>25983</v>
      </c>
    </row>
    <row r="40" spans="2:5" ht="19.5">
      <c r="B40" s="665" t="s">
        <v>201</v>
      </c>
      <c r="C40" s="380">
        <f>'Patron Counts v Swipes'!D328</f>
        <v>4862</v>
      </c>
      <c r="D40" s="380" t="s">
        <v>202</v>
      </c>
      <c r="E40" s="379">
        <f>SUM(E38+E39)</f>
        <v>44745.5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6BGa02iij+DMkmmTjEhSFj3iT1cp42I8Yi9uzUhtNxvoj567K2U0LzbBO9xYK34NVc0mI7egHMLGUtJI1hljHA==" saltValue="qCx1Simoj6soSFhm8QEVsQ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BA42F-B508-443D-9CDD-913DF9B5740C}">
  <sheetPr codeName="Sheet27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2.7109375" style="753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44700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6"/>
      <c r="C9" s="766" t="s">
        <v>26</v>
      </c>
      <c r="D9" s="692">
        <v>0</v>
      </c>
      <c r="E9" s="693">
        <f>D9*9.5</f>
        <v>0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7" t="s">
        <v>70</v>
      </c>
      <c r="C18" s="768" t="s">
        <v>16</v>
      </c>
      <c r="D18" s="784">
        <v>521</v>
      </c>
      <c r="E18" s="776">
        <f>D18*9.5</f>
        <v>4949.5</v>
      </c>
    </row>
    <row r="19" spans="2:5" ht="20.100000000000001" customHeight="1">
      <c r="B19" s="767" t="s">
        <v>51</v>
      </c>
      <c r="C19" s="768" t="s">
        <v>16</v>
      </c>
      <c r="D19" s="784">
        <v>411</v>
      </c>
      <c r="E19" s="776">
        <f>D19*9.5</f>
        <v>3904.5</v>
      </c>
    </row>
    <row r="20" spans="2:5" ht="20.100000000000001" customHeight="1">
      <c r="B20" s="766"/>
      <c r="C20" s="766"/>
      <c r="D20" s="692"/>
      <c r="E20" s="693">
        <f>D20*10</f>
        <v>0</v>
      </c>
    </row>
    <row r="21" spans="2:5" ht="20.100000000000001" customHeight="1">
      <c r="B21" s="765" t="s">
        <v>243</v>
      </c>
      <c r="C21" s="768" t="s">
        <v>26</v>
      </c>
      <c r="D21" s="667">
        <v>666</v>
      </c>
      <c r="E21" s="685">
        <f>D21*9.5</f>
        <v>6327</v>
      </c>
    </row>
    <row r="22" spans="2:5" ht="20.100000000000001" customHeight="1">
      <c r="B22" s="765" t="s">
        <v>144</v>
      </c>
      <c r="C22" s="768" t="s">
        <v>26</v>
      </c>
      <c r="D22" s="667">
        <v>301</v>
      </c>
      <c r="E22" s="685">
        <f>D22*9.5</f>
        <v>2859.5</v>
      </c>
    </row>
    <row r="23" spans="2:5" ht="20.100000000000001" customHeight="1">
      <c r="B23" s="1259" t="s">
        <v>24</v>
      </c>
      <c r="C23" s="1259"/>
      <c r="D23" s="754">
        <f>SUM(D18:D22)</f>
        <v>1899</v>
      </c>
      <c r="E23" s="678">
        <f>D23*9.5</f>
        <v>18040.5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8" t="s">
        <v>205</v>
      </c>
      <c r="C28" s="768" t="s">
        <v>26</v>
      </c>
      <c r="D28" s="667">
        <v>138</v>
      </c>
      <c r="E28" s="685">
        <f>D28*9.5</f>
        <v>1311</v>
      </c>
    </row>
    <row r="29" spans="2:5">
      <c r="B29" s="768" t="s">
        <v>278</v>
      </c>
      <c r="C29" s="768" t="s">
        <v>16</v>
      </c>
      <c r="D29" s="667">
        <v>410</v>
      </c>
      <c r="E29" s="685">
        <f>D29*9.5</f>
        <v>3895</v>
      </c>
    </row>
    <row r="30" spans="2:5">
      <c r="B30" s="769" t="s">
        <v>266</v>
      </c>
      <c r="C30" s="768" t="s">
        <v>71</v>
      </c>
      <c r="D30" s="667">
        <v>245</v>
      </c>
      <c r="E30" s="685">
        <f>D30*9.5</f>
        <v>2327.5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793</v>
      </c>
      <c r="E32" s="678">
        <f>D32*9.5</f>
        <v>7533.5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1899</v>
      </c>
      <c r="E35" s="680">
        <f>D32</f>
        <v>793</v>
      </c>
    </row>
    <row r="36" spans="2:5">
      <c r="B36" s="677" t="s">
        <v>36</v>
      </c>
      <c r="C36" s="675">
        <f>C35*9.5</f>
        <v>0</v>
      </c>
      <c r="D36" s="675">
        <f>D35*9.5</f>
        <v>18040.5</v>
      </c>
      <c r="E36" s="675">
        <f>E35*9.5</f>
        <v>7533.5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2692</v>
      </c>
      <c r="D38" s="378" t="s">
        <v>253</v>
      </c>
      <c r="E38" s="381">
        <f>C38*9.5</f>
        <v>25574</v>
      </c>
    </row>
    <row r="39" spans="2:5">
      <c r="B39" s="377" t="s">
        <v>197</v>
      </c>
      <c r="C39" s="378">
        <f>C40-C38</f>
        <v>3854</v>
      </c>
      <c r="D39" s="378" t="s">
        <v>204</v>
      </c>
      <c r="E39" s="381">
        <f>C39*9</f>
        <v>34686</v>
      </c>
    </row>
    <row r="40" spans="2:5" ht="19.5">
      <c r="B40" s="665" t="s">
        <v>201</v>
      </c>
      <c r="C40" s="380">
        <f>'Patron Counts v Swipes'!D322</f>
        <v>6546</v>
      </c>
      <c r="D40" s="380" t="s">
        <v>202</v>
      </c>
      <c r="E40" s="379">
        <f>SUM(E38+E39)</f>
        <v>60260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1E32D-58CC-4161-8B22-294ED47E0931}">
  <sheetPr codeName="Sheet28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2.7109375" style="753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44699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6"/>
      <c r="C9" s="766" t="s">
        <v>26</v>
      </c>
      <c r="D9" s="692">
        <v>0</v>
      </c>
      <c r="E9" s="693">
        <f>D9*9.5</f>
        <v>0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7" t="s">
        <v>300</v>
      </c>
      <c r="C18" s="768" t="s">
        <v>16</v>
      </c>
      <c r="D18" s="784">
        <v>534</v>
      </c>
      <c r="E18" s="776">
        <f>D18*9.5</f>
        <v>5073</v>
      </c>
    </row>
    <row r="19" spans="2:5" ht="20.100000000000001" customHeight="1">
      <c r="B19" s="767" t="s">
        <v>305</v>
      </c>
      <c r="C19" s="768" t="s">
        <v>16</v>
      </c>
      <c r="D19" s="784">
        <v>228</v>
      </c>
      <c r="E19" s="776">
        <f>D19*9.5</f>
        <v>2166</v>
      </c>
    </row>
    <row r="20" spans="2:5" ht="20.100000000000001" customHeight="1">
      <c r="B20" s="766"/>
      <c r="C20" s="766"/>
      <c r="D20" s="692"/>
      <c r="E20" s="693">
        <f>D20*10</f>
        <v>0</v>
      </c>
    </row>
    <row r="21" spans="2:5" ht="20.100000000000001" customHeight="1">
      <c r="B21" s="765" t="s">
        <v>188</v>
      </c>
      <c r="C21" s="768" t="s">
        <v>26</v>
      </c>
      <c r="D21" s="667">
        <v>266</v>
      </c>
      <c r="E21" s="685">
        <f>D21*9.5</f>
        <v>2527</v>
      </c>
    </row>
    <row r="22" spans="2:5" ht="20.100000000000001" customHeight="1">
      <c r="B22" s="765" t="s">
        <v>45</v>
      </c>
      <c r="C22" s="768" t="s">
        <v>26</v>
      </c>
      <c r="D22" s="667">
        <v>414</v>
      </c>
      <c r="E22" s="685">
        <f>D22*9.5</f>
        <v>3933</v>
      </c>
    </row>
    <row r="23" spans="2:5" ht="20.100000000000001" customHeight="1">
      <c r="B23" s="1259" t="s">
        <v>24</v>
      </c>
      <c r="C23" s="1259"/>
      <c r="D23" s="754">
        <f>SUM(D18:D22)</f>
        <v>1442</v>
      </c>
      <c r="E23" s="678">
        <f>D23*9.5</f>
        <v>13699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8" t="s">
        <v>244</v>
      </c>
      <c r="C28" s="768" t="s">
        <v>26</v>
      </c>
      <c r="D28" s="667">
        <v>370</v>
      </c>
      <c r="E28" s="685">
        <f>D28*9.5</f>
        <v>3515</v>
      </c>
    </row>
    <row r="29" spans="2:5">
      <c r="B29" s="768" t="s">
        <v>266</v>
      </c>
      <c r="C29" s="768" t="s">
        <v>16</v>
      </c>
      <c r="D29" s="667">
        <v>274</v>
      </c>
      <c r="E29" s="685">
        <f>D29*9.5</f>
        <v>2603</v>
      </c>
    </row>
    <row r="30" spans="2:5">
      <c r="B30" s="769" t="s">
        <v>278</v>
      </c>
      <c r="C30" s="768" t="s">
        <v>71</v>
      </c>
      <c r="D30" s="667">
        <v>459</v>
      </c>
      <c r="E30" s="685">
        <f>D30*9.5</f>
        <v>4360.5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1103</v>
      </c>
      <c r="E32" s="678">
        <f>D32*9.5</f>
        <v>10478.5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1442</v>
      </c>
      <c r="E35" s="680">
        <f>D32</f>
        <v>1103</v>
      </c>
    </row>
    <row r="36" spans="2:5">
      <c r="B36" s="677" t="s">
        <v>36</v>
      </c>
      <c r="C36" s="675">
        <f>C35*9.5</f>
        <v>0</v>
      </c>
      <c r="D36" s="675">
        <f>D35*9.5</f>
        <v>13699</v>
      </c>
      <c r="E36" s="675">
        <f>E35*9.5</f>
        <v>10478.5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2545</v>
      </c>
      <c r="D38" s="378" t="s">
        <v>253</v>
      </c>
      <c r="E38" s="381">
        <f>C38*9.5</f>
        <v>24177.5</v>
      </c>
    </row>
    <row r="39" spans="2:5">
      <c r="B39" s="377" t="s">
        <v>197</v>
      </c>
      <c r="C39" s="378">
        <f>C40-C38</f>
        <v>4401</v>
      </c>
      <c r="D39" s="378" t="s">
        <v>204</v>
      </c>
      <c r="E39" s="381">
        <f>C39*9</f>
        <v>39609</v>
      </c>
    </row>
    <row r="40" spans="2:5" ht="19.5">
      <c r="B40" s="665" t="s">
        <v>201</v>
      </c>
      <c r="C40" s="380">
        <f>'Patron Counts v Swipes'!D316</f>
        <v>6946</v>
      </c>
      <c r="D40" s="380" t="s">
        <v>202</v>
      </c>
      <c r="E40" s="379">
        <f>SUM(E38+E39)</f>
        <v>63786.5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A1036-1DF5-4794-A697-18E67A301E67}">
  <sheetPr codeName="Sheet29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2.7109375" style="753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44698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6"/>
      <c r="C9" s="766" t="s">
        <v>26</v>
      </c>
      <c r="D9" s="692">
        <v>0</v>
      </c>
      <c r="E9" s="693">
        <f>D9*9.5</f>
        <v>0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7" t="s">
        <v>53</v>
      </c>
      <c r="C18" s="768" t="s">
        <v>16</v>
      </c>
      <c r="D18" s="784"/>
      <c r="E18" s="776">
        <f>D18*9.5</f>
        <v>0</v>
      </c>
    </row>
    <row r="19" spans="2:5" ht="20.100000000000001" customHeight="1">
      <c r="B19" s="767" t="s">
        <v>238</v>
      </c>
      <c r="C19" s="768" t="s">
        <v>16</v>
      </c>
      <c r="D19" s="784">
        <v>412</v>
      </c>
      <c r="E19" s="776">
        <f>D19*9.5</f>
        <v>3914</v>
      </c>
    </row>
    <row r="20" spans="2:5" ht="20.100000000000001" customHeight="1">
      <c r="B20" s="766"/>
      <c r="C20" s="766"/>
      <c r="D20" s="692"/>
      <c r="E20" s="693">
        <f>D20*10</f>
        <v>0</v>
      </c>
    </row>
    <row r="21" spans="2:5" ht="20.100000000000001" customHeight="1">
      <c r="B21" s="765" t="s">
        <v>304</v>
      </c>
      <c r="C21" s="768" t="s">
        <v>26</v>
      </c>
      <c r="D21" s="667">
        <v>295</v>
      </c>
      <c r="E21" s="685">
        <f>D21*9.5</f>
        <v>2802.5</v>
      </c>
    </row>
    <row r="22" spans="2:5" ht="20.100000000000001" customHeight="1">
      <c r="B22" s="765" t="s">
        <v>303</v>
      </c>
      <c r="C22" s="768" t="s">
        <v>26</v>
      </c>
      <c r="D22" s="667">
        <v>880</v>
      </c>
      <c r="E22" s="685">
        <f>D22*9.5</f>
        <v>8360</v>
      </c>
    </row>
    <row r="23" spans="2:5" ht="20.100000000000001" customHeight="1">
      <c r="B23" s="1259" t="s">
        <v>24</v>
      </c>
      <c r="C23" s="1259"/>
      <c r="D23" s="754">
        <f>SUM(D18:D22)</f>
        <v>1587</v>
      </c>
      <c r="E23" s="678">
        <f>D23*9.5</f>
        <v>15076.5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8" t="s">
        <v>82</v>
      </c>
      <c r="C28" s="768" t="s">
        <v>26</v>
      </c>
      <c r="D28" s="667">
        <v>307</v>
      </c>
      <c r="E28" s="685">
        <f>D28*9.5</f>
        <v>2916.5</v>
      </c>
    </row>
    <row r="29" spans="2:5">
      <c r="B29" s="768" t="s">
        <v>53</v>
      </c>
      <c r="C29" s="768" t="s">
        <v>16</v>
      </c>
      <c r="D29" s="667"/>
      <c r="E29" s="685">
        <f>D29*9.5</f>
        <v>0</v>
      </c>
    </row>
    <row r="30" spans="2:5">
      <c r="B30" s="769" t="s">
        <v>235</v>
      </c>
      <c r="C30" s="768" t="s">
        <v>71</v>
      </c>
      <c r="D30" s="667">
        <v>456</v>
      </c>
      <c r="E30" s="685">
        <f>D30*9.5</f>
        <v>4332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763</v>
      </c>
      <c r="E32" s="678">
        <f>D32*9.5</f>
        <v>7248.5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1587</v>
      </c>
      <c r="E35" s="680">
        <f>D32</f>
        <v>763</v>
      </c>
    </row>
    <row r="36" spans="2:5">
      <c r="B36" s="677" t="s">
        <v>36</v>
      </c>
      <c r="C36" s="675">
        <f>C35*9.5</f>
        <v>0</v>
      </c>
      <c r="D36" s="675">
        <f>D35*9.5</f>
        <v>15076.5</v>
      </c>
      <c r="E36" s="675">
        <f>E35*9.5</f>
        <v>7248.5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2350</v>
      </c>
      <c r="D38" s="378" t="s">
        <v>253</v>
      </c>
      <c r="E38" s="381">
        <f>C38*9.5</f>
        <v>22325</v>
      </c>
    </row>
    <row r="39" spans="2:5">
      <c r="B39" s="377" t="s">
        <v>197</v>
      </c>
      <c r="C39" s="378">
        <f>C40-C38</f>
        <v>4617</v>
      </c>
      <c r="D39" s="378" t="s">
        <v>204</v>
      </c>
      <c r="E39" s="381">
        <f>C39*9</f>
        <v>41553</v>
      </c>
    </row>
    <row r="40" spans="2:5" ht="19.5">
      <c r="B40" s="665" t="s">
        <v>201</v>
      </c>
      <c r="C40" s="380">
        <f>'Patron Counts v Swipes'!D310</f>
        <v>6967</v>
      </c>
      <c r="D40" s="380" t="s">
        <v>202</v>
      </c>
      <c r="E40" s="379">
        <f>SUM(E38+E39)</f>
        <v>63878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cG/DH9k8jwQIFltPYWGQsjnn89HT4h5Z8M/hum9dH7tVaajy5376LT3YUCP71O7e7mrh2iSYNtQV7RgQqnEAeQ==" saltValue="bXmHgS6ZCj0HA0WVbx2XjQ==" spinCount="100000" sheet="1" objects="1" scenarios="1"/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90512-19CC-4755-8911-1F5C28F9D301}">
  <sheetPr codeName="Sheet30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2.7109375" style="753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44697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6"/>
      <c r="C9" s="766" t="s">
        <v>26</v>
      </c>
      <c r="D9" s="692">
        <v>0</v>
      </c>
      <c r="E9" s="693">
        <f>D9*9.5</f>
        <v>0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7" t="s">
        <v>261</v>
      </c>
      <c r="C18" s="768" t="s">
        <v>16</v>
      </c>
      <c r="D18" s="784">
        <v>366</v>
      </c>
      <c r="E18" s="776">
        <f>D18*9.5</f>
        <v>3477</v>
      </c>
    </row>
    <row r="19" spans="2:5" ht="20.100000000000001" customHeight="1">
      <c r="B19" s="767" t="s">
        <v>65</v>
      </c>
      <c r="C19" s="768" t="s">
        <v>16</v>
      </c>
      <c r="D19" s="784">
        <v>387</v>
      </c>
      <c r="E19" s="776">
        <f>D19*9.5</f>
        <v>3676.5</v>
      </c>
    </row>
    <row r="20" spans="2:5" ht="20.100000000000001" customHeight="1">
      <c r="B20" s="766"/>
      <c r="C20" s="766"/>
      <c r="D20" s="692"/>
      <c r="E20" s="693">
        <f>D20*10</f>
        <v>0</v>
      </c>
    </row>
    <row r="21" spans="2:5" ht="20.100000000000001" customHeight="1">
      <c r="B21" s="765" t="s">
        <v>245</v>
      </c>
      <c r="C21" s="768" t="s">
        <v>26</v>
      </c>
      <c r="D21" s="667">
        <v>401</v>
      </c>
      <c r="E21" s="685">
        <f>D21*9.5</f>
        <v>3809.5</v>
      </c>
    </row>
    <row r="22" spans="2:5" ht="20.100000000000001" customHeight="1">
      <c r="B22" s="765" t="s">
        <v>78</v>
      </c>
      <c r="C22" s="768" t="s">
        <v>26</v>
      </c>
      <c r="D22" s="667">
        <v>257</v>
      </c>
      <c r="E22" s="685">
        <f>D22*9.5</f>
        <v>2441.5</v>
      </c>
    </row>
    <row r="23" spans="2:5" ht="20.100000000000001" customHeight="1">
      <c r="B23" s="1259" t="s">
        <v>24</v>
      </c>
      <c r="C23" s="1259"/>
      <c r="D23" s="754">
        <f>SUM(D18:D22)</f>
        <v>1411</v>
      </c>
      <c r="E23" s="678">
        <f>D23*9.5</f>
        <v>13404.5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8" t="s">
        <v>276</v>
      </c>
      <c r="C28" s="768" t="s">
        <v>26</v>
      </c>
      <c r="D28" s="667">
        <v>210</v>
      </c>
      <c r="E28" s="685">
        <f>D28*9.5</f>
        <v>1995</v>
      </c>
    </row>
    <row r="29" spans="2:5">
      <c r="B29" s="768" t="s">
        <v>44</v>
      </c>
      <c r="C29" s="768" t="s">
        <v>16</v>
      </c>
      <c r="D29" s="667">
        <v>272</v>
      </c>
      <c r="E29" s="685">
        <f>D29*9.5</f>
        <v>2584</v>
      </c>
    </row>
    <row r="30" spans="2:5">
      <c r="B30" s="769" t="s">
        <v>278</v>
      </c>
      <c r="C30" s="768" t="s">
        <v>71</v>
      </c>
      <c r="D30" s="667">
        <v>489</v>
      </c>
      <c r="E30" s="685">
        <f>D30*9.5</f>
        <v>4645.5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971</v>
      </c>
      <c r="E32" s="678">
        <f>D32*9.5</f>
        <v>9224.5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1411</v>
      </c>
      <c r="E35" s="680">
        <f>D32</f>
        <v>971</v>
      </c>
    </row>
    <row r="36" spans="2:5">
      <c r="B36" s="677" t="s">
        <v>36</v>
      </c>
      <c r="C36" s="675">
        <f>C35*9.5</f>
        <v>0</v>
      </c>
      <c r="D36" s="675">
        <f>D35*9.5</f>
        <v>13404.5</v>
      </c>
      <c r="E36" s="675">
        <f>E35*9.5</f>
        <v>9224.5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2382</v>
      </c>
      <c r="D38" s="378" t="s">
        <v>253</v>
      </c>
      <c r="E38" s="381">
        <f>C38*9.5</f>
        <v>22629</v>
      </c>
    </row>
    <row r="39" spans="2:5">
      <c r="B39" s="377" t="s">
        <v>197</v>
      </c>
      <c r="C39" s="378">
        <f>C40-C38</f>
        <v>3898</v>
      </c>
      <c r="D39" s="378" t="s">
        <v>204</v>
      </c>
      <c r="E39" s="381">
        <f>C39*9</f>
        <v>35082</v>
      </c>
    </row>
    <row r="40" spans="2:5" ht="19.5">
      <c r="B40" s="665" t="s">
        <v>201</v>
      </c>
      <c r="C40" s="380">
        <f>'Patron Counts v Swipes'!D304</f>
        <v>6280</v>
      </c>
      <c r="D40" s="380" t="s">
        <v>202</v>
      </c>
      <c r="E40" s="379">
        <f>SUM(E38+E39)</f>
        <v>57711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VXGWXIpuzVz3A0w8U4Xe+LpD/iCc0ilIZ9pTtz58mXKgtF4k9DJdbZ0Qp2McWo3w70OWbKnfaoV7qNOLS+OaDQ==" saltValue="mUAuMbW18k1rO2qF7bPEbw==" spinCount="100000" sheet="1" objects="1" scenarios="1"/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78B24-6963-4E86-A1F0-03F35711CC8E}">
  <sheetPr codeName="Sheet31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2.7109375" style="753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44696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8" t="s">
        <v>252</v>
      </c>
      <c r="C9" s="768" t="s">
        <v>26</v>
      </c>
      <c r="D9" s="784">
        <v>334</v>
      </c>
      <c r="E9" s="776">
        <f>D9*9.5</f>
        <v>3173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334</v>
      </c>
      <c r="E13" s="693">
        <f>D13*9.5</f>
        <v>3173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6"/>
      <c r="C18" s="766"/>
      <c r="D18" s="692"/>
      <c r="E18" s="693">
        <f>D18*9.5</f>
        <v>0</v>
      </c>
    </row>
    <row r="19" spans="2:5" ht="20.100000000000001" customHeight="1">
      <c r="B19" s="766"/>
      <c r="C19" s="766"/>
      <c r="D19" s="692"/>
      <c r="E19" s="693">
        <f>D19*9.5</f>
        <v>0</v>
      </c>
    </row>
    <row r="20" spans="2:5" ht="20.100000000000001" customHeight="1">
      <c r="B20" s="766"/>
      <c r="C20" s="766"/>
      <c r="D20" s="692"/>
      <c r="E20" s="693">
        <f>D20*10</f>
        <v>0</v>
      </c>
    </row>
    <row r="21" spans="2:5" ht="20.100000000000001" customHeight="1">
      <c r="B21" s="765" t="s">
        <v>250</v>
      </c>
      <c r="C21" s="768" t="s">
        <v>26</v>
      </c>
      <c r="D21" s="667">
        <v>420</v>
      </c>
      <c r="E21" s="685">
        <f>D21*9.5</f>
        <v>3990</v>
      </c>
    </row>
    <row r="22" spans="2:5" ht="20.100000000000001" customHeight="1">
      <c r="B22" s="765" t="s">
        <v>301</v>
      </c>
      <c r="C22" s="768" t="s">
        <v>26</v>
      </c>
      <c r="D22" s="667">
        <v>431</v>
      </c>
      <c r="E22" s="685">
        <f>D22*9.5</f>
        <v>4094.5</v>
      </c>
    </row>
    <row r="23" spans="2:5" ht="20.100000000000001" customHeight="1">
      <c r="B23" s="1259" t="s">
        <v>24</v>
      </c>
      <c r="C23" s="1259"/>
      <c r="D23" s="754">
        <f>SUM(D18:D22)</f>
        <v>851</v>
      </c>
      <c r="E23" s="678">
        <f>D23*9.5</f>
        <v>8084.5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8" t="s">
        <v>70</v>
      </c>
      <c r="C28" s="768" t="s">
        <v>26</v>
      </c>
      <c r="D28" s="667">
        <v>437</v>
      </c>
      <c r="E28" s="685">
        <f>D28*9.5</f>
        <v>4151.5</v>
      </c>
    </row>
    <row r="29" spans="2:5">
      <c r="B29" s="768" t="s">
        <v>159</v>
      </c>
      <c r="C29" s="768" t="s">
        <v>16</v>
      </c>
      <c r="D29" s="667">
        <v>235</v>
      </c>
      <c r="E29" s="685">
        <f>D29*9.5</f>
        <v>2232.5</v>
      </c>
    </row>
    <row r="30" spans="2:5">
      <c r="B30" s="769" t="s">
        <v>235</v>
      </c>
      <c r="C30" s="768" t="s">
        <v>71</v>
      </c>
      <c r="D30" s="667">
        <v>519</v>
      </c>
      <c r="E30" s="685">
        <f>D30*9.5</f>
        <v>4930.5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1191</v>
      </c>
      <c r="E32" s="678">
        <f>D32*9.5</f>
        <v>11314.5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334</v>
      </c>
      <c r="D35" s="680">
        <f>D23</f>
        <v>851</v>
      </c>
      <c r="E35" s="680">
        <f>D32</f>
        <v>1191</v>
      </c>
    </row>
    <row r="36" spans="2:5">
      <c r="B36" s="677" t="s">
        <v>36</v>
      </c>
      <c r="C36" s="675">
        <f>C35*9.5</f>
        <v>3173</v>
      </c>
      <c r="D36" s="675">
        <f>D35*9.5</f>
        <v>8084.5</v>
      </c>
      <c r="E36" s="675">
        <f>E35*9.5</f>
        <v>11314.5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2376</v>
      </c>
      <c r="D38" s="378" t="s">
        <v>253</v>
      </c>
      <c r="E38" s="381">
        <f>C38*9.5</f>
        <v>22572</v>
      </c>
    </row>
    <row r="39" spans="2:5">
      <c r="B39" s="377" t="s">
        <v>197</v>
      </c>
      <c r="C39" s="378">
        <f>C40-C38</f>
        <v>198</v>
      </c>
      <c r="D39" s="378" t="s">
        <v>204</v>
      </c>
      <c r="E39" s="381">
        <f>C39*9</f>
        <v>1782</v>
      </c>
    </row>
    <row r="40" spans="2:5" ht="19.5">
      <c r="B40" s="665" t="s">
        <v>201</v>
      </c>
      <c r="C40" s="380">
        <f>'Patron Counts v Swipes'!D298</f>
        <v>2574</v>
      </c>
      <c r="D40" s="380" t="s">
        <v>202</v>
      </c>
      <c r="E40" s="379">
        <f>SUM(E38+E39)</f>
        <v>24354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oueJzLfYHCnk6Qv5xWWf41nmXgqlxbChxA3er/BEToQW1gHNFLi9m76jl6Y306lHVoUy0RfhutvtYCZO2xgr3g==" saltValue="qoZQG7ytM0i4UGoLof9k3Q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4CCD9-1AFE-4BF3-BC21-7133D8D30F85}">
  <sheetPr codeName="Sheet32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2.7109375" style="753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44695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7" t="s">
        <v>45</v>
      </c>
      <c r="C9" s="768" t="s">
        <v>26</v>
      </c>
      <c r="D9" s="784">
        <v>381</v>
      </c>
      <c r="E9" s="776">
        <f>D9*9.5</f>
        <v>3619.5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381</v>
      </c>
      <c r="E13" s="693">
        <f>D13*9.5</f>
        <v>3619.5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6"/>
      <c r="C18" s="766"/>
      <c r="D18" s="692"/>
      <c r="E18" s="693">
        <f>D18*9.5</f>
        <v>0</v>
      </c>
    </row>
    <row r="19" spans="2:5" ht="20.100000000000001" customHeight="1">
      <c r="B19" s="766"/>
      <c r="C19" s="766"/>
      <c r="D19" s="692"/>
      <c r="E19" s="693">
        <f>D19*9.5</f>
        <v>0</v>
      </c>
    </row>
    <row r="20" spans="2:5" ht="20.100000000000001" customHeight="1">
      <c r="B20" s="766"/>
      <c r="C20" s="766"/>
      <c r="D20" s="692"/>
      <c r="E20" s="693">
        <f>D20*10</f>
        <v>0</v>
      </c>
    </row>
    <row r="21" spans="2:5" ht="20.100000000000001" customHeight="1">
      <c r="B21" s="765" t="s">
        <v>250</v>
      </c>
      <c r="C21" s="768" t="s">
        <v>26</v>
      </c>
      <c r="D21" s="667">
        <v>409</v>
      </c>
      <c r="E21" s="685">
        <f>D21*9.5</f>
        <v>3885.5</v>
      </c>
    </row>
    <row r="22" spans="2:5" ht="20.100000000000001" customHeight="1">
      <c r="B22" s="765" t="s">
        <v>143</v>
      </c>
      <c r="C22" s="768" t="s">
        <v>26</v>
      </c>
      <c r="D22" s="667">
        <v>385</v>
      </c>
      <c r="E22" s="685">
        <f>D22*9.5</f>
        <v>3657.5</v>
      </c>
    </row>
    <row r="23" spans="2:5" ht="20.100000000000001" customHeight="1">
      <c r="B23" s="1259" t="s">
        <v>24</v>
      </c>
      <c r="C23" s="1259"/>
      <c r="D23" s="754">
        <f>SUM(D18:D22)</f>
        <v>794</v>
      </c>
      <c r="E23" s="678">
        <f>D23*9.5</f>
        <v>7543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8" t="s">
        <v>252</v>
      </c>
      <c r="C28" s="768" t="s">
        <v>26</v>
      </c>
      <c r="D28" s="667">
        <v>220</v>
      </c>
      <c r="E28" s="685">
        <f>D28*9.5</f>
        <v>2090</v>
      </c>
    </row>
    <row r="29" spans="2:5">
      <c r="B29" s="768" t="s">
        <v>44</v>
      </c>
      <c r="C29" s="768" t="s">
        <v>16</v>
      </c>
      <c r="D29" s="667">
        <v>194</v>
      </c>
      <c r="E29" s="685">
        <f>D29*9.5</f>
        <v>1843</v>
      </c>
    </row>
    <row r="30" spans="2:5">
      <c r="B30" s="769" t="s">
        <v>258</v>
      </c>
      <c r="C30" s="768" t="s">
        <v>71</v>
      </c>
      <c r="D30" s="667">
        <v>266</v>
      </c>
      <c r="E30" s="685">
        <f>D30*9.5</f>
        <v>2527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680</v>
      </c>
      <c r="E32" s="678">
        <f>D32*9.5</f>
        <v>6460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381</v>
      </c>
      <c r="D35" s="680">
        <f>D23</f>
        <v>794</v>
      </c>
      <c r="E35" s="680">
        <f>D32</f>
        <v>680</v>
      </c>
    </row>
    <row r="36" spans="2:5">
      <c r="B36" s="677" t="s">
        <v>36</v>
      </c>
      <c r="C36" s="675">
        <f>C35*9.5</f>
        <v>3619.5</v>
      </c>
      <c r="D36" s="675">
        <f>D35*9.5</f>
        <v>7543</v>
      </c>
      <c r="E36" s="675">
        <f>E35*9.5</f>
        <v>6460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1855</v>
      </c>
      <c r="D38" s="378" t="s">
        <v>253</v>
      </c>
      <c r="E38" s="381">
        <f>C38*9.5</f>
        <v>17622.5</v>
      </c>
    </row>
    <row r="39" spans="2:5">
      <c r="B39" s="377" t="s">
        <v>197</v>
      </c>
      <c r="C39" s="378">
        <f>C40-C38</f>
        <v>158</v>
      </c>
      <c r="D39" s="378" t="s">
        <v>204</v>
      </c>
      <c r="E39" s="381">
        <f>C39*9</f>
        <v>1422</v>
      </c>
    </row>
    <row r="40" spans="2:5" ht="19.5">
      <c r="B40" s="665" t="s">
        <v>201</v>
      </c>
      <c r="C40" s="380">
        <f>'Patron Counts v Swipes'!D292</f>
        <v>2013</v>
      </c>
      <c r="D40" s="380" t="s">
        <v>202</v>
      </c>
      <c r="E40" s="379">
        <f>SUM(E38+E39)</f>
        <v>19044.5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YFr0eiUPZv6gPQ7cTQk4PqnMKGCxRRSK37Lhp5GPU6d7RsKvZrn3X0It+CRR7DeWIp4Wyd7QQgFYhQpOiJjOyA==" saltValue="OgGQHMGYvumcNKlaKEtbg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45828-6AE1-414E-93C4-76BECBE52EC5}">
  <sheetPr codeName="Sheet33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2.7109375" style="753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44694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6"/>
      <c r="C9" s="766" t="s">
        <v>16</v>
      </c>
      <c r="D9" s="692"/>
      <c r="E9" s="693">
        <f>D9*9.5</f>
        <v>0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7" t="s">
        <v>51</v>
      </c>
      <c r="C18" s="768" t="s">
        <v>16</v>
      </c>
      <c r="D18" s="667">
        <v>370</v>
      </c>
      <c r="E18" s="685">
        <f>D18*9.5</f>
        <v>3515</v>
      </c>
    </row>
    <row r="19" spans="2:5" ht="20.100000000000001" customHeight="1">
      <c r="B19" s="767" t="s">
        <v>299</v>
      </c>
      <c r="C19" s="768" t="s">
        <v>16</v>
      </c>
      <c r="D19" s="667">
        <v>334</v>
      </c>
      <c r="E19" s="685">
        <f>D19*9.5</f>
        <v>3173</v>
      </c>
    </row>
    <row r="20" spans="2:5" ht="20.100000000000001" customHeight="1">
      <c r="B20" s="766"/>
      <c r="C20" s="766" t="s">
        <v>71</v>
      </c>
      <c r="D20" s="692"/>
      <c r="E20" s="693">
        <f>D20*10</f>
        <v>0</v>
      </c>
    </row>
    <row r="21" spans="2:5" ht="20.100000000000001" customHeight="1">
      <c r="B21" s="765" t="s">
        <v>300</v>
      </c>
      <c r="C21" s="768" t="s">
        <v>26</v>
      </c>
      <c r="D21" s="667">
        <v>394</v>
      </c>
      <c r="E21" s="685">
        <f>D21*9.5</f>
        <v>3743</v>
      </c>
    </row>
    <row r="22" spans="2:5" ht="20.100000000000001" customHeight="1">
      <c r="B22" s="765" t="s">
        <v>69</v>
      </c>
      <c r="C22" s="768" t="s">
        <v>26</v>
      </c>
      <c r="D22" s="667">
        <v>245</v>
      </c>
      <c r="E22" s="685">
        <f>D22*9.5</f>
        <v>2327.5</v>
      </c>
    </row>
    <row r="23" spans="2:5" ht="20.100000000000001" customHeight="1">
      <c r="B23" s="1259" t="s">
        <v>24</v>
      </c>
      <c r="C23" s="1259"/>
      <c r="D23" s="754">
        <f>SUM(D18:D22)</f>
        <v>1343</v>
      </c>
      <c r="E23" s="678">
        <f>D23*9.5</f>
        <v>12758.5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8" t="s">
        <v>70</v>
      </c>
      <c r="C28" s="768" t="s">
        <v>26</v>
      </c>
      <c r="D28" s="667">
        <v>424</v>
      </c>
      <c r="E28" s="685">
        <f>D28*9.5</f>
        <v>4028</v>
      </c>
    </row>
    <row r="29" spans="2:5">
      <c r="B29" s="768" t="s">
        <v>244</v>
      </c>
      <c r="C29" s="768" t="s">
        <v>16</v>
      </c>
      <c r="D29" s="667">
        <v>291</v>
      </c>
      <c r="E29" s="685">
        <f>D29*9.5</f>
        <v>2764.5</v>
      </c>
    </row>
    <row r="30" spans="2:5">
      <c r="B30" s="769" t="s">
        <v>278</v>
      </c>
      <c r="C30" s="768" t="s">
        <v>16</v>
      </c>
      <c r="D30" s="667">
        <v>332</v>
      </c>
      <c r="E30" s="685">
        <f>D30*9.5</f>
        <v>3154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1047</v>
      </c>
      <c r="E32" s="678">
        <f>D32*9.5</f>
        <v>9946.5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1343</v>
      </c>
      <c r="E35" s="680">
        <f>D32</f>
        <v>1047</v>
      </c>
    </row>
    <row r="36" spans="2:5">
      <c r="B36" s="677" t="s">
        <v>36</v>
      </c>
      <c r="C36" s="675">
        <f>C35*9.5</f>
        <v>0</v>
      </c>
      <c r="D36" s="675">
        <f>D35*9.5</f>
        <v>12758.5</v>
      </c>
      <c r="E36" s="675">
        <f>E35*9.5</f>
        <v>9946.5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2390</v>
      </c>
      <c r="D38" s="378" t="s">
        <v>253</v>
      </c>
      <c r="E38" s="381">
        <f>C38*9.5</f>
        <v>22705</v>
      </c>
    </row>
    <row r="39" spans="2:5">
      <c r="B39" s="377" t="s">
        <v>197</v>
      </c>
      <c r="C39" s="378">
        <f>C40-C38</f>
        <v>2929</v>
      </c>
      <c r="D39" s="378" t="s">
        <v>204</v>
      </c>
      <c r="E39" s="381">
        <f>C39*9</f>
        <v>26361</v>
      </c>
    </row>
    <row r="40" spans="2:5" ht="19.5">
      <c r="B40" s="665" t="s">
        <v>201</v>
      </c>
      <c r="C40" s="380">
        <f>'Patron Counts v Swipes'!D286</f>
        <v>5319</v>
      </c>
      <c r="D40" s="380" t="s">
        <v>202</v>
      </c>
      <c r="E40" s="379">
        <f>SUM(E38+E39)</f>
        <v>49066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5oz3P0aWY4owTko4EhaNy2IV28R3gMjWYzIRm+L3zT8C+mWioG3WPL9hhjTkjFPptmyLfbhVNRcgpxI3W2beiQ==" saltValue="/yFwu08sAwO0cN4sLphTQ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5890-9DA5-49AD-9E63-03219F18D436}">
  <sheetPr codeName="Sheet34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2.7109375" style="753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44693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6"/>
      <c r="C9" s="766" t="s">
        <v>16</v>
      </c>
      <c r="D9" s="692"/>
      <c r="E9" s="693">
        <f>D9*9.5</f>
        <v>0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7" t="s">
        <v>302</v>
      </c>
      <c r="C18" s="768" t="s">
        <v>16</v>
      </c>
      <c r="D18" s="667">
        <v>316</v>
      </c>
      <c r="E18" s="685">
        <f>D18*9.5</f>
        <v>3002</v>
      </c>
    </row>
    <row r="19" spans="2:5" ht="20.100000000000001" customHeight="1">
      <c r="B19" s="789" t="s">
        <v>303</v>
      </c>
      <c r="C19" s="768" t="s">
        <v>16</v>
      </c>
      <c r="D19" s="667">
        <v>851</v>
      </c>
      <c r="E19" s="685">
        <f>D19*9.5</f>
        <v>8084.5</v>
      </c>
    </row>
    <row r="20" spans="2:5" ht="20.100000000000001" customHeight="1">
      <c r="B20" s="766"/>
      <c r="C20" s="766"/>
      <c r="D20" s="692"/>
      <c r="E20" s="693">
        <f>D20*10</f>
        <v>0</v>
      </c>
    </row>
    <row r="21" spans="2:5" ht="20.100000000000001" customHeight="1">
      <c r="B21" s="765" t="s">
        <v>281</v>
      </c>
      <c r="C21" s="768" t="s">
        <v>26</v>
      </c>
      <c r="D21" s="667">
        <v>305</v>
      </c>
      <c r="E21" s="685">
        <f>D21*9.5</f>
        <v>2897.5</v>
      </c>
    </row>
    <row r="22" spans="2:5" ht="20.100000000000001" customHeight="1">
      <c r="B22" s="765" t="s">
        <v>65</v>
      </c>
      <c r="C22" s="768" t="s">
        <v>26</v>
      </c>
      <c r="D22" s="667">
        <v>300</v>
      </c>
      <c r="E22" s="685">
        <f>D22*9.5</f>
        <v>2850</v>
      </c>
    </row>
    <row r="23" spans="2:5" ht="20.100000000000001" customHeight="1">
      <c r="B23" s="1259" t="s">
        <v>24</v>
      </c>
      <c r="C23" s="1259"/>
      <c r="D23" s="754">
        <f>SUM(D18:D22)</f>
        <v>1772</v>
      </c>
      <c r="E23" s="678">
        <f>D23*9.5</f>
        <v>16834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5" t="s">
        <v>281</v>
      </c>
      <c r="C28" s="768" t="s">
        <v>26</v>
      </c>
      <c r="D28" s="667">
        <v>159</v>
      </c>
      <c r="E28" s="685">
        <f>D28*9.5</f>
        <v>1510.5</v>
      </c>
    </row>
    <row r="29" spans="2:5">
      <c r="B29" s="768" t="s">
        <v>205</v>
      </c>
      <c r="C29" s="768" t="s">
        <v>16</v>
      </c>
      <c r="D29" s="667">
        <v>124</v>
      </c>
      <c r="E29" s="685">
        <f>D29*9.5</f>
        <v>1178</v>
      </c>
    </row>
    <row r="30" spans="2:5">
      <c r="B30" s="769" t="s">
        <v>235</v>
      </c>
      <c r="C30" s="767" t="s">
        <v>71</v>
      </c>
      <c r="D30" s="667">
        <v>514</v>
      </c>
      <c r="E30" s="685">
        <f>D30*9.5</f>
        <v>4883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797</v>
      </c>
      <c r="E32" s="678">
        <f>D32*9.5</f>
        <v>7571.5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1772</v>
      </c>
      <c r="E35" s="680">
        <f>D32</f>
        <v>797</v>
      </c>
    </row>
    <row r="36" spans="2:5">
      <c r="B36" s="677" t="s">
        <v>36</v>
      </c>
      <c r="C36" s="675">
        <f>C35*9.5</f>
        <v>0</v>
      </c>
      <c r="D36" s="675">
        <f>D35*9.5</f>
        <v>16834</v>
      </c>
      <c r="E36" s="675">
        <f>E35*9.5</f>
        <v>7571.5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2569</v>
      </c>
      <c r="D38" s="378" t="s">
        <v>253</v>
      </c>
      <c r="E38" s="381">
        <f>C38*9.5</f>
        <v>24405.5</v>
      </c>
    </row>
    <row r="39" spans="2:5">
      <c r="B39" s="377" t="s">
        <v>197</v>
      </c>
      <c r="C39" s="378">
        <f>C40-C38</f>
        <v>3989</v>
      </c>
      <c r="D39" s="378" t="s">
        <v>204</v>
      </c>
      <c r="E39" s="381">
        <f>C39*9</f>
        <v>35901</v>
      </c>
    </row>
    <row r="40" spans="2:5" ht="19.5">
      <c r="B40" s="665" t="s">
        <v>201</v>
      </c>
      <c r="C40" s="380">
        <f>'Patron Counts v Swipes'!D280</f>
        <v>6558</v>
      </c>
      <c r="D40" s="380" t="s">
        <v>202</v>
      </c>
      <c r="E40" s="379">
        <f>SUM(E38+E39)</f>
        <v>60306.5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SbsGK4JgJZFGpyc8MgqQvhK/yoaoMccb5Qp6XtJ91bKbeUl5y9yGusF1m4zdWcylPJKTFfzaJK1FS1x48IRpJg==" saltValue="2dL8hOaCjhgku5upsLnyW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B0BF8-BAE7-44E2-9189-2C5A743BBF77}">
  <sheetPr codeName="Sheet35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2.7109375" style="753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44692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6"/>
      <c r="C9" s="766" t="s">
        <v>16</v>
      </c>
      <c r="D9" s="692"/>
      <c r="E9" s="693">
        <f>D9*9.5</f>
        <v>0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7" t="s">
        <v>53</v>
      </c>
      <c r="C18" s="768" t="s">
        <v>16</v>
      </c>
      <c r="D18" s="667">
        <v>150</v>
      </c>
      <c r="E18" s="685">
        <f>D18*9.5</f>
        <v>1425</v>
      </c>
    </row>
    <row r="19" spans="2:5" ht="20.100000000000001" customHeight="1">
      <c r="B19" s="767" t="s">
        <v>65</v>
      </c>
      <c r="C19" s="768" t="s">
        <v>16</v>
      </c>
      <c r="D19" s="667">
        <v>355</v>
      </c>
      <c r="E19" s="685">
        <f>D19*9.5</f>
        <v>3372.5</v>
      </c>
    </row>
    <row r="20" spans="2:5" ht="20.100000000000001" customHeight="1">
      <c r="B20" s="766"/>
      <c r="C20" s="766" t="s">
        <v>71</v>
      </c>
      <c r="D20" s="692"/>
      <c r="E20" s="693">
        <f>D20*10</f>
        <v>0</v>
      </c>
    </row>
    <row r="21" spans="2:5" ht="20.100000000000001" customHeight="1">
      <c r="B21" s="765" t="s">
        <v>159</v>
      </c>
      <c r="C21" s="768" t="s">
        <v>26</v>
      </c>
      <c r="D21" s="667">
        <v>288</v>
      </c>
      <c r="E21" s="685">
        <f>D21*9.5</f>
        <v>2736</v>
      </c>
    </row>
    <row r="22" spans="2:5" ht="20.100000000000001" customHeight="1">
      <c r="B22" s="765" t="s">
        <v>69</v>
      </c>
      <c r="C22" s="768" t="s">
        <v>26</v>
      </c>
      <c r="D22" s="667">
        <v>183</v>
      </c>
      <c r="E22" s="685">
        <f>D22*9.5</f>
        <v>1738.5</v>
      </c>
    </row>
    <row r="23" spans="2:5" ht="20.100000000000001" customHeight="1">
      <c r="B23" s="1259" t="s">
        <v>24</v>
      </c>
      <c r="C23" s="1259"/>
      <c r="D23" s="754">
        <f>SUM(D18:D22)</f>
        <v>976</v>
      </c>
      <c r="E23" s="678">
        <f>D23*9.5</f>
        <v>9272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8" t="s">
        <v>70</v>
      </c>
      <c r="C28" s="767" t="s">
        <v>26</v>
      </c>
      <c r="D28" s="667">
        <v>420</v>
      </c>
      <c r="E28" s="685">
        <f>D28*9.5</f>
        <v>3990</v>
      </c>
    </row>
    <row r="29" spans="2:5">
      <c r="B29" s="768" t="s">
        <v>53</v>
      </c>
      <c r="C29" s="767" t="s">
        <v>16</v>
      </c>
      <c r="D29" s="667">
        <v>186</v>
      </c>
      <c r="E29" s="685">
        <f>D29*9.5</f>
        <v>1767</v>
      </c>
    </row>
    <row r="30" spans="2:5">
      <c r="B30" s="769" t="s">
        <v>258</v>
      </c>
      <c r="C30" s="767" t="s">
        <v>16</v>
      </c>
      <c r="D30" s="667">
        <v>207</v>
      </c>
      <c r="E30" s="685">
        <f>D30*9.5</f>
        <v>1966.5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813</v>
      </c>
      <c r="E32" s="678">
        <f>D32*9.5</f>
        <v>7723.5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976</v>
      </c>
      <c r="E35" s="680">
        <f>D32</f>
        <v>813</v>
      </c>
    </row>
    <row r="36" spans="2:5">
      <c r="B36" s="677" t="s">
        <v>36</v>
      </c>
      <c r="C36" s="675">
        <f>C35*9.5</f>
        <v>0</v>
      </c>
      <c r="D36" s="675">
        <f>D35*9.5</f>
        <v>9272</v>
      </c>
      <c r="E36" s="675">
        <f>E35*9.5</f>
        <v>7723.5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1789</v>
      </c>
      <c r="D38" s="378" t="s">
        <v>253</v>
      </c>
      <c r="E38" s="381">
        <f>C38*9.5</f>
        <v>16995.5</v>
      </c>
    </row>
    <row r="39" spans="2:5">
      <c r="B39" s="377" t="s">
        <v>197</v>
      </c>
      <c r="C39" s="378">
        <f>C40-C38</f>
        <v>4328</v>
      </c>
      <c r="D39" s="378" t="s">
        <v>204</v>
      </c>
      <c r="E39" s="381">
        <f>C39*9</f>
        <v>38952</v>
      </c>
    </row>
    <row r="40" spans="2:5" ht="19.5">
      <c r="B40" s="665" t="s">
        <v>201</v>
      </c>
      <c r="C40" s="380">
        <f>'Patron Counts v Swipes'!D274</f>
        <v>6117</v>
      </c>
      <c r="D40" s="380" t="s">
        <v>202</v>
      </c>
      <c r="E40" s="379">
        <f>SUM(E38+E39)</f>
        <v>55947.5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zseUaysZKwc8+1LrI8MPjFqGdGgelonPo3Bl//53YYGMTQYZqBkEn9SPUy9G4t2M1IHP3p/SQy9bItw0s6zx4w==" saltValue="oG3yE+tX8wcvN9xbBDhLxQ==" spinCount="100000" sheet="1" objects="1" scenarios="1"/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85144-2C34-4774-9296-7B07307DA97C}">
  <sheetPr codeName="Sheet36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2.7109375" style="753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44691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66"/>
      <c r="C9" s="766" t="s">
        <v>16</v>
      </c>
      <c r="D9" s="692"/>
      <c r="E9" s="693">
        <f>D9*9.5</f>
        <v>0</v>
      </c>
    </row>
    <row r="10" spans="2:8" ht="20.100000000000001" customHeight="1">
      <c r="B10" s="766"/>
      <c r="C10" s="766" t="s">
        <v>16</v>
      </c>
      <c r="D10" s="692"/>
      <c r="E10" s="693">
        <f>D10*9.5</f>
        <v>0</v>
      </c>
    </row>
    <row r="11" spans="2:8" ht="20.100000000000001" customHeight="1">
      <c r="B11" s="766"/>
      <c r="C11" s="766" t="s">
        <v>26</v>
      </c>
      <c r="D11" s="692"/>
      <c r="E11" s="693">
        <f>D11*9.5</f>
        <v>0</v>
      </c>
    </row>
    <row r="12" spans="2:8" ht="20.100000000000001" customHeight="1">
      <c r="B12" s="766"/>
      <c r="C12" s="766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8" t="s">
        <v>185</v>
      </c>
      <c r="C18" s="768" t="s">
        <v>16</v>
      </c>
      <c r="D18" s="667">
        <v>794</v>
      </c>
      <c r="E18" s="685">
        <f>D18*9.5</f>
        <v>7543</v>
      </c>
    </row>
    <row r="19" spans="2:5" ht="20.100000000000001" customHeight="1">
      <c r="B19" s="767" t="s">
        <v>244</v>
      </c>
      <c r="C19" s="768" t="s">
        <v>16</v>
      </c>
      <c r="D19" s="667">
        <v>469</v>
      </c>
      <c r="E19" s="685">
        <f>D19*9.5</f>
        <v>4455.5</v>
      </c>
    </row>
    <row r="20" spans="2:5" ht="20.100000000000001" customHeight="1">
      <c r="B20" s="766"/>
      <c r="C20" s="766" t="s">
        <v>71</v>
      </c>
      <c r="D20" s="692"/>
      <c r="E20" s="693">
        <f>D20*10</f>
        <v>0</v>
      </c>
    </row>
    <row r="21" spans="2:5" ht="20.100000000000001" customHeight="1">
      <c r="B21" s="765" t="s">
        <v>250</v>
      </c>
      <c r="C21" s="768" t="s">
        <v>26</v>
      </c>
      <c r="D21" s="667">
        <v>402</v>
      </c>
      <c r="E21" s="685">
        <f>D21*9.5</f>
        <v>3819</v>
      </c>
    </row>
    <row r="22" spans="2:5" ht="20.100000000000001" customHeight="1">
      <c r="B22" s="765" t="s">
        <v>188</v>
      </c>
      <c r="C22" s="768" t="s">
        <v>26</v>
      </c>
      <c r="D22" s="667">
        <v>255</v>
      </c>
      <c r="E22" s="685">
        <f>D22*9.5</f>
        <v>2422.5</v>
      </c>
    </row>
    <row r="23" spans="2:5" ht="20.100000000000001" customHeight="1">
      <c r="B23" s="1259" t="s">
        <v>24</v>
      </c>
      <c r="C23" s="1259"/>
      <c r="D23" s="754">
        <f>SUM(D18:D22)</f>
        <v>1920</v>
      </c>
      <c r="E23" s="678">
        <f>D23*9.5</f>
        <v>18240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8" t="s">
        <v>252</v>
      </c>
      <c r="C28" s="767" t="s">
        <v>26</v>
      </c>
      <c r="D28" s="667">
        <v>219</v>
      </c>
      <c r="E28" s="685">
        <f>D28*9.5</f>
        <v>2080.5</v>
      </c>
    </row>
    <row r="29" spans="2:5">
      <c r="B29" s="768" t="s">
        <v>44</v>
      </c>
      <c r="C29" s="767" t="s">
        <v>16</v>
      </c>
      <c r="D29" s="667">
        <v>221</v>
      </c>
      <c r="E29" s="685">
        <f>D29*9.5</f>
        <v>2099.5</v>
      </c>
    </row>
    <row r="30" spans="2:5">
      <c r="B30" s="769" t="s">
        <v>242</v>
      </c>
      <c r="C30" s="767" t="s">
        <v>16</v>
      </c>
      <c r="D30" s="667">
        <v>409</v>
      </c>
      <c r="E30" s="685">
        <f>D30*9.5</f>
        <v>3885.5</v>
      </c>
    </row>
    <row r="31" spans="2:5">
      <c r="B31" s="631"/>
      <c r="C31" s="76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849</v>
      </c>
      <c r="E32" s="678">
        <f>D32*9.5</f>
        <v>8065.5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1920</v>
      </c>
      <c r="E35" s="680">
        <f>D32</f>
        <v>849</v>
      </c>
    </row>
    <row r="36" spans="2:5">
      <c r="B36" s="677" t="s">
        <v>36</v>
      </c>
      <c r="C36" s="675">
        <f>C35*9.5</f>
        <v>0</v>
      </c>
      <c r="D36" s="675">
        <f>D35*9.5</f>
        <v>18240</v>
      </c>
      <c r="E36" s="675">
        <f>E35*9.5</f>
        <v>8065.5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2769</v>
      </c>
      <c r="D38" s="378" t="s">
        <v>253</v>
      </c>
      <c r="E38" s="381">
        <f>C38*9.5</f>
        <v>26305.5</v>
      </c>
    </row>
    <row r="39" spans="2:5">
      <c r="B39" s="377" t="s">
        <v>197</v>
      </c>
      <c r="C39" s="378">
        <f>C40-C38</f>
        <v>4368</v>
      </c>
      <c r="D39" s="378" t="s">
        <v>204</v>
      </c>
      <c r="E39" s="381">
        <f>C39*9</f>
        <v>39312</v>
      </c>
    </row>
    <row r="40" spans="2:5" ht="19.5">
      <c r="B40" s="665" t="s">
        <v>201</v>
      </c>
      <c r="C40" s="380">
        <f>'Patron Counts v Swipes'!D268</f>
        <v>7137</v>
      </c>
      <c r="D40" s="380" t="s">
        <v>202</v>
      </c>
      <c r="E40" s="379">
        <f>SUM(E38+E39)</f>
        <v>65617.5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U76kDQczB80bFn0I0C1XtRKjLlZ+LeK+IpGZFdIGJ9IVOqmyZVtY/2W/9uJWFxlcnOtbhhhMHDlplKYf6nUwlw==" saltValue="6lg4JZkP8zkmRhPZvPDnrw==" spinCount="100000" sheet="1" objects="1" scenarios="1"/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71E4B-C2C8-414E-BD26-A5E53001DDFC}">
  <sheetPr codeName="Sheet37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2.7109375" style="753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44690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51"/>
      <c r="C9" s="751" t="s">
        <v>16</v>
      </c>
      <c r="D9" s="692"/>
      <c r="E9" s="693">
        <f>D9*9.5</f>
        <v>0</v>
      </c>
    </row>
    <row r="10" spans="2:8" ht="20.100000000000001" customHeight="1">
      <c r="B10" s="751"/>
      <c r="C10" s="751" t="s">
        <v>16</v>
      </c>
      <c r="D10" s="692"/>
      <c r="E10" s="693">
        <f>D10*9.5</f>
        <v>0</v>
      </c>
    </row>
    <row r="11" spans="2:8" ht="20.100000000000001" customHeight="1">
      <c r="B11" s="751"/>
      <c r="C11" s="751" t="s">
        <v>26</v>
      </c>
      <c r="D11" s="692"/>
      <c r="E11" s="693">
        <f>D11*9.5</f>
        <v>0</v>
      </c>
    </row>
    <row r="12" spans="2:8" ht="20.100000000000001" customHeight="1">
      <c r="B12" s="751"/>
      <c r="C12" s="751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67" t="s">
        <v>53</v>
      </c>
      <c r="C18" s="755" t="s">
        <v>16</v>
      </c>
      <c r="D18" s="667">
        <v>150</v>
      </c>
      <c r="E18" s="685">
        <f>D18*9.5</f>
        <v>1425</v>
      </c>
    </row>
    <row r="19" spans="2:5" ht="20.100000000000001" customHeight="1">
      <c r="B19" s="767" t="s">
        <v>245</v>
      </c>
      <c r="C19" s="755" t="s">
        <v>16</v>
      </c>
      <c r="D19" s="667">
        <v>409</v>
      </c>
      <c r="E19" s="685">
        <f>D19*9.5</f>
        <v>3885.5</v>
      </c>
    </row>
    <row r="20" spans="2:5" ht="20.100000000000001" customHeight="1">
      <c r="B20" s="766"/>
      <c r="C20" s="751" t="s">
        <v>71</v>
      </c>
      <c r="D20" s="692"/>
      <c r="E20" s="693">
        <f>D20*10</f>
        <v>0</v>
      </c>
    </row>
    <row r="21" spans="2:5" ht="20.100000000000001" customHeight="1">
      <c r="B21" s="765" t="s">
        <v>78</v>
      </c>
      <c r="C21" s="755" t="s">
        <v>26</v>
      </c>
      <c r="D21" s="667">
        <v>219</v>
      </c>
      <c r="E21" s="685">
        <f>D21*9.5</f>
        <v>2080.5</v>
      </c>
    </row>
    <row r="22" spans="2:5" ht="20.100000000000001" customHeight="1">
      <c r="B22" s="765" t="s">
        <v>295</v>
      </c>
      <c r="C22" s="755" t="s">
        <v>26</v>
      </c>
      <c r="D22" s="667">
        <v>320</v>
      </c>
      <c r="E22" s="685">
        <f>D22*9.5</f>
        <v>3040</v>
      </c>
    </row>
    <row r="23" spans="2:5" ht="20.100000000000001" customHeight="1">
      <c r="B23" s="1259" t="s">
        <v>24</v>
      </c>
      <c r="C23" s="1259"/>
      <c r="D23" s="754">
        <f>SUM(D18:D22)</f>
        <v>1098</v>
      </c>
      <c r="E23" s="678">
        <f>D23*9.5</f>
        <v>10431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68" t="s">
        <v>276</v>
      </c>
      <c r="C28" s="752" t="s">
        <v>26</v>
      </c>
      <c r="D28" s="667">
        <v>187</v>
      </c>
      <c r="E28" s="685">
        <f>D28*9.5</f>
        <v>1776.5</v>
      </c>
    </row>
    <row r="29" spans="2:5">
      <c r="B29" s="768" t="s">
        <v>53</v>
      </c>
      <c r="C29" s="752" t="s">
        <v>16</v>
      </c>
      <c r="D29" s="667">
        <v>197</v>
      </c>
      <c r="E29" s="685">
        <f>D29*9.5</f>
        <v>1871.5</v>
      </c>
    </row>
    <row r="30" spans="2:5">
      <c r="B30" s="769" t="s">
        <v>242</v>
      </c>
      <c r="C30" s="752" t="s">
        <v>16</v>
      </c>
      <c r="D30" s="667">
        <v>400</v>
      </c>
      <c r="E30" s="685">
        <f>D30*9.5</f>
        <v>3800</v>
      </c>
    </row>
    <row r="31" spans="2:5">
      <c r="B31" s="631"/>
      <c r="C31" s="751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784</v>
      </c>
      <c r="E32" s="678">
        <f>D32*9.5</f>
        <v>7448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1098</v>
      </c>
      <c r="E35" s="680">
        <f>D32</f>
        <v>784</v>
      </c>
    </row>
    <row r="36" spans="2:5">
      <c r="B36" s="677" t="s">
        <v>36</v>
      </c>
      <c r="C36" s="675">
        <f>C35*9.5</f>
        <v>0</v>
      </c>
      <c r="D36" s="675">
        <f>D35*9.5</f>
        <v>10431</v>
      </c>
      <c r="E36" s="675">
        <f>E35*9.5</f>
        <v>7448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1882</v>
      </c>
      <c r="D38" s="378" t="s">
        <v>253</v>
      </c>
      <c r="E38" s="381">
        <f>C38*9.5</f>
        <v>17879</v>
      </c>
    </row>
    <row r="39" spans="2:5">
      <c r="B39" s="377" t="s">
        <v>197</v>
      </c>
      <c r="C39" s="378">
        <f>C40-C38</f>
        <v>3760</v>
      </c>
      <c r="D39" s="378" t="s">
        <v>204</v>
      </c>
      <c r="E39" s="381">
        <f>C39*9</f>
        <v>33840</v>
      </c>
    </row>
    <row r="40" spans="2:5" ht="19.5">
      <c r="B40" s="665" t="s">
        <v>201</v>
      </c>
      <c r="C40" s="380">
        <f>'Patron Counts v Swipes'!D262</f>
        <v>5642</v>
      </c>
      <c r="D40" s="380" t="s">
        <v>202</v>
      </c>
      <c r="E40" s="379">
        <f>SUM(E38+E39)</f>
        <v>51719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RrgrMiFCOEfzM+RQAYkivJbDn7nEfp3Qxh1LSWRI/0r9QBhT7H9sTIG5PIMfmAJfly4DQdrxcs8p4VC/mmYuoQ==" saltValue="EnJDfWG+GUOLP0kjQXOtL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32A55-925B-4731-8042-CC6755F44C74}">
  <sheetPr codeName="Sheet38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2.7109375" style="753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44687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51"/>
      <c r="C9" s="751" t="s">
        <v>16</v>
      </c>
      <c r="D9" s="692"/>
      <c r="E9" s="693">
        <f>D9*9.5</f>
        <v>0</v>
      </c>
    </row>
    <row r="10" spans="2:8" ht="20.100000000000001" customHeight="1">
      <c r="B10" s="751"/>
      <c r="C10" s="751" t="s">
        <v>16</v>
      </c>
      <c r="D10" s="692"/>
      <c r="E10" s="693">
        <f>D10*9.5</f>
        <v>0</v>
      </c>
    </row>
    <row r="11" spans="2:8" ht="20.100000000000001" customHeight="1">
      <c r="B11" s="751"/>
      <c r="C11" s="751" t="s">
        <v>26</v>
      </c>
      <c r="D11" s="692"/>
      <c r="E11" s="693">
        <f>D11*9.5</f>
        <v>0</v>
      </c>
    </row>
    <row r="12" spans="2:8" ht="20.100000000000001" customHeight="1">
      <c r="B12" s="751"/>
      <c r="C12" s="751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52" t="s">
        <v>51</v>
      </c>
      <c r="C18" s="755" t="s">
        <v>16</v>
      </c>
      <c r="D18" s="667">
        <v>398</v>
      </c>
      <c r="E18" s="685">
        <f>D18*9.5</f>
        <v>3781</v>
      </c>
    </row>
    <row r="19" spans="2:5" ht="20.100000000000001" customHeight="1">
      <c r="B19" s="752" t="s">
        <v>45</v>
      </c>
      <c r="C19" s="755" t="s">
        <v>16</v>
      </c>
      <c r="D19" s="667">
        <v>362</v>
      </c>
      <c r="E19" s="685">
        <f>D19*9.5</f>
        <v>3439</v>
      </c>
    </row>
    <row r="20" spans="2:5" ht="20.100000000000001" customHeight="1">
      <c r="B20" s="751"/>
      <c r="C20" s="751" t="s">
        <v>71</v>
      </c>
      <c r="D20" s="692"/>
      <c r="E20" s="693">
        <f>D20*10</f>
        <v>0</v>
      </c>
    </row>
    <row r="21" spans="2:5" ht="20.100000000000001" customHeight="1">
      <c r="B21" s="750" t="s">
        <v>69</v>
      </c>
      <c r="C21" s="755" t="s">
        <v>26</v>
      </c>
      <c r="D21" s="667">
        <v>246</v>
      </c>
      <c r="E21" s="685">
        <f>D21*9.5</f>
        <v>2337</v>
      </c>
    </row>
    <row r="22" spans="2:5" ht="20.100000000000001" customHeight="1">
      <c r="B22" s="750" t="s">
        <v>49</v>
      </c>
      <c r="C22" s="755" t="s">
        <v>26</v>
      </c>
      <c r="D22" s="667">
        <v>226</v>
      </c>
      <c r="E22" s="685">
        <f>D22*9.5</f>
        <v>2147</v>
      </c>
    </row>
    <row r="23" spans="2:5" ht="20.100000000000001" customHeight="1">
      <c r="B23" s="1259" t="s">
        <v>24</v>
      </c>
      <c r="C23" s="1259"/>
      <c r="D23" s="754">
        <f>SUM(D18:D22)</f>
        <v>1232</v>
      </c>
      <c r="E23" s="678">
        <f>D23*9.5</f>
        <v>11704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55" t="s">
        <v>279</v>
      </c>
      <c r="C28" s="752" t="s">
        <v>26</v>
      </c>
      <c r="D28" s="667">
        <v>510</v>
      </c>
      <c r="E28" s="685">
        <f>D28*9.5</f>
        <v>4845</v>
      </c>
    </row>
    <row r="29" spans="2:5">
      <c r="B29" s="750" t="s">
        <v>49</v>
      </c>
      <c r="C29" s="752" t="s">
        <v>16</v>
      </c>
      <c r="D29" s="667">
        <v>191</v>
      </c>
      <c r="E29" s="685">
        <f>D29*9.5</f>
        <v>1814.5</v>
      </c>
    </row>
    <row r="30" spans="2:5">
      <c r="B30" s="757" t="s">
        <v>235</v>
      </c>
      <c r="C30" s="752" t="s">
        <v>16</v>
      </c>
      <c r="D30" s="667">
        <v>370</v>
      </c>
      <c r="E30" s="685">
        <f>D30*9.5</f>
        <v>3515</v>
      </c>
    </row>
    <row r="31" spans="2:5">
      <c r="B31" s="631"/>
      <c r="C31" s="751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1071</v>
      </c>
      <c r="E32" s="678">
        <f>D32*9.5</f>
        <v>10174.5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1232</v>
      </c>
      <c r="E35" s="680">
        <f>D32</f>
        <v>1071</v>
      </c>
    </row>
    <row r="36" spans="2:5">
      <c r="B36" s="677" t="s">
        <v>36</v>
      </c>
      <c r="C36" s="675">
        <f>C35*9.5</f>
        <v>0</v>
      </c>
      <c r="D36" s="675">
        <f>D35*9.5</f>
        <v>11704</v>
      </c>
      <c r="E36" s="675">
        <f>E35*9.5</f>
        <v>10174.5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2303</v>
      </c>
      <c r="D38" s="378" t="s">
        <v>253</v>
      </c>
      <c r="E38" s="381">
        <f>C38*9.5</f>
        <v>21878.5</v>
      </c>
    </row>
    <row r="39" spans="2:5">
      <c r="B39" s="377" t="s">
        <v>197</v>
      </c>
      <c r="C39" s="378">
        <f>C40-C38</f>
        <v>2790</v>
      </c>
      <c r="D39" s="378" t="s">
        <v>204</v>
      </c>
      <c r="E39" s="381">
        <f>C39*9</f>
        <v>25110</v>
      </c>
    </row>
    <row r="40" spans="2:5" ht="19.5">
      <c r="B40" s="665" t="s">
        <v>201</v>
      </c>
      <c r="C40" s="380">
        <f>'Patron Counts v Swipes'!D244</f>
        <v>5093</v>
      </c>
      <c r="D40" s="380" t="s">
        <v>202</v>
      </c>
      <c r="E40" s="379">
        <f>SUM(E38+E39)</f>
        <v>46988.5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2V3n20apVVBEHRgiBIgXIkIE2OinG8OmDk3a/hRyxbtyRS9kEuoxRcb698nFJUn3eR8+pu1kd7SD6Uc+OaYtPA==" saltValue="giIUKrgNPCvMBP4I3K2kmw==" spinCount="100000" sheet="1" objects="1" scenarios="1"/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E6C0A-6C0A-4BF4-A229-DAE63CEFBF89}">
  <sheetPr codeName="Sheet39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2.7109375" style="753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44686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51"/>
      <c r="C9" s="751" t="s">
        <v>16</v>
      </c>
      <c r="D9" s="692"/>
      <c r="E9" s="693">
        <f>D9*9.5</f>
        <v>0</v>
      </c>
    </row>
    <row r="10" spans="2:8" ht="20.100000000000001" customHeight="1">
      <c r="B10" s="751"/>
      <c r="C10" s="751" t="s">
        <v>16</v>
      </c>
      <c r="D10" s="692"/>
      <c r="E10" s="693">
        <f>D10*9.5</f>
        <v>0</v>
      </c>
    </row>
    <row r="11" spans="2:8" ht="20.100000000000001" customHeight="1">
      <c r="B11" s="751"/>
      <c r="C11" s="751" t="s">
        <v>26</v>
      </c>
      <c r="D11" s="692"/>
      <c r="E11" s="693">
        <f>D11*9.5</f>
        <v>0</v>
      </c>
    </row>
    <row r="12" spans="2:8" ht="20.100000000000001" customHeight="1">
      <c r="B12" s="755" t="s">
        <v>244</v>
      </c>
      <c r="C12" s="755" t="s">
        <v>26</v>
      </c>
      <c r="D12" s="667">
        <v>376</v>
      </c>
      <c r="E12" s="685">
        <f>D12*9.5</f>
        <v>3572</v>
      </c>
    </row>
    <row r="13" spans="2:8" ht="20.100000000000001" customHeight="1">
      <c r="B13" s="1268" t="s">
        <v>24</v>
      </c>
      <c r="C13" s="1268"/>
      <c r="D13" s="667">
        <f>SUM(D9:D12)</f>
        <v>376</v>
      </c>
      <c r="E13" s="685">
        <f>D13*9.5</f>
        <v>3572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52" t="s">
        <v>159</v>
      </c>
      <c r="C18" s="755" t="s">
        <v>16</v>
      </c>
      <c r="D18" s="667">
        <v>223</v>
      </c>
      <c r="E18" s="685">
        <f>D18*9.5</f>
        <v>2118.5</v>
      </c>
    </row>
    <row r="19" spans="2:5" ht="20.100000000000001" customHeight="1">
      <c r="B19" s="752" t="s">
        <v>244</v>
      </c>
      <c r="C19" s="755" t="s">
        <v>16</v>
      </c>
      <c r="D19" s="667">
        <v>417</v>
      </c>
      <c r="E19" s="685">
        <f>D19*9.5</f>
        <v>3961.5</v>
      </c>
    </row>
    <row r="20" spans="2:5" ht="20.100000000000001" customHeight="1">
      <c r="B20" s="751"/>
      <c r="C20" s="751" t="s">
        <v>71</v>
      </c>
      <c r="D20" s="692"/>
      <c r="E20" s="693">
        <f>D20*10</f>
        <v>0</v>
      </c>
    </row>
    <row r="21" spans="2:5" ht="20.100000000000001" customHeight="1">
      <c r="B21" s="750" t="s">
        <v>44</v>
      </c>
      <c r="C21" s="755" t="s">
        <v>26</v>
      </c>
      <c r="D21" s="667">
        <v>335</v>
      </c>
      <c r="E21" s="685">
        <f>D21*9.5</f>
        <v>3182.5</v>
      </c>
    </row>
    <row r="22" spans="2:5" ht="20.100000000000001" customHeight="1">
      <c r="B22" s="750" t="s">
        <v>65</v>
      </c>
      <c r="C22" s="755" t="s">
        <v>26</v>
      </c>
      <c r="D22" s="667">
        <v>409</v>
      </c>
      <c r="E22" s="685">
        <f>D22*9.5</f>
        <v>3885.5</v>
      </c>
    </row>
    <row r="23" spans="2:5" ht="20.100000000000001" customHeight="1">
      <c r="B23" s="1259" t="s">
        <v>24</v>
      </c>
      <c r="C23" s="1259"/>
      <c r="D23" s="754">
        <f>SUM(D18:D22)</f>
        <v>1384</v>
      </c>
      <c r="E23" s="678">
        <f>D23*9.5</f>
        <v>13148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55" t="s">
        <v>276</v>
      </c>
      <c r="C28" s="752" t="s">
        <v>26</v>
      </c>
      <c r="D28" s="667">
        <v>174</v>
      </c>
      <c r="E28" s="685">
        <f>D28*9.5</f>
        <v>1653</v>
      </c>
    </row>
    <row r="29" spans="2:5">
      <c r="B29" s="755" t="s">
        <v>159</v>
      </c>
      <c r="C29" s="752" t="s">
        <v>16</v>
      </c>
      <c r="D29" s="667">
        <v>222</v>
      </c>
      <c r="E29" s="685">
        <f>D29*9.5</f>
        <v>2109</v>
      </c>
    </row>
    <row r="30" spans="2:5">
      <c r="B30" s="757" t="s">
        <v>258</v>
      </c>
      <c r="C30" s="752" t="s">
        <v>16</v>
      </c>
      <c r="D30" s="667">
        <v>201</v>
      </c>
      <c r="E30" s="685">
        <f>D30*9.5</f>
        <v>1909.5</v>
      </c>
    </row>
    <row r="31" spans="2:5">
      <c r="B31" s="631"/>
      <c r="C31" s="751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597</v>
      </c>
      <c r="E32" s="678">
        <f>D32*9.5</f>
        <v>5671.5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376</v>
      </c>
      <c r="D35" s="680">
        <f>D23</f>
        <v>1384</v>
      </c>
      <c r="E35" s="680">
        <f>D32</f>
        <v>597</v>
      </c>
    </row>
    <row r="36" spans="2:5">
      <c r="B36" s="677" t="s">
        <v>36</v>
      </c>
      <c r="C36" s="675">
        <f>C35*9.5</f>
        <v>3572</v>
      </c>
      <c r="D36" s="675">
        <f>D35*9.5</f>
        <v>13148</v>
      </c>
      <c r="E36" s="675">
        <f>E35*9.5</f>
        <v>5671.5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2357</v>
      </c>
      <c r="D38" s="378" t="s">
        <v>253</v>
      </c>
      <c r="E38" s="381">
        <f>C38*9.5</f>
        <v>22391.5</v>
      </c>
    </row>
    <row r="39" spans="2:5">
      <c r="B39" s="377" t="s">
        <v>197</v>
      </c>
      <c r="C39" s="378">
        <f>C40-C38</f>
        <v>3783</v>
      </c>
      <c r="D39" s="378" t="s">
        <v>204</v>
      </c>
      <c r="E39" s="381">
        <f>C39*9</f>
        <v>34047</v>
      </c>
    </row>
    <row r="40" spans="2:5" ht="19.5">
      <c r="B40" s="665" t="s">
        <v>201</v>
      </c>
      <c r="C40" s="380">
        <f>'Patron Counts v Swipes'!D238</f>
        <v>6140</v>
      </c>
      <c r="D40" s="380" t="s">
        <v>202</v>
      </c>
      <c r="E40" s="379">
        <f>SUM(E38+E39)</f>
        <v>56438.5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r2blM5HfhLhaSfuMh1m/wWca95kaUXTQZx6h0LttEZokqPoqjpAOUlum7HFGF3orwDIYj7ZFcfQjuCCticYruQ==" saltValue="gPoxuxL37QUELYlkpdwGZw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0C81E-9E0D-4D25-9A83-313F2E869050}">
  <sheetPr codeName="Sheet40">
    <pageSetUpPr fitToPage="1"/>
  </sheetPr>
  <dimension ref="B2:H44"/>
  <sheetViews>
    <sheetView workbookViewId="0"/>
  </sheetViews>
  <sheetFormatPr defaultColWidth="9.140625" defaultRowHeight="15"/>
  <cols>
    <col min="1" max="1" width="9.140625" style="753"/>
    <col min="2" max="2" width="36.7109375" style="753" customWidth="1"/>
    <col min="3" max="3" width="22.7109375" style="753" customWidth="1"/>
    <col min="4" max="4" width="36.7109375" style="753" customWidth="1"/>
    <col min="5" max="5" width="22.7109375" style="753" customWidth="1"/>
    <col min="6" max="8" width="15.7109375" style="753" customWidth="1"/>
    <col min="9" max="16384" width="9.140625" style="753"/>
  </cols>
  <sheetData>
    <row r="2" spans="2:8" ht="19.5">
      <c r="B2" s="663" t="s">
        <v>13</v>
      </c>
      <c r="C2" s="660"/>
      <c r="D2" s="666" t="s">
        <v>27</v>
      </c>
      <c r="E2" s="1247">
        <v>44685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51"/>
      <c r="C9" s="751" t="s">
        <v>16</v>
      </c>
      <c r="D9" s="692"/>
      <c r="E9" s="693">
        <f>D9*9.5</f>
        <v>0</v>
      </c>
    </row>
    <row r="10" spans="2:8" ht="20.100000000000001" customHeight="1">
      <c r="B10" s="751"/>
      <c r="C10" s="751" t="s">
        <v>16</v>
      </c>
      <c r="D10" s="692"/>
      <c r="E10" s="693">
        <f>D10*9.5</f>
        <v>0</v>
      </c>
    </row>
    <row r="11" spans="2:8" ht="20.100000000000001" customHeight="1">
      <c r="B11" s="751"/>
      <c r="C11" s="751" t="s">
        <v>26</v>
      </c>
      <c r="D11" s="692"/>
      <c r="E11" s="693">
        <f>D11*9.5</f>
        <v>0</v>
      </c>
    </row>
    <row r="12" spans="2:8" ht="20.100000000000001" customHeight="1">
      <c r="B12" s="755" t="s">
        <v>66</v>
      </c>
      <c r="C12" s="755" t="s">
        <v>26</v>
      </c>
      <c r="D12" s="667">
        <v>302</v>
      </c>
      <c r="E12" s="685">
        <f>D12*9.5</f>
        <v>2869</v>
      </c>
    </row>
    <row r="13" spans="2:8" ht="20.100000000000001" customHeight="1">
      <c r="B13" s="1268" t="s">
        <v>24</v>
      </c>
      <c r="C13" s="1268"/>
      <c r="D13" s="667">
        <f>SUM(D9:D12)</f>
        <v>302</v>
      </c>
      <c r="E13" s="685">
        <f>D13*9.5</f>
        <v>2869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55" t="s">
        <v>78</v>
      </c>
      <c r="C18" s="755" t="s">
        <v>16</v>
      </c>
      <c r="D18" s="667">
        <v>235</v>
      </c>
      <c r="E18" s="685">
        <f>D18*9.5</f>
        <v>2232.5</v>
      </c>
    </row>
    <row r="19" spans="2:5" ht="20.100000000000001" customHeight="1">
      <c r="B19" s="752" t="s">
        <v>250</v>
      </c>
      <c r="C19" s="755" t="s">
        <v>16</v>
      </c>
      <c r="D19" s="667">
        <v>391</v>
      </c>
      <c r="E19" s="685">
        <f>D19*9.5</f>
        <v>3714.5</v>
      </c>
    </row>
    <row r="20" spans="2:5" ht="20.100000000000001" customHeight="1">
      <c r="B20" s="751"/>
      <c r="C20" s="751" t="s">
        <v>71</v>
      </c>
      <c r="D20" s="692"/>
      <c r="E20" s="693">
        <f>D20*10</f>
        <v>0</v>
      </c>
    </row>
    <row r="21" spans="2:5" ht="20.100000000000001" customHeight="1">
      <c r="B21" s="750" t="s">
        <v>145</v>
      </c>
      <c r="C21" s="755" t="s">
        <v>26</v>
      </c>
      <c r="D21" s="667">
        <v>447</v>
      </c>
      <c r="E21" s="685">
        <f>D21*9.5</f>
        <v>4246.5</v>
      </c>
    </row>
    <row r="22" spans="2:5" ht="20.100000000000001" customHeight="1">
      <c r="B22" s="750" t="s">
        <v>69</v>
      </c>
      <c r="C22" s="755" t="s">
        <v>26</v>
      </c>
      <c r="D22" s="667">
        <v>342</v>
      </c>
      <c r="E22" s="685">
        <f>D22*9.5</f>
        <v>3249</v>
      </c>
    </row>
    <row r="23" spans="2:5" ht="20.100000000000001" customHeight="1">
      <c r="B23" s="1259" t="s">
        <v>24</v>
      </c>
      <c r="C23" s="1259"/>
      <c r="D23" s="754">
        <f>SUM(D18:D22)</f>
        <v>1415</v>
      </c>
      <c r="E23" s="678">
        <f>D23*9.5</f>
        <v>13442.5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55" t="s">
        <v>188</v>
      </c>
      <c r="C28" s="752" t="s">
        <v>26</v>
      </c>
      <c r="D28" s="667">
        <v>196</v>
      </c>
      <c r="E28" s="685">
        <f>D28*9.5</f>
        <v>1862</v>
      </c>
    </row>
    <row r="29" spans="2:5">
      <c r="B29" s="755" t="s">
        <v>238</v>
      </c>
      <c r="C29" s="752" t="s">
        <v>16</v>
      </c>
      <c r="D29" s="667">
        <v>284</v>
      </c>
      <c r="E29" s="685">
        <f>D29*9.5</f>
        <v>2698</v>
      </c>
    </row>
    <row r="30" spans="2:5">
      <c r="B30" s="757" t="s">
        <v>258</v>
      </c>
      <c r="C30" s="752" t="s">
        <v>16</v>
      </c>
      <c r="D30" s="667">
        <v>257</v>
      </c>
      <c r="E30" s="685">
        <f>D30*9.5</f>
        <v>2441.5</v>
      </c>
    </row>
    <row r="31" spans="2:5">
      <c r="B31" s="631"/>
      <c r="C31" s="751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54">
        <f>SUM(D28:D31)</f>
        <v>737</v>
      </c>
      <c r="E32" s="678">
        <f>D32*9.5</f>
        <v>7001.5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302</v>
      </c>
      <c r="D35" s="680">
        <f>D23</f>
        <v>1415</v>
      </c>
      <c r="E35" s="680">
        <f>D32</f>
        <v>737</v>
      </c>
    </row>
    <row r="36" spans="2:5">
      <c r="B36" s="677" t="s">
        <v>36</v>
      </c>
      <c r="C36" s="675">
        <f>C35*9.5</f>
        <v>2869</v>
      </c>
      <c r="D36" s="675">
        <f>D35*9.5</f>
        <v>13442.5</v>
      </c>
      <c r="E36" s="675">
        <f>E35*9.5</f>
        <v>7001.5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2454</v>
      </c>
      <c r="D38" s="378" t="s">
        <v>253</v>
      </c>
      <c r="E38" s="381">
        <f>C38*9.5</f>
        <v>23313</v>
      </c>
    </row>
    <row r="39" spans="2:5">
      <c r="B39" s="377" t="s">
        <v>197</v>
      </c>
      <c r="C39" s="378">
        <f>C40-C38</f>
        <v>4446</v>
      </c>
      <c r="D39" s="378" t="s">
        <v>204</v>
      </c>
      <c r="E39" s="381">
        <f>C39*9</f>
        <v>40014</v>
      </c>
    </row>
    <row r="40" spans="2:5" ht="19.5">
      <c r="B40" s="665" t="s">
        <v>201</v>
      </c>
      <c r="C40" s="380">
        <f>'Patron Counts v Swipes'!D232</f>
        <v>6900</v>
      </c>
      <c r="D40" s="380" t="s">
        <v>202</v>
      </c>
      <c r="E40" s="379">
        <f>SUM(E38+E39)</f>
        <v>63327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wMg4RqjIWDpx5mujVIk3Z7uL3d8xPTdGp7dFx7C9P/iz4dZ80Atq0+aFR0yEnlZAQah3n4NBsiMFrR83ZqLrkQ==" saltValue="rBtqfh/sxT0WKBsJrz/Fyg==" spinCount="100000" sheet="1" objects="1" scenarios="1"/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CB883-5CE5-40AF-9D39-7CD1430BE5F4}">
  <sheetPr codeName="Sheet41">
    <pageSetUpPr fitToPage="1"/>
  </sheetPr>
  <dimension ref="B2:H44"/>
  <sheetViews>
    <sheetView workbookViewId="0"/>
  </sheetViews>
  <sheetFormatPr defaultColWidth="9.140625" defaultRowHeight="15"/>
  <cols>
    <col min="1" max="1" width="9.140625" style="744"/>
    <col min="2" max="2" width="36.7109375" style="744" customWidth="1"/>
    <col min="3" max="3" width="22.7109375" style="744" customWidth="1"/>
    <col min="4" max="4" width="36.7109375" style="744" customWidth="1"/>
    <col min="5" max="5" width="22.7109375" style="744" customWidth="1"/>
    <col min="6" max="8" width="15.7109375" style="744" customWidth="1"/>
    <col min="9" max="16384" width="9.140625" style="744"/>
  </cols>
  <sheetData>
    <row r="2" spans="2:8" ht="19.5">
      <c r="B2" s="663" t="s">
        <v>13</v>
      </c>
      <c r="C2" s="660"/>
      <c r="D2" s="666" t="s">
        <v>27</v>
      </c>
      <c r="E2" s="1247">
        <v>44684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42"/>
      <c r="C9" s="742" t="s">
        <v>16</v>
      </c>
      <c r="D9" s="692"/>
      <c r="E9" s="693">
        <f>D9*9.5</f>
        <v>0</v>
      </c>
    </row>
    <row r="10" spans="2:8" ht="20.100000000000001" customHeight="1">
      <c r="B10" s="742"/>
      <c r="C10" s="742" t="s">
        <v>16</v>
      </c>
      <c r="D10" s="692"/>
      <c r="E10" s="693">
        <f>D10*9.5</f>
        <v>0</v>
      </c>
    </row>
    <row r="11" spans="2:8" ht="20.100000000000001" customHeight="1">
      <c r="B11" s="742"/>
      <c r="C11" s="742" t="s">
        <v>26</v>
      </c>
      <c r="D11" s="692"/>
      <c r="E11" s="693">
        <f>D11*9.5</f>
        <v>0</v>
      </c>
    </row>
    <row r="12" spans="2:8" ht="20.100000000000001" customHeight="1">
      <c r="B12" s="749" t="s">
        <v>45</v>
      </c>
      <c r="C12" s="746" t="s">
        <v>26</v>
      </c>
      <c r="D12" s="667">
        <v>373</v>
      </c>
      <c r="E12" s="685">
        <f>D12*9.5</f>
        <v>3543.5</v>
      </c>
    </row>
    <row r="13" spans="2:8" ht="20.100000000000001" customHeight="1">
      <c r="B13" s="1268" t="s">
        <v>24</v>
      </c>
      <c r="C13" s="1268"/>
      <c r="D13" s="667">
        <f>SUM(D9:D12)</f>
        <v>373</v>
      </c>
      <c r="E13" s="685">
        <f>D13*9.5</f>
        <v>3543.5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52" t="s">
        <v>245</v>
      </c>
      <c r="C18" s="746" t="s">
        <v>16</v>
      </c>
      <c r="D18" s="667">
        <v>744</v>
      </c>
      <c r="E18" s="685">
        <f>D18*9.5</f>
        <v>7068</v>
      </c>
    </row>
    <row r="19" spans="2:5" ht="20.100000000000001" customHeight="1">
      <c r="B19" s="752" t="s">
        <v>65</v>
      </c>
      <c r="C19" s="746" t="s">
        <v>16</v>
      </c>
      <c r="D19" s="667">
        <v>385</v>
      </c>
      <c r="E19" s="685">
        <f>D19*9.5</f>
        <v>3657.5</v>
      </c>
    </row>
    <row r="20" spans="2:5" ht="20.100000000000001" customHeight="1">
      <c r="B20" s="751"/>
      <c r="C20" s="742" t="s">
        <v>71</v>
      </c>
      <c r="D20" s="692"/>
      <c r="E20" s="693">
        <f>D20*10</f>
        <v>0</v>
      </c>
    </row>
    <row r="21" spans="2:5" ht="20.100000000000001" customHeight="1">
      <c r="B21" s="750" t="s">
        <v>45</v>
      </c>
      <c r="C21" s="746" t="s">
        <v>26</v>
      </c>
      <c r="D21" s="667">
        <v>423</v>
      </c>
      <c r="E21" s="685">
        <f>D21*9.5</f>
        <v>4018.5</v>
      </c>
    </row>
    <row r="22" spans="2:5" ht="20.100000000000001" customHeight="1">
      <c r="B22" s="750" t="s">
        <v>205</v>
      </c>
      <c r="C22" s="746" t="s">
        <v>26</v>
      </c>
      <c r="D22" s="667">
        <v>283</v>
      </c>
      <c r="E22" s="685">
        <f>D22*9.5</f>
        <v>2688.5</v>
      </c>
    </row>
    <row r="23" spans="2:5" ht="20.100000000000001" customHeight="1">
      <c r="B23" s="1259" t="s">
        <v>24</v>
      </c>
      <c r="C23" s="1259"/>
      <c r="D23" s="745">
        <f>SUM(D18:D22)</f>
        <v>1835</v>
      </c>
      <c r="E23" s="678">
        <f>D23*9.5</f>
        <v>17432.5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55" t="s">
        <v>78</v>
      </c>
      <c r="C28" s="743" t="s">
        <v>26</v>
      </c>
      <c r="D28" s="667">
        <v>186</v>
      </c>
      <c r="E28" s="685">
        <f>D28*9.5</f>
        <v>1767</v>
      </c>
    </row>
    <row r="29" spans="2:5">
      <c r="B29" s="755" t="s">
        <v>245</v>
      </c>
      <c r="C29" s="743" t="s">
        <v>16</v>
      </c>
      <c r="D29" s="667"/>
      <c r="E29" s="685">
        <f>D29*9.5</f>
        <v>0</v>
      </c>
    </row>
    <row r="30" spans="2:5">
      <c r="B30" s="757" t="s">
        <v>242</v>
      </c>
      <c r="C30" s="743" t="s">
        <v>16</v>
      </c>
      <c r="D30" s="667">
        <v>472</v>
      </c>
      <c r="E30" s="685">
        <f>D30*9.5</f>
        <v>4484</v>
      </c>
    </row>
    <row r="31" spans="2:5">
      <c r="B31" s="631"/>
      <c r="C31" s="742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745">
        <f>SUM(D28:D31)</f>
        <v>658</v>
      </c>
      <c r="E32" s="678">
        <f>D32*9.5</f>
        <v>6251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373</v>
      </c>
      <c r="D35" s="680">
        <f>D23</f>
        <v>1835</v>
      </c>
      <c r="E35" s="680">
        <f>D32</f>
        <v>658</v>
      </c>
    </row>
    <row r="36" spans="2:5">
      <c r="B36" s="677" t="s">
        <v>36</v>
      </c>
      <c r="C36" s="675">
        <f>C35*9.5</f>
        <v>3543.5</v>
      </c>
      <c r="D36" s="675">
        <f>D35*9.5</f>
        <v>17432.5</v>
      </c>
      <c r="E36" s="675">
        <f>E35*9.5</f>
        <v>6251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2866</v>
      </c>
      <c r="D38" s="378" t="s">
        <v>253</v>
      </c>
      <c r="E38" s="381">
        <f>C38*9.5</f>
        <v>27227</v>
      </c>
    </row>
    <row r="39" spans="2:5">
      <c r="B39" s="377" t="s">
        <v>197</v>
      </c>
      <c r="C39" s="378">
        <f>C40-C38</f>
        <v>4127</v>
      </c>
      <c r="D39" s="378" t="s">
        <v>204</v>
      </c>
      <c r="E39" s="381">
        <f>C39*9</f>
        <v>37143</v>
      </c>
    </row>
    <row r="40" spans="2:5" ht="19.5">
      <c r="B40" s="665" t="s">
        <v>201</v>
      </c>
      <c r="C40" s="380">
        <f>'Patron Counts v Swipes'!D226</f>
        <v>6993</v>
      </c>
      <c r="D40" s="380" t="s">
        <v>202</v>
      </c>
      <c r="E40" s="379">
        <f>SUM(E38+E39)</f>
        <v>64370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D4Ixw8xAvJXW+BitldAMRtOntp0EhdeIr+xoIYPdvfiOwFg5rano/F0WaBnBAsD70qM59AexIuWU6sqHCFeWcg==" saltValue="zyaiDdg3DMB5LqRBJFxnsw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A4CDF-3323-40FA-8FEF-25F7A31F1621}">
  <sheetPr codeName="Sheet42">
    <pageSetUpPr fitToPage="1"/>
  </sheetPr>
  <dimension ref="B2:H44"/>
  <sheetViews>
    <sheetView workbookViewId="0"/>
  </sheetViews>
  <sheetFormatPr defaultColWidth="9.140625" defaultRowHeight="15"/>
  <cols>
    <col min="1" max="1" width="9.140625" style="658"/>
    <col min="2" max="2" width="36.7109375" style="658" customWidth="1"/>
    <col min="3" max="3" width="22.7109375" style="658" customWidth="1"/>
    <col min="4" max="4" width="36.7109375" style="658" customWidth="1"/>
    <col min="5" max="5" width="22.7109375" style="658" customWidth="1"/>
    <col min="6" max="8" width="15.7109375" style="658" customWidth="1"/>
    <col min="9" max="16384" width="9.140625" style="658"/>
  </cols>
  <sheetData>
    <row r="2" spans="2:8" ht="19.5">
      <c r="B2" s="663" t="s">
        <v>13</v>
      </c>
      <c r="C2" s="660"/>
      <c r="D2" s="666" t="s">
        <v>27</v>
      </c>
      <c r="E2" s="1247">
        <v>44683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30"/>
      <c r="C9" s="730" t="s">
        <v>16</v>
      </c>
      <c r="D9" s="692"/>
      <c r="E9" s="693">
        <f>D9*9.5</f>
        <v>0</v>
      </c>
    </row>
    <row r="10" spans="2:8" ht="20.100000000000001" customHeight="1">
      <c r="B10" s="730"/>
      <c r="C10" s="730" t="s">
        <v>16</v>
      </c>
      <c r="D10" s="692"/>
      <c r="E10" s="693">
        <f>D10*9.5</f>
        <v>0</v>
      </c>
    </row>
    <row r="11" spans="2:8" ht="20.100000000000001" customHeight="1">
      <c r="B11" s="730"/>
      <c r="C11" s="730" t="s">
        <v>26</v>
      </c>
      <c r="D11" s="692"/>
      <c r="E11" s="693">
        <f>D11*9.5</f>
        <v>0</v>
      </c>
    </row>
    <row r="12" spans="2:8" ht="20.100000000000001" customHeight="1">
      <c r="B12" s="740" t="s">
        <v>244</v>
      </c>
      <c r="C12" s="732" t="s">
        <v>26</v>
      </c>
      <c r="D12" s="667">
        <v>396</v>
      </c>
      <c r="E12" s="685">
        <f>D12*9.5</f>
        <v>3762</v>
      </c>
    </row>
    <row r="13" spans="2:8" ht="20.100000000000001" customHeight="1">
      <c r="B13" s="1268" t="s">
        <v>24</v>
      </c>
      <c r="C13" s="1268"/>
      <c r="D13" s="667">
        <f>SUM(D9:D12)</f>
        <v>396</v>
      </c>
      <c r="E13" s="685">
        <f>D13*9.5</f>
        <v>3762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43" t="s">
        <v>44</v>
      </c>
      <c r="C18" s="732" t="s">
        <v>16</v>
      </c>
      <c r="D18" s="667">
        <v>362</v>
      </c>
      <c r="E18" s="685">
        <f>D18*9.5</f>
        <v>3439</v>
      </c>
    </row>
    <row r="19" spans="2:5" ht="20.100000000000001" customHeight="1">
      <c r="B19" s="746" t="s">
        <v>261</v>
      </c>
      <c r="C19" s="732" t="s">
        <v>16</v>
      </c>
      <c r="D19" s="667">
        <v>373</v>
      </c>
      <c r="E19" s="685">
        <f>D19*9.5</f>
        <v>3543.5</v>
      </c>
    </row>
    <row r="20" spans="2:5" ht="20.100000000000001" customHeight="1">
      <c r="B20" s="742"/>
      <c r="C20" s="730" t="s">
        <v>71</v>
      </c>
      <c r="D20" s="692"/>
      <c r="E20" s="693">
        <f>D20*10</f>
        <v>0</v>
      </c>
    </row>
    <row r="21" spans="2:5" ht="20.100000000000001" customHeight="1">
      <c r="B21" s="741" t="s">
        <v>78</v>
      </c>
      <c r="C21" s="732" t="s">
        <v>26</v>
      </c>
      <c r="D21" s="667">
        <v>305</v>
      </c>
      <c r="E21" s="685">
        <f>D21*9.5</f>
        <v>2897.5</v>
      </c>
    </row>
    <row r="22" spans="2:5" ht="20.100000000000001" customHeight="1">
      <c r="B22" s="741" t="s">
        <v>188</v>
      </c>
      <c r="C22" s="732" t="s">
        <v>26</v>
      </c>
      <c r="D22" s="667">
        <v>326</v>
      </c>
      <c r="E22" s="685">
        <f>D22*9.5</f>
        <v>3097</v>
      </c>
    </row>
    <row r="23" spans="2:5" ht="20.100000000000001" customHeight="1">
      <c r="B23" s="1259" t="s">
        <v>24</v>
      </c>
      <c r="C23" s="1259"/>
      <c r="D23" s="661">
        <f>SUM(D18:D22)</f>
        <v>1366</v>
      </c>
      <c r="E23" s="678">
        <f>D23*9.5</f>
        <v>12977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46" t="s">
        <v>279</v>
      </c>
      <c r="C28" s="731" t="s">
        <v>26</v>
      </c>
      <c r="D28" s="667">
        <v>544</v>
      </c>
      <c r="E28" s="685">
        <f>D28*9.5</f>
        <v>5168</v>
      </c>
    </row>
    <row r="29" spans="2:5">
      <c r="B29" s="746" t="s">
        <v>184</v>
      </c>
      <c r="C29" s="731" t="s">
        <v>16</v>
      </c>
      <c r="D29" s="667">
        <v>240</v>
      </c>
      <c r="E29" s="685">
        <f>D29*9.5</f>
        <v>2280</v>
      </c>
    </row>
    <row r="30" spans="2:5">
      <c r="B30" s="748" t="s">
        <v>242</v>
      </c>
      <c r="C30" s="731" t="s">
        <v>16</v>
      </c>
      <c r="D30" s="667">
        <v>430</v>
      </c>
      <c r="E30" s="685">
        <f>D30*9.5</f>
        <v>4085</v>
      </c>
    </row>
    <row r="31" spans="2:5">
      <c r="B31" s="631"/>
      <c r="C31" s="730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661">
        <f>SUM(D28:D31)</f>
        <v>1214</v>
      </c>
      <c r="E32" s="678">
        <f>D32*9.5</f>
        <v>11533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396</v>
      </c>
      <c r="D35" s="680">
        <f>D23</f>
        <v>1366</v>
      </c>
      <c r="E35" s="680">
        <f>D32</f>
        <v>1214</v>
      </c>
    </row>
    <row r="36" spans="2:5">
      <c r="B36" s="677" t="s">
        <v>36</v>
      </c>
      <c r="C36" s="675">
        <f>C35*9.5</f>
        <v>3762</v>
      </c>
      <c r="D36" s="675">
        <f>D35*9.5</f>
        <v>12977</v>
      </c>
      <c r="E36" s="675">
        <f>E35*9.5</f>
        <v>11533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2976</v>
      </c>
      <c r="D38" s="378" t="s">
        <v>253</v>
      </c>
      <c r="E38" s="381">
        <f>C38*9.5</f>
        <v>28272</v>
      </c>
    </row>
    <row r="39" spans="2:5">
      <c r="B39" s="377" t="s">
        <v>197</v>
      </c>
      <c r="C39" s="378">
        <f>C40-C38</f>
        <v>3744</v>
      </c>
      <c r="D39" s="378" t="s">
        <v>204</v>
      </c>
      <c r="E39" s="381">
        <f>C39*9</f>
        <v>33696</v>
      </c>
    </row>
    <row r="40" spans="2:5" ht="19.5">
      <c r="B40" s="665" t="s">
        <v>201</v>
      </c>
      <c r="C40" s="380">
        <f>'Patron Counts v Swipes'!D220</f>
        <v>6720</v>
      </c>
      <c r="D40" s="380" t="s">
        <v>202</v>
      </c>
      <c r="E40" s="379">
        <f>SUM(E38+E39)</f>
        <v>61968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pMFqdXefu/HzywSrIlVv+olyafw6b6yqAxnIveCdz2o+gwzPb4c2wz/McxBCviETsQjkD3zNdUcTzB+mme2XVQ==" saltValue="TIg4DhYApEm7mgcC8pAG3w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608C3-D0DD-4A79-A0DD-A8C6419C93F9}">
  <sheetPr codeName="Sheet43">
    <pageSetUpPr fitToPage="1"/>
  </sheetPr>
  <dimension ref="B2:H43"/>
  <sheetViews>
    <sheetView workbookViewId="0"/>
  </sheetViews>
  <sheetFormatPr defaultColWidth="9.140625" defaultRowHeight="15"/>
  <cols>
    <col min="1" max="1" width="9.140625" style="658"/>
    <col min="2" max="2" width="36.7109375" style="658" customWidth="1"/>
    <col min="3" max="3" width="22.7109375" style="658" customWidth="1"/>
    <col min="4" max="4" width="36.7109375" style="658" customWidth="1"/>
    <col min="5" max="5" width="22.7109375" style="658" customWidth="1"/>
    <col min="6" max="8" width="15.7109375" style="658" customWidth="1"/>
    <col min="9" max="16384" width="9.140625" style="658"/>
  </cols>
  <sheetData>
    <row r="2" spans="2:8" ht="19.5">
      <c r="B2" s="663" t="s">
        <v>13</v>
      </c>
      <c r="C2" s="660"/>
      <c r="D2" s="666" t="s">
        <v>27</v>
      </c>
      <c r="E2" s="1247">
        <v>44682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30"/>
      <c r="C9" s="730" t="s">
        <v>16</v>
      </c>
      <c r="D9" s="692"/>
      <c r="E9" s="693">
        <f>D9*9.5</f>
        <v>0</v>
      </c>
    </row>
    <row r="10" spans="2:8" ht="20.100000000000001" customHeight="1">
      <c r="B10" s="730"/>
      <c r="C10" s="730" t="s">
        <v>16</v>
      </c>
      <c r="D10" s="692"/>
      <c r="E10" s="693">
        <f>D10*9.5</f>
        <v>0</v>
      </c>
    </row>
    <row r="11" spans="2:8" ht="20.100000000000001" customHeight="1">
      <c r="B11" s="731" t="s">
        <v>65</v>
      </c>
      <c r="C11" s="732" t="s">
        <v>26</v>
      </c>
      <c r="D11" s="667">
        <v>418</v>
      </c>
      <c r="E11" s="685">
        <f>D11*9.5</f>
        <v>3971</v>
      </c>
    </row>
    <row r="12" spans="2:8" ht="20.100000000000001" customHeight="1">
      <c r="B12" s="731" t="s">
        <v>184</v>
      </c>
      <c r="C12" s="732" t="s">
        <v>26</v>
      </c>
      <c r="D12" s="667">
        <v>271</v>
      </c>
      <c r="E12" s="685">
        <f>D12*9.5</f>
        <v>2574.5</v>
      </c>
    </row>
    <row r="13" spans="2:8" ht="20.100000000000001" customHeight="1">
      <c r="B13" s="1268" t="s">
        <v>24</v>
      </c>
      <c r="C13" s="1268"/>
      <c r="D13" s="667">
        <f>SUM(D9:D12)</f>
        <v>689</v>
      </c>
      <c r="E13" s="685">
        <f>D13*9.5</f>
        <v>6545.5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30"/>
      <c r="C18" s="730" t="s">
        <v>16</v>
      </c>
      <c r="D18" s="692"/>
      <c r="E18" s="693">
        <f>D18*9.5</f>
        <v>0</v>
      </c>
    </row>
    <row r="19" spans="2:5" ht="20.100000000000001" customHeight="1">
      <c r="B19" s="730"/>
      <c r="C19" s="730" t="s">
        <v>16</v>
      </c>
      <c r="D19" s="692"/>
      <c r="E19" s="693">
        <f>D19*9.5</f>
        <v>0</v>
      </c>
    </row>
    <row r="20" spans="2:5" ht="20.100000000000001" customHeight="1">
      <c r="B20" s="730"/>
      <c r="C20" s="730" t="s">
        <v>71</v>
      </c>
      <c r="D20" s="692"/>
      <c r="E20" s="693">
        <f>D20*10</f>
        <v>0</v>
      </c>
    </row>
    <row r="21" spans="2:5" ht="20.100000000000001" customHeight="1">
      <c r="B21" s="732" t="s">
        <v>164</v>
      </c>
      <c r="C21" s="732" t="s">
        <v>26</v>
      </c>
      <c r="D21" s="667">
        <v>418</v>
      </c>
      <c r="E21" s="685">
        <f>D21*9.5</f>
        <v>3971</v>
      </c>
    </row>
    <row r="22" spans="2:5" ht="20.100000000000001" customHeight="1">
      <c r="B22" s="734" t="s">
        <v>250</v>
      </c>
      <c r="C22" s="732" t="s">
        <v>26</v>
      </c>
      <c r="D22" s="667">
        <v>486</v>
      </c>
      <c r="E22" s="685">
        <f>D22*9.5</f>
        <v>4617</v>
      </c>
    </row>
    <row r="23" spans="2:5" ht="20.100000000000001" customHeight="1">
      <c r="B23" s="1259" t="s">
        <v>24</v>
      </c>
      <c r="C23" s="1259"/>
      <c r="D23" s="661">
        <f>SUM(D18:D22)</f>
        <v>904</v>
      </c>
      <c r="E23" s="678">
        <f>D23*9.5</f>
        <v>8588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32" t="s">
        <v>164</v>
      </c>
      <c r="C28" s="731" t="s">
        <v>26</v>
      </c>
      <c r="D28" s="667">
        <v>300</v>
      </c>
      <c r="E28" s="685">
        <f>D28*9.5</f>
        <v>2850</v>
      </c>
    </row>
    <row r="29" spans="2:5">
      <c r="B29" s="732" t="s">
        <v>66</v>
      </c>
      <c r="C29" s="731" t="s">
        <v>16</v>
      </c>
      <c r="D29" s="667">
        <v>270</v>
      </c>
      <c r="E29" s="685">
        <f>D29*9.5</f>
        <v>2565</v>
      </c>
    </row>
    <row r="30" spans="2:5">
      <c r="B30" s="735" t="s">
        <v>235</v>
      </c>
      <c r="C30" s="731" t="s">
        <v>71</v>
      </c>
      <c r="D30" s="667">
        <v>515</v>
      </c>
      <c r="E30" s="685">
        <f>D30*9.5</f>
        <v>4892.5</v>
      </c>
    </row>
    <row r="31" spans="2:5" ht="20.100000000000001" customHeight="1">
      <c r="B31" s="1259" t="s">
        <v>24</v>
      </c>
      <c r="C31" s="1259"/>
      <c r="D31" s="661">
        <f>SUM(D28:D30)</f>
        <v>1085</v>
      </c>
      <c r="E31" s="678">
        <f>D31*9.5</f>
        <v>10307.5</v>
      </c>
    </row>
    <row r="32" spans="2:5" ht="19.5">
      <c r="B32" s="1260" t="s">
        <v>200</v>
      </c>
      <c r="C32" s="1260"/>
      <c r="D32" s="1260"/>
      <c r="E32" s="1260"/>
    </row>
    <row r="33" spans="2:5">
      <c r="B33" s="674"/>
      <c r="C33" s="676" t="s">
        <v>34</v>
      </c>
      <c r="D33" s="676" t="s">
        <v>35</v>
      </c>
      <c r="E33" s="676" t="s">
        <v>37</v>
      </c>
    </row>
    <row r="34" spans="2:5">
      <c r="B34" s="677" t="s">
        <v>39</v>
      </c>
      <c r="C34" s="679">
        <f>D13</f>
        <v>689</v>
      </c>
      <c r="D34" s="680">
        <f>D23</f>
        <v>904</v>
      </c>
      <c r="E34" s="680">
        <f>D31</f>
        <v>1085</v>
      </c>
    </row>
    <row r="35" spans="2:5">
      <c r="B35" s="677" t="s">
        <v>36</v>
      </c>
      <c r="C35" s="675">
        <f>C34*9.5</f>
        <v>6545.5</v>
      </c>
      <c r="D35" s="675">
        <f>D34*9.5</f>
        <v>8588</v>
      </c>
      <c r="E35" s="675">
        <f>E34*9.5</f>
        <v>10307.5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2678</v>
      </c>
      <c r="D37" s="378" t="s">
        <v>253</v>
      </c>
      <c r="E37" s="381">
        <f>C37*9.5</f>
        <v>25441</v>
      </c>
    </row>
    <row r="38" spans="2:5">
      <c r="B38" s="377" t="s">
        <v>197</v>
      </c>
      <c r="C38" s="378">
        <f>C39-C37</f>
        <v>309</v>
      </c>
      <c r="D38" s="378" t="s">
        <v>204</v>
      </c>
      <c r="E38" s="381">
        <f>C38*9</f>
        <v>2781</v>
      </c>
    </row>
    <row r="39" spans="2:5" ht="19.5">
      <c r="B39" s="665" t="s">
        <v>201</v>
      </c>
      <c r="C39" s="380">
        <f>'Patron Counts v Swipes'!D214</f>
        <v>2987</v>
      </c>
      <c r="D39" s="380" t="s">
        <v>202</v>
      </c>
      <c r="E39" s="379">
        <f>SUM(E37+E38)</f>
        <v>28222</v>
      </c>
    </row>
    <row r="41" spans="2:5">
      <c r="B41" s="662" t="s">
        <v>5</v>
      </c>
      <c r="C41" s="671"/>
    </row>
    <row r="42" spans="2:5">
      <c r="B42" s="672" t="s">
        <v>4</v>
      </c>
      <c r="C42" s="673"/>
    </row>
    <row r="43" spans="2:5">
      <c r="B43" s="672" t="s">
        <v>25</v>
      </c>
      <c r="C43" s="673"/>
    </row>
  </sheetData>
  <sheetProtection algorithmName="SHA-512" hashValue="6Txmm3VJYwZpyVsUEm1FPDWj9rijfeGPKg8jYSLxEKWfV/oiYkduKAPU4K3kxryV5BJV2zVEC3IxK8geNST9pA==" saltValue="mrqlZ2Wfeq8w3Hevw7xWaw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B4AC2-8D48-4EA9-A032-846CB76EB591}">
  <sheetPr codeName="Sheet44">
    <pageSetUpPr fitToPage="1"/>
  </sheetPr>
  <dimension ref="B2:H43"/>
  <sheetViews>
    <sheetView workbookViewId="0"/>
  </sheetViews>
  <sheetFormatPr defaultColWidth="9.140625" defaultRowHeight="15"/>
  <cols>
    <col min="1" max="1" width="9.140625" style="658"/>
    <col min="2" max="2" width="36.7109375" style="658" customWidth="1"/>
    <col min="3" max="3" width="22.7109375" style="658" customWidth="1"/>
    <col min="4" max="4" width="36.7109375" style="658" customWidth="1"/>
    <col min="5" max="5" width="22.7109375" style="658" customWidth="1"/>
    <col min="6" max="8" width="15.7109375" style="658" customWidth="1"/>
    <col min="9" max="16384" width="9.140625" style="658"/>
  </cols>
  <sheetData>
    <row r="2" spans="2:8" ht="19.5">
      <c r="B2" s="663" t="s">
        <v>13</v>
      </c>
      <c r="C2" s="660"/>
      <c r="D2" s="666" t="s">
        <v>27</v>
      </c>
      <c r="E2" s="1247">
        <v>44681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30"/>
      <c r="C9" s="730" t="s">
        <v>16</v>
      </c>
      <c r="D9" s="692"/>
      <c r="E9" s="693">
        <f>D9*9.5</f>
        <v>0</v>
      </c>
    </row>
    <row r="10" spans="2:8" ht="20.100000000000001" customHeight="1">
      <c r="B10" s="730"/>
      <c r="C10" s="730" t="s">
        <v>16</v>
      </c>
      <c r="D10" s="692"/>
      <c r="E10" s="693">
        <f>D10*9.5</f>
        <v>0</v>
      </c>
    </row>
    <row r="11" spans="2:8" ht="20.100000000000001" customHeight="1">
      <c r="B11" s="730"/>
      <c r="C11" s="730" t="s">
        <v>26</v>
      </c>
      <c r="D11" s="692"/>
      <c r="E11" s="693">
        <f>D11*9.5</f>
        <v>0</v>
      </c>
    </row>
    <row r="12" spans="2:8" ht="20.100000000000001" customHeight="1">
      <c r="B12" s="732" t="s">
        <v>185</v>
      </c>
      <c r="C12" s="732" t="s">
        <v>26</v>
      </c>
      <c r="D12" s="667">
        <v>719</v>
      </c>
      <c r="E12" s="685">
        <f>D12*9.5</f>
        <v>6830.5</v>
      </c>
    </row>
    <row r="13" spans="2:8" ht="20.100000000000001" customHeight="1">
      <c r="B13" s="1268" t="s">
        <v>24</v>
      </c>
      <c r="C13" s="1268"/>
      <c r="D13" s="667">
        <f>SUM(D9:D12)</f>
        <v>719</v>
      </c>
      <c r="E13" s="685">
        <f>D13*9.5</f>
        <v>6830.5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30"/>
      <c r="C18" s="730" t="s">
        <v>16</v>
      </c>
      <c r="D18" s="692"/>
      <c r="E18" s="693">
        <f>D18*9.5</f>
        <v>0</v>
      </c>
    </row>
    <row r="19" spans="2:5" ht="20.100000000000001" customHeight="1">
      <c r="B19" s="730"/>
      <c r="C19" s="730" t="s">
        <v>16</v>
      </c>
      <c r="D19" s="692"/>
      <c r="E19" s="693">
        <f>D19*9.5</f>
        <v>0</v>
      </c>
    </row>
    <row r="20" spans="2:5" ht="20.100000000000001" customHeight="1">
      <c r="B20" s="730"/>
      <c r="C20" s="730" t="s">
        <v>71</v>
      </c>
      <c r="D20" s="692"/>
      <c r="E20" s="693">
        <f>D20*10</f>
        <v>0</v>
      </c>
    </row>
    <row r="21" spans="2:5" ht="20.100000000000001" customHeight="1">
      <c r="B21" s="732" t="s">
        <v>185</v>
      </c>
      <c r="C21" s="732" t="s">
        <v>26</v>
      </c>
      <c r="D21" s="667">
        <v>796</v>
      </c>
      <c r="E21" s="685">
        <f>D21*9.5</f>
        <v>7562</v>
      </c>
    </row>
    <row r="22" spans="2:5" ht="20.100000000000001" customHeight="1">
      <c r="B22" s="734" t="s">
        <v>250</v>
      </c>
      <c r="C22" s="732" t="s">
        <v>26</v>
      </c>
      <c r="D22" s="667">
        <v>408</v>
      </c>
      <c r="E22" s="685">
        <f>D22*9.5</f>
        <v>3876</v>
      </c>
    </row>
    <row r="23" spans="2:5" ht="20.100000000000001" customHeight="1">
      <c r="B23" s="1259" t="s">
        <v>24</v>
      </c>
      <c r="C23" s="1259"/>
      <c r="D23" s="661">
        <f>SUM(D18:D22)</f>
        <v>1204</v>
      </c>
      <c r="E23" s="678">
        <f>D23*9.5</f>
        <v>11438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32" t="s">
        <v>261</v>
      </c>
      <c r="C28" s="731" t="s">
        <v>26</v>
      </c>
      <c r="D28" s="667">
        <v>276</v>
      </c>
      <c r="E28" s="685">
        <f>D28*9.5</f>
        <v>2622</v>
      </c>
    </row>
    <row r="29" spans="2:5">
      <c r="B29" s="732" t="s">
        <v>244</v>
      </c>
      <c r="C29" s="731" t="s">
        <v>16</v>
      </c>
      <c r="D29" s="667">
        <v>312</v>
      </c>
      <c r="E29" s="685">
        <f>D29*9.5</f>
        <v>2964</v>
      </c>
    </row>
    <row r="30" spans="2:5">
      <c r="B30" s="735" t="s">
        <v>258</v>
      </c>
      <c r="C30" s="731" t="s">
        <v>71</v>
      </c>
      <c r="D30" s="667">
        <v>280</v>
      </c>
      <c r="E30" s="685">
        <f>D30*9.5</f>
        <v>2660</v>
      </c>
    </row>
    <row r="31" spans="2:5" ht="20.100000000000001" customHeight="1">
      <c r="B31" s="1259" t="s">
        <v>24</v>
      </c>
      <c r="C31" s="1259"/>
      <c r="D31" s="661">
        <f>SUM(D28:D30)</f>
        <v>868</v>
      </c>
      <c r="E31" s="678">
        <f>D31*9.5</f>
        <v>8246</v>
      </c>
    </row>
    <row r="32" spans="2:5" ht="19.5">
      <c r="B32" s="1260" t="s">
        <v>200</v>
      </c>
      <c r="C32" s="1260"/>
      <c r="D32" s="1260"/>
      <c r="E32" s="1260"/>
    </row>
    <row r="33" spans="2:5">
      <c r="B33" s="674"/>
      <c r="C33" s="676" t="s">
        <v>34</v>
      </c>
      <c r="D33" s="676" t="s">
        <v>35</v>
      </c>
      <c r="E33" s="676" t="s">
        <v>37</v>
      </c>
    </row>
    <row r="34" spans="2:5">
      <c r="B34" s="677" t="s">
        <v>39</v>
      </c>
      <c r="C34" s="679">
        <f>D13</f>
        <v>719</v>
      </c>
      <c r="D34" s="680">
        <f>D23</f>
        <v>1204</v>
      </c>
      <c r="E34" s="680">
        <f>D31</f>
        <v>868</v>
      </c>
    </row>
    <row r="35" spans="2:5">
      <c r="B35" s="677" t="s">
        <v>36</v>
      </c>
      <c r="C35" s="675">
        <f>C34*9.5</f>
        <v>6830.5</v>
      </c>
      <c r="D35" s="675">
        <f>D34*9.5</f>
        <v>11438</v>
      </c>
      <c r="E35" s="675">
        <f>E34*9.5</f>
        <v>8246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2791</v>
      </c>
      <c r="D37" s="378" t="s">
        <v>253</v>
      </c>
      <c r="E37" s="381">
        <f>C37*9.5</f>
        <v>26514.5</v>
      </c>
    </row>
    <row r="38" spans="2:5">
      <c r="B38" s="377" t="s">
        <v>197</v>
      </c>
      <c r="C38" s="378">
        <f>C39-C37</f>
        <v>91</v>
      </c>
      <c r="D38" s="378" t="s">
        <v>204</v>
      </c>
      <c r="E38" s="381">
        <f>C38*9</f>
        <v>819</v>
      </c>
    </row>
    <row r="39" spans="2:5" ht="19.5">
      <c r="B39" s="665" t="s">
        <v>201</v>
      </c>
      <c r="C39" s="380">
        <f>'Patron Counts v Swipes'!D208</f>
        <v>2882</v>
      </c>
      <c r="D39" s="380" t="s">
        <v>202</v>
      </c>
      <c r="E39" s="379">
        <f>SUM(E37+E38)</f>
        <v>27333.5</v>
      </c>
    </row>
    <row r="41" spans="2:5">
      <c r="B41" s="662" t="s">
        <v>5</v>
      </c>
      <c r="C41" s="671"/>
    </row>
    <row r="42" spans="2:5">
      <c r="B42" s="672" t="s">
        <v>4</v>
      </c>
      <c r="C42" s="673"/>
    </row>
    <row r="43" spans="2:5">
      <c r="B43" s="672" t="s">
        <v>25</v>
      </c>
      <c r="C43" s="673"/>
    </row>
  </sheetData>
  <sheetProtection algorithmName="SHA-512" hashValue="38qotld9+j25vdYCt6OHLxFxGLA2wNIdFleS3BUzSW4MMTdxsi3svYaT/BLUbqOHAbX4TMNd0qET+Z14Duk5cg==" saltValue="usUa0r7g7i9JXufsEXbxf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1C1CE-ECC7-4B0B-B2FA-145E559797DF}">
  <sheetPr codeName="Sheet45">
    <pageSetUpPr fitToPage="1"/>
  </sheetPr>
  <dimension ref="B2:H44"/>
  <sheetViews>
    <sheetView workbookViewId="0"/>
  </sheetViews>
  <sheetFormatPr defaultColWidth="9.140625" defaultRowHeight="15"/>
  <cols>
    <col min="1" max="1" width="9.140625" style="658"/>
    <col min="2" max="2" width="36.7109375" style="658" customWidth="1"/>
    <col min="3" max="3" width="22.7109375" style="658" customWidth="1"/>
    <col min="4" max="4" width="36.7109375" style="658" customWidth="1"/>
    <col min="5" max="5" width="22.7109375" style="658" customWidth="1"/>
    <col min="6" max="8" width="15.7109375" style="658" customWidth="1"/>
    <col min="9" max="16384" width="9.140625" style="658"/>
  </cols>
  <sheetData>
    <row r="2" spans="2:8" ht="19.5">
      <c r="B2" s="663" t="s">
        <v>13</v>
      </c>
      <c r="C2" s="660"/>
      <c r="D2" s="666" t="s">
        <v>27</v>
      </c>
      <c r="E2" s="1247">
        <v>44680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30"/>
      <c r="C9" s="730" t="s">
        <v>16</v>
      </c>
      <c r="D9" s="692"/>
      <c r="E9" s="693">
        <f>D9*9.5</f>
        <v>0</v>
      </c>
    </row>
    <row r="10" spans="2:8" ht="20.100000000000001" customHeight="1">
      <c r="B10" s="730"/>
      <c r="C10" s="730" t="s">
        <v>16</v>
      </c>
      <c r="D10" s="692"/>
      <c r="E10" s="693">
        <f>D10*9.5</f>
        <v>0</v>
      </c>
    </row>
    <row r="11" spans="2:8" ht="20.100000000000001" customHeight="1">
      <c r="B11" s="730"/>
      <c r="C11" s="730" t="s">
        <v>26</v>
      </c>
      <c r="D11" s="692"/>
      <c r="E11" s="693">
        <f>D11*9.5</f>
        <v>0</v>
      </c>
    </row>
    <row r="12" spans="2:8" ht="20.100000000000001" customHeight="1">
      <c r="B12" s="730"/>
      <c r="C12" s="730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31" t="s">
        <v>143</v>
      </c>
      <c r="C18" s="732" t="s">
        <v>16</v>
      </c>
      <c r="D18" s="667">
        <v>412</v>
      </c>
      <c r="E18" s="685">
        <f>D18*9.5</f>
        <v>3914</v>
      </c>
    </row>
    <row r="19" spans="2:5" ht="20.100000000000001" customHeight="1">
      <c r="B19" s="731" t="s">
        <v>238</v>
      </c>
      <c r="C19" s="732" t="s">
        <v>16</v>
      </c>
      <c r="D19" s="667">
        <v>314</v>
      </c>
      <c r="E19" s="685">
        <f>D19*9.5</f>
        <v>2983</v>
      </c>
    </row>
    <row r="20" spans="2:5" ht="20.100000000000001" customHeight="1">
      <c r="B20" s="730"/>
      <c r="C20" s="730" t="s">
        <v>71</v>
      </c>
      <c r="D20" s="692"/>
      <c r="E20" s="693">
        <f>D20*10</f>
        <v>0</v>
      </c>
    </row>
    <row r="21" spans="2:5" ht="20.100000000000001" customHeight="1">
      <c r="B21" s="734" t="s">
        <v>184</v>
      </c>
      <c r="C21" s="732" t="s">
        <v>26</v>
      </c>
      <c r="D21" s="667">
        <v>268</v>
      </c>
      <c r="E21" s="685">
        <f>D21*9.5</f>
        <v>2546</v>
      </c>
    </row>
    <row r="22" spans="2:5" ht="20.100000000000001" customHeight="1">
      <c r="B22" s="734" t="s">
        <v>69</v>
      </c>
      <c r="C22" s="732" t="s">
        <v>26</v>
      </c>
      <c r="D22" s="667">
        <v>305</v>
      </c>
      <c r="E22" s="685">
        <f>D22*9.5</f>
        <v>2897.5</v>
      </c>
    </row>
    <row r="23" spans="2:5" ht="20.100000000000001" customHeight="1">
      <c r="B23" s="1259" t="s">
        <v>24</v>
      </c>
      <c r="C23" s="1259"/>
      <c r="D23" s="661">
        <f>SUM(D18:D22)</f>
        <v>1299</v>
      </c>
      <c r="E23" s="678">
        <f>D23*9.5</f>
        <v>12340.5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32" t="s">
        <v>66</v>
      </c>
      <c r="C28" s="731" t="s">
        <v>26</v>
      </c>
      <c r="D28" s="667">
        <v>259</v>
      </c>
      <c r="E28" s="685">
        <f>D28*9.5</f>
        <v>2460.5</v>
      </c>
    </row>
    <row r="29" spans="2:5">
      <c r="B29" s="735" t="s">
        <v>261</v>
      </c>
      <c r="C29" s="731" t="s">
        <v>16</v>
      </c>
      <c r="D29" s="667">
        <v>263</v>
      </c>
      <c r="E29" s="685">
        <f>D29*9.5</f>
        <v>2498.5</v>
      </c>
    </row>
    <row r="30" spans="2:5">
      <c r="B30" s="735" t="s">
        <v>235</v>
      </c>
      <c r="C30" s="731" t="s">
        <v>16</v>
      </c>
      <c r="D30" s="667">
        <v>420</v>
      </c>
      <c r="E30" s="685">
        <f>D30*9.5</f>
        <v>3990</v>
      </c>
    </row>
    <row r="31" spans="2:5">
      <c r="B31" s="631"/>
      <c r="C31" s="730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661">
        <f>SUM(D28:D31)</f>
        <v>942</v>
      </c>
      <c r="E32" s="678">
        <f>D32*9.5</f>
        <v>8949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1299</v>
      </c>
      <c r="E35" s="680">
        <f>D32</f>
        <v>942</v>
      </c>
    </row>
    <row r="36" spans="2:5">
      <c r="B36" s="677" t="s">
        <v>36</v>
      </c>
      <c r="C36" s="675">
        <f>C35*9.5</f>
        <v>0</v>
      </c>
      <c r="D36" s="675">
        <f>D35*9.5</f>
        <v>12340.5</v>
      </c>
      <c r="E36" s="675">
        <f>E35*9.5</f>
        <v>8949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2241</v>
      </c>
      <c r="D38" s="378" t="s">
        <v>253</v>
      </c>
      <c r="E38" s="381">
        <f>C38*9.5</f>
        <v>21289.5</v>
      </c>
    </row>
    <row r="39" spans="2:5">
      <c r="B39" s="377" t="s">
        <v>197</v>
      </c>
      <c r="C39" s="378">
        <f>C40-C38</f>
        <v>2885</v>
      </c>
      <c r="D39" s="378" t="s">
        <v>204</v>
      </c>
      <c r="E39" s="381">
        <f>C39*9</f>
        <v>25965</v>
      </c>
    </row>
    <row r="40" spans="2:5" ht="19.5">
      <c r="B40" s="665" t="s">
        <v>201</v>
      </c>
      <c r="C40" s="380">
        <f>'Patron Counts v Swipes'!D202</f>
        <v>5126</v>
      </c>
      <c r="D40" s="380" t="s">
        <v>202</v>
      </c>
      <c r="E40" s="379">
        <f>SUM(E38+E39)</f>
        <v>47254.5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VnlXpZGbfFT/7dxgWpvpmJw+aPA37HbYDWU213DOlKp8KyD13CXspRzhGsXKkKbsaQKSafO8yXCIEX+H+a0YSQ==" saltValue="jfYHPjuJl6nXQjVWnmM37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FEA12-3062-495A-903E-9378A9E1FF26}">
  <sheetPr codeName="Sheet46">
    <pageSetUpPr fitToPage="1"/>
  </sheetPr>
  <dimension ref="B2:H44"/>
  <sheetViews>
    <sheetView workbookViewId="0"/>
  </sheetViews>
  <sheetFormatPr defaultColWidth="9.140625" defaultRowHeight="15"/>
  <cols>
    <col min="1" max="1" width="9.140625" style="658"/>
    <col min="2" max="2" width="36.7109375" style="658" customWidth="1"/>
    <col min="3" max="3" width="22.7109375" style="658" customWidth="1"/>
    <col min="4" max="4" width="36.7109375" style="658" customWidth="1"/>
    <col min="5" max="5" width="22.7109375" style="658" customWidth="1"/>
    <col min="6" max="8" width="15.7109375" style="658" customWidth="1"/>
    <col min="9" max="16384" width="9.140625" style="658"/>
  </cols>
  <sheetData>
    <row r="2" spans="2:8" ht="19.5">
      <c r="B2" s="663" t="s">
        <v>13</v>
      </c>
      <c r="C2" s="660"/>
      <c r="D2" s="666" t="s">
        <v>27</v>
      </c>
      <c r="E2" s="1247">
        <v>44679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26"/>
      <c r="C9" s="726" t="s">
        <v>16</v>
      </c>
      <c r="D9" s="692"/>
      <c r="E9" s="693">
        <f>D9*9.5</f>
        <v>0</v>
      </c>
    </row>
    <row r="10" spans="2:8" ht="20.100000000000001" customHeight="1">
      <c r="B10" s="726"/>
      <c r="C10" s="726" t="s">
        <v>16</v>
      </c>
      <c r="D10" s="692"/>
      <c r="E10" s="693">
        <f>D10*9.5</f>
        <v>0</v>
      </c>
    </row>
    <row r="11" spans="2:8" ht="20.100000000000001" customHeight="1">
      <c r="B11" s="726"/>
      <c r="C11" s="726" t="s">
        <v>26</v>
      </c>
      <c r="D11" s="692"/>
      <c r="E11" s="693">
        <f>D11*9.5</f>
        <v>0</v>
      </c>
    </row>
    <row r="12" spans="2:8" ht="20.100000000000001" customHeight="1">
      <c r="B12" s="726"/>
      <c r="C12" s="726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31" t="s">
        <v>159</v>
      </c>
      <c r="C18" s="728" t="s">
        <v>16</v>
      </c>
      <c r="D18" s="667">
        <v>218</v>
      </c>
      <c r="E18" s="685">
        <f>D18*9.5</f>
        <v>2071</v>
      </c>
    </row>
    <row r="19" spans="2:5" ht="20.100000000000001" customHeight="1">
      <c r="B19" s="731" t="s">
        <v>250</v>
      </c>
      <c r="C19" s="728" t="s">
        <v>16</v>
      </c>
      <c r="D19" s="667">
        <v>337</v>
      </c>
      <c r="E19" s="685">
        <f>D19*9.5</f>
        <v>3201.5</v>
      </c>
    </row>
    <row r="20" spans="2:5" ht="20.100000000000001" customHeight="1">
      <c r="B20" s="730"/>
      <c r="C20" s="726" t="s">
        <v>71</v>
      </c>
      <c r="D20" s="692"/>
      <c r="E20" s="693">
        <f>D20*10</f>
        <v>0</v>
      </c>
    </row>
    <row r="21" spans="2:5" ht="20.100000000000001" customHeight="1">
      <c r="B21" s="733" t="s">
        <v>185</v>
      </c>
      <c r="C21" s="728" t="s">
        <v>26</v>
      </c>
      <c r="D21" s="667">
        <v>781</v>
      </c>
      <c r="E21" s="685">
        <f>D21*9.5</f>
        <v>7419.5</v>
      </c>
    </row>
    <row r="22" spans="2:5" ht="20.100000000000001" customHeight="1">
      <c r="B22" s="734" t="s">
        <v>145</v>
      </c>
      <c r="C22" s="728" t="s">
        <v>26</v>
      </c>
      <c r="D22" s="667">
        <v>415</v>
      </c>
      <c r="E22" s="685">
        <f>D22*9.5</f>
        <v>3942.5</v>
      </c>
    </row>
    <row r="23" spans="2:5" ht="20.100000000000001" customHeight="1">
      <c r="B23" s="1259" t="s">
        <v>24</v>
      </c>
      <c r="C23" s="1259"/>
      <c r="D23" s="661">
        <f>SUM(D18:D22)</f>
        <v>1751</v>
      </c>
      <c r="E23" s="678">
        <f>D23*9.5</f>
        <v>16634.5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32" t="s">
        <v>68</v>
      </c>
      <c r="C28" s="727" t="s">
        <v>26</v>
      </c>
      <c r="D28" s="667">
        <v>171</v>
      </c>
      <c r="E28" s="685">
        <f>D28*9.5</f>
        <v>1624.5</v>
      </c>
    </row>
    <row r="29" spans="2:5">
      <c r="B29" s="732" t="s">
        <v>266</v>
      </c>
      <c r="C29" s="727" t="s">
        <v>16</v>
      </c>
      <c r="D29" s="667">
        <v>233</v>
      </c>
      <c r="E29" s="685">
        <f>D29*9.5</f>
        <v>2213.5</v>
      </c>
    </row>
    <row r="30" spans="2:5">
      <c r="B30" s="735" t="s">
        <v>242</v>
      </c>
      <c r="C30" s="727" t="s">
        <v>16</v>
      </c>
      <c r="D30" s="667">
        <v>439</v>
      </c>
      <c r="E30" s="685">
        <f>D30*9.5</f>
        <v>4170.5</v>
      </c>
    </row>
    <row r="31" spans="2:5">
      <c r="B31" s="631"/>
      <c r="C31" s="72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661">
        <f>SUM(D28:D31)</f>
        <v>843</v>
      </c>
      <c r="E32" s="678">
        <f>D32*9.5</f>
        <v>8008.5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1751</v>
      </c>
      <c r="E35" s="680">
        <f>D32</f>
        <v>843</v>
      </c>
    </row>
    <row r="36" spans="2:5">
      <c r="B36" s="677" t="s">
        <v>36</v>
      </c>
      <c r="C36" s="675">
        <f>C35*9.5</f>
        <v>0</v>
      </c>
      <c r="D36" s="675">
        <f>D35*9.5</f>
        <v>16634.5</v>
      </c>
      <c r="E36" s="675">
        <f>E35*9.5</f>
        <v>8008.5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2594</v>
      </c>
      <c r="D38" s="378" t="s">
        <v>253</v>
      </c>
      <c r="E38" s="381">
        <f>C38*9.5</f>
        <v>24643</v>
      </c>
    </row>
    <row r="39" spans="2:5">
      <c r="B39" s="377" t="s">
        <v>197</v>
      </c>
      <c r="C39" s="378">
        <f>C40-C38</f>
        <v>3924</v>
      </c>
      <c r="D39" s="378" t="s">
        <v>204</v>
      </c>
      <c r="E39" s="381">
        <f>C39*9</f>
        <v>35316</v>
      </c>
    </row>
    <row r="40" spans="2:5" ht="19.5">
      <c r="B40" s="665" t="s">
        <v>201</v>
      </c>
      <c r="C40" s="380">
        <f>'Patron Counts v Swipes'!D196</f>
        <v>6518</v>
      </c>
      <c r="D40" s="380" t="s">
        <v>202</v>
      </c>
      <c r="E40" s="379">
        <f>SUM(E38+E39)</f>
        <v>59959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Xaa1DsnZEPCJw7sUvqGKR2fCtIi9pl1WONa7wiZk+GnOt+vP7pHsc/7fTmR6XkU09Ae74QsRvMso6iQ+SAYUkA==" saltValue="XR5IT3j5EpkriUJOJatbUw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CA884-5652-484C-8860-8D22E525DAAF}">
  <sheetPr codeName="Sheet47">
    <pageSetUpPr fitToPage="1"/>
  </sheetPr>
  <dimension ref="B2:H44"/>
  <sheetViews>
    <sheetView workbookViewId="0"/>
  </sheetViews>
  <sheetFormatPr defaultColWidth="9.140625" defaultRowHeight="15"/>
  <cols>
    <col min="1" max="1" width="9.140625" style="658"/>
    <col min="2" max="2" width="36.7109375" style="658" customWidth="1"/>
    <col min="3" max="3" width="22.7109375" style="658" customWidth="1"/>
    <col min="4" max="4" width="36.7109375" style="658" customWidth="1"/>
    <col min="5" max="5" width="22.7109375" style="658" customWidth="1"/>
    <col min="6" max="8" width="15.7109375" style="658" customWidth="1"/>
    <col min="9" max="16384" width="9.140625" style="658"/>
  </cols>
  <sheetData>
    <row r="2" spans="2:8" ht="19.5">
      <c r="B2" s="663" t="s">
        <v>13</v>
      </c>
      <c r="C2" s="660"/>
      <c r="D2" s="666" t="s">
        <v>27</v>
      </c>
      <c r="E2" s="1247">
        <v>44678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21"/>
      <c r="C9" s="721" t="s">
        <v>16</v>
      </c>
      <c r="D9" s="692"/>
      <c r="E9" s="693">
        <f>D9*9.5</f>
        <v>0</v>
      </c>
    </row>
    <row r="10" spans="2:8" ht="20.100000000000001" customHeight="1">
      <c r="B10" s="721"/>
      <c r="C10" s="721" t="s">
        <v>16</v>
      </c>
      <c r="D10" s="692"/>
      <c r="E10" s="693">
        <f>D10*9.5</f>
        <v>0</v>
      </c>
    </row>
    <row r="11" spans="2:8" ht="20.100000000000001" customHeight="1">
      <c r="B11" s="721"/>
      <c r="C11" s="721" t="s">
        <v>26</v>
      </c>
      <c r="D11" s="692"/>
      <c r="E11" s="693">
        <f>D11*9.5</f>
        <v>0</v>
      </c>
    </row>
    <row r="12" spans="2:8" ht="20.100000000000001" customHeight="1">
      <c r="B12" s="721"/>
      <c r="C12" s="721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27" t="s">
        <v>188</v>
      </c>
      <c r="C18" s="723" t="s">
        <v>16</v>
      </c>
      <c r="D18" s="667">
        <v>252</v>
      </c>
      <c r="E18" s="685">
        <f>D18*9.5</f>
        <v>2394</v>
      </c>
    </row>
    <row r="19" spans="2:5" ht="20.100000000000001" customHeight="1">
      <c r="B19" s="727" t="s">
        <v>250</v>
      </c>
      <c r="C19" s="723" t="s">
        <v>16</v>
      </c>
      <c r="D19" s="667">
        <v>370</v>
      </c>
      <c r="E19" s="685">
        <f>D19*9.5</f>
        <v>3515</v>
      </c>
    </row>
    <row r="20" spans="2:5" ht="20.100000000000001" customHeight="1">
      <c r="B20" s="726"/>
      <c r="C20" s="721" t="s">
        <v>71</v>
      </c>
      <c r="D20" s="692"/>
      <c r="E20" s="693">
        <f>D20*10</f>
        <v>0</v>
      </c>
    </row>
    <row r="21" spans="2:5" ht="20.100000000000001" customHeight="1">
      <c r="B21" s="725" t="s">
        <v>144</v>
      </c>
      <c r="C21" s="723" t="s">
        <v>26</v>
      </c>
      <c r="D21" s="667">
        <v>311</v>
      </c>
      <c r="E21" s="685">
        <f>D21*9.5</f>
        <v>2954.5</v>
      </c>
    </row>
    <row r="22" spans="2:5" ht="20.100000000000001" customHeight="1">
      <c r="B22" s="725" t="s">
        <v>281</v>
      </c>
      <c r="C22" s="723" t="s">
        <v>26</v>
      </c>
      <c r="D22" s="667">
        <v>296</v>
      </c>
      <c r="E22" s="685">
        <f>D22*9.5</f>
        <v>2812</v>
      </c>
    </row>
    <row r="23" spans="2:5" ht="20.100000000000001" customHeight="1">
      <c r="B23" s="1259" t="s">
        <v>24</v>
      </c>
      <c r="C23" s="1259"/>
      <c r="D23" s="661">
        <f>SUM(D18:D22)</f>
        <v>1229</v>
      </c>
      <c r="E23" s="678">
        <f>D23*9.5</f>
        <v>11675.5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28" t="s">
        <v>65</v>
      </c>
      <c r="C28" s="722" t="s">
        <v>26</v>
      </c>
      <c r="D28" s="667">
        <v>240</v>
      </c>
      <c r="E28" s="685">
        <f>D28*9.5</f>
        <v>2280</v>
      </c>
    </row>
    <row r="29" spans="2:5">
      <c r="B29" s="728" t="s">
        <v>266</v>
      </c>
      <c r="C29" s="722" t="s">
        <v>16</v>
      </c>
      <c r="D29" s="667">
        <v>247</v>
      </c>
      <c r="E29" s="685">
        <f>D29*9.5</f>
        <v>2346.5</v>
      </c>
    </row>
    <row r="30" spans="2:5">
      <c r="B30" s="729" t="s">
        <v>242</v>
      </c>
      <c r="C30" s="722" t="s">
        <v>16</v>
      </c>
      <c r="D30" s="667">
        <v>514</v>
      </c>
      <c r="E30" s="685">
        <f>D30*9.5</f>
        <v>4883</v>
      </c>
    </row>
    <row r="31" spans="2:5">
      <c r="B31" s="631"/>
      <c r="C31" s="721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661">
        <f>SUM(D28:D31)</f>
        <v>1001</v>
      </c>
      <c r="E32" s="678">
        <f>D32*9.5</f>
        <v>9509.5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1229</v>
      </c>
      <c r="E35" s="680">
        <f>D32</f>
        <v>1001</v>
      </c>
    </row>
    <row r="36" spans="2:5">
      <c r="B36" s="677" t="s">
        <v>36</v>
      </c>
      <c r="C36" s="675">
        <f>C35*9.5</f>
        <v>0</v>
      </c>
      <c r="D36" s="675">
        <f>D35*9.5</f>
        <v>11675.5</v>
      </c>
      <c r="E36" s="675">
        <f>E35*9.5</f>
        <v>9509.5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2230</v>
      </c>
      <c r="D38" s="378" t="s">
        <v>253</v>
      </c>
      <c r="E38" s="381">
        <f>C38*9.5</f>
        <v>21185</v>
      </c>
    </row>
    <row r="39" spans="2:5">
      <c r="B39" s="377" t="s">
        <v>197</v>
      </c>
      <c r="C39" s="378">
        <f>C40-C38</f>
        <v>4403</v>
      </c>
      <c r="D39" s="378" t="s">
        <v>204</v>
      </c>
      <c r="E39" s="381">
        <f>C39*9</f>
        <v>39627</v>
      </c>
    </row>
    <row r="40" spans="2:5" ht="19.5">
      <c r="B40" s="665" t="s">
        <v>201</v>
      </c>
      <c r="C40" s="380">
        <f>'Patron Counts v Swipes'!D190</f>
        <v>6633</v>
      </c>
      <c r="D40" s="380" t="s">
        <v>202</v>
      </c>
      <c r="E40" s="379">
        <f>SUM(E38+E39)</f>
        <v>60812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gum4dryGdOVq4/sGDDXsoqwbEfd6A/xK9egzo+U7Y63v6FdHi7VoIhbXH64CqWwmoNFLDR53AoIJnvPPuCh7IA==" saltValue="kRPD5UJG2UapaBogQottYA==" spinCount="100000" sheet="1" objects="1" scenarios="1"/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B8BB5-1E91-444E-980D-6DD2B5D2B291}">
  <sheetPr codeName="Sheet48">
    <pageSetUpPr fitToPage="1"/>
  </sheetPr>
  <dimension ref="B2:H44"/>
  <sheetViews>
    <sheetView workbookViewId="0"/>
  </sheetViews>
  <sheetFormatPr defaultColWidth="9.140625" defaultRowHeight="15"/>
  <cols>
    <col min="1" max="1" width="9.140625" style="658"/>
    <col min="2" max="2" width="36.7109375" style="658" customWidth="1"/>
    <col min="3" max="3" width="22.7109375" style="658" customWidth="1"/>
    <col min="4" max="4" width="36.7109375" style="658" customWidth="1"/>
    <col min="5" max="5" width="22.7109375" style="658" customWidth="1"/>
    <col min="6" max="8" width="15.7109375" style="658" customWidth="1"/>
    <col min="9" max="16384" width="9.140625" style="658"/>
  </cols>
  <sheetData>
    <row r="2" spans="2:8" ht="19.5">
      <c r="B2" s="663" t="s">
        <v>13</v>
      </c>
      <c r="C2" s="660"/>
      <c r="D2" s="666" t="s">
        <v>27</v>
      </c>
      <c r="E2" s="1247">
        <v>44677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21"/>
      <c r="C9" s="721" t="s">
        <v>16</v>
      </c>
      <c r="D9" s="692"/>
      <c r="E9" s="693">
        <f>D9*9.5</f>
        <v>0</v>
      </c>
    </row>
    <row r="10" spans="2:8" ht="20.100000000000001" customHeight="1">
      <c r="B10" s="721"/>
      <c r="C10" s="721" t="s">
        <v>16</v>
      </c>
      <c r="D10" s="692"/>
      <c r="E10" s="693">
        <f>D10*9.5</f>
        <v>0</v>
      </c>
    </row>
    <row r="11" spans="2:8" ht="20.100000000000001" customHeight="1">
      <c r="B11" s="721"/>
      <c r="C11" s="721" t="s">
        <v>26</v>
      </c>
      <c r="D11" s="692"/>
      <c r="E11" s="693">
        <f>D11*9.5</f>
        <v>0</v>
      </c>
    </row>
    <row r="12" spans="2:8" ht="20.100000000000001" customHeight="1">
      <c r="B12" s="721"/>
      <c r="C12" s="721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22" t="s">
        <v>12</v>
      </c>
      <c r="C18" s="723" t="s">
        <v>16</v>
      </c>
      <c r="D18" s="667">
        <v>281</v>
      </c>
      <c r="E18" s="685">
        <f>D18*9.5</f>
        <v>2669.5</v>
      </c>
    </row>
    <row r="19" spans="2:5" ht="20.100000000000001" customHeight="1">
      <c r="B19" s="722" t="s">
        <v>82</v>
      </c>
      <c r="C19" s="723" t="s">
        <v>16</v>
      </c>
      <c r="D19" s="667">
        <v>395</v>
      </c>
      <c r="E19" s="685">
        <f>D19*9.5</f>
        <v>3752.5</v>
      </c>
    </row>
    <row r="20" spans="2:5" ht="20.100000000000001" customHeight="1">
      <c r="B20" s="721"/>
      <c r="C20" s="721" t="s">
        <v>71</v>
      </c>
      <c r="D20" s="692"/>
      <c r="E20" s="693">
        <f>D20*10</f>
        <v>0</v>
      </c>
    </row>
    <row r="21" spans="2:5" ht="20.100000000000001" customHeight="1">
      <c r="B21" s="720" t="s">
        <v>276</v>
      </c>
      <c r="C21" s="723" t="s">
        <v>26</v>
      </c>
      <c r="D21" s="667">
        <v>281</v>
      </c>
      <c r="E21" s="685">
        <f>D21*9.5</f>
        <v>2669.5</v>
      </c>
    </row>
    <row r="22" spans="2:5" ht="20.100000000000001" customHeight="1">
      <c r="B22" s="720" t="s">
        <v>45</v>
      </c>
      <c r="C22" s="723" t="s">
        <v>26</v>
      </c>
      <c r="D22" s="667">
        <v>458</v>
      </c>
      <c r="E22" s="685">
        <f>D22*9.5</f>
        <v>4351</v>
      </c>
    </row>
    <row r="23" spans="2:5" ht="20.100000000000001" customHeight="1">
      <c r="B23" s="1259" t="s">
        <v>24</v>
      </c>
      <c r="C23" s="1259"/>
      <c r="D23" s="661">
        <f>SUM(D18:D22)</f>
        <v>1415</v>
      </c>
      <c r="E23" s="678">
        <f>D23*9.5</f>
        <v>13442.5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23" t="s">
        <v>66</v>
      </c>
      <c r="C28" s="722" t="s">
        <v>26</v>
      </c>
      <c r="D28" s="667">
        <v>286</v>
      </c>
      <c r="E28" s="685">
        <f>D28*9.5</f>
        <v>2717</v>
      </c>
    </row>
    <row r="29" spans="2:5">
      <c r="B29" s="723" t="s">
        <v>279</v>
      </c>
      <c r="C29" s="722" t="s">
        <v>16</v>
      </c>
      <c r="D29" s="667">
        <v>431</v>
      </c>
      <c r="E29" s="685">
        <f>D29*9.5</f>
        <v>4094.5</v>
      </c>
    </row>
    <row r="30" spans="2:5">
      <c r="B30" s="724" t="s">
        <v>235</v>
      </c>
      <c r="C30" s="722" t="s">
        <v>16</v>
      </c>
      <c r="D30" s="667">
        <v>496</v>
      </c>
      <c r="E30" s="685">
        <f>D30*9.5</f>
        <v>4712</v>
      </c>
    </row>
    <row r="31" spans="2:5">
      <c r="B31" s="631"/>
      <c r="C31" s="721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661">
        <f>SUM(D28:D31)</f>
        <v>1213</v>
      </c>
      <c r="E32" s="678">
        <f>D32*9.5</f>
        <v>11523.5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1415</v>
      </c>
      <c r="E35" s="680">
        <f>D32</f>
        <v>1213</v>
      </c>
    </row>
    <row r="36" spans="2:5">
      <c r="B36" s="677" t="s">
        <v>36</v>
      </c>
      <c r="C36" s="675">
        <f>C35*9.5</f>
        <v>0</v>
      </c>
      <c r="D36" s="675">
        <f>D35*9.5</f>
        <v>13442.5</v>
      </c>
      <c r="E36" s="675">
        <f>E35*9.5</f>
        <v>11523.5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2628</v>
      </c>
      <c r="D38" s="378" t="s">
        <v>253</v>
      </c>
      <c r="E38" s="381">
        <f>C38*9.5</f>
        <v>24966</v>
      </c>
    </row>
    <row r="39" spans="2:5">
      <c r="B39" s="377" t="s">
        <v>197</v>
      </c>
      <c r="C39" s="378">
        <f>C40-C38</f>
        <v>4535</v>
      </c>
      <c r="D39" s="378" t="s">
        <v>204</v>
      </c>
      <c r="E39" s="381">
        <f>C39*9</f>
        <v>40815</v>
      </c>
    </row>
    <row r="40" spans="2:5" ht="19.5">
      <c r="B40" s="665" t="s">
        <v>201</v>
      </c>
      <c r="C40" s="380">
        <f>'Patron Counts v Swipes'!D184</f>
        <v>7163</v>
      </c>
      <c r="D40" s="380" t="s">
        <v>202</v>
      </c>
      <c r="E40" s="379">
        <f>SUM(E38+E39)</f>
        <v>65781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c5mpOKU2u1Bx89XRAl2JVmkmW2xoiC89MPEV7jCBGifsUdPQWc3i7TqVBVQgJTczuG83Foq07xJLQtm3wm95MQ==" saltValue="oHFuieyr6eoqwE16K+O/J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368B1-9E98-4E08-82D6-8EB6B486CE63}">
  <sheetPr codeName="Sheet49">
    <pageSetUpPr fitToPage="1"/>
  </sheetPr>
  <dimension ref="B2:H44"/>
  <sheetViews>
    <sheetView workbookViewId="0"/>
  </sheetViews>
  <sheetFormatPr defaultColWidth="9.140625" defaultRowHeight="15"/>
  <cols>
    <col min="1" max="1" width="9.140625" style="658"/>
    <col min="2" max="2" width="36.7109375" style="658" customWidth="1"/>
    <col min="3" max="3" width="22.7109375" style="658" customWidth="1"/>
    <col min="4" max="4" width="36.7109375" style="658" customWidth="1"/>
    <col min="5" max="5" width="22.7109375" style="658" customWidth="1"/>
    <col min="6" max="8" width="15.7109375" style="658" customWidth="1"/>
    <col min="9" max="16384" width="9.140625" style="658"/>
  </cols>
  <sheetData>
    <row r="2" spans="2:8" ht="19.5">
      <c r="B2" s="663" t="s">
        <v>13</v>
      </c>
      <c r="C2" s="660"/>
      <c r="D2" s="666" t="s">
        <v>27</v>
      </c>
      <c r="E2" s="1247">
        <v>44676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708"/>
      <c r="C9" s="708" t="s">
        <v>16</v>
      </c>
      <c r="D9" s="692"/>
      <c r="E9" s="693">
        <f>D9*9.5</f>
        <v>0</v>
      </c>
    </row>
    <row r="10" spans="2:8" ht="20.100000000000001" customHeight="1">
      <c r="B10" s="708"/>
      <c r="C10" s="708" t="s">
        <v>16</v>
      </c>
      <c r="D10" s="692"/>
      <c r="E10" s="693">
        <f>D10*9.5</f>
        <v>0</v>
      </c>
    </row>
    <row r="11" spans="2:8" ht="20.100000000000001" customHeight="1">
      <c r="B11" s="708"/>
      <c r="C11" s="708" t="s">
        <v>26</v>
      </c>
      <c r="D11" s="692"/>
      <c r="E11" s="693">
        <f>D11*9.5</f>
        <v>0</v>
      </c>
    </row>
    <row r="12" spans="2:8" ht="20.100000000000001" customHeight="1">
      <c r="B12" s="708"/>
      <c r="C12" s="708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22" t="s">
        <v>70</v>
      </c>
      <c r="C18" s="718" t="s">
        <v>16</v>
      </c>
      <c r="D18" s="667">
        <v>464</v>
      </c>
      <c r="E18" s="685">
        <f>D18*9.5</f>
        <v>4408</v>
      </c>
    </row>
    <row r="19" spans="2:5" ht="20.100000000000001" customHeight="1">
      <c r="B19" s="722" t="s">
        <v>205</v>
      </c>
      <c r="C19" s="718" t="s">
        <v>16</v>
      </c>
      <c r="D19" s="667">
        <v>285</v>
      </c>
      <c r="E19" s="685">
        <f>D19*9.5</f>
        <v>2707.5</v>
      </c>
    </row>
    <row r="20" spans="2:5" ht="20.100000000000001" customHeight="1">
      <c r="B20" s="721"/>
      <c r="C20" s="708" t="s">
        <v>71</v>
      </c>
      <c r="D20" s="692"/>
      <c r="E20" s="693">
        <f>D20*10</f>
        <v>0</v>
      </c>
    </row>
    <row r="21" spans="2:5" ht="20.100000000000001" customHeight="1">
      <c r="B21" s="720" t="s">
        <v>78</v>
      </c>
      <c r="C21" s="718" t="s">
        <v>26</v>
      </c>
      <c r="D21" s="667">
        <v>287</v>
      </c>
      <c r="E21" s="685">
        <f>D21*9.5</f>
        <v>2726.5</v>
      </c>
    </row>
    <row r="22" spans="2:5" ht="20.100000000000001" customHeight="1">
      <c r="B22" s="720" t="s">
        <v>51</v>
      </c>
      <c r="C22" s="718" t="s">
        <v>26</v>
      </c>
      <c r="D22" s="667">
        <v>375</v>
      </c>
      <c r="E22" s="685">
        <f>D22*9.5</f>
        <v>3562.5</v>
      </c>
    </row>
    <row r="23" spans="2:5" ht="20.100000000000001" customHeight="1">
      <c r="B23" s="1259" t="s">
        <v>24</v>
      </c>
      <c r="C23" s="1259"/>
      <c r="D23" s="661">
        <f>SUM(D18:D22)</f>
        <v>1411</v>
      </c>
      <c r="E23" s="678">
        <f>D23*9.5</f>
        <v>13404.5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23" t="s">
        <v>184</v>
      </c>
      <c r="C28" s="716" t="s">
        <v>26</v>
      </c>
      <c r="D28" s="667">
        <v>255</v>
      </c>
      <c r="E28" s="685">
        <f>D28*9.5</f>
        <v>2422.5</v>
      </c>
    </row>
    <row r="29" spans="2:5">
      <c r="B29" s="723" t="s">
        <v>259</v>
      </c>
      <c r="C29" s="716" t="s">
        <v>16</v>
      </c>
      <c r="D29" s="667">
        <v>225</v>
      </c>
      <c r="E29" s="685">
        <f>D29*9.5</f>
        <v>2137.5</v>
      </c>
    </row>
    <row r="30" spans="2:5">
      <c r="B30" s="724" t="s">
        <v>258</v>
      </c>
      <c r="C30" s="716" t="s">
        <v>16</v>
      </c>
      <c r="D30" s="667">
        <v>285</v>
      </c>
      <c r="E30" s="685">
        <f>D30*9.5</f>
        <v>2707.5</v>
      </c>
    </row>
    <row r="31" spans="2:5">
      <c r="B31" s="631"/>
      <c r="C31" s="708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661">
        <f>SUM(D28:D31)</f>
        <v>765</v>
      </c>
      <c r="E32" s="678">
        <f>D32*9.5</f>
        <v>7267.5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1411</v>
      </c>
      <c r="E35" s="680">
        <f>D32</f>
        <v>765</v>
      </c>
    </row>
    <row r="36" spans="2:5">
      <c r="B36" s="677" t="s">
        <v>36</v>
      </c>
      <c r="C36" s="675">
        <f>C35*9.5</f>
        <v>0</v>
      </c>
      <c r="D36" s="675">
        <f>D35*9.5</f>
        <v>13404.5</v>
      </c>
      <c r="E36" s="675">
        <f>E35*9.5</f>
        <v>7267.5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2176</v>
      </c>
      <c r="D38" s="378" t="s">
        <v>253</v>
      </c>
      <c r="E38" s="381">
        <f>C38*9.5</f>
        <v>20672</v>
      </c>
    </row>
    <row r="39" spans="2:5">
      <c r="B39" s="377" t="s">
        <v>197</v>
      </c>
      <c r="C39" s="378">
        <f>C40-C38</f>
        <v>3852</v>
      </c>
      <c r="D39" s="378" t="s">
        <v>204</v>
      </c>
      <c r="E39" s="381">
        <f>C39*9</f>
        <v>34668</v>
      </c>
    </row>
    <row r="40" spans="2:5" ht="19.5">
      <c r="B40" s="665" t="s">
        <v>201</v>
      </c>
      <c r="C40" s="380">
        <f>'Patron Counts v Swipes'!D178</f>
        <v>6028</v>
      </c>
      <c r="D40" s="380" t="s">
        <v>202</v>
      </c>
      <c r="E40" s="379">
        <f>SUM(E38+E39)</f>
        <v>55340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RQz5Tko+NM/cwfZXRBSV11qMoTFRpceApaVkgalT+WOu6qB/KZKJVOBh9BSEBjKUotxlLwI3h7WVyDufqlDqIA==" saltValue="LNZ5X9RkwTbsWc6aNv+1yQ==" spinCount="100000" sheet="1" objects="1" scenarios="1"/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BD932-1D66-44C4-87B9-C321794F43D9}">
  <sheetPr codeName="Sheet50">
    <pageSetUpPr fitToPage="1"/>
  </sheetPr>
  <dimension ref="B2:H43"/>
  <sheetViews>
    <sheetView workbookViewId="0"/>
  </sheetViews>
  <sheetFormatPr defaultColWidth="9.140625" defaultRowHeight="15"/>
  <cols>
    <col min="1" max="1" width="9.140625" style="658"/>
    <col min="2" max="2" width="36.7109375" style="658" customWidth="1"/>
    <col min="3" max="3" width="22.7109375" style="658" customWidth="1"/>
    <col min="4" max="4" width="36.7109375" style="658" customWidth="1"/>
    <col min="5" max="5" width="22.7109375" style="658" customWidth="1"/>
    <col min="6" max="8" width="15.7109375" style="658" customWidth="1"/>
    <col min="9" max="16384" width="9.140625" style="658"/>
  </cols>
  <sheetData>
    <row r="2" spans="2:8" ht="19.5">
      <c r="B2" s="663" t="s">
        <v>13</v>
      </c>
      <c r="C2" s="660"/>
      <c r="D2" s="666" t="s">
        <v>27</v>
      </c>
      <c r="E2" s="1247">
        <v>44675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696"/>
      <c r="C9" s="696" t="s">
        <v>16</v>
      </c>
      <c r="D9" s="692"/>
      <c r="E9" s="693">
        <f>D9*9.5</f>
        <v>0</v>
      </c>
    </row>
    <row r="10" spans="2:8" ht="20.100000000000001" customHeight="1">
      <c r="B10" s="696"/>
      <c r="C10" s="696" t="s">
        <v>16</v>
      </c>
      <c r="D10" s="692"/>
      <c r="E10" s="693">
        <f>D10*9.5</f>
        <v>0</v>
      </c>
    </row>
    <row r="11" spans="2:8" ht="20.100000000000001" customHeight="1">
      <c r="B11" s="716" t="s">
        <v>143</v>
      </c>
      <c r="C11" s="698" t="s">
        <v>26</v>
      </c>
      <c r="D11" s="667">
        <v>524</v>
      </c>
      <c r="E11" s="685">
        <f>D11*9.5</f>
        <v>4978</v>
      </c>
    </row>
    <row r="12" spans="2:8" ht="20.100000000000001" customHeight="1">
      <c r="B12" s="716" t="s">
        <v>45</v>
      </c>
      <c r="C12" s="698" t="s">
        <v>26</v>
      </c>
      <c r="D12" s="667">
        <v>422</v>
      </c>
      <c r="E12" s="685">
        <f>D12*9.5</f>
        <v>4009</v>
      </c>
    </row>
    <row r="13" spans="2:8" ht="20.100000000000001" customHeight="1">
      <c r="B13" s="1268" t="s">
        <v>24</v>
      </c>
      <c r="C13" s="1268"/>
      <c r="D13" s="667">
        <f>SUM(D9:D12)</f>
        <v>946</v>
      </c>
      <c r="E13" s="685">
        <f>D13*9.5</f>
        <v>8987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696"/>
      <c r="C18" s="696" t="s">
        <v>16</v>
      </c>
      <c r="D18" s="692"/>
      <c r="E18" s="693">
        <f>D18*9.5</f>
        <v>0</v>
      </c>
    </row>
    <row r="19" spans="2:5" ht="20.100000000000001" customHeight="1">
      <c r="B19" s="696"/>
      <c r="C19" s="696" t="s">
        <v>16</v>
      </c>
      <c r="D19" s="692"/>
      <c r="E19" s="693">
        <f>D19*9.5</f>
        <v>0</v>
      </c>
    </row>
    <row r="20" spans="2:5" ht="20.100000000000001" customHeight="1">
      <c r="B20" s="696"/>
      <c r="C20" s="696" t="s">
        <v>71</v>
      </c>
      <c r="D20" s="692"/>
      <c r="E20" s="693">
        <f>D20*10</f>
        <v>0</v>
      </c>
    </row>
    <row r="21" spans="2:5" ht="20.100000000000001" customHeight="1">
      <c r="B21" s="717" t="s">
        <v>44</v>
      </c>
      <c r="C21" s="698" t="s">
        <v>26</v>
      </c>
      <c r="D21" s="667">
        <v>368</v>
      </c>
      <c r="E21" s="685">
        <f>D21*9.5</f>
        <v>3496</v>
      </c>
    </row>
    <row r="22" spans="2:5" ht="20.100000000000001" customHeight="1">
      <c r="B22" s="717" t="s">
        <v>250</v>
      </c>
      <c r="C22" s="698" t="s">
        <v>26</v>
      </c>
      <c r="D22" s="667">
        <v>475</v>
      </c>
      <c r="E22" s="685">
        <f>D22*9.5</f>
        <v>4512.5</v>
      </c>
    </row>
    <row r="23" spans="2:5" ht="20.100000000000001" customHeight="1">
      <c r="B23" s="1259" t="s">
        <v>24</v>
      </c>
      <c r="C23" s="1259"/>
      <c r="D23" s="661">
        <f>SUM(D18:D22)</f>
        <v>843</v>
      </c>
      <c r="E23" s="678">
        <f>D23*9.5</f>
        <v>8008.5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18" t="s">
        <v>164</v>
      </c>
      <c r="C28" s="687" t="s">
        <v>26</v>
      </c>
      <c r="D28" s="667">
        <v>351</v>
      </c>
      <c r="E28" s="685">
        <f>D28*9.5</f>
        <v>3334.5</v>
      </c>
    </row>
    <row r="29" spans="2:5">
      <c r="B29" s="718" t="s">
        <v>250</v>
      </c>
      <c r="C29" s="687" t="s">
        <v>16</v>
      </c>
      <c r="D29" s="667">
        <v>199</v>
      </c>
      <c r="E29" s="685">
        <f>D29*9.5</f>
        <v>1890.5</v>
      </c>
    </row>
    <row r="30" spans="2:5">
      <c r="B30" s="719" t="s">
        <v>235</v>
      </c>
      <c r="C30" s="687" t="s">
        <v>71</v>
      </c>
      <c r="D30" s="667">
        <v>531</v>
      </c>
      <c r="E30" s="685">
        <f>D30*9.5</f>
        <v>5044.5</v>
      </c>
    </row>
    <row r="31" spans="2:5" ht="20.100000000000001" customHeight="1">
      <c r="B31" s="1259" t="s">
        <v>24</v>
      </c>
      <c r="C31" s="1259"/>
      <c r="D31" s="661">
        <f>SUM(D28:D30)</f>
        <v>1081</v>
      </c>
      <c r="E31" s="678">
        <f>D31*9.5</f>
        <v>10269.5</v>
      </c>
    </row>
    <row r="32" spans="2:5" ht="19.5">
      <c r="B32" s="1260" t="s">
        <v>200</v>
      </c>
      <c r="C32" s="1260"/>
      <c r="D32" s="1260"/>
      <c r="E32" s="1260"/>
    </row>
    <row r="33" spans="2:5">
      <c r="B33" s="674"/>
      <c r="C33" s="676" t="s">
        <v>34</v>
      </c>
      <c r="D33" s="676" t="s">
        <v>35</v>
      </c>
      <c r="E33" s="676" t="s">
        <v>37</v>
      </c>
    </row>
    <row r="34" spans="2:5">
      <c r="B34" s="677" t="s">
        <v>39</v>
      </c>
      <c r="C34" s="679">
        <f>D13</f>
        <v>946</v>
      </c>
      <c r="D34" s="680">
        <f>D23</f>
        <v>843</v>
      </c>
      <c r="E34" s="680">
        <f>D31</f>
        <v>1081</v>
      </c>
    </row>
    <row r="35" spans="2:5">
      <c r="B35" s="677" t="s">
        <v>36</v>
      </c>
      <c r="C35" s="675">
        <f>C34*9.5</f>
        <v>8987</v>
      </c>
      <c r="D35" s="675">
        <f>D34*9.5</f>
        <v>8008.5</v>
      </c>
      <c r="E35" s="675">
        <f>E34*9.5</f>
        <v>10269.5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2870</v>
      </c>
      <c r="D37" s="378" t="s">
        <v>253</v>
      </c>
      <c r="E37" s="381">
        <f>C37*9.5</f>
        <v>27265</v>
      </c>
    </row>
    <row r="38" spans="2:5">
      <c r="B38" s="377" t="s">
        <v>197</v>
      </c>
      <c r="C38" s="378">
        <f>C39-C37</f>
        <v>115</v>
      </c>
      <c r="D38" s="378" t="s">
        <v>204</v>
      </c>
      <c r="E38" s="381">
        <f>C38*9</f>
        <v>1035</v>
      </c>
    </row>
    <row r="39" spans="2:5" ht="19.5">
      <c r="B39" s="665" t="s">
        <v>201</v>
      </c>
      <c r="C39" s="380">
        <f>'Patron Counts v Swipes'!D172</f>
        <v>2985</v>
      </c>
      <c r="D39" s="380" t="s">
        <v>202</v>
      </c>
      <c r="E39" s="379">
        <f>SUM(E37+E38)</f>
        <v>28300</v>
      </c>
    </row>
    <row r="41" spans="2:5">
      <c r="B41" s="662" t="s">
        <v>5</v>
      </c>
      <c r="C41" s="671"/>
    </row>
    <row r="42" spans="2:5">
      <c r="B42" s="672" t="s">
        <v>4</v>
      </c>
      <c r="C42" s="673"/>
    </row>
    <row r="43" spans="2:5">
      <c r="B43" s="672" t="s">
        <v>25</v>
      </c>
      <c r="C43" s="673"/>
    </row>
  </sheetData>
  <sheetProtection algorithmName="SHA-512" hashValue="Iubm3aKWZgWkw34k5iCtiNUtK0CS0bAqcBJG8Jmruq+aaNAs2OcDktmvzp0FX1AwRuRsQvudCH9gKk11szUmLA==" saltValue="4dkYmwb9C+yr1AqcM3TiVg==" spinCount="100000" sheet="1" objects="1" scenarios="1"/>
  <mergeCells count="22"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9434C-78E1-4212-A5FE-FF20C8BAF71C}">
  <sheetPr codeName="Sheet51">
    <pageSetUpPr fitToPage="1"/>
  </sheetPr>
  <dimension ref="B2:H43"/>
  <sheetViews>
    <sheetView workbookViewId="0"/>
  </sheetViews>
  <sheetFormatPr defaultColWidth="9.140625" defaultRowHeight="15"/>
  <cols>
    <col min="1" max="1" width="9.140625" style="658"/>
    <col min="2" max="2" width="36.7109375" style="658" customWidth="1"/>
    <col min="3" max="3" width="22.7109375" style="658" customWidth="1"/>
    <col min="4" max="4" width="36.7109375" style="658" customWidth="1"/>
    <col min="5" max="5" width="22.7109375" style="658" customWidth="1"/>
    <col min="6" max="8" width="15.7109375" style="658" customWidth="1"/>
    <col min="9" max="16384" width="9.140625" style="658"/>
  </cols>
  <sheetData>
    <row r="2" spans="2:8" ht="19.5">
      <c r="B2" s="663" t="s">
        <v>13</v>
      </c>
      <c r="C2" s="660"/>
      <c r="D2" s="666" t="s">
        <v>27</v>
      </c>
      <c r="E2" s="1247">
        <v>44674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696"/>
      <c r="C9" s="696" t="s">
        <v>16</v>
      </c>
      <c r="D9" s="692"/>
      <c r="E9" s="693">
        <f>D9*9.5</f>
        <v>0</v>
      </c>
    </row>
    <row r="10" spans="2:8" ht="20.100000000000001" customHeight="1">
      <c r="B10" s="696"/>
      <c r="C10" s="696" t="s">
        <v>16</v>
      </c>
      <c r="D10" s="692"/>
      <c r="E10" s="693">
        <f>D10*9.5</f>
        <v>0</v>
      </c>
    </row>
    <row r="11" spans="2:8" ht="20.100000000000001" customHeight="1">
      <c r="B11" s="711" t="s">
        <v>145</v>
      </c>
      <c r="C11" s="698" t="s">
        <v>26</v>
      </c>
      <c r="D11" s="667">
        <v>444</v>
      </c>
      <c r="E11" s="685">
        <f>D11*9.5</f>
        <v>4218</v>
      </c>
    </row>
    <row r="12" spans="2:8" ht="20.100000000000001" customHeight="1">
      <c r="B12" s="711" t="s">
        <v>250</v>
      </c>
      <c r="C12" s="698" t="s">
        <v>26</v>
      </c>
      <c r="D12" s="667">
        <v>337</v>
      </c>
      <c r="E12" s="685">
        <f>D12*9.5</f>
        <v>3201.5</v>
      </c>
    </row>
    <row r="13" spans="2:8" ht="20.100000000000001" customHeight="1">
      <c r="B13" s="1268" t="s">
        <v>24</v>
      </c>
      <c r="C13" s="1268"/>
      <c r="D13" s="667">
        <f>SUM(D9:D12)</f>
        <v>781</v>
      </c>
      <c r="E13" s="685">
        <f>D13*9.5</f>
        <v>7419.5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696"/>
      <c r="C18" s="696" t="s">
        <v>16</v>
      </c>
      <c r="D18" s="692"/>
      <c r="E18" s="693">
        <f>D18*9.5</f>
        <v>0</v>
      </c>
    </row>
    <row r="19" spans="2:5" ht="20.100000000000001" customHeight="1">
      <c r="B19" s="696"/>
      <c r="C19" s="696" t="s">
        <v>16</v>
      </c>
      <c r="D19" s="692"/>
      <c r="E19" s="693">
        <f>D19*9.5</f>
        <v>0</v>
      </c>
    </row>
    <row r="20" spans="2:5" ht="20.100000000000001" customHeight="1">
      <c r="B20" s="696"/>
      <c r="C20" s="696" t="s">
        <v>71</v>
      </c>
      <c r="D20" s="692"/>
      <c r="E20" s="693">
        <f>D20*10</f>
        <v>0</v>
      </c>
    </row>
    <row r="21" spans="2:5" ht="20.100000000000001" customHeight="1">
      <c r="B21" s="712" t="s">
        <v>44</v>
      </c>
      <c r="C21" s="698" t="s">
        <v>26</v>
      </c>
      <c r="D21" s="667">
        <v>368</v>
      </c>
      <c r="E21" s="685">
        <f>D21*9.5</f>
        <v>3496</v>
      </c>
    </row>
    <row r="22" spans="2:5" ht="20.100000000000001" customHeight="1">
      <c r="B22" s="712" t="s">
        <v>68</v>
      </c>
      <c r="C22" s="698" t="s">
        <v>26</v>
      </c>
      <c r="D22" s="667">
        <v>224</v>
      </c>
      <c r="E22" s="685">
        <f>D22*9.5</f>
        <v>2128</v>
      </c>
    </row>
    <row r="23" spans="2:5" ht="20.100000000000001" customHeight="1">
      <c r="B23" s="1259" t="s">
        <v>24</v>
      </c>
      <c r="C23" s="1259"/>
      <c r="D23" s="661">
        <f>SUM(D18:D22)</f>
        <v>592</v>
      </c>
      <c r="E23" s="678">
        <f>D23*9.5</f>
        <v>5624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13" t="s">
        <v>235</v>
      </c>
      <c r="C28" s="687" t="s">
        <v>26</v>
      </c>
      <c r="D28" s="667">
        <v>486</v>
      </c>
      <c r="E28" s="685">
        <f>D28*9.5</f>
        <v>4617</v>
      </c>
    </row>
    <row r="29" spans="2:5">
      <c r="B29" s="715" t="s">
        <v>66</v>
      </c>
      <c r="C29" s="687" t="s">
        <v>16</v>
      </c>
      <c r="D29" s="667">
        <v>225</v>
      </c>
      <c r="E29" s="685">
        <f>D29*9.5</f>
        <v>2137.5</v>
      </c>
    </row>
    <row r="30" spans="2:5">
      <c r="B30" s="714" t="s">
        <v>261</v>
      </c>
      <c r="C30" s="687" t="s">
        <v>71</v>
      </c>
      <c r="D30" s="667">
        <v>290</v>
      </c>
      <c r="E30" s="685">
        <f>D30*9.5</f>
        <v>2755</v>
      </c>
    </row>
    <row r="31" spans="2:5" ht="20.100000000000001" customHeight="1">
      <c r="B31" s="1259" t="s">
        <v>24</v>
      </c>
      <c r="C31" s="1259"/>
      <c r="D31" s="661">
        <f>SUM(D28:D30)</f>
        <v>1001</v>
      </c>
      <c r="E31" s="678">
        <f>D31*9.5</f>
        <v>9509.5</v>
      </c>
    </row>
    <row r="32" spans="2:5" ht="19.5">
      <c r="B32" s="1260" t="s">
        <v>200</v>
      </c>
      <c r="C32" s="1260"/>
      <c r="D32" s="1260"/>
      <c r="E32" s="1260"/>
    </row>
    <row r="33" spans="2:5">
      <c r="B33" s="674"/>
      <c r="C33" s="676" t="s">
        <v>34</v>
      </c>
      <c r="D33" s="676" t="s">
        <v>35</v>
      </c>
      <c r="E33" s="676" t="s">
        <v>37</v>
      </c>
    </row>
    <row r="34" spans="2:5">
      <c r="B34" s="677" t="s">
        <v>39</v>
      </c>
      <c r="C34" s="679">
        <f>D13</f>
        <v>781</v>
      </c>
      <c r="D34" s="680">
        <f>D23</f>
        <v>592</v>
      </c>
      <c r="E34" s="680">
        <f>D31</f>
        <v>1001</v>
      </c>
    </row>
    <row r="35" spans="2:5">
      <c r="B35" s="677" t="s">
        <v>36</v>
      </c>
      <c r="C35" s="675">
        <f>C34*9.5</f>
        <v>7419.5</v>
      </c>
      <c r="D35" s="675">
        <f>D34*9.5</f>
        <v>5624</v>
      </c>
      <c r="E35" s="675">
        <f>E34*9.5</f>
        <v>9509.5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2374</v>
      </c>
      <c r="D37" s="378" t="s">
        <v>253</v>
      </c>
      <c r="E37" s="381">
        <f>C37*9.5</f>
        <v>22553</v>
      </c>
    </row>
    <row r="38" spans="2:5">
      <c r="B38" s="377" t="s">
        <v>197</v>
      </c>
      <c r="C38" s="378">
        <f>C39-C37</f>
        <v>-25</v>
      </c>
      <c r="D38" s="378" t="s">
        <v>204</v>
      </c>
      <c r="E38" s="381">
        <f>C38*9</f>
        <v>-225</v>
      </c>
    </row>
    <row r="39" spans="2:5" ht="19.5">
      <c r="B39" s="665" t="s">
        <v>201</v>
      </c>
      <c r="C39" s="380">
        <f>'Patron Counts v Swipes'!D166</f>
        <v>2349</v>
      </c>
      <c r="D39" s="380" t="s">
        <v>202</v>
      </c>
      <c r="E39" s="379">
        <f>SUM(E37+E38)</f>
        <v>22328</v>
      </c>
    </row>
    <row r="41" spans="2:5">
      <c r="B41" s="662" t="s">
        <v>5</v>
      </c>
      <c r="C41" s="671"/>
    </row>
    <row r="42" spans="2:5">
      <c r="B42" s="672" t="s">
        <v>4</v>
      </c>
      <c r="C42" s="673"/>
    </row>
    <row r="43" spans="2:5">
      <c r="B43" s="672" t="s">
        <v>25</v>
      </c>
      <c r="C43" s="673"/>
    </row>
  </sheetData>
  <sheetProtection algorithmName="SHA-512" hashValue="Ts2iz+9mhbi2Ru98/H8BNSIs3vNY8VfLvR8Vw52zRJOV7XRPRqKX86O4ngsBt6quE7NL/5t0iWq9vNgC6/LXxg==" saltValue="AHwD9fs3CpQUdSjunO4DIw==" spinCount="100000" sheet="1" objects="1" scenarios="1"/>
  <mergeCells count="22"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0C2C2-73A9-4EF7-BE31-3CB1E979AE03}">
  <sheetPr codeName="Sheet52">
    <pageSetUpPr fitToPage="1"/>
  </sheetPr>
  <dimension ref="B2:H44"/>
  <sheetViews>
    <sheetView workbookViewId="0"/>
  </sheetViews>
  <sheetFormatPr defaultColWidth="9.140625" defaultRowHeight="15"/>
  <cols>
    <col min="1" max="1" width="9.140625" style="658"/>
    <col min="2" max="2" width="36.7109375" style="658" customWidth="1"/>
    <col min="3" max="3" width="22.7109375" style="658" customWidth="1"/>
    <col min="4" max="4" width="36.7109375" style="658" customWidth="1"/>
    <col min="5" max="5" width="22.7109375" style="658" customWidth="1"/>
    <col min="6" max="8" width="15.7109375" style="658" customWidth="1"/>
    <col min="9" max="16384" width="9.140625" style="658"/>
  </cols>
  <sheetData>
    <row r="2" spans="2:8" ht="19.5">
      <c r="B2" s="663" t="s">
        <v>13</v>
      </c>
      <c r="C2" s="660"/>
      <c r="D2" s="666" t="s">
        <v>27</v>
      </c>
      <c r="E2" s="1247">
        <v>44673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696"/>
      <c r="C9" s="696" t="s">
        <v>16</v>
      </c>
      <c r="D9" s="692"/>
      <c r="E9" s="693">
        <f>D9*9.5</f>
        <v>0</v>
      </c>
    </row>
    <row r="10" spans="2:8" ht="20.100000000000001" customHeight="1">
      <c r="B10" s="696"/>
      <c r="C10" s="696" t="s">
        <v>16</v>
      </c>
      <c r="D10" s="692"/>
      <c r="E10" s="693">
        <f>D10*9.5</f>
        <v>0</v>
      </c>
    </row>
    <row r="11" spans="2:8" ht="20.100000000000001" customHeight="1">
      <c r="B11" s="696"/>
      <c r="C11" s="696" t="s">
        <v>26</v>
      </c>
      <c r="D11" s="692"/>
      <c r="E11" s="693">
        <f>D11*9.5</f>
        <v>0</v>
      </c>
    </row>
    <row r="12" spans="2:8" ht="20.100000000000001" customHeight="1">
      <c r="B12" s="696"/>
      <c r="C12" s="696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09" t="s">
        <v>283</v>
      </c>
      <c r="C18" s="698" t="s">
        <v>16</v>
      </c>
      <c r="D18" s="667">
        <v>254</v>
      </c>
      <c r="E18" s="685">
        <f>D18*9.5</f>
        <v>2413</v>
      </c>
    </row>
    <row r="19" spans="2:5" ht="20.100000000000001" customHeight="1">
      <c r="B19" s="709" t="s">
        <v>70</v>
      </c>
      <c r="C19" s="698" t="s">
        <v>16</v>
      </c>
      <c r="D19" s="667">
        <v>442</v>
      </c>
      <c r="E19" s="685">
        <f>D19*9.5</f>
        <v>4199</v>
      </c>
    </row>
    <row r="20" spans="2:5" ht="20.100000000000001" customHeight="1">
      <c r="B20" s="708"/>
      <c r="C20" s="696" t="s">
        <v>71</v>
      </c>
      <c r="D20" s="692"/>
      <c r="E20" s="693">
        <f>D20*10</f>
        <v>0</v>
      </c>
    </row>
    <row r="21" spans="2:5" ht="20.100000000000001" customHeight="1">
      <c r="B21" s="707" t="s">
        <v>284</v>
      </c>
      <c r="C21" s="698" t="s">
        <v>26</v>
      </c>
      <c r="D21" s="667">
        <v>413</v>
      </c>
      <c r="E21" s="685">
        <f>D21*9.5</f>
        <v>3923.5</v>
      </c>
    </row>
    <row r="22" spans="2:5" ht="20.100000000000001" customHeight="1">
      <c r="B22" s="707" t="s">
        <v>69</v>
      </c>
      <c r="C22" s="698" t="s">
        <v>26</v>
      </c>
      <c r="D22" s="667">
        <v>309</v>
      </c>
      <c r="E22" s="685">
        <f>D22*9.5</f>
        <v>2935.5</v>
      </c>
    </row>
    <row r="23" spans="2:5" ht="20.100000000000001" customHeight="1">
      <c r="B23" s="1259" t="s">
        <v>24</v>
      </c>
      <c r="C23" s="1259"/>
      <c r="D23" s="661">
        <f>SUM(D18:D22)</f>
        <v>1418</v>
      </c>
      <c r="E23" s="678">
        <f>D23*9.5</f>
        <v>13471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10" t="s">
        <v>259</v>
      </c>
      <c r="C28" s="687" t="s">
        <v>26</v>
      </c>
      <c r="D28" s="667">
        <v>192</v>
      </c>
      <c r="E28" s="685">
        <f>D28*9.5</f>
        <v>1824</v>
      </c>
    </row>
    <row r="29" spans="2:5">
      <c r="B29" s="710" t="s">
        <v>238</v>
      </c>
      <c r="C29" s="687" t="s">
        <v>16</v>
      </c>
      <c r="D29" s="667">
        <v>210</v>
      </c>
      <c r="E29" s="685">
        <f>D29*9.5</f>
        <v>1995</v>
      </c>
    </row>
    <row r="30" spans="2:5">
      <c r="B30" s="710" t="s">
        <v>242</v>
      </c>
      <c r="C30" s="687" t="s">
        <v>16</v>
      </c>
      <c r="D30" s="667">
        <v>424</v>
      </c>
      <c r="E30" s="685">
        <f>D30*9.5</f>
        <v>4028</v>
      </c>
    </row>
    <row r="31" spans="2:5">
      <c r="B31" s="631"/>
      <c r="C31" s="69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661">
        <f>SUM(D28:D31)</f>
        <v>826</v>
      </c>
      <c r="E32" s="678">
        <f>D32*9.5</f>
        <v>7847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1418</v>
      </c>
      <c r="E35" s="680">
        <f>D32</f>
        <v>826</v>
      </c>
    </row>
    <row r="36" spans="2:5">
      <c r="B36" s="677" t="s">
        <v>36</v>
      </c>
      <c r="C36" s="675">
        <f>C35*9.5</f>
        <v>0</v>
      </c>
      <c r="D36" s="675">
        <f>D35*9.5</f>
        <v>13471</v>
      </c>
      <c r="E36" s="675">
        <f>E35*9.5</f>
        <v>7847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2244</v>
      </c>
      <c r="D38" s="378" t="s">
        <v>253</v>
      </c>
      <c r="E38" s="381">
        <f>C38*9.5</f>
        <v>21318</v>
      </c>
    </row>
    <row r="39" spans="2:5">
      <c r="B39" s="377" t="s">
        <v>197</v>
      </c>
      <c r="C39" s="378">
        <f>C40-C38</f>
        <v>2849</v>
      </c>
      <c r="D39" s="378" t="s">
        <v>204</v>
      </c>
      <c r="E39" s="381">
        <f>C39*9</f>
        <v>25641</v>
      </c>
    </row>
    <row r="40" spans="2:5" ht="19.5">
      <c r="B40" s="665" t="s">
        <v>201</v>
      </c>
      <c r="C40" s="380">
        <f>'Patron Counts v Swipes'!D160</f>
        <v>5093</v>
      </c>
      <c r="D40" s="380" t="s">
        <v>202</v>
      </c>
      <c r="E40" s="379">
        <f>SUM(E38+E39)</f>
        <v>46959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zt5SYHLM+NyDLM/wz3fkupY20s5uVcnw9LTBDOpVCP22LeQ+ZPGoxvGOVd7OtRYLoUbQTwwzBgRo7m0pS97lgQ==" saltValue="ba7KeDzm1TVLyCYatlu1bg==" spinCount="100000" sheet="1" objects="1" scenarios="1"/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B3E24-DA1C-4D9F-A414-83853A86D415}">
  <sheetPr codeName="Sheet53">
    <pageSetUpPr fitToPage="1"/>
  </sheetPr>
  <dimension ref="B2:H44"/>
  <sheetViews>
    <sheetView workbookViewId="0"/>
  </sheetViews>
  <sheetFormatPr defaultColWidth="9.140625" defaultRowHeight="15"/>
  <cols>
    <col min="1" max="1" width="9.140625" style="658"/>
    <col min="2" max="2" width="36.7109375" style="658" customWidth="1"/>
    <col min="3" max="3" width="22.7109375" style="658" customWidth="1"/>
    <col min="4" max="4" width="36.7109375" style="658" customWidth="1"/>
    <col min="5" max="5" width="22.7109375" style="658" customWidth="1"/>
    <col min="6" max="8" width="15.7109375" style="658" customWidth="1"/>
    <col min="9" max="16384" width="9.140625" style="658"/>
  </cols>
  <sheetData>
    <row r="2" spans="2:8" ht="19.5">
      <c r="B2" s="663" t="s">
        <v>13</v>
      </c>
      <c r="C2" s="660"/>
      <c r="D2" s="666" t="s">
        <v>27</v>
      </c>
      <c r="E2" s="1247">
        <v>44672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696"/>
      <c r="C9" s="696" t="s">
        <v>16</v>
      </c>
      <c r="D9" s="692"/>
      <c r="E9" s="693">
        <f>D9*9.5</f>
        <v>0</v>
      </c>
    </row>
    <row r="10" spans="2:8" ht="20.100000000000001" customHeight="1">
      <c r="B10" s="696"/>
      <c r="C10" s="696" t="s">
        <v>16</v>
      </c>
      <c r="D10" s="692"/>
      <c r="E10" s="693">
        <f>D10*9.5</f>
        <v>0</v>
      </c>
    </row>
    <row r="11" spans="2:8" ht="20.100000000000001" customHeight="1">
      <c r="B11" s="696"/>
      <c r="C11" s="696" t="s">
        <v>26</v>
      </c>
      <c r="D11" s="692"/>
      <c r="E11" s="693">
        <f>D11*9.5</f>
        <v>0</v>
      </c>
    </row>
    <row r="12" spans="2:8" ht="20.100000000000001" customHeight="1">
      <c r="B12" s="696"/>
      <c r="C12" s="696" t="s">
        <v>26</v>
      </c>
      <c r="D12" s="692"/>
      <c r="E12" s="693">
        <f>D12*9.5</f>
        <v>0</v>
      </c>
    </row>
    <row r="13" spans="2:8" ht="20.100000000000001" customHeight="1">
      <c r="B13" s="1267" t="s">
        <v>24</v>
      </c>
      <c r="C13" s="1267"/>
      <c r="D13" s="692">
        <f>SUM(D9:D12)</f>
        <v>0</v>
      </c>
      <c r="E13" s="69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705" t="s">
        <v>244</v>
      </c>
      <c r="C18" s="698" t="s">
        <v>16</v>
      </c>
      <c r="D18" s="667">
        <v>410</v>
      </c>
      <c r="E18" s="685">
        <f>D18*9.5</f>
        <v>3895</v>
      </c>
    </row>
    <row r="19" spans="2:5" ht="20.100000000000001" customHeight="1">
      <c r="B19" s="706" t="s">
        <v>185</v>
      </c>
      <c r="C19" s="698" t="s">
        <v>16</v>
      </c>
      <c r="D19" s="667">
        <v>780</v>
      </c>
      <c r="E19" s="685">
        <f>D19*9.5</f>
        <v>7410</v>
      </c>
    </row>
    <row r="20" spans="2:5" ht="20.100000000000001" customHeight="1">
      <c r="B20" s="704"/>
      <c r="C20" s="696" t="s">
        <v>71</v>
      </c>
      <c r="D20" s="692"/>
      <c r="E20" s="693">
        <f>D20*10</f>
        <v>0</v>
      </c>
    </row>
    <row r="21" spans="2:5" ht="20.100000000000001" customHeight="1">
      <c r="B21" s="703" t="s">
        <v>45</v>
      </c>
      <c r="C21" s="698" t="s">
        <v>26</v>
      </c>
      <c r="D21" s="667">
        <v>404</v>
      </c>
      <c r="E21" s="685">
        <f>D21*9.5</f>
        <v>3838</v>
      </c>
    </row>
    <row r="22" spans="2:5" ht="20.100000000000001" customHeight="1">
      <c r="B22" s="703" t="s">
        <v>188</v>
      </c>
      <c r="C22" s="698" t="s">
        <v>26</v>
      </c>
      <c r="D22" s="667">
        <v>276</v>
      </c>
      <c r="E22" s="685">
        <f>D22*9.5</f>
        <v>2622</v>
      </c>
    </row>
    <row r="23" spans="2:5" ht="20.100000000000001" customHeight="1">
      <c r="B23" s="1259" t="s">
        <v>24</v>
      </c>
      <c r="C23" s="1259"/>
      <c r="D23" s="661">
        <f>SUM(D18:D22)</f>
        <v>1870</v>
      </c>
      <c r="E23" s="678">
        <f>D23*9.5</f>
        <v>17765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706" t="s">
        <v>144</v>
      </c>
      <c r="C28" s="687" t="s">
        <v>26</v>
      </c>
      <c r="D28" s="667">
        <v>188</v>
      </c>
      <c r="E28" s="685">
        <f>D28*9.5</f>
        <v>1786</v>
      </c>
    </row>
    <row r="29" spans="2:5">
      <c r="B29" s="706" t="s">
        <v>70</v>
      </c>
      <c r="C29" s="687" t="s">
        <v>16</v>
      </c>
      <c r="D29" s="667">
        <v>294</v>
      </c>
      <c r="E29" s="685">
        <f>D29*9.5</f>
        <v>2793</v>
      </c>
    </row>
    <row r="30" spans="2:5">
      <c r="B30" s="706" t="s">
        <v>242</v>
      </c>
      <c r="C30" s="687" t="s">
        <v>16</v>
      </c>
      <c r="D30" s="667">
        <v>375</v>
      </c>
      <c r="E30" s="685">
        <f>D30*9.5</f>
        <v>3562.5</v>
      </c>
    </row>
    <row r="31" spans="2:5">
      <c r="B31" s="631"/>
      <c r="C31" s="696" t="s">
        <v>71</v>
      </c>
      <c r="D31" s="692"/>
      <c r="E31" s="693">
        <f>D31*9.5</f>
        <v>0</v>
      </c>
    </row>
    <row r="32" spans="2:5" ht="20.100000000000001" customHeight="1">
      <c r="B32" s="1259" t="s">
        <v>24</v>
      </c>
      <c r="C32" s="1259"/>
      <c r="D32" s="661">
        <f>SUM(D28:D31)</f>
        <v>857</v>
      </c>
      <c r="E32" s="678">
        <f>D32*9.5</f>
        <v>8141.5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1870</v>
      </c>
      <c r="E35" s="680">
        <f>D32</f>
        <v>857</v>
      </c>
    </row>
    <row r="36" spans="2:5">
      <c r="B36" s="677" t="s">
        <v>36</v>
      </c>
      <c r="C36" s="675">
        <f>C35*9.5</f>
        <v>0</v>
      </c>
      <c r="D36" s="675">
        <f>D35*9.5</f>
        <v>17765</v>
      </c>
      <c r="E36" s="675">
        <f>E35*9.5</f>
        <v>8141.5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2727</v>
      </c>
      <c r="D38" s="378" t="s">
        <v>253</v>
      </c>
      <c r="E38" s="381">
        <f>C38*9.5</f>
        <v>25906.5</v>
      </c>
    </row>
    <row r="39" spans="2:5">
      <c r="B39" s="377" t="s">
        <v>197</v>
      </c>
      <c r="C39" s="378">
        <f>C40-C38</f>
        <v>3497</v>
      </c>
      <c r="D39" s="378" t="s">
        <v>204</v>
      </c>
      <c r="E39" s="381">
        <f>C39*9</f>
        <v>31473</v>
      </c>
    </row>
    <row r="40" spans="2:5" ht="19.5">
      <c r="B40" s="665" t="s">
        <v>201</v>
      </c>
      <c r="C40" s="380">
        <f>'Patron Counts v Swipes'!D154</f>
        <v>6224</v>
      </c>
      <c r="D40" s="380" t="s">
        <v>202</v>
      </c>
      <c r="E40" s="379">
        <f>SUM(E38+E39)</f>
        <v>57379.5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9WWnzdxowhpcq4tMt6Tp8F1D4eokAEbIFO6ZAIz8Qjn/QrgO0Myank67UAMjIXFI6dwERuGnw86rYJXnDK2/FQ==" saltValue="GuHJmuarADqBaFWPbBaxUQ==" spinCount="100000" sheet="1" objects="1" scenarios="1"/>
  <mergeCells count="22"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B7973-DD5B-48AC-9CEB-BB0C83914078}">
  <sheetPr codeName="Sheet54">
    <pageSetUpPr fitToPage="1"/>
  </sheetPr>
  <dimension ref="B2:H44"/>
  <sheetViews>
    <sheetView workbookViewId="0"/>
  </sheetViews>
  <sheetFormatPr defaultColWidth="9.140625" defaultRowHeight="15"/>
  <cols>
    <col min="1" max="1" width="9.140625" style="658"/>
    <col min="2" max="2" width="36.7109375" style="658" customWidth="1"/>
    <col min="3" max="3" width="22.7109375" style="658" customWidth="1"/>
    <col min="4" max="4" width="36.7109375" style="658" customWidth="1"/>
    <col min="5" max="5" width="22.7109375" style="658" customWidth="1"/>
    <col min="6" max="8" width="15.7109375" style="658" customWidth="1"/>
    <col min="9" max="16384" width="9.140625" style="658"/>
  </cols>
  <sheetData>
    <row r="2" spans="2:8" ht="19.5">
      <c r="B2" s="663" t="s">
        <v>13</v>
      </c>
      <c r="C2" s="660"/>
      <c r="D2" s="666" t="s">
        <v>27</v>
      </c>
      <c r="E2" s="1247">
        <v>44671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681"/>
      <c r="C9" s="681" t="s">
        <v>16</v>
      </c>
      <c r="D9" s="682"/>
      <c r="E9" s="683">
        <f>D9*9.5</f>
        <v>0</v>
      </c>
    </row>
    <row r="10" spans="2:8" ht="20.100000000000001" customHeight="1">
      <c r="B10" s="681"/>
      <c r="C10" s="681" t="s">
        <v>16</v>
      </c>
      <c r="D10" s="682"/>
      <c r="E10" s="683">
        <f>D10*9.5</f>
        <v>0</v>
      </c>
    </row>
    <row r="11" spans="2:8" ht="20.100000000000001" customHeight="1">
      <c r="B11" s="681"/>
      <c r="C11" s="681" t="s">
        <v>26</v>
      </c>
      <c r="D11" s="682"/>
      <c r="E11" s="683">
        <f>D11*9.5</f>
        <v>0</v>
      </c>
    </row>
    <row r="12" spans="2:8" ht="20.100000000000001" customHeight="1">
      <c r="B12" s="681"/>
      <c r="C12" s="681" t="s">
        <v>26</v>
      </c>
      <c r="D12" s="682"/>
      <c r="E12" s="683">
        <f>D12*9.5</f>
        <v>0</v>
      </c>
    </row>
    <row r="13" spans="2:8" ht="20.100000000000001" customHeight="1">
      <c r="B13" s="1267" t="s">
        <v>24</v>
      </c>
      <c r="C13" s="1267"/>
      <c r="D13" s="682">
        <f>SUM(D9:D12)</f>
        <v>0</v>
      </c>
      <c r="E13" s="68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697" t="s">
        <v>78</v>
      </c>
      <c r="C18" s="684" t="s">
        <v>16</v>
      </c>
      <c r="D18" s="667">
        <v>272</v>
      </c>
      <c r="E18" s="685">
        <f>D18*9.5</f>
        <v>2584</v>
      </c>
    </row>
    <row r="19" spans="2:5" ht="20.100000000000001" customHeight="1">
      <c r="B19" s="697" t="s">
        <v>281</v>
      </c>
      <c r="C19" s="684" t="s">
        <v>16</v>
      </c>
      <c r="D19" s="667">
        <v>268</v>
      </c>
      <c r="E19" s="685">
        <f>D19*9.5</f>
        <v>2546</v>
      </c>
    </row>
    <row r="20" spans="2:5" ht="20.100000000000001" customHeight="1">
      <c r="B20" s="696"/>
      <c r="C20" s="681" t="s">
        <v>71</v>
      </c>
      <c r="D20" s="682"/>
      <c r="E20" s="683">
        <f>D20*10</f>
        <v>0</v>
      </c>
    </row>
    <row r="21" spans="2:5" ht="20.100000000000001" customHeight="1">
      <c r="B21" s="695" t="s">
        <v>53</v>
      </c>
      <c r="C21" s="684" t="s">
        <v>26</v>
      </c>
      <c r="D21" s="667">
        <v>419</v>
      </c>
      <c r="E21" s="685">
        <f>D21*9.5</f>
        <v>3980.5</v>
      </c>
    </row>
    <row r="22" spans="2:5" ht="20.100000000000001" customHeight="1">
      <c r="B22" s="695" t="s">
        <v>12</v>
      </c>
      <c r="C22" s="684" t="s">
        <v>26</v>
      </c>
      <c r="D22" s="667">
        <v>220</v>
      </c>
      <c r="E22" s="685">
        <f>D22*9.5</f>
        <v>2090</v>
      </c>
    </row>
    <row r="23" spans="2:5" ht="20.100000000000001" customHeight="1">
      <c r="B23" s="1259" t="s">
        <v>24</v>
      </c>
      <c r="C23" s="1259"/>
      <c r="D23" s="661">
        <f>SUM(D18:D22)</f>
        <v>1179</v>
      </c>
      <c r="E23" s="678">
        <f>D23*9.5</f>
        <v>11200.5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698" t="s">
        <v>53</v>
      </c>
      <c r="C28" s="687" t="s">
        <v>26</v>
      </c>
      <c r="D28" s="667"/>
      <c r="E28" s="685">
        <f>D28*9.5</f>
        <v>0</v>
      </c>
    </row>
    <row r="29" spans="2:5">
      <c r="B29" s="698" t="s">
        <v>258</v>
      </c>
      <c r="C29" s="687" t="s">
        <v>16</v>
      </c>
      <c r="D29" s="667">
        <v>289</v>
      </c>
      <c r="E29" s="685">
        <f>D29*9.5</f>
        <v>2745.5</v>
      </c>
    </row>
    <row r="30" spans="2:5">
      <c r="B30" s="699" t="s">
        <v>282</v>
      </c>
      <c r="C30" s="687" t="s">
        <v>16</v>
      </c>
      <c r="D30" s="667">
        <v>267</v>
      </c>
      <c r="E30" s="685">
        <f>D30*9.5</f>
        <v>2536.5</v>
      </c>
    </row>
    <row r="31" spans="2:5">
      <c r="B31" s="631"/>
      <c r="C31" s="681" t="s">
        <v>71</v>
      </c>
      <c r="D31" s="682"/>
      <c r="E31" s="683">
        <f>D31*9.5</f>
        <v>0</v>
      </c>
    </row>
    <row r="32" spans="2:5" ht="20.100000000000001" customHeight="1">
      <c r="B32" s="1259" t="s">
        <v>24</v>
      </c>
      <c r="C32" s="1259"/>
      <c r="D32" s="661">
        <f>SUM(D28:D31)</f>
        <v>556</v>
      </c>
      <c r="E32" s="678">
        <f>D32*9.5</f>
        <v>5282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1179</v>
      </c>
      <c r="E35" s="680">
        <f>D32</f>
        <v>556</v>
      </c>
    </row>
    <row r="36" spans="2:5">
      <c r="B36" s="677" t="s">
        <v>36</v>
      </c>
      <c r="C36" s="675">
        <f>C35*9.5</f>
        <v>0</v>
      </c>
      <c r="D36" s="675">
        <f>D35*9.5</f>
        <v>11200.5</v>
      </c>
      <c r="E36" s="675">
        <f>E35*9.5</f>
        <v>5282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1735</v>
      </c>
      <c r="D38" s="378" t="s">
        <v>253</v>
      </c>
      <c r="E38" s="381">
        <f>C38*9.5</f>
        <v>16482.5</v>
      </c>
    </row>
    <row r="39" spans="2:5">
      <c r="B39" s="377" t="s">
        <v>197</v>
      </c>
      <c r="C39" s="378">
        <f>C40-C38</f>
        <v>3673</v>
      </c>
      <c r="D39" s="378" t="s">
        <v>204</v>
      </c>
      <c r="E39" s="381">
        <f>C39*9</f>
        <v>33057</v>
      </c>
    </row>
    <row r="40" spans="2:5" ht="19.5">
      <c r="B40" s="665" t="s">
        <v>201</v>
      </c>
      <c r="C40" s="380">
        <f>'Patron Counts v Swipes'!D148</f>
        <v>5408</v>
      </c>
      <c r="D40" s="380" t="s">
        <v>202</v>
      </c>
      <c r="E40" s="379">
        <f>SUM(E38+E39)</f>
        <v>49539.5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2mwO8jpxLIubenxMFv0kc5X524gMCwpKZ2tgkrArGz/groBHlFeW5wuNWSD9P5Q6XtJpxXFVLLPqpqvMpi5I/A==" saltValue="9+jGt7BWIgngg56iuvCXX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A8093-4B12-40D1-9BED-7298ED17CC88}">
  <sheetPr codeName="Sheet55">
    <pageSetUpPr fitToPage="1"/>
  </sheetPr>
  <dimension ref="B2:H44"/>
  <sheetViews>
    <sheetView workbookViewId="0"/>
  </sheetViews>
  <sheetFormatPr defaultColWidth="9.140625" defaultRowHeight="15"/>
  <cols>
    <col min="1" max="1" width="9.140625" style="658"/>
    <col min="2" max="2" width="36.7109375" style="658" customWidth="1"/>
    <col min="3" max="3" width="22.7109375" style="658" customWidth="1"/>
    <col min="4" max="4" width="36.7109375" style="658" customWidth="1"/>
    <col min="5" max="5" width="22.7109375" style="658" customWidth="1"/>
    <col min="6" max="8" width="15.7109375" style="658" customWidth="1"/>
    <col min="9" max="16384" width="9.140625" style="658"/>
  </cols>
  <sheetData>
    <row r="2" spans="2:8" ht="19.5">
      <c r="B2" s="663" t="s">
        <v>13</v>
      </c>
      <c r="C2" s="660"/>
      <c r="D2" s="666" t="s">
        <v>27</v>
      </c>
      <c r="E2" s="1247">
        <v>44670</v>
      </c>
      <c r="F2" s="1247"/>
      <c r="G2" s="1247"/>
      <c r="H2" s="1247"/>
    </row>
    <row r="3" spans="2:8">
      <c r="B3" s="660"/>
      <c r="C3" s="660"/>
    </row>
    <row r="4" spans="2:8">
      <c r="B4" s="660"/>
      <c r="C4" s="660"/>
    </row>
    <row r="5" spans="2:8">
      <c r="B5" s="660"/>
      <c r="C5" s="660"/>
    </row>
    <row r="6" spans="2:8" ht="19.5">
      <c r="B6" s="664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659" customFormat="1">
      <c r="B8" s="1251"/>
      <c r="C8" s="1251"/>
      <c r="D8" s="1252"/>
      <c r="E8" s="1254"/>
    </row>
    <row r="9" spans="2:8" ht="20.100000000000001" customHeight="1">
      <c r="B9" s="681"/>
      <c r="C9" s="681" t="s">
        <v>16</v>
      </c>
      <c r="D9" s="682"/>
      <c r="E9" s="683">
        <f>D9*9.5</f>
        <v>0</v>
      </c>
    </row>
    <row r="10" spans="2:8" ht="20.100000000000001" customHeight="1">
      <c r="B10" s="681"/>
      <c r="C10" s="681" t="s">
        <v>16</v>
      </c>
      <c r="D10" s="682"/>
      <c r="E10" s="683">
        <f>D10*9.5</f>
        <v>0</v>
      </c>
    </row>
    <row r="11" spans="2:8" ht="20.100000000000001" customHeight="1">
      <c r="B11" s="681"/>
      <c r="C11" s="681" t="s">
        <v>26</v>
      </c>
      <c r="D11" s="682"/>
      <c r="E11" s="683">
        <f>D11*9.5</f>
        <v>0</v>
      </c>
    </row>
    <row r="12" spans="2:8" ht="20.100000000000001" customHeight="1">
      <c r="B12" s="681"/>
      <c r="C12" s="681" t="s">
        <v>26</v>
      </c>
      <c r="D12" s="682"/>
      <c r="E12" s="683">
        <f>D12*9.5</f>
        <v>0</v>
      </c>
    </row>
    <row r="13" spans="2:8" ht="20.100000000000001" customHeight="1">
      <c r="B13" s="1267" t="s">
        <v>24</v>
      </c>
      <c r="C13" s="1267"/>
      <c r="D13" s="682">
        <f>SUM(D9:D12)</f>
        <v>0</v>
      </c>
      <c r="E13" s="683">
        <f>D13*9.5</f>
        <v>0</v>
      </c>
    </row>
    <row r="15" spans="2:8" ht="19.5">
      <c r="B15" s="665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659" customFormat="1">
      <c r="B17" s="1251"/>
      <c r="C17" s="1251"/>
      <c r="D17" s="1252"/>
      <c r="E17" s="1254"/>
    </row>
    <row r="18" spans="2:5" ht="20.100000000000001" customHeight="1">
      <c r="B18" s="690" t="s">
        <v>271</v>
      </c>
      <c r="C18" s="684" t="s">
        <v>16</v>
      </c>
      <c r="D18" s="667">
        <v>419</v>
      </c>
      <c r="E18" s="685">
        <f>D18*9.5</f>
        <v>3980.5</v>
      </c>
    </row>
    <row r="19" spans="2:5" ht="20.100000000000001" customHeight="1">
      <c r="B19" s="690" t="s">
        <v>82</v>
      </c>
      <c r="C19" s="684" t="s">
        <v>16</v>
      </c>
      <c r="D19" s="667">
        <v>370</v>
      </c>
      <c r="E19" s="685">
        <f>D19*9.5</f>
        <v>3515</v>
      </c>
    </row>
    <row r="20" spans="2:5" ht="20.100000000000001" customHeight="1">
      <c r="B20" s="689"/>
      <c r="C20" s="681" t="s">
        <v>71</v>
      </c>
      <c r="D20" s="682"/>
      <c r="E20" s="683">
        <f>D20*10</f>
        <v>0</v>
      </c>
    </row>
    <row r="21" spans="2:5" ht="20.100000000000001" customHeight="1">
      <c r="B21" s="688" t="s">
        <v>143</v>
      </c>
      <c r="C21" s="684" t="s">
        <v>26</v>
      </c>
      <c r="D21" s="667">
        <v>430</v>
      </c>
      <c r="E21" s="685">
        <f>D21*9.5</f>
        <v>4085</v>
      </c>
    </row>
    <row r="22" spans="2:5" ht="20.100000000000001" customHeight="1">
      <c r="B22" s="688" t="s">
        <v>188</v>
      </c>
      <c r="C22" s="684" t="s">
        <v>26</v>
      </c>
      <c r="D22" s="667">
        <v>303</v>
      </c>
      <c r="E22" s="685">
        <f>D22*9.5</f>
        <v>2878.5</v>
      </c>
    </row>
    <row r="23" spans="2:5" ht="20.100000000000001" customHeight="1">
      <c r="B23" s="1259" t="s">
        <v>24</v>
      </c>
      <c r="C23" s="1259"/>
      <c r="D23" s="661">
        <f>SUM(D18:D22)</f>
        <v>1522</v>
      </c>
      <c r="E23" s="678">
        <f>D23*9.5</f>
        <v>14459</v>
      </c>
    </row>
    <row r="24" spans="2:5">
      <c r="B24" s="668"/>
      <c r="C24" s="668"/>
      <c r="D24" s="669"/>
      <c r="E24" s="669"/>
    </row>
    <row r="25" spans="2:5" ht="19.5">
      <c r="B25" s="670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694" t="s">
        <v>65</v>
      </c>
      <c r="C28" s="687" t="s">
        <v>26</v>
      </c>
      <c r="D28" s="667">
        <v>288</v>
      </c>
      <c r="E28" s="685">
        <f>D28*9.5</f>
        <v>2736</v>
      </c>
    </row>
    <row r="29" spans="2:5">
      <c r="B29" s="694" t="s">
        <v>145</v>
      </c>
      <c r="C29" s="687" t="s">
        <v>16</v>
      </c>
      <c r="D29" s="667">
        <v>302</v>
      </c>
      <c r="E29" s="685">
        <f>D29*9.5</f>
        <v>2869</v>
      </c>
    </row>
    <row r="30" spans="2:5">
      <c r="B30" s="631"/>
      <c r="C30" s="691" t="s">
        <v>16</v>
      </c>
      <c r="D30" s="692"/>
      <c r="E30" s="693">
        <f>D30*9.5</f>
        <v>0</v>
      </c>
    </row>
    <row r="31" spans="2:5">
      <c r="B31" s="631"/>
      <c r="C31" s="681" t="s">
        <v>71</v>
      </c>
      <c r="D31" s="682"/>
      <c r="E31" s="683">
        <f>D31*9.5</f>
        <v>0</v>
      </c>
    </row>
    <row r="32" spans="2:5" ht="20.100000000000001" customHeight="1">
      <c r="B32" s="1259" t="s">
        <v>24</v>
      </c>
      <c r="C32" s="1259"/>
      <c r="D32" s="661">
        <f>SUM(D28:D31)</f>
        <v>590</v>
      </c>
      <c r="E32" s="678">
        <f>D32*9.5</f>
        <v>5605</v>
      </c>
    </row>
    <row r="33" spans="2:5" ht="19.5">
      <c r="B33" s="1260" t="s">
        <v>200</v>
      </c>
      <c r="C33" s="1260"/>
      <c r="D33" s="1260"/>
      <c r="E33" s="1260"/>
    </row>
    <row r="34" spans="2:5">
      <c r="B34" s="674"/>
      <c r="C34" s="676" t="s">
        <v>34</v>
      </c>
      <c r="D34" s="676" t="s">
        <v>35</v>
      </c>
      <c r="E34" s="676" t="s">
        <v>37</v>
      </c>
    </row>
    <row r="35" spans="2:5">
      <c r="B35" s="677" t="s">
        <v>39</v>
      </c>
      <c r="C35" s="679">
        <f>D13</f>
        <v>0</v>
      </c>
      <c r="D35" s="680">
        <f>D23</f>
        <v>1522</v>
      </c>
      <c r="E35" s="680">
        <f>D32</f>
        <v>590</v>
      </c>
    </row>
    <row r="36" spans="2:5">
      <c r="B36" s="677" t="s">
        <v>36</v>
      </c>
      <c r="C36" s="675">
        <f>C35*9.5</f>
        <v>0</v>
      </c>
      <c r="D36" s="675">
        <f>D35*9.5</f>
        <v>14459</v>
      </c>
      <c r="E36" s="675">
        <f>E35*9.5</f>
        <v>5605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2112</v>
      </c>
      <c r="D38" s="378" t="s">
        <v>253</v>
      </c>
      <c r="E38" s="381">
        <f>C38*9.5</f>
        <v>20064</v>
      </c>
    </row>
    <row r="39" spans="2:5">
      <c r="B39" s="377" t="s">
        <v>197</v>
      </c>
      <c r="C39" s="378">
        <f>C40-C38</f>
        <v>4523</v>
      </c>
      <c r="D39" s="378" t="s">
        <v>204</v>
      </c>
      <c r="E39" s="381">
        <f>C39*9</f>
        <v>40707</v>
      </c>
    </row>
    <row r="40" spans="2:5" ht="19.5">
      <c r="B40" s="665" t="s">
        <v>201</v>
      </c>
      <c r="C40" s="380">
        <f>'Patron Counts v Swipes'!D142</f>
        <v>6635</v>
      </c>
      <c r="D40" s="380" t="s">
        <v>202</v>
      </c>
      <c r="E40" s="379">
        <f>SUM(E38+E39)</f>
        <v>60771</v>
      </c>
    </row>
    <row r="42" spans="2:5">
      <c r="B42" s="662" t="s">
        <v>5</v>
      </c>
      <c r="C42" s="671"/>
    </row>
    <row r="43" spans="2:5">
      <c r="B43" s="672" t="s">
        <v>4</v>
      </c>
      <c r="C43" s="673"/>
    </row>
    <row r="44" spans="2:5">
      <c r="B44" s="672" t="s">
        <v>25</v>
      </c>
      <c r="C44" s="673"/>
    </row>
  </sheetData>
  <sheetProtection algorithmName="SHA-512" hashValue="o7J+oPqgnWxNXPj1Xcnqa0phVyni3XqwSFkAqJUWoIPoNPQBCdScC6UOfqgjmdiVUZwYdgyU/Q+BqHzIq9YpZA==" saltValue="XU3M+Kp1PN/223dxi/h8U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5F3EC-7B3A-4FF9-8977-AED9E3C78AED}">
  <sheetPr codeName="Sheet56">
    <pageSetUpPr fitToPage="1"/>
  </sheetPr>
  <dimension ref="B2:H44"/>
  <sheetViews>
    <sheetView workbookViewId="0"/>
  </sheetViews>
  <sheetFormatPr defaultColWidth="9.140625" defaultRowHeight="15"/>
  <cols>
    <col min="1" max="1" width="9.140625" style="592"/>
    <col min="2" max="2" width="36.7109375" style="592" customWidth="1"/>
    <col min="3" max="3" width="22.7109375" style="592" customWidth="1"/>
    <col min="4" max="4" width="36.7109375" style="592" customWidth="1"/>
    <col min="5" max="5" width="22.7109375" style="592" customWidth="1"/>
    <col min="6" max="8" width="15.7109375" style="592" customWidth="1"/>
    <col min="9" max="16384" width="9.140625" style="592"/>
  </cols>
  <sheetData>
    <row r="2" spans="2:8" ht="19.5">
      <c r="B2" s="480" t="s">
        <v>13</v>
      </c>
      <c r="C2" s="476"/>
      <c r="D2" s="483" t="s">
        <v>27</v>
      </c>
      <c r="E2" s="1247">
        <v>44669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642"/>
      <c r="C9" s="642" t="s">
        <v>16</v>
      </c>
      <c r="D9" s="568"/>
      <c r="E9" s="569">
        <f>D9*9.5</f>
        <v>0</v>
      </c>
    </row>
    <row r="10" spans="2:8" ht="20.100000000000001" customHeight="1">
      <c r="B10" s="642"/>
      <c r="C10" s="642" t="s">
        <v>16</v>
      </c>
      <c r="D10" s="568"/>
      <c r="E10" s="569">
        <f>D10*9.5</f>
        <v>0</v>
      </c>
    </row>
    <row r="11" spans="2:8" ht="20.100000000000001" customHeight="1">
      <c r="B11" s="642"/>
      <c r="C11" s="642" t="s">
        <v>26</v>
      </c>
      <c r="D11" s="568"/>
      <c r="E11" s="569">
        <f>D11*9.5</f>
        <v>0</v>
      </c>
    </row>
    <row r="12" spans="2:8" ht="20.100000000000001" customHeight="1">
      <c r="B12" s="642"/>
      <c r="C12" s="642" t="s">
        <v>26</v>
      </c>
      <c r="D12" s="568"/>
      <c r="E12" s="569">
        <f>D12*9.5</f>
        <v>0</v>
      </c>
    </row>
    <row r="13" spans="2:8" ht="20.100000000000001" customHeight="1">
      <c r="B13" s="1267" t="s">
        <v>24</v>
      </c>
      <c r="C13" s="1267"/>
      <c r="D13" s="568">
        <f>SUM(D9:D12)</f>
        <v>0</v>
      </c>
      <c r="E13" s="569">
        <f>D13*9.5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657" t="s">
        <v>280</v>
      </c>
      <c r="C18" s="653" t="s">
        <v>16</v>
      </c>
      <c r="D18" s="609">
        <v>490</v>
      </c>
      <c r="E18" s="611">
        <f>D18*9.5</f>
        <v>4655</v>
      </c>
    </row>
    <row r="19" spans="2:5" ht="20.100000000000001" customHeight="1">
      <c r="B19" s="657" t="s">
        <v>261</v>
      </c>
      <c r="C19" s="653" t="s">
        <v>16</v>
      </c>
      <c r="D19" s="609">
        <v>303</v>
      </c>
      <c r="E19" s="611">
        <f>D19*9.5</f>
        <v>2878.5</v>
      </c>
    </row>
    <row r="20" spans="2:5" ht="20.100000000000001" customHeight="1">
      <c r="B20" s="656"/>
      <c r="C20" s="642" t="s">
        <v>71</v>
      </c>
      <c r="D20" s="568"/>
      <c r="E20" s="569">
        <f>D20*10</f>
        <v>0</v>
      </c>
    </row>
    <row r="21" spans="2:5" ht="20.100000000000001" customHeight="1">
      <c r="B21" s="681"/>
      <c r="C21" s="681" t="s">
        <v>26</v>
      </c>
      <c r="D21" s="682"/>
      <c r="E21" s="683">
        <f>D21*9.5</f>
        <v>0</v>
      </c>
    </row>
    <row r="22" spans="2:5" ht="20.100000000000001" customHeight="1">
      <c r="B22" s="655" t="s">
        <v>205</v>
      </c>
      <c r="C22" s="653" t="s">
        <v>26</v>
      </c>
      <c r="D22" s="609">
        <v>324</v>
      </c>
      <c r="E22" s="611">
        <f>D22*9.5</f>
        <v>3078</v>
      </c>
    </row>
    <row r="23" spans="2:5" ht="20.100000000000001" customHeight="1">
      <c r="B23" s="1259" t="s">
        <v>24</v>
      </c>
      <c r="C23" s="1259"/>
      <c r="D23" s="518">
        <f>SUM(D18:D22)</f>
        <v>1117</v>
      </c>
      <c r="E23" s="519">
        <f>D23*9.5</f>
        <v>10611.5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681"/>
      <c r="C28" s="681" t="s">
        <v>26</v>
      </c>
      <c r="D28" s="682"/>
      <c r="E28" s="683">
        <f>D28*9.5</f>
        <v>0</v>
      </c>
    </row>
    <row r="29" spans="2:5">
      <c r="B29" s="684" t="s">
        <v>276</v>
      </c>
      <c r="C29" s="651" t="s">
        <v>16</v>
      </c>
      <c r="D29" s="609">
        <v>232</v>
      </c>
      <c r="E29" s="611">
        <f>D29*9.5</f>
        <v>2204</v>
      </c>
    </row>
    <row r="30" spans="2:5">
      <c r="B30" s="686" t="s">
        <v>235</v>
      </c>
      <c r="C30" s="651" t="s">
        <v>16</v>
      </c>
      <c r="D30" s="609">
        <v>416</v>
      </c>
      <c r="E30" s="611">
        <f>D30*9.5</f>
        <v>3952</v>
      </c>
    </row>
    <row r="31" spans="2:5">
      <c r="B31" s="631"/>
      <c r="C31" s="642" t="s">
        <v>71</v>
      </c>
      <c r="D31" s="568"/>
      <c r="E31" s="569">
        <f>D31*9.5</f>
        <v>0</v>
      </c>
    </row>
    <row r="32" spans="2:5" ht="20.100000000000001" customHeight="1">
      <c r="B32" s="1259" t="s">
        <v>24</v>
      </c>
      <c r="C32" s="1259"/>
      <c r="D32" s="518">
        <f>SUM(D28:D31)</f>
        <v>648</v>
      </c>
      <c r="E32" s="519">
        <f>D32*9.5</f>
        <v>6156</v>
      </c>
    </row>
    <row r="33" spans="2:5" ht="19.5">
      <c r="B33" s="1260" t="s">
        <v>200</v>
      </c>
      <c r="C33" s="1260"/>
      <c r="D33" s="1260"/>
      <c r="E33" s="1260"/>
    </row>
    <row r="34" spans="2:5">
      <c r="B34" s="492"/>
      <c r="C34" s="494" t="s">
        <v>34</v>
      </c>
      <c r="D34" s="494" t="s">
        <v>35</v>
      </c>
      <c r="E34" s="494" t="s">
        <v>37</v>
      </c>
    </row>
    <row r="35" spans="2:5">
      <c r="B35" s="495" t="s">
        <v>39</v>
      </c>
      <c r="C35" s="497">
        <f>D13</f>
        <v>0</v>
      </c>
      <c r="D35" s="498">
        <f>D23</f>
        <v>1117</v>
      </c>
      <c r="E35" s="498">
        <f>D32</f>
        <v>648</v>
      </c>
    </row>
    <row r="36" spans="2:5">
      <c r="B36" s="495" t="s">
        <v>36</v>
      </c>
      <c r="C36" s="493">
        <f>C35*9.5</f>
        <v>0</v>
      </c>
      <c r="D36" s="493">
        <f>D35*9.5</f>
        <v>10611.5</v>
      </c>
      <c r="E36" s="493">
        <f>E35*9.5</f>
        <v>6156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1765</v>
      </c>
      <c r="D38" s="378" t="s">
        <v>253</v>
      </c>
      <c r="E38" s="381">
        <f>C38*9.5</f>
        <v>16767.5</v>
      </c>
    </row>
    <row r="39" spans="2:5">
      <c r="B39" s="377" t="s">
        <v>197</v>
      </c>
      <c r="C39" s="378">
        <f>C40-C38</f>
        <v>3808</v>
      </c>
      <c r="D39" s="378" t="s">
        <v>204</v>
      </c>
      <c r="E39" s="381">
        <f>C39*9</f>
        <v>34272</v>
      </c>
    </row>
    <row r="40" spans="2:5" ht="19.5">
      <c r="B40" s="482" t="s">
        <v>201</v>
      </c>
      <c r="C40" s="380">
        <f>'Patron Counts v Swipes'!D136</f>
        <v>5573</v>
      </c>
      <c r="D40" s="380" t="s">
        <v>202</v>
      </c>
      <c r="E40" s="379">
        <f>SUM(E38+E39)</f>
        <v>51039.5</v>
      </c>
    </row>
    <row r="42" spans="2:5">
      <c r="B42" s="479" t="s">
        <v>5</v>
      </c>
      <c r="C42" s="489"/>
    </row>
    <row r="43" spans="2:5">
      <c r="B43" s="490" t="s">
        <v>4</v>
      </c>
      <c r="C43" s="491"/>
    </row>
    <row r="44" spans="2:5">
      <c r="B44" s="490" t="s">
        <v>25</v>
      </c>
      <c r="C44" s="491"/>
    </row>
  </sheetData>
  <sheetProtection algorithmName="SHA-512" hashValue="44g5XnZbkYC4j2DtZ7JuRltNyLRgfiWCPO6I3yuipCFNfexiNcQ7bJJ4NQh4i1pJNWFl0SWB1HEccSA5lX+Q/g==" saltValue="IRGAeX51f+9SPbiIFNq5L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A6DB8-AC10-49F2-8A1C-F84C7B86C9A0}">
  <sheetPr codeName="Sheet57">
    <pageSetUpPr fitToPage="1"/>
  </sheetPr>
  <dimension ref="B2:H43"/>
  <sheetViews>
    <sheetView workbookViewId="0"/>
  </sheetViews>
  <sheetFormatPr defaultColWidth="9.140625" defaultRowHeight="15"/>
  <cols>
    <col min="1" max="1" width="9.140625" style="592"/>
    <col min="2" max="2" width="36.7109375" style="592" customWidth="1"/>
    <col min="3" max="3" width="22.7109375" style="592" customWidth="1"/>
    <col min="4" max="4" width="36.7109375" style="592" customWidth="1"/>
    <col min="5" max="5" width="22.7109375" style="592" customWidth="1"/>
    <col min="6" max="8" width="15.7109375" style="592" customWidth="1"/>
    <col min="9" max="16384" width="9.140625" style="592"/>
  </cols>
  <sheetData>
    <row r="2" spans="2:8" ht="19.5">
      <c r="B2" s="480" t="s">
        <v>13</v>
      </c>
      <c r="C2" s="476"/>
      <c r="D2" s="483" t="s">
        <v>27</v>
      </c>
      <c r="E2" s="1247">
        <v>44668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633"/>
      <c r="C9" s="633" t="s">
        <v>16</v>
      </c>
      <c r="D9" s="568"/>
      <c r="E9" s="569">
        <f>D9*9.5</f>
        <v>0</v>
      </c>
    </row>
    <row r="10" spans="2:8" ht="20.100000000000001" customHeight="1">
      <c r="B10" s="633"/>
      <c r="C10" s="633" t="s">
        <v>16</v>
      </c>
      <c r="D10" s="568"/>
      <c r="E10" s="569">
        <f>D10*9.5</f>
        <v>0</v>
      </c>
    </row>
    <row r="11" spans="2:8" ht="20.100000000000001" customHeight="1">
      <c r="B11" s="651" t="s">
        <v>279</v>
      </c>
      <c r="C11" s="637" t="s">
        <v>26</v>
      </c>
      <c r="D11" s="609">
        <v>549</v>
      </c>
      <c r="E11" s="611">
        <f>D11*9.5</f>
        <v>5215.5</v>
      </c>
    </row>
    <row r="12" spans="2:8" ht="20.100000000000001" customHeight="1">
      <c r="B12" s="651" t="s">
        <v>66</v>
      </c>
      <c r="C12" s="637" t="s">
        <v>26</v>
      </c>
      <c r="D12" s="609">
        <v>321</v>
      </c>
      <c r="E12" s="611">
        <f>D12*9.5</f>
        <v>3049.5</v>
      </c>
    </row>
    <row r="13" spans="2:8" ht="20.100000000000001" customHeight="1">
      <c r="B13" s="1268" t="s">
        <v>24</v>
      </c>
      <c r="C13" s="1268"/>
      <c r="D13" s="609">
        <f>SUM(D9:D12)</f>
        <v>870</v>
      </c>
      <c r="E13" s="611">
        <f>D13*9.5</f>
        <v>8265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633"/>
      <c r="C18" s="633" t="s">
        <v>16</v>
      </c>
      <c r="D18" s="568"/>
      <c r="E18" s="569">
        <f>D18*9.5</f>
        <v>0</v>
      </c>
    </row>
    <row r="19" spans="2:5" ht="20.100000000000001" customHeight="1">
      <c r="B19" s="633"/>
      <c r="C19" s="633" t="s">
        <v>16</v>
      </c>
      <c r="D19" s="568"/>
      <c r="E19" s="569">
        <f>D19*9.5</f>
        <v>0</v>
      </c>
    </row>
    <row r="20" spans="2:5" ht="20.100000000000001" customHeight="1">
      <c r="B20" s="633"/>
      <c r="C20" s="633" t="s">
        <v>71</v>
      </c>
      <c r="D20" s="568"/>
      <c r="E20" s="569">
        <f>D20*10</f>
        <v>0</v>
      </c>
    </row>
    <row r="21" spans="2:5" ht="20.100000000000001" customHeight="1">
      <c r="B21" s="652" t="s">
        <v>259</v>
      </c>
      <c r="C21" s="637" t="s">
        <v>26</v>
      </c>
      <c r="D21" s="609">
        <v>344</v>
      </c>
      <c r="E21" s="611">
        <f>D21*9.5</f>
        <v>3268</v>
      </c>
    </row>
    <row r="22" spans="2:5" ht="20.100000000000001" customHeight="1">
      <c r="B22" s="652" t="s">
        <v>250</v>
      </c>
      <c r="C22" s="637" t="s">
        <v>26</v>
      </c>
      <c r="D22" s="609">
        <v>400</v>
      </c>
      <c r="E22" s="611">
        <f>D22*9.5</f>
        <v>3800</v>
      </c>
    </row>
    <row r="23" spans="2:5" ht="20.100000000000001" customHeight="1">
      <c r="B23" s="1259" t="s">
        <v>24</v>
      </c>
      <c r="C23" s="1259"/>
      <c r="D23" s="518">
        <f>SUM(D18:D22)</f>
        <v>744</v>
      </c>
      <c r="E23" s="519">
        <f>D23*9.5</f>
        <v>7068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653" t="s">
        <v>45</v>
      </c>
      <c r="C28" s="614" t="s">
        <v>26</v>
      </c>
      <c r="D28" s="609">
        <v>297</v>
      </c>
      <c r="E28" s="611">
        <f>D28*9.5</f>
        <v>2821.5</v>
      </c>
    </row>
    <row r="29" spans="2:5">
      <c r="B29" s="653" t="s">
        <v>235</v>
      </c>
      <c r="C29" s="614" t="s">
        <v>16</v>
      </c>
      <c r="D29" s="609">
        <v>489</v>
      </c>
      <c r="E29" s="611">
        <f>D29*9.5</f>
        <v>4645.5</v>
      </c>
    </row>
    <row r="30" spans="2:5">
      <c r="B30" s="654" t="s">
        <v>184</v>
      </c>
      <c r="C30" s="614" t="s">
        <v>71</v>
      </c>
      <c r="D30" s="609">
        <v>214</v>
      </c>
      <c r="E30" s="611">
        <f>D30*9.5</f>
        <v>2033</v>
      </c>
    </row>
    <row r="31" spans="2:5" ht="20.100000000000001" customHeight="1">
      <c r="B31" s="1259" t="s">
        <v>24</v>
      </c>
      <c r="C31" s="1259"/>
      <c r="D31" s="518">
        <f>SUM(D28:D30)</f>
        <v>1000</v>
      </c>
      <c r="E31" s="519">
        <f>D31*9.5</f>
        <v>9500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870</v>
      </c>
      <c r="D34" s="498">
        <f>D23</f>
        <v>744</v>
      </c>
      <c r="E34" s="498">
        <f>D31</f>
        <v>1000</v>
      </c>
    </row>
    <row r="35" spans="2:5">
      <c r="B35" s="495" t="s">
        <v>36</v>
      </c>
      <c r="C35" s="493">
        <f>C34*9.5</f>
        <v>8265</v>
      </c>
      <c r="D35" s="493">
        <f>D34*9.5</f>
        <v>7068</v>
      </c>
      <c r="E35" s="493">
        <f>E34*9.5</f>
        <v>9500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2614</v>
      </c>
      <c r="D37" s="378" t="s">
        <v>253</v>
      </c>
      <c r="E37" s="381">
        <f>C37*9.5</f>
        <v>24833</v>
      </c>
    </row>
    <row r="38" spans="2:5">
      <c r="B38" s="377" t="s">
        <v>197</v>
      </c>
      <c r="C38" s="378">
        <f>C39-C37</f>
        <v>289</v>
      </c>
      <c r="D38" s="378" t="s">
        <v>204</v>
      </c>
      <c r="E38" s="381">
        <f>C38*9</f>
        <v>2601</v>
      </c>
    </row>
    <row r="39" spans="2:5" ht="19.5">
      <c r="B39" s="482" t="s">
        <v>201</v>
      </c>
      <c r="C39" s="380">
        <f>'Patron Counts v Swipes'!D130</f>
        <v>2903</v>
      </c>
      <c r="D39" s="380" t="s">
        <v>202</v>
      </c>
      <c r="E39" s="379">
        <f>SUM(E37+E38)</f>
        <v>27434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XyAONSmbiwYETp5ma3LWtRIcnXNmQ2XuXHqNYU9GjG2y+KSywFnaMn5RH8cWa9AM3Ctbz5ZXMy8C+sXTgcCqeA==" saltValue="xhP9lNYtmrQpYyeHkroI4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057D-61BE-4419-8FD8-D31E2D1BA4F9}">
  <sheetPr codeName="Sheet58">
    <pageSetUpPr fitToPage="1"/>
  </sheetPr>
  <dimension ref="B2:H43"/>
  <sheetViews>
    <sheetView workbookViewId="0"/>
  </sheetViews>
  <sheetFormatPr defaultColWidth="9.140625" defaultRowHeight="15"/>
  <cols>
    <col min="1" max="1" width="9.140625" style="592"/>
    <col min="2" max="2" width="36.7109375" style="592" customWidth="1"/>
    <col min="3" max="3" width="22.7109375" style="592" customWidth="1"/>
    <col min="4" max="4" width="36.7109375" style="592" customWidth="1"/>
    <col min="5" max="5" width="22.7109375" style="592" customWidth="1"/>
    <col min="6" max="8" width="15.7109375" style="592" customWidth="1"/>
    <col min="9" max="16384" width="9.140625" style="592"/>
  </cols>
  <sheetData>
    <row r="2" spans="2:8" ht="19.5">
      <c r="B2" s="480" t="s">
        <v>13</v>
      </c>
      <c r="C2" s="476"/>
      <c r="D2" s="483" t="s">
        <v>27</v>
      </c>
      <c r="E2" s="1247">
        <v>44667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633"/>
      <c r="C9" s="633" t="s">
        <v>16</v>
      </c>
      <c r="D9" s="568"/>
      <c r="E9" s="569">
        <f>D9*9.5</f>
        <v>0</v>
      </c>
    </row>
    <row r="10" spans="2:8" ht="20.100000000000001" customHeight="1">
      <c r="B10" s="633"/>
      <c r="C10" s="633" t="s">
        <v>16</v>
      </c>
      <c r="D10" s="568"/>
      <c r="E10" s="569">
        <f>D10*9.5</f>
        <v>0</v>
      </c>
    </row>
    <row r="11" spans="2:8" ht="20.100000000000001" customHeight="1">
      <c r="B11" s="646" t="s">
        <v>250</v>
      </c>
      <c r="C11" s="637" t="s">
        <v>26</v>
      </c>
      <c r="D11" s="609">
        <v>286</v>
      </c>
      <c r="E11" s="611">
        <f>D11*9.5</f>
        <v>2717</v>
      </c>
    </row>
    <row r="12" spans="2:8" ht="20.100000000000001" customHeight="1">
      <c r="B12" s="614" t="s">
        <v>66</v>
      </c>
      <c r="C12" s="637" t="s">
        <v>26</v>
      </c>
      <c r="D12" s="609">
        <v>301</v>
      </c>
      <c r="E12" s="611">
        <f>D12*9.5</f>
        <v>2859.5</v>
      </c>
    </row>
    <row r="13" spans="2:8" ht="20.100000000000001" customHeight="1">
      <c r="B13" s="1268" t="s">
        <v>24</v>
      </c>
      <c r="C13" s="1268"/>
      <c r="D13" s="609">
        <f>SUM(D9:D12)</f>
        <v>587</v>
      </c>
      <c r="E13" s="611">
        <f>D13*9.5</f>
        <v>5576.5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633"/>
      <c r="C18" s="633" t="s">
        <v>16</v>
      </c>
      <c r="D18" s="568"/>
      <c r="E18" s="569">
        <f>D18*9.5</f>
        <v>0</v>
      </c>
    </row>
    <row r="19" spans="2:5" ht="20.100000000000001" customHeight="1">
      <c r="B19" s="633"/>
      <c r="C19" s="633" t="s">
        <v>16</v>
      </c>
      <c r="D19" s="568"/>
      <c r="E19" s="569">
        <f>D19*9.5</f>
        <v>0</v>
      </c>
    </row>
    <row r="20" spans="2:5" ht="20.100000000000001" customHeight="1">
      <c r="B20" s="633"/>
      <c r="C20" s="633" t="s">
        <v>71</v>
      </c>
      <c r="D20" s="568"/>
      <c r="E20" s="569">
        <f>D20*10</f>
        <v>0</v>
      </c>
    </row>
    <row r="21" spans="2:5" ht="20.100000000000001" customHeight="1">
      <c r="B21" s="648" t="s">
        <v>250</v>
      </c>
      <c r="C21" s="637" t="s">
        <v>26</v>
      </c>
      <c r="D21" s="609">
        <v>276</v>
      </c>
      <c r="E21" s="611">
        <f>D21*9.5</f>
        <v>2622</v>
      </c>
    </row>
    <row r="22" spans="2:5" ht="20.100000000000001" customHeight="1">
      <c r="B22" s="647" t="s">
        <v>185</v>
      </c>
      <c r="C22" s="637" t="s">
        <v>26</v>
      </c>
      <c r="D22" s="609">
        <v>876</v>
      </c>
      <c r="E22" s="611">
        <f>D22*9.5</f>
        <v>8322</v>
      </c>
    </row>
    <row r="23" spans="2:5" ht="20.100000000000001" customHeight="1">
      <c r="B23" s="1259" t="s">
        <v>24</v>
      </c>
      <c r="C23" s="1259"/>
      <c r="D23" s="518">
        <f>SUM(D18:D22)</f>
        <v>1152</v>
      </c>
      <c r="E23" s="519">
        <f>D23*9.5</f>
        <v>10944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649" t="s">
        <v>242</v>
      </c>
      <c r="C28" s="614" t="s">
        <v>26</v>
      </c>
      <c r="D28" s="609">
        <v>435</v>
      </c>
      <c r="E28" s="611">
        <f>D28*9.5</f>
        <v>4132.5</v>
      </c>
    </row>
    <row r="29" spans="2:5">
      <c r="B29" s="649" t="s">
        <v>145</v>
      </c>
      <c r="C29" s="614" t="s">
        <v>16</v>
      </c>
      <c r="D29" s="609">
        <v>205</v>
      </c>
      <c r="E29" s="611">
        <f>D29*9.5</f>
        <v>1947.5</v>
      </c>
    </row>
    <row r="30" spans="2:5">
      <c r="B30" s="650" t="s">
        <v>259</v>
      </c>
      <c r="C30" s="614" t="s">
        <v>71</v>
      </c>
      <c r="D30" s="609">
        <v>202</v>
      </c>
      <c r="E30" s="611">
        <f>D30*9.5</f>
        <v>1919</v>
      </c>
    </row>
    <row r="31" spans="2:5" ht="20.100000000000001" customHeight="1">
      <c r="B31" s="1259" t="s">
        <v>24</v>
      </c>
      <c r="C31" s="1259"/>
      <c r="D31" s="518">
        <f>SUM(D28:D30)</f>
        <v>842</v>
      </c>
      <c r="E31" s="519">
        <f>D31*9.5</f>
        <v>7999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587</v>
      </c>
      <c r="D34" s="498">
        <f>D23</f>
        <v>1152</v>
      </c>
      <c r="E34" s="498">
        <f>D31</f>
        <v>842</v>
      </c>
    </row>
    <row r="35" spans="2:5">
      <c r="B35" s="495" t="s">
        <v>36</v>
      </c>
      <c r="C35" s="493">
        <f>C34*9.5</f>
        <v>5576.5</v>
      </c>
      <c r="D35" s="493">
        <f>D34*9.5</f>
        <v>10944</v>
      </c>
      <c r="E35" s="493">
        <f>E34*9.5</f>
        <v>7999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2581</v>
      </c>
      <c r="D37" s="378" t="s">
        <v>253</v>
      </c>
      <c r="E37" s="381">
        <f>C37*9.5</f>
        <v>24519.5</v>
      </c>
    </row>
    <row r="38" spans="2:5">
      <c r="B38" s="377" t="s">
        <v>197</v>
      </c>
      <c r="C38" s="378">
        <f>C39-C37</f>
        <v>108</v>
      </c>
      <c r="D38" s="378" t="s">
        <v>204</v>
      </c>
      <c r="E38" s="381">
        <f>C38*9</f>
        <v>972</v>
      </c>
    </row>
    <row r="39" spans="2:5" ht="19.5">
      <c r="B39" s="482" t="s">
        <v>201</v>
      </c>
      <c r="C39" s="380">
        <f>'Patron Counts v Swipes'!D124</f>
        <v>2689</v>
      </c>
      <c r="D39" s="380" t="s">
        <v>202</v>
      </c>
      <c r="E39" s="379">
        <f>SUM(E37+E38)</f>
        <v>25491.5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o/zR7MGq1NLaWXfqI9vubD5AeR93/pdijP2BTc34FoZQLwmymb+UZB+xx8lUP9v14PlTbFtqWyKwOpJatl31kQ==" saltValue="asRRKngmnuC98xJzCeR+d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D3626-87C0-4009-A7A4-12FDF9EEECDF}">
  <sheetPr codeName="Sheet59">
    <pageSetUpPr fitToPage="1"/>
  </sheetPr>
  <dimension ref="B2:H44"/>
  <sheetViews>
    <sheetView workbookViewId="0"/>
  </sheetViews>
  <sheetFormatPr defaultColWidth="9.140625" defaultRowHeight="15"/>
  <cols>
    <col min="1" max="1" width="9.140625" style="592"/>
    <col min="2" max="2" width="36.7109375" style="592" customWidth="1"/>
    <col min="3" max="3" width="22.7109375" style="592" customWidth="1"/>
    <col min="4" max="4" width="36.7109375" style="592" customWidth="1"/>
    <col min="5" max="5" width="22.7109375" style="592" customWidth="1"/>
    <col min="6" max="8" width="15.7109375" style="592" customWidth="1"/>
    <col min="9" max="16384" width="9.140625" style="592"/>
  </cols>
  <sheetData>
    <row r="2" spans="2:8" ht="19.5">
      <c r="B2" s="480" t="s">
        <v>13</v>
      </c>
      <c r="C2" s="476"/>
      <c r="D2" s="483" t="s">
        <v>27</v>
      </c>
      <c r="E2" s="1247">
        <v>44666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633"/>
      <c r="C9" s="633" t="s">
        <v>16</v>
      </c>
      <c r="D9" s="568"/>
      <c r="E9" s="569">
        <f>D9*9.5</f>
        <v>0</v>
      </c>
    </row>
    <row r="10" spans="2:8" ht="20.100000000000001" customHeight="1">
      <c r="B10" s="633"/>
      <c r="C10" s="633" t="s">
        <v>16</v>
      </c>
      <c r="D10" s="568"/>
      <c r="E10" s="569">
        <f>D10*9.5</f>
        <v>0</v>
      </c>
    </row>
    <row r="11" spans="2:8" ht="20.100000000000001" customHeight="1">
      <c r="B11" s="633"/>
      <c r="C11" s="633" t="s">
        <v>26</v>
      </c>
      <c r="D11" s="568"/>
      <c r="E11" s="569">
        <f>D11*9.5</f>
        <v>0</v>
      </c>
    </row>
    <row r="12" spans="2:8" ht="20.100000000000001" customHeight="1">
      <c r="B12" s="633"/>
      <c r="C12" s="633" t="s">
        <v>26</v>
      </c>
      <c r="D12" s="568"/>
      <c r="E12" s="569">
        <f>D12*9.5</f>
        <v>0</v>
      </c>
    </row>
    <row r="13" spans="2:8" ht="20.100000000000001" customHeight="1">
      <c r="B13" s="1267" t="s">
        <v>24</v>
      </c>
      <c r="C13" s="1267"/>
      <c r="D13" s="568">
        <f>SUM(D9:D12)</f>
        <v>0</v>
      </c>
      <c r="E13" s="569">
        <f>D13*9.5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643" t="s">
        <v>53</v>
      </c>
      <c r="C18" s="637" t="s">
        <v>16</v>
      </c>
      <c r="D18" s="609">
        <v>100</v>
      </c>
      <c r="E18" s="611">
        <f>D18*9.5</f>
        <v>950</v>
      </c>
    </row>
    <row r="19" spans="2:5" ht="20.100000000000001" customHeight="1">
      <c r="B19" s="643" t="s">
        <v>45</v>
      </c>
      <c r="C19" s="637" t="s">
        <v>16</v>
      </c>
      <c r="D19" s="609">
        <v>389</v>
      </c>
      <c r="E19" s="611">
        <f>D19*9.5</f>
        <v>3695.5</v>
      </c>
    </row>
    <row r="20" spans="2:5" ht="20.100000000000001" customHeight="1">
      <c r="B20" s="642"/>
      <c r="C20" s="633" t="s">
        <v>71</v>
      </c>
      <c r="D20" s="568"/>
      <c r="E20" s="569">
        <f>D20*10</f>
        <v>0</v>
      </c>
    </row>
    <row r="21" spans="2:5" ht="20.100000000000001" customHeight="1">
      <c r="B21" s="641" t="s">
        <v>270</v>
      </c>
      <c r="C21" s="637" t="s">
        <v>26</v>
      </c>
      <c r="D21" s="609">
        <v>379</v>
      </c>
      <c r="E21" s="611">
        <f>D21*9.5</f>
        <v>3600.5</v>
      </c>
    </row>
    <row r="22" spans="2:5" ht="20.100000000000001" customHeight="1">
      <c r="B22" s="641" t="s">
        <v>276</v>
      </c>
      <c r="C22" s="637" t="s">
        <v>26</v>
      </c>
      <c r="D22" s="609">
        <v>226</v>
      </c>
      <c r="E22" s="611">
        <f>D22*9.5</f>
        <v>2147</v>
      </c>
    </row>
    <row r="23" spans="2:5" ht="20.100000000000001" customHeight="1">
      <c r="B23" s="1259" t="s">
        <v>24</v>
      </c>
      <c r="C23" s="1259"/>
      <c r="D23" s="518">
        <f>SUM(D18:D22)</f>
        <v>1094</v>
      </c>
      <c r="E23" s="519">
        <f>D23*9.5</f>
        <v>10393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644" t="s">
        <v>259</v>
      </c>
      <c r="C28" s="614" t="s">
        <v>26</v>
      </c>
      <c r="D28" s="609">
        <v>232</v>
      </c>
      <c r="E28" s="611">
        <f>D28*9.5</f>
        <v>2204</v>
      </c>
    </row>
    <row r="29" spans="2:5">
      <c r="B29" s="644" t="s">
        <v>53</v>
      </c>
      <c r="C29" s="614" t="s">
        <v>16</v>
      </c>
      <c r="D29" s="609">
        <v>141</v>
      </c>
      <c r="E29" s="611">
        <f>D29*9.5</f>
        <v>1339.5</v>
      </c>
    </row>
    <row r="30" spans="2:5">
      <c r="B30" s="645" t="s">
        <v>235</v>
      </c>
      <c r="C30" s="614" t="s">
        <v>16</v>
      </c>
      <c r="D30" s="609">
        <v>402</v>
      </c>
      <c r="E30" s="611">
        <f>D30*9.5</f>
        <v>3819</v>
      </c>
    </row>
    <row r="31" spans="2:5">
      <c r="B31" s="631"/>
      <c r="C31" s="633" t="s">
        <v>71</v>
      </c>
      <c r="D31" s="568"/>
      <c r="E31" s="569">
        <f>D31*9.5</f>
        <v>0</v>
      </c>
    </row>
    <row r="32" spans="2:5" ht="20.100000000000001" customHeight="1">
      <c r="B32" s="1259" t="s">
        <v>24</v>
      </c>
      <c r="C32" s="1259"/>
      <c r="D32" s="518">
        <f>SUM(D28:D31)</f>
        <v>775</v>
      </c>
      <c r="E32" s="519">
        <f>D32*9.5</f>
        <v>7362.5</v>
      </c>
    </row>
    <row r="33" spans="2:5" ht="19.5">
      <c r="B33" s="1260" t="s">
        <v>200</v>
      </c>
      <c r="C33" s="1260"/>
      <c r="D33" s="1260"/>
      <c r="E33" s="1260"/>
    </row>
    <row r="34" spans="2:5">
      <c r="B34" s="492"/>
      <c r="C34" s="494" t="s">
        <v>34</v>
      </c>
      <c r="D34" s="494" t="s">
        <v>35</v>
      </c>
      <c r="E34" s="494" t="s">
        <v>37</v>
      </c>
    </row>
    <row r="35" spans="2:5">
      <c r="B35" s="495" t="s">
        <v>39</v>
      </c>
      <c r="C35" s="497">
        <f>D13</f>
        <v>0</v>
      </c>
      <c r="D35" s="498">
        <f>D23</f>
        <v>1094</v>
      </c>
      <c r="E35" s="498">
        <f>D32</f>
        <v>775</v>
      </c>
    </row>
    <row r="36" spans="2:5">
      <c r="B36" s="495" t="s">
        <v>36</v>
      </c>
      <c r="C36" s="493">
        <f>C35*9.5</f>
        <v>0</v>
      </c>
      <c r="D36" s="493">
        <f>D35*9.5</f>
        <v>10393</v>
      </c>
      <c r="E36" s="493">
        <f>E35*9.5</f>
        <v>7362.5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1869</v>
      </c>
      <c r="D38" s="378" t="s">
        <v>253</v>
      </c>
      <c r="E38" s="381">
        <f>C38*9.5</f>
        <v>17755.5</v>
      </c>
    </row>
    <row r="39" spans="2:5">
      <c r="B39" s="377" t="s">
        <v>197</v>
      </c>
      <c r="C39" s="378">
        <f>C40-C38</f>
        <v>2955</v>
      </c>
      <c r="D39" s="378" t="s">
        <v>204</v>
      </c>
      <c r="E39" s="381">
        <f>C39*9</f>
        <v>26595</v>
      </c>
    </row>
    <row r="40" spans="2:5" ht="19.5">
      <c r="B40" s="482" t="s">
        <v>201</v>
      </c>
      <c r="C40" s="380">
        <f>'Patron Counts v Swipes'!D118</f>
        <v>4824</v>
      </c>
      <c r="D40" s="380" t="s">
        <v>202</v>
      </c>
      <c r="E40" s="379">
        <f>SUM(E38+E39)</f>
        <v>44350.5</v>
      </c>
    </row>
    <row r="42" spans="2:5">
      <c r="B42" s="479" t="s">
        <v>5</v>
      </c>
      <c r="C42" s="489"/>
    </row>
    <row r="43" spans="2:5">
      <c r="B43" s="490" t="s">
        <v>4</v>
      </c>
      <c r="C43" s="491"/>
    </row>
    <row r="44" spans="2:5">
      <c r="B44" s="490" t="s">
        <v>25</v>
      </c>
      <c r="C44" s="491"/>
    </row>
  </sheetData>
  <sheetProtection algorithmName="SHA-512" hashValue="Akt6+spvJH4v0vna6Udydyu5jWoPxCL//+VbX97xyR8zTOGJhVwtUpeX3Sn3IA9WPHT2olI4IRw5vTZKKn/0pQ==" saltValue="qmqFiYDBNcsei+VcUIs5L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56EE6-45D1-413B-A83C-143C98E257D0}">
  <sheetPr codeName="Sheet60">
    <pageSetUpPr fitToPage="1"/>
  </sheetPr>
  <dimension ref="B2:H44"/>
  <sheetViews>
    <sheetView workbookViewId="0"/>
  </sheetViews>
  <sheetFormatPr defaultColWidth="9.140625" defaultRowHeight="15"/>
  <cols>
    <col min="1" max="1" width="9.140625" style="592"/>
    <col min="2" max="2" width="36.7109375" style="592" customWidth="1"/>
    <col min="3" max="3" width="22.7109375" style="592" customWidth="1"/>
    <col min="4" max="4" width="36.7109375" style="592" customWidth="1"/>
    <col min="5" max="5" width="22.7109375" style="592" customWidth="1"/>
    <col min="6" max="8" width="15.7109375" style="592" customWidth="1"/>
    <col min="9" max="16384" width="9.140625" style="592"/>
  </cols>
  <sheetData>
    <row r="2" spans="2:8" ht="19.5">
      <c r="B2" s="480" t="s">
        <v>13</v>
      </c>
      <c r="C2" s="476"/>
      <c r="D2" s="483" t="s">
        <v>27</v>
      </c>
      <c r="E2" s="1247">
        <v>44665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626"/>
      <c r="C9" s="626" t="s">
        <v>16</v>
      </c>
      <c r="D9" s="568"/>
      <c r="E9" s="569">
        <f>D9*9.5</f>
        <v>0</v>
      </c>
    </row>
    <row r="10" spans="2:8" ht="20.100000000000001" customHeight="1">
      <c r="B10" s="626"/>
      <c r="C10" s="626" t="s">
        <v>16</v>
      </c>
      <c r="D10" s="568"/>
      <c r="E10" s="569">
        <f>D10*9.5</f>
        <v>0</v>
      </c>
    </row>
    <row r="11" spans="2:8" ht="20.100000000000001" customHeight="1">
      <c r="B11" s="626"/>
      <c r="C11" s="626" t="s">
        <v>26</v>
      </c>
      <c r="D11" s="568"/>
      <c r="E11" s="569">
        <f>D11*9.5</f>
        <v>0</v>
      </c>
    </row>
    <row r="12" spans="2:8" ht="20.100000000000001" customHeight="1">
      <c r="B12" s="626"/>
      <c r="C12" s="626" t="s">
        <v>26</v>
      </c>
      <c r="D12" s="568"/>
      <c r="E12" s="569">
        <f>D12*9.5</f>
        <v>0</v>
      </c>
    </row>
    <row r="13" spans="2:8" ht="20.100000000000001" customHeight="1">
      <c r="B13" s="1267" t="s">
        <v>24</v>
      </c>
      <c r="C13" s="1267"/>
      <c r="D13" s="568">
        <f>SUM(D9:D12)</f>
        <v>0</v>
      </c>
      <c r="E13" s="569">
        <f>D13*9.5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637" t="s">
        <v>185</v>
      </c>
      <c r="C18" s="628" t="s">
        <v>16</v>
      </c>
      <c r="D18" s="609">
        <v>780</v>
      </c>
      <c r="E18" s="611">
        <f>D18*9.5</f>
        <v>7410</v>
      </c>
    </row>
    <row r="19" spans="2:5" ht="20.100000000000001" customHeight="1">
      <c r="B19" s="634" t="s">
        <v>65</v>
      </c>
      <c r="C19" s="628" t="s">
        <v>16</v>
      </c>
      <c r="D19" s="609">
        <v>400</v>
      </c>
      <c r="E19" s="611">
        <f>D19*9.5</f>
        <v>3800</v>
      </c>
    </row>
    <row r="20" spans="2:5" ht="20.100000000000001" customHeight="1">
      <c r="B20" s="633"/>
      <c r="C20" s="626" t="s">
        <v>71</v>
      </c>
      <c r="D20" s="568"/>
      <c r="E20" s="569">
        <f>D20*10</f>
        <v>0</v>
      </c>
    </row>
    <row r="21" spans="2:5" ht="20.100000000000001" customHeight="1">
      <c r="B21" s="632" t="s">
        <v>53</v>
      </c>
      <c r="C21" s="628" t="s">
        <v>26</v>
      </c>
      <c r="D21" s="609">
        <v>200</v>
      </c>
      <c r="E21" s="611">
        <f>D21*9.5</f>
        <v>1900</v>
      </c>
    </row>
    <row r="22" spans="2:5" ht="20.100000000000001" customHeight="1">
      <c r="B22" s="632" t="s">
        <v>276</v>
      </c>
      <c r="C22" s="628" t="s">
        <v>26</v>
      </c>
      <c r="D22" s="609">
        <v>303</v>
      </c>
      <c r="E22" s="611">
        <f>D22*9.5</f>
        <v>2878.5</v>
      </c>
    </row>
    <row r="23" spans="2:5" ht="20.100000000000001" customHeight="1">
      <c r="B23" s="1259" t="s">
        <v>24</v>
      </c>
      <c r="C23" s="1259"/>
      <c r="D23" s="518">
        <f>SUM(D18:D22)</f>
        <v>1683</v>
      </c>
      <c r="E23" s="519">
        <f>D23*9.5</f>
        <v>15988.5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635" t="s">
        <v>53</v>
      </c>
      <c r="C28" s="614" t="s">
        <v>26</v>
      </c>
      <c r="D28" s="609">
        <v>76</v>
      </c>
      <c r="E28" s="611">
        <f>D28*9.5</f>
        <v>722</v>
      </c>
    </row>
    <row r="29" spans="2:5">
      <c r="B29" s="635" t="s">
        <v>278</v>
      </c>
      <c r="C29" s="614" t="s">
        <v>16</v>
      </c>
      <c r="D29" s="609">
        <v>527</v>
      </c>
      <c r="E29" s="611">
        <f>D29*9.5</f>
        <v>5006.5</v>
      </c>
    </row>
    <row r="30" spans="2:5">
      <c r="B30" s="636" t="s">
        <v>65</v>
      </c>
      <c r="C30" s="614" t="s">
        <v>16</v>
      </c>
      <c r="D30" s="609">
        <v>196</v>
      </c>
      <c r="E30" s="611">
        <f>D30*9.5</f>
        <v>1862</v>
      </c>
    </row>
    <row r="31" spans="2:5">
      <c r="B31" s="631"/>
      <c r="C31" s="626" t="s">
        <v>71</v>
      </c>
      <c r="D31" s="568"/>
      <c r="E31" s="569">
        <f>D31*9.5</f>
        <v>0</v>
      </c>
    </row>
    <row r="32" spans="2:5" ht="20.100000000000001" customHeight="1">
      <c r="B32" s="1259" t="s">
        <v>24</v>
      </c>
      <c r="C32" s="1259"/>
      <c r="D32" s="518">
        <f>SUM(D28:D31)</f>
        <v>799</v>
      </c>
      <c r="E32" s="519">
        <f>D32*9.5</f>
        <v>7590.5</v>
      </c>
    </row>
    <row r="33" spans="2:5" ht="19.5">
      <c r="B33" s="1260" t="s">
        <v>200</v>
      </c>
      <c r="C33" s="1260"/>
      <c r="D33" s="1260"/>
      <c r="E33" s="1260"/>
    </row>
    <row r="34" spans="2:5">
      <c r="B34" s="492"/>
      <c r="C34" s="494" t="s">
        <v>34</v>
      </c>
      <c r="D34" s="494" t="s">
        <v>35</v>
      </c>
      <c r="E34" s="494" t="s">
        <v>37</v>
      </c>
    </row>
    <row r="35" spans="2:5">
      <c r="B35" s="495" t="s">
        <v>39</v>
      </c>
      <c r="C35" s="497">
        <f>D13</f>
        <v>0</v>
      </c>
      <c r="D35" s="498">
        <f>D23</f>
        <v>1683</v>
      </c>
      <c r="E35" s="498">
        <f>D32</f>
        <v>799</v>
      </c>
    </row>
    <row r="36" spans="2:5">
      <c r="B36" s="495" t="s">
        <v>36</v>
      </c>
      <c r="C36" s="493">
        <f>C35*9.5</f>
        <v>0</v>
      </c>
      <c r="D36" s="493">
        <f>D35*9.5</f>
        <v>15988.5</v>
      </c>
      <c r="E36" s="493">
        <f>E35*9.5</f>
        <v>7590.5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2482</v>
      </c>
      <c r="D38" s="378" t="s">
        <v>253</v>
      </c>
      <c r="E38" s="381">
        <f>C38*9.5</f>
        <v>23579</v>
      </c>
    </row>
    <row r="39" spans="2:5">
      <c r="B39" s="377" t="s">
        <v>197</v>
      </c>
      <c r="C39" s="378">
        <f>C40-C38</f>
        <v>4141</v>
      </c>
      <c r="D39" s="378" t="s">
        <v>204</v>
      </c>
      <c r="E39" s="381">
        <f>C39*9</f>
        <v>37269</v>
      </c>
    </row>
    <row r="40" spans="2:5" ht="19.5">
      <c r="B40" s="482" t="s">
        <v>201</v>
      </c>
      <c r="C40" s="380">
        <f>'Patron Counts v Swipes'!D112</f>
        <v>6623</v>
      </c>
      <c r="D40" s="380" t="s">
        <v>202</v>
      </c>
      <c r="E40" s="379">
        <f>SUM(E38+E39)</f>
        <v>60848</v>
      </c>
    </row>
    <row r="42" spans="2:5">
      <c r="B42" s="479" t="s">
        <v>5</v>
      </c>
      <c r="C42" s="489"/>
    </row>
    <row r="43" spans="2:5">
      <c r="B43" s="490" t="s">
        <v>4</v>
      </c>
      <c r="C43" s="491"/>
    </row>
    <row r="44" spans="2:5">
      <c r="B44" s="490" t="s">
        <v>25</v>
      </c>
      <c r="C44" s="491"/>
    </row>
  </sheetData>
  <sheetProtection algorithmName="SHA-512" hashValue="0FnMmLVB9mC24KZtNY1lI/Sj3N0qFEmGJ4jngQlmKDCdDtlrjzBilnMc/TBFSCVREY8NlDo7T+iSmA3ENwXpPQ==" saltValue="g2yl8tHrx0Q9WkVgkjc5gQ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0D240-54AC-4616-B520-129E156936B9}">
  <sheetPr codeName="Sheet61">
    <pageSetUpPr fitToPage="1"/>
  </sheetPr>
  <dimension ref="B2:H44"/>
  <sheetViews>
    <sheetView workbookViewId="0"/>
  </sheetViews>
  <sheetFormatPr defaultColWidth="9.140625" defaultRowHeight="15"/>
  <cols>
    <col min="1" max="1" width="9.140625" style="592"/>
    <col min="2" max="2" width="36.7109375" style="592" customWidth="1"/>
    <col min="3" max="3" width="22.7109375" style="592" customWidth="1"/>
    <col min="4" max="4" width="36.7109375" style="592" customWidth="1"/>
    <col min="5" max="5" width="22.7109375" style="592" customWidth="1"/>
    <col min="6" max="8" width="15.7109375" style="592" customWidth="1"/>
    <col min="9" max="16384" width="9.140625" style="592"/>
  </cols>
  <sheetData>
    <row r="2" spans="2:8" ht="19.5">
      <c r="B2" s="480" t="s">
        <v>13</v>
      </c>
      <c r="C2" s="476"/>
      <c r="D2" s="483" t="s">
        <v>27</v>
      </c>
      <c r="E2" s="1247">
        <v>44664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626"/>
      <c r="C9" s="626" t="s">
        <v>16</v>
      </c>
      <c r="D9" s="568"/>
      <c r="E9" s="569">
        <f>D9*9.5</f>
        <v>0</v>
      </c>
    </row>
    <row r="10" spans="2:8" ht="20.100000000000001" customHeight="1">
      <c r="B10" s="626"/>
      <c r="C10" s="626" t="s">
        <v>16</v>
      </c>
      <c r="D10" s="568"/>
      <c r="E10" s="569">
        <f>D10*9.5</f>
        <v>0</v>
      </c>
    </row>
    <row r="11" spans="2:8" ht="20.100000000000001" customHeight="1">
      <c r="B11" s="626"/>
      <c r="C11" s="626" t="s">
        <v>26</v>
      </c>
      <c r="D11" s="568"/>
      <c r="E11" s="569">
        <f>D11*9.5</f>
        <v>0</v>
      </c>
    </row>
    <row r="12" spans="2:8" ht="20.100000000000001" customHeight="1">
      <c r="B12" s="626"/>
      <c r="C12" s="626" t="s">
        <v>26</v>
      </c>
      <c r="D12" s="568"/>
      <c r="E12" s="569">
        <f>D12*9.5</f>
        <v>0</v>
      </c>
    </row>
    <row r="13" spans="2:8" ht="20.100000000000001" customHeight="1">
      <c r="B13" s="1267" t="s">
        <v>24</v>
      </c>
      <c r="C13" s="1267"/>
      <c r="D13" s="568">
        <f>SUM(D9:D12)</f>
        <v>0</v>
      </c>
      <c r="E13" s="569">
        <f>D13*9.5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628" t="s">
        <v>143</v>
      </c>
      <c r="C18" s="628" t="s">
        <v>16</v>
      </c>
      <c r="D18" s="609">
        <v>464</v>
      </c>
      <c r="E18" s="611">
        <f>D18*9.5</f>
        <v>4408</v>
      </c>
    </row>
    <row r="19" spans="2:5" ht="20.100000000000001" customHeight="1">
      <c r="B19" s="628" t="s">
        <v>277</v>
      </c>
      <c r="C19" s="628" t="s">
        <v>16</v>
      </c>
      <c r="D19" s="609">
        <v>350</v>
      </c>
      <c r="E19" s="611">
        <f>D19*9.5</f>
        <v>3325</v>
      </c>
    </row>
    <row r="20" spans="2:5" ht="20.100000000000001" customHeight="1">
      <c r="B20" s="626"/>
      <c r="C20" s="626" t="s">
        <v>71</v>
      </c>
      <c r="D20" s="568"/>
      <c r="E20" s="569">
        <f>D20*10</f>
        <v>0</v>
      </c>
    </row>
    <row r="21" spans="2:5" ht="20.100000000000001" customHeight="1">
      <c r="B21" s="625" t="s">
        <v>270</v>
      </c>
      <c r="C21" s="628" t="s">
        <v>26</v>
      </c>
      <c r="D21" s="609">
        <v>152</v>
      </c>
      <c r="E21" s="611">
        <f>D21*9.5</f>
        <v>1444</v>
      </c>
    </row>
    <row r="22" spans="2:5" ht="20.100000000000001" customHeight="1">
      <c r="B22" s="625" t="s">
        <v>274</v>
      </c>
      <c r="C22" s="628" t="s">
        <v>26</v>
      </c>
      <c r="D22" s="609">
        <v>300</v>
      </c>
      <c r="E22" s="611">
        <f>D22*9.5</f>
        <v>2850</v>
      </c>
    </row>
    <row r="23" spans="2:5" ht="20.100000000000001" customHeight="1">
      <c r="B23" s="1259" t="s">
        <v>24</v>
      </c>
      <c r="C23" s="1259"/>
      <c r="D23" s="518">
        <f>SUM(D18:D22)</f>
        <v>1266</v>
      </c>
      <c r="E23" s="519">
        <f>D23*9.5</f>
        <v>12027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628" t="s">
        <v>145</v>
      </c>
      <c r="C28" s="614" t="s">
        <v>26</v>
      </c>
      <c r="D28" s="609">
        <v>182</v>
      </c>
      <c r="E28" s="611">
        <f>D28*9.5</f>
        <v>1729</v>
      </c>
    </row>
    <row r="29" spans="2:5">
      <c r="B29" s="628" t="s">
        <v>258</v>
      </c>
      <c r="C29" s="614" t="s">
        <v>16</v>
      </c>
      <c r="D29" s="609">
        <v>250</v>
      </c>
      <c r="E29" s="611">
        <f>D29*9.5</f>
        <v>2375</v>
      </c>
    </row>
    <row r="30" spans="2:5">
      <c r="B30" s="629" t="s">
        <v>12</v>
      </c>
      <c r="C30" s="614" t="s">
        <v>16</v>
      </c>
      <c r="D30" s="609">
        <v>183</v>
      </c>
      <c r="E30" s="611">
        <f>D30*9.5</f>
        <v>1738.5</v>
      </c>
    </row>
    <row r="31" spans="2:5">
      <c r="B31" s="631"/>
      <c r="C31" s="626" t="s">
        <v>71</v>
      </c>
      <c r="D31" s="568"/>
      <c r="E31" s="569">
        <f>D31*9.5</f>
        <v>0</v>
      </c>
    </row>
    <row r="32" spans="2:5" ht="20.100000000000001" customHeight="1">
      <c r="B32" s="1259" t="s">
        <v>24</v>
      </c>
      <c r="C32" s="1259"/>
      <c r="D32" s="518">
        <f>SUM(D28:D31)</f>
        <v>615</v>
      </c>
      <c r="E32" s="519">
        <f>D32*9.5</f>
        <v>5842.5</v>
      </c>
    </row>
    <row r="33" spans="2:5" ht="19.5">
      <c r="B33" s="1260" t="s">
        <v>200</v>
      </c>
      <c r="C33" s="1260"/>
      <c r="D33" s="1260"/>
      <c r="E33" s="1260"/>
    </row>
    <row r="34" spans="2:5">
      <c r="B34" s="492"/>
      <c r="C34" s="494" t="s">
        <v>34</v>
      </c>
      <c r="D34" s="494" t="s">
        <v>35</v>
      </c>
      <c r="E34" s="494" t="s">
        <v>37</v>
      </c>
    </row>
    <row r="35" spans="2:5">
      <c r="B35" s="495" t="s">
        <v>39</v>
      </c>
      <c r="C35" s="497">
        <f>D13</f>
        <v>0</v>
      </c>
      <c r="D35" s="498">
        <f>D23</f>
        <v>1266</v>
      </c>
      <c r="E35" s="498">
        <f>D32</f>
        <v>615</v>
      </c>
    </row>
    <row r="36" spans="2:5">
      <c r="B36" s="495" t="s">
        <v>36</v>
      </c>
      <c r="C36" s="493">
        <f>C35*9.5</f>
        <v>0</v>
      </c>
      <c r="D36" s="493">
        <f>D35*9.5</f>
        <v>12027</v>
      </c>
      <c r="E36" s="493">
        <f>E35*9.5</f>
        <v>5842.5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1881</v>
      </c>
      <c r="D38" s="378" t="s">
        <v>253</v>
      </c>
      <c r="E38" s="381">
        <f>C38*9.5</f>
        <v>17869.5</v>
      </c>
    </row>
    <row r="39" spans="2:5">
      <c r="B39" s="377" t="s">
        <v>197</v>
      </c>
      <c r="C39" s="378">
        <f>C40-C38</f>
        <v>4427</v>
      </c>
      <c r="D39" s="378" t="s">
        <v>204</v>
      </c>
      <c r="E39" s="381">
        <f>C39*9</f>
        <v>39843</v>
      </c>
    </row>
    <row r="40" spans="2:5" ht="19.5">
      <c r="B40" s="482" t="s">
        <v>201</v>
      </c>
      <c r="C40" s="380">
        <f>'Patron Counts v Swipes'!D106</f>
        <v>6308</v>
      </c>
      <c r="D40" s="380" t="s">
        <v>202</v>
      </c>
      <c r="E40" s="379">
        <f>SUM(E38+E39)</f>
        <v>57712.5</v>
      </c>
    </row>
    <row r="42" spans="2:5">
      <c r="B42" s="479" t="s">
        <v>5</v>
      </c>
      <c r="C42" s="489"/>
    </row>
    <row r="43" spans="2:5">
      <c r="B43" s="490" t="s">
        <v>4</v>
      </c>
      <c r="C43" s="491"/>
    </row>
    <row r="44" spans="2:5">
      <c r="B44" s="490" t="s">
        <v>25</v>
      </c>
      <c r="C44" s="491"/>
    </row>
  </sheetData>
  <sheetProtection algorithmName="SHA-512" hashValue="EfsNeN1XQMo1w9AVY9m+4ndNwd8duTM0ThCJYZwYRNnGNHwwmBm7xLJTyYWrJQyo6G+NMHs01fJOizSxkYjM3Q==" saltValue="tyQ+Gt11G/Ovdd0UaaMjr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C8562-D227-45BB-8F9C-7FC7EC8C78D3}">
  <sheetPr codeName="Sheet62">
    <pageSetUpPr fitToPage="1"/>
  </sheetPr>
  <dimension ref="B2:H44"/>
  <sheetViews>
    <sheetView workbookViewId="0"/>
  </sheetViews>
  <sheetFormatPr defaultColWidth="9.140625" defaultRowHeight="15"/>
  <cols>
    <col min="1" max="1" width="9.140625" style="592"/>
    <col min="2" max="2" width="36.7109375" style="592" customWidth="1"/>
    <col min="3" max="3" width="22.7109375" style="592" customWidth="1"/>
    <col min="4" max="4" width="36.7109375" style="592" customWidth="1"/>
    <col min="5" max="5" width="22.7109375" style="592" customWidth="1"/>
    <col min="6" max="8" width="15.7109375" style="592" customWidth="1"/>
    <col min="9" max="16384" width="9.140625" style="592"/>
  </cols>
  <sheetData>
    <row r="2" spans="2:8" ht="19.5">
      <c r="B2" s="480" t="s">
        <v>13</v>
      </c>
      <c r="C2" s="476"/>
      <c r="D2" s="483" t="s">
        <v>27</v>
      </c>
      <c r="E2" s="1247">
        <v>44663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616"/>
      <c r="C9" s="616" t="s">
        <v>16</v>
      </c>
      <c r="D9" s="568"/>
      <c r="E9" s="569">
        <f>D9*9.5</f>
        <v>0</v>
      </c>
    </row>
    <row r="10" spans="2:8" ht="20.100000000000001" customHeight="1">
      <c r="B10" s="616"/>
      <c r="C10" s="616" t="s">
        <v>16</v>
      </c>
      <c r="D10" s="568"/>
      <c r="E10" s="569">
        <f>D10*9.5</f>
        <v>0</v>
      </c>
    </row>
    <row r="11" spans="2:8" ht="20.100000000000001" customHeight="1">
      <c r="B11" s="616"/>
      <c r="C11" s="616" t="s">
        <v>26</v>
      </c>
      <c r="D11" s="568"/>
      <c r="E11" s="569">
        <f>D11*9.5</f>
        <v>0</v>
      </c>
    </row>
    <row r="12" spans="2:8" ht="20.100000000000001" customHeight="1">
      <c r="B12" s="616"/>
      <c r="C12" s="616" t="s">
        <v>26</v>
      </c>
      <c r="D12" s="568"/>
      <c r="E12" s="569">
        <f>D12*9.5</f>
        <v>0</v>
      </c>
    </row>
    <row r="13" spans="2:8" ht="20.100000000000001" customHeight="1">
      <c r="B13" s="1267" t="s">
        <v>24</v>
      </c>
      <c r="C13" s="1267"/>
      <c r="D13" s="568">
        <f>SUM(D9:D12)</f>
        <v>0</v>
      </c>
      <c r="E13" s="569">
        <f>D13*9.5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627" t="s">
        <v>185</v>
      </c>
      <c r="C18" s="618" t="s">
        <v>16</v>
      </c>
      <c r="D18" s="609">
        <v>783</v>
      </c>
      <c r="E18" s="611">
        <f>D18*9.5</f>
        <v>7438.5</v>
      </c>
    </row>
    <row r="19" spans="2:5" ht="20.100000000000001" customHeight="1">
      <c r="B19" s="627" t="s">
        <v>82</v>
      </c>
      <c r="C19" s="618" t="s">
        <v>16</v>
      </c>
      <c r="D19" s="609">
        <v>392</v>
      </c>
      <c r="E19" s="611">
        <f>D19*9.5</f>
        <v>3724</v>
      </c>
    </row>
    <row r="20" spans="2:5" ht="20.100000000000001" customHeight="1">
      <c r="B20" s="626"/>
      <c r="C20" s="616" t="s">
        <v>71</v>
      </c>
      <c r="D20" s="568"/>
      <c r="E20" s="569">
        <f>D20*10</f>
        <v>0</v>
      </c>
    </row>
    <row r="21" spans="2:5" ht="20.100000000000001" customHeight="1">
      <c r="B21" s="625" t="s">
        <v>12</v>
      </c>
      <c r="C21" s="618" t="s">
        <v>26</v>
      </c>
      <c r="D21" s="609">
        <v>223</v>
      </c>
      <c r="E21" s="611">
        <f>D21*9.5</f>
        <v>2118.5</v>
      </c>
    </row>
    <row r="22" spans="2:5" ht="20.100000000000001" customHeight="1">
      <c r="B22" s="625" t="s">
        <v>188</v>
      </c>
      <c r="C22" s="618" t="s">
        <v>26</v>
      </c>
      <c r="D22" s="609">
        <v>225</v>
      </c>
      <c r="E22" s="611">
        <f>D22*9.5</f>
        <v>2137.5</v>
      </c>
    </row>
    <row r="23" spans="2:5" ht="20.100000000000001" customHeight="1">
      <c r="B23" s="1259" t="s">
        <v>24</v>
      </c>
      <c r="C23" s="1259"/>
      <c r="D23" s="518">
        <f>SUM(D18:D22)</f>
        <v>1623</v>
      </c>
      <c r="E23" s="519">
        <f>D23*9.5</f>
        <v>15418.5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630" t="s">
        <v>276</v>
      </c>
      <c r="C28" s="614" t="s">
        <v>26</v>
      </c>
      <c r="D28" s="609">
        <v>191</v>
      </c>
      <c r="E28" s="611">
        <f>D28*9.5</f>
        <v>1814.5</v>
      </c>
    </row>
    <row r="29" spans="2:5">
      <c r="B29" s="628" t="s">
        <v>235</v>
      </c>
      <c r="C29" s="614" t="s">
        <v>26</v>
      </c>
      <c r="D29" s="609">
        <v>467</v>
      </c>
      <c r="E29" s="611">
        <f>D29*9.5</f>
        <v>4436.5</v>
      </c>
    </row>
    <row r="30" spans="2:5">
      <c r="B30" s="628" t="s">
        <v>70</v>
      </c>
      <c r="C30" s="614" t="s">
        <v>16</v>
      </c>
      <c r="D30" s="609">
        <v>362</v>
      </c>
      <c r="E30" s="611">
        <f>D30*9.5</f>
        <v>3439</v>
      </c>
    </row>
    <row r="31" spans="2:5">
      <c r="B31" s="629" t="s">
        <v>266</v>
      </c>
      <c r="C31" s="614" t="s">
        <v>71</v>
      </c>
      <c r="D31" s="609">
        <v>239</v>
      </c>
      <c r="E31" s="611">
        <f>D31*9.5</f>
        <v>2270.5</v>
      </c>
    </row>
    <row r="32" spans="2:5" ht="20.100000000000001" customHeight="1">
      <c r="B32" s="1259" t="s">
        <v>24</v>
      </c>
      <c r="C32" s="1259"/>
      <c r="D32" s="518">
        <f>SUM(D28:D31)</f>
        <v>1259</v>
      </c>
      <c r="E32" s="519">
        <f>D32*9.5</f>
        <v>11960.5</v>
      </c>
    </row>
    <row r="33" spans="2:5" ht="19.5">
      <c r="B33" s="1260" t="s">
        <v>200</v>
      </c>
      <c r="C33" s="1260"/>
      <c r="D33" s="1260"/>
      <c r="E33" s="1260"/>
    </row>
    <row r="34" spans="2:5">
      <c r="B34" s="492"/>
      <c r="C34" s="494" t="s">
        <v>34</v>
      </c>
      <c r="D34" s="494" t="s">
        <v>35</v>
      </c>
      <c r="E34" s="494" t="s">
        <v>37</v>
      </c>
    </row>
    <row r="35" spans="2:5">
      <c r="B35" s="495" t="s">
        <v>39</v>
      </c>
      <c r="C35" s="497">
        <f>D13</f>
        <v>0</v>
      </c>
      <c r="D35" s="498">
        <f>D23</f>
        <v>1623</v>
      </c>
      <c r="E35" s="498">
        <f>D32</f>
        <v>1259</v>
      </c>
    </row>
    <row r="36" spans="2:5">
      <c r="B36" s="495" t="s">
        <v>36</v>
      </c>
      <c r="C36" s="493">
        <f>C35*9.5</f>
        <v>0</v>
      </c>
      <c r="D36" s="493">
        <f>D35*9.5</f>
        <v>15418.5</v>
      </c>
      <c r="E36" s="493">
        <f>E35*9.5</f>
        <v>11960.5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2882</v>
      </c>
      <c r="D38" s="378" t="s">
        <v>253</v>
      </c>
      <c r="E38" s="381">
        <f>C38*9.5</f>
        <v>27379</v>
      </c>
    </row>
    <row r="39" spans="2:5">
      <c r="B39" s="377" t="s">
        <v>197</v>
      </c>
      <c r="C39" s="378">
        <f>C40-C38</f>
        <v>4458</v>
      </c>
      <c r="D39" s="378" t="s">
        <v>204</v>
      </c>
      <c r="E39" s="381">
        <f>C39*9</f>
        <v>40122</v>
      </c>
    </row>
    <row r="40" spans="2:5" ht="19.5">
      <c r="B40" s="482" t="s">
        <v>201</v>
      </c>
      <c r="C40" s="380">
        <f>'Patron Counts v Swipes'!D100</f>
        <v>7340</v>
      </c>
      <c r="D40" s="380" t="s">
        <v>202</v>
      </c>
      <c r="E40" s="379">
        <f>SUM(E38+E39)</f>
        <v>67501</v>
      </c>
    </row>
    <row r="42" spans="2:5">
      <c r="B42" s="479" t="s">
        <v>5</v>
      </c>
      <c r="C42" s="489"/>
    </row>
    <row r="43" spans="2:5">
      <c r="B43" s="490" t="s">
        <v>4</v>
      </c>
      <c r="C43" s="491"/>
    </row>
    <row r="44" spans="2:5">
      <c r="B44" s="490" t="s">
        <v>25</v>
      </c>
      <c r="C44" s="491"/>
    </row>
  </sheetData>
  <sheetProtection algorithmName="SHA-512" hashValue="bAZyxIwGQt6cBhxtxMkg48WvmxR330yct4M5sG1dEVpUD9q2Lg58OWrXeQw1XJjTQEyM1bCRT8ucc5Sf8As9yA==" saltValue="bTYoR+lsJR0vrWewLsbV+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D09D1-6C0D-4038-A7DE-8BE27FF656B5}">
  <sheetPr codeName="Sheet63">
    <pageSetUpPr fitToPage="1"/>
  </sheetPr>
  <dimension ref="B2:H43"/>
  <sheetViews>
    <sheetView workbookViewId="0"/>
  </sheetViews>
  <sheetFormatPr defaultColWidth="9.140625" defaultRowHeight="15"/>
  <cols>
    <col min="1" max="1" width="9.140625" style="592"/>
    <col min="2" max="2" width="36.7109375" style="592" customWidth="1"/>
    <col min="3" max="3" width="22.7109375" style="592" customWidth="1"/>
    <col min="4" max="4" width="36.7109375" style="592" customWidth="1"/>
    <col min="5" max="5" width="22.7109375" style="592" customWidth="1"/>
    <col min="6" max="8" width="15.7109375" style="592" customWidth="1"/>
    <col min="9" max="16384" width="9.140625" style="592"/>
  </cols>
  <sheetData>
    <row r="2" spans="2:8" ht="19.5">
      <c r="B2" s="480" t="s">
        <v>13</v>
      </c>
      <c r="C2" s="476"/>
      <c r="D2" s="483" t="s">
        <v>27</v>
      </c>
      <c r="E2" s="1247">
        <v>44662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616"/>
      <c r="C9" s="616" t="s">
        <v>16</v>
      </c>
      <c r="D9" s="568"/>
      <c r="E9" s="569">
        <f>D9*9.5</f>
        <v>0</v>
      </c>
    </row>
    <row r="10" spans="2:8" ht="20.100000000000001" customHeight="1">
      <c r="B10" s="616"/>
      <c r="C10" s="616" t="s">
        <v>16</v>
      </c>
      <c r="D10" s="568"/>
      <c r="E10" s="569">
        <f>D10*9.5</f>
        <v>0</v>
      </c>
    </row>
    <row r="11" spans="2:8" ht="20.100000000000001" customHeight="1">
      <c r="B11" s="616"/>
      <c r="C11" s="616" t="s">
        <v>26</v>
      </c>
      <c r="D11" s="568"/>
      <c r="E11" s="569">
        <f>D11*9.5</f>
        <v>0</v>
      </c>
    </row>
    <row r="12" spans="2:8" ht="20.100000000000001" customHeight="1">
      <c r="B12" s="616"/>
      <c r="C12" s="616" t="s">
        <v>26</v>
      </c>
      <c r="D12" s="568"/>
      <c r="E12" s="569">
        <f>D12*9.5</f>
        <v>0</v>
      </c>
    </row>
    <row r="13" spans="2:8" ht="20.100000000000001" customHeight="1">
      <c r="B13" s="1267" t="s">
        <v>24</v>
      </c>
      <c r="C13" s="1267"/>
      <c r="D13" s="568">
        <f>SUM(D9:D12)</f>
        <v>0</v>
      </c>
      <c r="E13" s="569">
        <f>D13*9.5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622" t="s">
        <v>53</v>
      </c>
      <c r="C18" s="618" t="s">
        <v>16</v>
      </c>
      <c r="D18" s="609">
        <v>200</v>
      </c>
      <c r="E18" s="611">
        <f t="shared" ref="E18:E23" si="0">D18*9.5</f>
        <v>1900</v>
      </c>
    </row>
    <row r="19" spans="2:5" ht="20.100000000000001" customHeight="1">
      <c r="B19" s="622" t="s">
        <v>238</v>
      </c>
      <c r="C19" s="618" t="s">
        <v>16</v>
      </c>
      <c r="D19" s="609">
        <v>340</v>
      </c>
      <c r="E19" s="611">
        <f t="shared" si="0"/>
        <v>3230</v>
      </c>
    </row>
    <row r="20" spans="2:5" ht="20.100000000000001" customHeight="1">
      <c r="B20" s="621"/>
      <c r="C20" s="616" t="s">
        <v>71</v>
      </c>
      <c r="D20" s="568"/>
      <c r="E20" s="569">
        <f t="shared" si="0"/>
        <v>0</v>
      </c>
    </row>
    <row r="21" spans="2:5" ht="20.100000000000001" customHeight="1">
      <c r="B21" s="620" t="s">
        <v>184</v>
      </c>
      <c r="C21" s="618" t="s">
        <v>26</v>
      </c>
      <c r="D21" s="609">
        <v>272</v>
      </c>
      <c r="E21" s="611">
        <f t="shared" si="0"/>
        <v>2584</v>
      </c>
    </row>
    <row r="22" spans="2:5" ht="20.100000000000001" customHeight="1">
      <c r="B22" s="620" t="s">
        <v>188</v>
      </c>
      <c r="C22" s="618" t="s">
        <v>26</v>
      </c>
      <c r="D22" s="609">
        <v>319</v>
      </c>
      <c r="E22" s="611">
        <f t="shared" si="0"/>
        <v>3030.5</v>
      </c>
    </row>
    <row r="23" spans="2:5" ht="20.100000000000001" customHeight="1">
      <c r="B23" s="1259" t="s">
        <v>24</v>
      </c>
      <c r="C23" s="1259"/>
      <c r="D23" s="518">
        <f>SUM(D18:D22)</f>
        <v>1131</v>
      </c>
      <c r="E23" s="519">
        <f t="shared" si="0"/>
        <v>10744.5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623" t="s">
        <v>56</v>
      </c>
      <c r="C28" s="614" t="s">
        <v>26</v>
      </c>
      <c r="D28" s="609">
        <v>269</v>
      </c>
      <c r="E28" s="611">
        <f>D28*9.5</f>
        <v>2555.5</v>
      </c>
    </row>
    <row r="29" spans="2:5">
      <c r="B29" s="623" t="s">
        <v>53</v>
      </c>
      <c r="C29" s="614" t="s">
        <v>16</v>
      </c>
      <c r="D29" s="609">
        <v>166</v>
      </c>
      <c r="E29" s="611">
        <f>D29*9.5</f>
        <v>1577</v>
      </c>
    </row>
    <row r="30" spans="2:5">
      <c r="B30" s="624" t="s">
        <v>258</v>
      </c>
      <c r="C30" s="614" t="s">
        <v>71</v>
      </c>
      <c r="D30" s="609">
        <v>276</v>
      </c>
      <c r="E30" s="611">
        <f>D30*9.5</f>
        <v>2622</v>
      </c>
    </row>
    <row r="31" spans="2:5" ht="20.100000000000001" customHeight="1">
      <c r="B31" s="1259" t="s">
        <v>24</v>
      </c>
      <c r="C31" s="1259"/>
      <c r="D31" s="518">
        <f>SUM(D28:D30)</f>
        <v>711</v>
      </c>
      <c r="E31" s="519">
        <f>D31*9.5</f>
        <v>6754.5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0</v>
      </c>
      <c r="D34" s="498">
        <f>D23</f>
        <v>1131</v>
      </c>
      <c r="E34" s="498">
        <f>D31</f>
        <v>711</v>
      </c>
    </row>
    <row r="35" spans="2:5">
      <c r="B35" s="495" t="s">
        <v>36</v>
      </c>
      <c r="C35" s="493">
        <f>C34*9.5</f>
        <v>0</v>
      </c>
      <c r="D35" s="493">
        <f>D34*9.5</f>
        <v>10744.5</v>
      </c>
      <c r="E35" s="493">
        <f>E34*9.5</f>
        <v>6754.5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1842</v>
      </c>
      <c r="D37" s="378" t="s">
        <v>253</v>
      </c>
      <c r="E37" s="381">
        <f>C37*9.5</f>
        <v>17499</v>
      </c>
    </row>
    <row r="38" spans="2:5">
      <c r="B38" s="377" t="s">
        <v>197</v>
      </c>
      <c r="C38" s="378">
        <f>C39-C37</f>
        <v>3970</v>
      </c>
      <c r="D38" s="378" t="s">
        <v>204</v>
      </c>
      <c r="E38" s="381">
        <f>C38*9</f>
        <v>35730</v>
      </c>
    </row>
    <row r="39" spans="2:5" ht="19.5">
      <c r="B39" s="482" t="s">
        <v>201</v>
      </c>
      <c r="C39" s="380">
        <f>'Patron Counts v Swipes'!D94</f>
        <v>5812</v>
      </c>
      <c r="D39" s="380" t="s">
        <v>202</v>
      </c>
      <c r="E39" s="379">
        <f>SUM(E37+E38)</f>
        <v>53229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O7EfAy6UqPIKOLPx3IPQ2voNsdlQdfcLuxueV1y9HenZKPEuavj4JI6Flng7RgiDU1JgR8y5sdIqYVX/Y0lCtg==" saltValue="wPB5nLp0fW+MW3/bj0ksZw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9D445-B8DF-434C-B068-1DADD1D67438}">
  <sheetPr codeName="Sheet64">
    <pageSetUpPr fitToPage="1"/>
  </sheetPr>
  <dimension ref="B2:H43"/>
  <sheetViews>
    <sheetView workbookViewId="0"/>
  </sheetViews>
  <sheetFormatPr defaultColWidth="9.140625" defaultRowHeight="15"/>
  <cols>
    <col min="1" max="1" width="9.140625" style="516"/>
    <col min="2" max="2" width="36.7109375" style="516" customWidth="1"/>
    <col min="3" max="3" width="22.7109375" style="516" customWidth="1"/>
    <col min="4" max="4" width="36.7109375" style="516" customWidth="1"/>
    <col min="5" max="5" width="22.7109375" style="516" customWidth="1"/>
    <col min="6" max="8" width="15.7109375" style="516" customWidth="1"/>
    <col min="9" max="16384" width="9.140625" style="516"/>
  </cols>
  <sheetData>
    <row r="2" spans="2:8" ht="19.5">
      <c r="B2" s="480" t="s">
        <v>13</v>
      </c>
      <c r="C2" s="476"/>
      <c r="D2" s="483" t="s">
        <v>27</v>
      </c>
      <c r="E2" s="1247">
        <v>44661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585"/>
      <c r="C9" s="585" t="s">
        <v>16</v>
      </c>
      <c r="D9" s="568"/>
      <c r="E9" s="569">
        <f>D9*9.5</f>
        <v>0</v>
      </c>
    </row>
    <row r="10" spans="2:8" ht="20.100000000000001" customHeight="1">
      <c r="B10" s="585"/>
      <c r="C10" s="585" t="s">
        <v>16</v>
      </c>
      <c r="D10" s="568"/>
      <c r="E10" s="569">
        <f>D10*9.5</f>
        <v>0</v>
      </c>
    </row>
    <row r="11" spans="2:8" ht="20.100000000000001" customHeight="1">
      <c r="B11" s="613" t="s">
        <v>246</v>
      </c>
      <c r="C11" s="610" t="s">
        <v>26</v>
      </c>
      <c r="D11" s="609">
        <v>274</v>
      </c>
      <c r="E11" s="611">
        <f>D11*9.5</f>
        <v>2603</v>
      </c>
    </row>
    <row r="12" spans="2:8" ht="20.100000000000001" customHeight="1">
      <c r="B12" s="614" t="s">
        <v>45</v>
      </c>
      <c r="C12" s="610" t="s">
        <v>26</v>
      </c>
      <c r="D12" s="609">
        <v>440</v>
      </c>
      <c r="E12" s="611">
        <f>D12*9.5</f>
        <v>4180</v>
      </c>
    </row>
    <row r="13" spans="2:8" ht="20.100000000000001" customHeight="1">
      <c r="B13" s="1268" t="s">
        <v>24</v>
      </c>
      <c r="C13" s="1268"/>
      <c r="D13" s="609">
        <f>SUM(D9:D12)</f>
        <v>714</v>
      </c>
      <c r="E13" s="611">
        <f>D13*9.5</f>
        <v>6783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617" t="s">
        <v>44</v>
      </c>
      <c r="C18" s="587" t="s">
        <v>16</v>
      </c>
      <c r="D18" s="484">
        <v>334</v>
      </c>
      <c r="E18" s="520">
        <f>D18*9.5</f>
        <v>3173</v>
      </c>
    </row>
    <row r="19" spans="2:5" ht="20.100000000000001" customHeight="1">
      <c r="B19" s="617" t="s">
        <v>184</v>
      </c>
      <c r="C19" s="587" t="s">
        <v>16</v>
      </c>
      <c r="D19" s="484">
        <v>314</v>
      </c>
      <c r="E19" s="520">
        <f>D19*9.5</f>
        <v>2983</v>
      </c>
    </row>
    <row r="20" spans="2:5" ht="20.100000000000001" customHeight="1">
      <c r="B20" s="616"/>
      <c r="C20" s="585" t="s">
        <v>71</v>
      </c>
      <c r="D20" s="568"/>
      <c r="E20" s="569">
        <f>D20*10</f>
        <v>0</v>
      </c>
    </row>
    <row r="21" spans="2:5" ht="20.100000000000001" customHeight="1">
      <c r="B21" s="615" t="s">
        <v>246</v>
      </c>
      <c r="C21" s="587" t="s">
        <v>26</v>
      </c>
      <c r="D21" s="484">
        <v>319</v>
      </c>
      <c r="E21" s="520">
        <f>D21*9.5</f>
        <v>3030.5</v>
      </c>
    </row>
    <row r="22" spans="2:5" ht="20.100000000000001" customHeight="1">
      <c r="B22" s="615" t="s">
        <v>275</v>
      </c>
      <c r="C22" s="587" t="s">
        <v>26</v>
      </c>
      <c r="D22" s="484">
        <v>378</v>
      </c>
      <c r="E22" s="520">
        <f>D22*9.5</f>
        <v>3591</v>
      </c>
    </row>
    <row r="23" spans="2:5" ht="20.100000000000001" customHeight="1">
      <c r="B23" s="1259" t="s">
        <v>24</v>
      </c>
      <c r="C23" s="1259"/>
      <c r="D23" s="518">
        <f>SUM(D18:D22)</f>
        <v>1345</v>
      </c>
      <c r="E23" s="519">
        <f>D23*9.5</f>
        <v>12777.5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587" t="s">
        <v>164</v>
      </c>
      <c r="C28" s="560" t="s">
        <v>26</v>
      </c>
      <c r="D28" s="484">
        <v>329</v>
      </c>
      <c r="E28" s="520">
        <f>D28*9.5</f>
        <v>3125.5</v>
      </c>
    </row>
    <row r="29" spans="2:5">
      <c r="B29" s="618" t="s">
        <v>159</v>
      </c>
      <c r="C29" s="560" t="s">
        <v>16</v>
      </c>
      <c r="D29" s="484">
        <v>223</v>
      </c>
      <c r="E29" s="520">
        <f>D29*9.5</f>
        <v>2118.5</v>
      </c>
    </row>
    <row r="30" spans="2:5">
      <c r="B30" s="619" t="s">
        <v>235</v>
      </c>
      <c r="C30" s="560" t="s">
        <v>71</v>
      </c>
      <c r="D30" s="484">
        <v>487</v>
      </c>
      <c r="E30" s="520">
        <f>D30*9.5</f>
        <v>4626.5</v>
      </c>
    </row>
    <row r="31" spans="2:5" ht="20.100000000000001" customHeight="1">
      <c r="B31" s="1259" t="s">
        <v>24</v>
      </c>
      <c r="C31" s="1259"/>
      <c r="D31" s="518">
        <f>SUM(D28:D30)</f>
        <v>1039</v>
      </c>
      <c r="E31" s="519">
        <f>D31*9.5</f>
        <v>9870.5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714</v>
      </c>
      <c r="D34" s="498">
        <f>D23</f>
        <v>1345</v>
      </c>
      <c r="E34" s="498">
        <f>D31</f>
        <v>1039</v>
      </c>
    </row>
    <row r="35" spans="2:5">
      <c r="B35" s="495" t="s">
        <v>36</v>
      </c>
      <c r="C35" s="493">
        <f>C34*9.5</f>
        <v>6783</v>
      </c>
      <c r="D35" s="493">
        <f>D34*9.5</f>
        <v>12777.5</v>
      </c>
      <c r="E35" s="493">
        <f>E34*9.5</f>
        <v>9870.5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3098</v>
      </c>
      <c r="D37" s="378" t="s">
        <v>253</v>
      </c>
      <c r="E37" s="381">
        <f>C37*9.5</f>
        <v>29431</v>
      </c>
    </row>
    <row r="38" spans="2:5">
      <c r="B38" s="377" t="s">
        <v>197</v>
      </c>
      <c r="C38" s="378">
        <f>C39-C37</f>
        <v>156</v>
      </c>
      <c r="D38" s="378" t="s">
        <v>204</v>
      </c>
      <c r="E38" s="381">
        <f>C38*9</f>
        <v>1404</v>
      </c>
    </row>
    <row r="39" spans="2:5" ht="19.5">
      <c r="B39" s="482" t="s">
        <v>201</v>
      </c>
      <c r="C39" s="380">
        <f>'Patron Counts v Swipes'!D88</f>
        <v>3254</v>
      </c>
      <c r="D39" s="380" t="s">
        <v>202</v>
      </c>
      <c r="E39" s="379">
        <f>SUM(E37+E38)</f>
        <v>30835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V9ED82L1/TB+8C/xUYMssUt07LMJxzLfcelbgxKMbp24n6fURVNm4PgUHKRD+PjSBjsbLcptMT8h/WKqwCRifQ==" saltValue="MK2MNpUzE67PGh0IsSa1x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2A7C9-519A-4B72-98EF-A609B4A06A97}">
  <sheetPr codeName="Sheet65">
    <pageSetUpPr fitToPage="1"/>
  </sheetPr>
  <dimension ref="B2:H43"/>
  <sheetViews>
    <sheetView workbookViewId="0"/>
  </sheetViews>
  <sheetFormatPr defaultColWidth="9.140625" defaultRowHeight="15"/>
  <cols>
    <col min="1" max="1" width="9.140625" style="516"/>
    <col min="2" max="2" width="36.7109375" style="516" customWidth="1"/>
    <col min="3" max="3" width="22.7109375" style="516" customWidth="1"/>
    <col min="4" max="4" width="36.7109375" style="516" customWidth="1"/>
    <col min="5" max="5" width="22.7109375" style="516" customWidth="1"/>
    <col min="6" max="8" width="15.7109375" style="516" customWidth="1"/>
    <col min="9" max="16384" width="9.140625" style="516"/>
  </cols>
  <sheetData>
    <row r="2" spans="2:8" ht="19.5">
      <c r="B2" s="480" t="s">
        <v>13</v>
      </c>
      <c r="C2" s="476"/>
      <c r="D2" s="483" t="s">
        <v>27</v>
      </c>
      <c r="E2" s="1247">
        <v>44660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585"/>
      <c r="C9" s="585" t="s">
        <v>16</v>
      </c>
      <c r="D9" s="568"/>
      <c r="E9" s="569">
        <f>D9*9.5</f>
        <v>0</v>
      </c>
    </row>
    <row r="10" spans="2:8" ht="20.100000000000001" customHeight="1">
      <c r="B10" s="604" t="s">
        <v>44</v>
      </c>
      <c r="C10" s="600" t="s">
        <v>16</v>
      </c>
      <c r="D10" s="599">
        <v>60</v>
      </c>
      <c r="E10" s="601">
        <f>D10*9.5</f>
        <v>570</v>
      </c>
    </row>
    <row r="11" spans="2:8" ht="20.100000000000001" customHeight="1">
      <c r="B11" s="613" t="s">
        <v>246</v>
      </c>
      <c r="C11" s="600" t="s">
        <v>26</v>
      </c>
      <c r="D11" s="599">
        <v>350</v>
      </c>
      <c r="E11" s="601">
        <f>D11*9.5</f>
        <v>3325</v>
      </c>
    </row>
    <row r="12" spans="2:8" ht="20.100000000000001" customHeight="1">
      <c r="B12" s="605" t="s">
        <v>235</v>
      </c>
      <c r="C12" s="600" t="s">
        <v>26</v>
      </c>
      <c r="D12" s="599">
        <v>423</v>
      </c>
      <c r="E12" s="601">
        <f>D12*9.5</f>
        <v>4018.5</v>
      </c>
    </row>
    <row r="13" spans="2:8" ht="20.100000000000001" customHeight="1">
      <c r="B13" s="1268" t="s">
        <v>24</v>
      </c>
      <c r="C13" s="1268"/>
      <c r="D13" s="599">
        <f>SUM(D9:D12)</f>
        <v>833</v>
      </c>
      <c r="E13" s="601">
        <f>D13*9.5</f>
        <v>7913.5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608" t="s">
        <v>185</v>
      </c>
      <c r="C18" s="587" t="s">
        <v>16</v>
      </c>
      <c r="D18" s="484">
        <v>702</v>
      </c>
      <c r="E18" s="520">
        <f>D18*9.5</f>
        <v>6669</v>
      </c>
    </row>
    <row r="19" spans="2:5" ht="20.100000000000001" customHeight="1">
      <c r="B19" s="608" t="s">
        <v>258</v>
      </c>
      <c r="C19" s="587" t="s">
        <v>16</v>
      </c>
      <c r="D19" s="484">
        <v>349</v>
      </c>
      <c r="E19" s="520">
        <f>D19*9.5</f>
        <v>3315.5</v>
      </c>
    </row>
    <row r="20" spans="2:5" ht="20.100000000000001" customHeight="1">
      <c r="B20" s="607"/>
      <c r="C20" s="585" t="s">
        <v>71</v>
      </c>
      <c r="D20" s="568"/>
      <c r="E20" s="569">
        <f>D20*10</f>
        <v>0</v>
      </c>
    </row>
    <row r="21" spans="2:5" ht="20.100000000000001" customHeight="1">
      <c r="B21" s="606" t="s">
        <v>78</v>
      </c>
      <c r="C21" s="587" t="s">
        <v>26</v>
      </c>
      <c r="D21" s="484">
        <v>312</v>
      </c>
      <c r="E21" s="520">
        <f>D21*9.5</f>
        <v>2964</v>
      </c>
    </row>
    <row r="22" spans="2:5" ht="20.100000000000001" customHeight="1">
      <c r="B22" s="606" t="s">
        <v>246</v>
      </c>
      <c r="C22" s="587" t="s">
        <v>26</v>
      </c>
      <c r="D22" s="484">
        <v>254</v>
      </c>
      <c r="E22" s="520">
        <f>D22*9.5</f>
        <v>2413</v>
      </c>
    </row>
    <row r="23" spans="2:5" ht="20.100000000000001" customHeight="1">
      <c r="B23" s="1259" t="s">
        <v>24</v>
      </c>
      <c r="C23" s="1259"/>
      <c r="D23" s="518">
        <f>SUM(D18:D22)</f>
        <v>1617</v>
      </c>
      <c r="E23" s="519">
        <f>D23*9.5</f>
        <v>15361.5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610" t="s">
        <v>143</v>
      </c>
      <c r="C28" s="560" t="s">
        <v>26</v>
      </c>
      <c r="D28" s="484">
        <v>183</v>
      </c>
      <c r="E28" s="520">
        <f>D28*9.5</f>
        <v>1738.5</v>
      </c>
    </row>
    <row r="29" spans="2:5">
      <c r="B29" s="610" t="s">
        <v>185</v>
      </c>
      <c r="C29" s="560" t="s">
        <v>16</v>
      </c>
      <c r="D29" s="484">
        <v>543</v>
      </c>
      <c r="E29" s="520">
        <f>D29*9.5</f>
        <v>5158.5</v>
      </c>
    </row>
    <row r="30" spans="2:5">
      <c r="B30" s="612" t="s">
        <v>258</v>
      </c>
      <c r="C30" s="560" t="s">
        <v>71</v>
      </c>
      <c r="D30" s="484">
        <v>300</v>
      </c>
      <c r="E30" s="520">
        <f>D30*9.5</f>
        <v>2850</v>
      </c>
    </row>
    <row r="31" spans="2:5" ht="20.100000000000001" customHeight="1">
      <c r="B31" s="1259" t="s">
        <v>24</v>
      </c>
      <c r="C31" s="1259"/>
      <c r="D31" s="518">
        <f>SUM(D28:D30)</f>
        <v>1026</v>
      </c>
      <c r="E31" s="519">
        <f>D31*9.5</f>
        <v>9747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833</v>
      </c>
      <c r="D34" s="498">
        <f>D23</f>
        <v>1617</v>
      </c>
      <c r="E34" s="498">
        <f>D31</f>
        <v>1026</v>
      </c>
    </row>
    <row r="35" spans="2:5">
      <c r="B35" s="495" t="s">
        <v>36</v>
      </c>
      <c r="C35" s="493">
        <f>C34*9.5</f>
        <v>7913.5</v>
      </c>
      <c r="D35" s="493">
        <f>D34*9.5</f>
        <v>15361.5</v>
      </c>
      <c r="E35" s="493">
        <f>E34*9.5</f>
        <v>9747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3476</v>
      </c>
      <c r="D37" s="378" t="s">
        <v>253</v>
      </c>
      <c r="E37" s="381">
        <f>C37*9.5</f>
        <v>33022</v>
      </c>
    </row>
    <row r="38" spans="2:5">
      <c r="B38" s="377" t="s">
        <v>197</v>
      </c>
      <c r="C38" s="378">
        <f>C39-C37</f>
        <v>74</v>
      </c>
      <c r="D38" s="378" t="s">
        <v>204</v>
      </c>
      <c r="E38" s="381">
        <f>C38*9</f>
        <v>666</v>
      </c>
    </row>
    <row r="39" spans="2:5" ht="19.5">
      <c r="B39" s="482" t="s">
        <v>201</v>
      </c>
      <c r="C39" s="380">
        <f>'Patron Counts v Swipes'!D82</f>
        <v>3550</v>
      </c>
      <c r="D39" s="380" t="s">
        <v>202</v>
      </c>
      <c r="E39" s="379">
        <f>SUM(E37+E38)</f>
        <v>33688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HwGrdoTtxWxkZowDJzDlmI2lPOu1BVVPfne3xhFgjBrP68KACjwSyu5az9IkF+sf8Ua0PvLZQdDhEJlbnXgzwQ==" saltValue="uB097NOsTRkv05UX3wKjjQ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C749B-1BE2-41F1-8E33-CA54A55F03D4}">
  <sheetPr codeName="Sheet66">
    <pageSetUpPr fitToPage="1"/>
  </sheetPr>
  <dimension ref="B2:H44"/>
  <sheetViews>
    <sheetView workbookViewId="0"/>
  </sheetViews>
  <sheetFormatPr defaultColWidth="9.140625" defaultRowHeight="15"/>
  <cols>
    <col min="1" max="1" width="9.140625" style="516"/>
    <col min="2" max="2" width="36.7109375" style="516" customWidth="1"/>
    <col min="3" max="3" width="22.7109375" style="516" customWidth="1"/>
    <col min="4" max="4" width="36.7109375" style="516" customWidth="1"/>
    <col min="5" max="5" width="22.7109375" style="516" customWidth="1"/>
    <col min="6" max="8" width="15.7109375" style="516" customWidth="1"/>
    <col min="9" max="16384" width="9.140625" style="516"/>
  </cols>
  <sheetData>
    <row r="2" spans="2:8" ht="19.5">
      <c r="B2" s="480" t="s">
        <v>13</v>
      </c>
      <c r="C2" s="476"/>
      <c r="D2" s="483" t="s">
        <v>27</v>
      </c>
      <c r="E2" s="1247">
        <v>44659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585"/>
      <c r="C9" s="585" t="s">
        <v>16</v>
      </c>
      <c r="D9" s="568"/>
      <c r="E9" s="569">
        <f>D9*10</f>
        <v>0</v>
      </c>
    </row>
    <row r="10" spans="2:8" ht="20.100000000000001" customHeight="1">
      <c r="B10" s="585"/>
      <c r="C10" s="585" t="s">
        <v>16</v>
      </c>
      <c r="D10" s="568"/>
      <c r="E10" s="569">
        <f t="shared" ref="E10:E11" si="0">D10*10</f>
        <v>0</v>
      </c>
    </row>
    <row r="11" spans="2:8" ht="20.100000000000001" customHeight="1">
      <c r="B11" s="585"/>
      <c r="C11" s="585" t="s">
        <v>26</v>
      </c>
      <c r="D11" s="568"/>
      <c r="E11" s="569">
        <f t="shared" si="0"/>
        <v>0</v>
      </c>
    </row>
    <row r="12" spans="2:8" ht="20.100000000000001" customHeight="1">
      <c r="B12" s="585"/>
      <c r="C12" s="585" t="s">
        <v>26</v>
      </c>
      <c r="D12" s="568"/>
      <c r="E12" s="569">
        <f>D12*9.5</f>
        <v>0</v>
      </c>
    </row>
    <row r="13" spans="2:8" ht="20.100000000000001" customHeight="1">
      <c r="B13" s="1267" t="s">
        <v>24</v>
      </c>
      <c r="C13" s="1267"/>
      <c r="D13" s="568">
        <f>SUM(D9:D12)</f>
        <v>0</v>
      </c>
      <c r="E13" s="569">
        <f>D13*9.5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596" t="s">
        <v>184</v>
      </c>
      <c r="C18" s="587" t="s">
        <v>16</v>
      </c>
      <c r="D18" s="484">
        <v>243</v>
      </c>
      <c r="E18" s="520">
        <f>D18*9.5</f>
        <v>2308.5</v>
      </c>
    </row>
    <row r="19" spans="2:5" ht="20.100000000000001" customHeight="1">
      <c r="B19" s="596" t="s">
        <v>260</v>
      </c>
      <c r="C19" s="587" t="s">
        <v>16</v>
      </c>
      <c r="D19" s="484">
        <v>227</v>
      </c>
      <c r="E19" s="520">
        <f>D19*9.5</f>
        <v>2156.5</v>
      </c>
    </row>
    <row r="20" spans="2:5" ht="20.100000000000001" customHeight="1">
      <c r="B20" s="595"/>
      <c r="C20" s="585" t="s">
        <v>71</v>
      </c>
      <c r="D20" s="568"/>
      <c r="E20" s="569">
        <f>D20*10</f>
        <v>0</v>
      </c>
    </row>
    <row r="21" spans="2:5" ht="20.100000000000001" customHeight="1">
      <c r="B21" s="593" t="s">
        <v>68</v>
      </c>
      <c r="C21" s="587" t="s">
        <v>26</v>
      </c>
      <c r="D21" s="484">
        <v>249</v>
      </c>
      <c r="E21" s="520">
        <f>D21*9.5</f>
        <v>2365.5</v>
      </c>
    </row>
    <row r="22" spans="2:5" ht="20.100000000000001" customHeight="1">
      <c r="B22" s="593" t="s">
        <v>274</v>
      </c>
      <c r="C22" s="587" t="s">
        <v>26</v>
      </c>
      <c r="D22" s="484">
        <v>304</v>
      </c>
      <c r="E22" s="520">
        <f>D22*9.5</f>
        <v>2888</v>
      </c>
    </row>
    <row r="23" spans="2:5" ht="20.100000000000001" customHeight="1">
      <c r="B23" s="1259" t="s">
        <v>24</v>
      </c>
      <c r="C23" s="1259"/>
      <c r="D23" s="518">
        <f>SUM(D18:D22)</f>
        <v>1023</v>
      </c>
      <c r="E23" s="519">
        <f>D23*9.5</f>
        <v>9718.5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603" t="s">
        <v>238</v>
      </c>
      <c r="C28" s="560" t="s">
        <v>26</v>
      </c>
      <c r="D28" s="484">
        <v>154</v>
      </c>
      <c r="E28" s="520">
        <f>D28*9.5</f>
        <v>1463</v>
      </c>
    </row>
    <row r="29" spans="2:5" s="592" customFormat="1">
      <c r="B29" s="600" t="s">
        <v>246</v>
      </c>
      <c r="C29" s="598" t="s">
        <v>26</v>
      </c>
      <c r="D29" s="594">
        <v>222</v>
      </c>
      <c r="E29" s="597">
        <f>D29*9.5</f>
        <v>2109</v>
      </c>
    </row>
    <row r="30" spans="2:5">
      <c r="B30" s="600" t="s">
        <v>242</v>
      </c>
      <c r="C30" s="560" t="s">
        <v>16</v>
      </c>
      <c r="D30" s="484">
        <v>511</v>
      </c>
      <c r="E30" s="520">
        <f>D30*9.5</f>
        <v>4854.5</v>
      </c>
    </row>
    <row r="31" spans="2:5">
      <c r="B31" s="602" t="s">
        <v>243</v>
      </c>
      <c r="C31" s="560" t="s">
        <v>71</v>
      </c>
      <c r="D31" s="484">
        <v>331</v>
      </c>
      <c r="E31" s="520">
        <f>D31*9.5</f>
        <v>3144.5</v>
      </c>
    </row>
    <row r="32" spans="2:5" ht="20.100000000000001" customHeight="1">
      <c r="B32" s="1259" t="s">
        <v>24</v>
      </c>
      <c r="C32" s="1259"/>
      <c r="D32" s="518">
        <f>SUM(D28:D31)</f>
        <v>1218</v>
      </c>
      <c r="E32" s="519">
        <f>D32*9.5</f>
        <v>11571</v>
      </c>
    </row>
    <row r="33" spans="2:5" ht="19.5">
      <c r="B33" s="1260" t="s">
        <v>200</v>
      </c>
      <c r="C33" s="1260"/>
      <c r="D33" s="1260"/>
      <c r="E33" s="1260"/>
    </row>
    <row r="34" spans="2:5">
      <c r="B34" s="492"/>
      <c r="C34" s="494" t="s">
        <v>34</v>
      </c>
      <c r="D34" s="494" t="s">
        <v>35</v>
      </c>
      <c r="E34" s="494" t="s">
        <v>37</v>
      </c>
    </row>
    <row r="35" spans="2:5">
      <c r="B35" s="495" t="s">
        <v>39</v>
      </c>
      <c r="C35" s="497">
        <f>D13</f>
        <v>0</v>
      </c>
      <c r="D35" s="498">
        <f>D23</f>
        <v>1023</v>
      </c>
      <c r="E35" s="498">
        <f>D32</f>
        <v>1218</v>
      </c>
    </row>
    <row r="36" spans="2:5">
      <c r="B36" s="495" t="s">
        <v>36</v>
      </c>
      <c r="C36" s="493">
        <f>C35*9.5</f>
        <v>0</v>
      </c>
      <c r="D36" s="493">
        <f>D35*9.5</f>
        <v>9718.5</v>
      </c>
      <c r="E36" s="493">
        <f>E35*9.5</f>
        <v>11571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2241</v>
      </c>
      <c r="D38" s="378" t="s">
        <v>253</v>
      </c>
      <c r="E38" s="381">
        <f>C38*9.5</f>
        <v>21289.5</v>
      </c>
    </row>
    <row r="39" spans="2:5">
      <c r="B39" s="377" t="s">
        <v>197</v>
      </c>
      <c r="C39" s="378">
        <f>C40-C38</f>
        <v>2884</v>
      </c>
      <c r="D39" s="378" t="s">
        <v>204</v>
      </c>
      <c r="E39" s="381">
        <f>C39*9</f>
        <v>25956</v>
      </c>
    </row>
    <row r="40" spans="2:5" ht="19.5">
      <c r="B40" s="482" t="s">
        <v>201</v>
      </c>
      <c r="C40" s="380">
        <f>'Patron Counts v Swipes'!D76</f>
        <v>5125</v>
      </c>
      <c r="D40" s="380" t="s">
        <v>202</v>
      </c>
      <c r="E40" s="379">
        <f>SUM(E38+E39)</f>
        <v>47245.5</v>
      </c>
    </row>
    <row r="42" spans="2:5">
      <c r="B42" s="479" t="s">
        <v>5</v>
      </c>
      <c r="C42" s="489"/>
    </row>
    <row r="43" spans="2:5">
      <c r="B43" s="490" t="s">
        <v>4</v>
      </c>
      <c r="C43" s="491"/>
    </row>
    <row r="44" spans="2:5">
      <c r="B44" s="490" t="s">
        <v>25</v>
      </c>
      <c r="C44" s="491"/>
    </row>
  </sheetData>
  <sheetProtection algorithmName="SHA-512" hashValue="5FpW1qWDPseuMNXsoxVF8jAMXS9oFnxUhXwqKddOvAEp6Vm/hnceljObbppAjL5ZLxGv9WTOay3KVv5UEoJkXw==" saltValue="ZWZFP9FXxscB5l+JtE9IiQ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C32"/>
    <mergeCell ref="B33:E33"/>
    <mergeCell ref="B37:E37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D3655-132A-49D4-A80B-247D213DF0B1}">
  <sheetPr codeName="Sheet147">
    <pageSetUpPr fitToPage="1"/>
  </sheetPr>
  <dimension ref="B2:H43"/>
  <sheetViews>
    <sheetView workbookViewId="0"/>
  </sheetViews>
  <sheetFormatPr defaultColWidth="9.140625" defaultRowHeight="15"/>
  <cols>
    <col min="1" max="1" width="9.140625" style="516"/>
    <col min="2" max="2" width="36.7109375" style="516" customWidth="1"/>
    <col min="3" max="3" width="22.7109375" style="516" customWidth="1"/>
    <col min="4" max="4" width="36.7109375" style="516" customWidth="1"/>
    <col min="5" max="5" width="22.7109375" style="516" customWidth="1"/>
    <col min="6" max="8" width="15.7109375" style="516" customWidth="1"/>
    <col min="9" max="16384" width="9.140625" style="516"/>
  </cols>
  <sheetData>
    <row r="2" spans="2:8" ht="19.5">
      <c r="B2" s="480" t="s">
        <v>13</v>
      </c>
      <c r="C2" s="476"/>
      <c r="D2" s="483" t="s">
        <v>27</v>
      </c>
      <c r="E2" s="1247">
        <v>44658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580"/>
      <c r="C9" s="580" t="s">
        <v>16</v>
      </c>
      <c r="D9" s="568"/>
      <c r="E9" s="569">
        <f>D9*10</f>
        <v>0</v>
      </c>
    </row>
    <row r="10" spans="2:8" ht="20.100000000000001" customHeight="1">
      <c r="B10" s="580"/>
      <c r="C10" s="580" t="s">
        <v>16</v>
      </c>
      <c r="D10" s="568"/>
      <c r="E10" s="569">
        <f t="shared" ref="E10:E11" si="0">D10*10</f>
        <v>0</v>
      </c>
    </row>
    <row r="11" spans="2:8" ht="20.100000000000001" customHeight="1">
      <c r="B11" s="580"/>
      <c r="C11" s="580" t="s">
        <v>26</v>
      </c>
      <c r="D11" s="568"/>
      <c r="E11" s="569">
        <f t="shared" si="0"/>
        <v>0</v>
      </c>
    </row>
    <row r="12" spans="2:8" ht="20.100000000000001" customHeight="1">
      <c r="B12" s="580"/>
      <c r="C12" s="580" t="s">
        <v>26</v>
      </c>
      <c r="D12" s="568"/>
      <c r="E12" s="569">
        <f>D12*9.5</f>
        <v>0</v>
      </c>
    </row>
    <row r="13" spans="2:8" ht="20.100000000000001" customHeight="1">
      <c r="B13" s="1267" t="s">
        <v>24</v>
      </c>
      <c r="C13" s="1267"/>
      <c r="D13" s="568">
        <f>SUM(D9:D12)</f>
        <v>0</v>
      </c>
      <c r="E13" s="569">
        <f>D13*9.5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586" t="s">
        <v>272</v>
      </c>
      <c r="C18" s="582" t="s">
        <v>16</v>
      </c>
      <c r="D18" s="484">
        <v>316</v>
      </c>
      <c r="E18" s="520">
        <f>D18*9.5</f>
        <v>3002</v>
      </c>
    </row>
    <row r="19" spans="2:5" ht="20.100000000000001" customHeight="1">
      <c r="B19" s="586" t="s">
        <v>70</v>
      </c>
      <c r="C19" s="582" t="s">
        <v>16</v>
      </c>
      <c r="D19" s="484">
        <v>529</v>
      </c>
      <c r="E19" s="520">
        <f>D19*9.5</f>
        <v>5025.5</v>
      </c>
    </row>
    <row r="20" spans="2:5" ht="20.100000000000001" customHeight="1">
      <c r="B20" s="585"/>
      <c r="C20" s="580" t="s">
        <v>71</v>
      </c>
      <c r="D20" s="568"/>
      <c r="E20" s="569">
        <f>D20*10</f>
        <v>0</v>
      </c>
    </row>
    <row r="21" spans="2:5" ht="20.100000000000001" customHeight="1">
      <c r="B21" s="584" t="s">
        <v>56</v>
      </c>
      <c r="C21" s="582" t="s">
        <v>26</v>
      </c>
      <c r="D21" s="484">
        <v>343</v>
      </c>
      <c r="E21" s="520">
        <f>D21*9.5</f>
        <v>3258.5</v>
      </c>
    </row>
    <row r="22" spans="2:5" ht="20.100000000000001" customHeight="1">
      <c r="B22" s="584" t="s">
        <v>256</v>
      </c>
      <c r="C22" s="582" t="s">
        <v>26</v>
      </c>
      <c r="D22" s="484">
        <v>315</v>
      </c>
      <c r="E22" s="520">
        <f>D22*9.5</f>
        <v>2992.5</v>
      </c>
    </row>
    <row r="23" spans="2:5" ht="20.100000000000001" customHeight="1">
      <c r="B23" s="1259" t="s">
        <v>24</v>
      </c>
      <c r="C23" s="1259"/>
      <c r="D23" s="518">
        <f>SUM(D18:D22)</f>
        <v>1503</v>
      </c>
      <c r="E23" s="519">
        <f>D23*9.5</f>
        <v>14278.5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587" t="s">
        <v>56</v>
      </c>
      <c r="C28" s="560" t="s">
        <v>26</v>
      </c>
      <c r="D28" s="484">
        <v>190</v>
      </c>
      <c r="E28" s="520">
        <f>D28*9.5</f>
        <v>1805</v>
      </c>
    </row>
    <row r="29" spans="2:5">
      <c r="B29" s="587" t="s">
        <v>273</v>
      </c>
      <c r="C29" s="560" t="s">
        <v>16</v>
      </c>
      <c r="D29" s="484">
        <v>207</v>
      </c>
      <c r="E29" s="520">
        <f>D29*9.5</f>
        <v>1966.5</v>
      </c>
    </row>
    <row r="30" spans="2:5">
      <c r="B30" s="588" t="s">
        <v>235</v>
      </c>
      <c r="C30" s="560" t="s">
        <v>71</v>
      </c>
      <c r="D30" s="484">
        <v>553</v>
      </c>
      <c r="E30" s="520">
        <f>D30*9.5</f>
        <v>5253.5</v>
      </c>
    </row>
    <row r="31" spans="2:5" ht="20.100000000000001" customHeight="1">
      <c r="B31" s="1259" t="s">
        <v>24</v>
      </c>
      <c r="C31" s="1259"/>
      <c r="D31" s="518">
        <f>SUM(D28:D30)</f>
        <v>950</v>
      </c>
      <c r="E31" s="519">
        <f>D31*9.5</f>
        <v>9025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0</v>
      </c>
      <c r="D34" s="498">
        <f>D23</f>
        <v>1503</v>
      </c>
      <c r="E34" s="498">
        <f>D31</f>
        <v>950</v>
      </c>
    </row>
    <row r="35" spans="2:5">
      <c r="B35" s="495" t="s">
        <v>36</v>
      </c>
      <c r="C35" s="493">
        <f>C34*9.5</f>
        <v>0</v>
      </c>
      <c r="D35" s="493">
        <f>D34*9.5</f>
        <v>14278.5</v>
      </c>
      <c r="E35" s="493">
        <f>E34*9.5</f>
        <v>9025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2453</v>
      </c>
      <c r="D37" s="378" t="s">
        <v>253</v>
      </c>
      <c r="E37" s="381">
        <f>C37*9.5</f>
        <v>23303.5</v>
      </c>
    </row>
    <row r="38" spans="2:5">
      <c r="B38" s="377" t="s">
        <v>197</v>
      </c>
      <c r="C38" s="378">
        <f>C39-C37</f>
        <v>4135</v>
      </c>
      <c r="D38" s="378" t="s">
        <v>204</v>
      </c>
      <c r="E38" s="381">
        <f>C38*9</f>
        <v>37215</v>
      </c>
    </row>
    <row r="39" spans="2:5" ht="19.5">
      <c r="B39" s="482" t="s">
        <v>201</v>
      </c>
      <c r="C39" s="380">
        <f>'Patron Counts v Swipes'!D70</f>
        <v>6588</v>
      </c>
      <c r="D39" s="380" t="s">
        <v>202</v>
      </c>
      <c r="E39" s="379">
        <f>SUM(E37+E38)</f>
        <v>60518.5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+DseBVN85iWAM/S9207iTPYNA0XHSOv1yAhm4NF7FFtW72c/HPQRUxtiaCWtoNGtYTNXU9WhTDvHOwnyd/M56w==" saltValue="PIXzAn4hRB8uFNmGSjviHQ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ECF97-4B39-4351-AAB8-F898B1D9FFE7}">
  <sheetPr codeName="Sheet149">
    <pageSetUpPr fitToPage="1"/>
  </sheetPr>
  <dimension ref="B2:H51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44820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673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271</v>
      </c>
      <c r="C7" s="975" t="s">
        <v>669</v>
      </c>
      <c r="D7" s="964">
        <v>225</v>
      </c>
      <c r="E7" s="965">
        <f t="shared" ref="E7:E16" si="0">D7*9.5</f>
        <v>2137.5</v>
      </c>
    </row>
    <row r="8" spans="2:8" ht="15" customHeight="1">
      <c r="B8" s="973" t="s">
        <v>672</v>
      </c>
      <c r="C8" s="975" t="s">
        <v>669</v>
      </c>
      <c r="D8" s="964">
        <v>130</v>
      </c>
      <c r="E8" s="965">
        <f t="shared" si="0"/>
        <v>1235</v>
      </c>
    </row>
    <row r="9" spans="2:8" ht="15" customHeight="1">
      <c r="B9" s="973" t="s">
        <v>299</v>
      </c>
      <c r="C9" s="975" t="s">
        <v>668</v>
      </c>
      <c r="D9" s="964">
        <v>26</v>
      </c>
      <c r="E9" s="965">
        <f t="shared" si="0"/>
        <v>247</v>
      </c>
    </row>
    <row r="10" spans="2:8" ht="15" customHeight="1">
      <c r="B10" s="973" t="s">
        <v>82</v>
      </c>
      <c r="C10" s="975" t="s">
        <v>668</v>
      </c>
      <c r="D10" s="943">
        <v>19</v>
      </c>
      <c r="E10" s="961">
        <f t="shared" si="0"/>
        <v>180.5</v>
      </c>
    </row>
    <row r="11" spans="2:8" ht="15" customHeight="1">
      <c r="B11" s="973" t="s">
        <v>53</v>
      </c>
      <c r="C11" s="975" t="s">
        <v>668</v>
      </c>
      <c r="D11" s="943">
        <v>47</v>
      </c>
      <c r="E11" s="961">
        <f t="shared" si="0"/>
        <v>446.5</v>
      </c>
    </row>
    <row r="12" spans="2:8" ht="15" customHeight="1">
      <c r="B12" s="973" t="s">
        <v>67</v>
      </c>
      <c r="C12" s="975" t="s">
        <v>667</v>
      </c>
      <c r="D12" s="943">
        <v>127</v>
      </c>
      <c r="E12" s="961">
        <f t="shared" si="0"/>
        <v>1206.5</v>
      </c>
    </row>
    <row r="13" spans="2:8" ht="15" customHeight="1">
      <c r="B13" s="973" t="s">
        <v>258</v>
      </c>
      <c r="C13" s="975" t="s">
        <v>667</v>
      </c>
      <c r="D13" s="943">
        <v>29</v>
      </c>
      <c r="E13" s="961">
        <f t="shared" si="0"/>
        <v>275.5</v>
      </c>
    </row>
    <row r="14" spans="2:8" ht="15" customHeight="1">
      <c r="B14" s="973" t="s">
        <v>65</v>
      </c>
      <c r="C14" s="975" t="s">
        <v>666</v>
      </c>
      <c r="D14" s="943">
        <v>55</v>
      </c>
      <c r="E14" s="961">
        <f t="shared" si="0"/>
        <v>522.5</v>
      </c>
    </row>
    <row r="15" spans="2:8" ht="15" customHeight="1">
      <c r="B15" s="973" t="s">
        <v>184</v>
      </c>
      <c r="C15" s="975" t="s">
        <v>666</v>
      </c>
      <c r="D15" s="943">
        <v>63</v>
      </c>
      <c r="E15" s="961">
        <f t="shared" si="0"/>
        <v>598.5</v>
      </c>
    </row>
    <row r="16" spans="2:8" ht="20.100000000000001" customHeight="1">
      <c r="B16" s="1255" t="s">
        <v>24</v>
      </c>
      <c r="C16" s="1255"/>
      <c r="D16" s="964">
        <f>SUM(D7:D15)</f>
        <v>721</v>
      </c>
      <c r="E16" s="965">
        <f t="shared" si="0"/>
        <v>6849.5</v>
      </c>
    </row>
    <row r="18" spans="2:5" ht="19.5">
      <c r="B18" s="941" t="s">
        <v>671</v>
      </c>
      <c r="C18" s="1256" t="s">
        <v>670</v>
      </c>
      <c r="D18" s="1257"/>
      <c r="E18" s="1258"/>
    </row>
    <row r="19" spans="2:5" ht="15" customHeight="1">
      <c r="B19" s="1251" t="s">
        <v>0</v>
      </c>
      <c r="C19" s="1251" t="s">
        <v>1</v>
      </c>
      <c r="D19" s="1252" t="s">
        <v>40</v>
      </c>
      <c r="E19" s="1253" t="s">
        <v>31</v>
      </c>
    </row>
    <row r="20" spans="2:5" s="974" customFormat="1">
      <c r="B20" s="1251"/>
      <c r="C20" s="1251"/>
      <c r="D20" s="1252"/>
      <c r="E20" s="1254"/>
    </row>
    <row r="21" spans="2:5" ht="14.45" customHeight="1">
      <c r="B21" s="973" t="s">
        <v>235</v>
      </c>
      <c r="C21" s="975" t="s">
        <v>669</v>
      </c>
      <c r="D21" s="964">
        <v>73</v>
      </c>
      <c r="E21" s="965">
        <f t="shared" ref="E21:E30" si="1">D21*9.5</f>
        <v>693.5</v>
      </c>
    </row>
    <row r="22" spans="2:5" ht="15" customHeight="1">
      <c r="B22" s="973" t="s">
        <v>305</v>
      </c>
      <c r="C22" s="975" t="s">
        <v>669</v>
      </c>
      <c r="D22" s="964">
        <v>134</v>
      </c>
      <c r="E22" s="965">
        <f t="shared" si="1"/>
        <v>1273</v>
      </c>
    </row>
    <row r="23" spans="2:5" ht="14.45" customHeight="1">
      <c r="B23" s="973" t="s">
        <v>143</v>
      </c>
      <c r="C23" s="975" t="s">
        <v>668</v>
      </c>
      <c r="D23" s="964">
        <v>32</v>
      </c>
      <c r="E23" s="965">
        <f t="shared" si="1"/>
        <v>304</v>
      </c>
    </row>
    <row r="24" spans="2:5" ht="14.45" customHeight="1">
      <c r="B24" s="973" t="s">
        <v>82</v>
      </c>
      <c r="C24" s="975" t="s">
        <v>668</v>
      </c>
      <c r="D24" s="964">
        <v>17</v>
      </c>
      <c r="E24" s="965">
        <f t="shared" si="1"/>
        <v>161.5</v>
      </c>
    </row>
    <row r="25" spans="2:5" ht="14.45" customHeight="1">
      <c r="B25" s="973" t="s">
        <v>53</v>
      </c>
      <c r="C25" s="975" t="s">
        <v>668</v>
      </c>
      <c r="D25" s="964">
        <v>44</v>
      </c>
      <c r="E25" s="965">
        <f t="shared" si="1"/>
        <v>418</v>
      </c>
    </row>
    <row r="26" spans="2:5" ht="14.45" customHeight="1">
      <c r="B26" s="973" t="s">
        <v>51</v>
      </c>
      <c r="C26" s="975" t="s">
        <v>667</v>
      </c>
      <c r="D26" s="964">
        <v>56</v>
      </c>
      <c r="E26" s="965">
        <f t="shared" si="1"/>
        <v>532</v>
      </c>
    </row>
    <row r="27" spans="2:5" ht="14.45" customHeight="1">
      <c r="B27" s="973" t="s">
        <v>279</v>
      </c>
      <c r="C27" s="975" t="s">
        <v>667</v>
      </c>
      <c r="D27" s="964">
        <v>197</v>
      </c>
      <c r="E27" s="965">
        <f t="shared" si="1"/>
        <v>1871.5</v>
      </c>
    </row>
    <row r="28" spans="2:5" ht="14.45" customHeight="1">
      <c r="B28" s="1050" t="s">
        <v>245</v>
      </c>
      <c r="C28" s="1049" t="s">
        <v>666</v>
      </c>
      <c r="D28" s="964">
        <v>35</v>
      </c>
      <c r="E28" s="965">
        <f t="shared" si="1"/>
        <v>332.5</v>
      </c>
    </row>
    <row r="29" spans="2:5" ht="14.45" customHeight="1">
      <c r="B29" s="1050" t="s">
        <v>238</v>
      </c>
      <c r="C29" s="1049" t="s">
        <v>666</v>
      </c>
      <c r="D29" s="964">
        <v>31</v>
      </c>
      <c r="E29" s="965">
        <f t="shared" si="1"/>
        <v>294.5</v>
      </c>
    </row>
    <row r="30" spans="2:5" ht="14.45" customHeight="1">
      <c r="B30" s="1269" t="s">
        <v>24</v>
      </c>
      <c r="C30" s="1270"/>
      <c r="D30" s="937">
        <f>SUM(D21:D29)</f>
        <v>619</v>
      </c>
      <c r="E30" s="954">
        <f t="shared" si="1"/>
        <v>5880.5</v>
      </c>
    </row>
    <row r="31" spans="2:5">
      <c r="B31" s="944"/>
      <c r="C31" s="944"/>
      <c r="D31" s="945"/>
      <c r="E31" s="945"/>
    </row>
    <row r="32" spans="2:5" ht="19.5">
      <c r="B32" s="946" t="s">
        <v>665</v>
      </c>
      <c r="C32" s="1264" t="s">
        <v>165</v>
      </c>
      <c r="D32" s="1265"/>
      <c r="E32" s="1266"/>
    </row>
    <row r="33" spans="2:5" ht="15" customHeight="1">
      <c r="B33" s="1251" t="s">
        <v>0</v>
      </c>
      <c r="C33" s="1251" t="s">
        <v>1</v>
      </c>
      <c r="D33" s="1252" t="s">
        <v>40</v>
      </c>
      <c r="E33" s="1253" t="s">
        <v>31</v>
      </c>
    </row>
    <row r="34" spans="2:5">
      <c r="B34" s="1251"/>
      <c r="C34" s="1251"/>
      <c r="D34" s="1252"/>
      <c r="E34" s="1254"/>
    </row>
    <row r="35" spans="2:5">
      <c r="B35" s="973"/>
      <c r="C35" s="975"/>
      <c r="D35" s="964"/>
      <c r="E35" s="965">
        <f>D35*9.5</f>
        <v>0</v>
      </c>
    </row>
    <row r="36" spans="2:5">
      <c r="B36" s="973"/>
      <c r="C36" s="975"/>
      <c r="D36" s="964"/>
      <c r="E36" s="965">
        <f>D36*9.5</f>
        <v>0</v>
      </c>
    </row>
    <row r="37" spans="2:5">
      <c r="B37" s="973"/>
      <c r="C37" s="975"/>
      <c r="D37" s="964"/>
      <c r="E37" s="965">
        <f>D37*9.5</f>
        <v>0</v>
      </c>
    </row>
    <row r="38" spans="2:5">
      <c r="B38" s="973"/>
      <c r="C38" s="975"/>
      <c r="D38" s="964"/>
      <c r="E38" s="965">
        <f>D38*9.5</f>
        <v>0</v>
      </c>
    </row>
    <row r="39" spans="2:5" ht="20.100000000000001" customHeight="1">
      <c r="B39" s="1259" t="s">
        <v>24</v>
      </c>
      <c r="C39" s="1259"/>
      <c r="D39" s="937">
        <f>SUM(D35:D38)</f>
        <v>0</v>
      </c>
      <c r="E39" s="954">
        <f>D39*9.5</f>
        <v>0</v>
      </c>
    </row>
    <row r="40" spans="2:5" ht="19.5">
      <c r="B40" s="1260" t="s">
        <v>200</v>
      </c>
      <c r="C40" s="1260"/>
      <c r="D40" s="1260"/>
      <c r="E40" s="1260"/>
    </row>
    <row r="41" spans="2:5">
      <c r="B41" s="950"/>
      <c r="C41" s="952" t="s">
        <v>34</v>
      </c>
      <c r="D41" s="952" t="s">
        <v>35</v>
      </c>
      <c r="E41" s="952" t="s">
        <v>37</v>
      </c>
    </row>
    <row r="42" spans="2:5">
      <c r="B42" s="953" t="s">
        <v>39</v>
      </c>
      <c r="C42" s="955">
        <f>D16</f>
        <v>721</v>
      </c>
      <c r="D42" s="956">
        <f>D30</f>
        <v>619</v>
      </c>
      <c r="E42" s="956">
        <f>D39</f>
        <v>0</v>
      </c>
    </row>
    <row r="43" spans="2:5">
      <c r="B43" s="953" t="s">
        <v>36</v>
      </c>
      <c r="C43" s="951">
        <f>C42*9.5</f>
        <v>6849.5</v>
      </c>
      <c r="D43" s="951">
        <f>D42*9.5</f>
        <v>5880.5</v>
      </c>
      <c r="E43" s="951">
        <f>E42*9.5</f>
        <v>0</v>
      </c>
    </row>
    <row r="44" spans="2:5" ht="19.5">
      <c r="B44" s="1261" t="s">
        <v>199</v>
      </c>
      <c r="C44" s="1262"/>
      <c r="D44" s="1262"/>
      <c r="E44" s="1263"/>
    </row>
    <row r="45" spans="2:5">
      <c r="B45" s="377" t="s">
        <v>198</v>
      </c>
      <c r="C45" s="378">
        <f>C42+D42+E42</f>
        <v>1340</v>
      </c>
      <c r="D45" s="378" t="s">
        <v>253</v>
      </c>
      <c r="E45" s="381">
        <f>C45*9.5</f>
        <v>12730</v>
      </c>
    </row>
    <row r="46" spans="2:5">
      <c r="B46" s="377" t="s">
        <v>197</v>
      </c>
      <c r="C46" s="378">
        <f>C47-C45</f>
        <v>148</v>
      </c>
      <c r="D46" s="378" t="s">
        <v>204</v>
      </c>
      <c r="E46" s="381">
        <f>C46*9</f>
        <v>1332</v>
      </c>
    </row>
    <row r="47" spans="2:5" ht="19.5">
      <c r="B47" s="941" t="s">
        <v>201</v>
      </c>
      <c r="C47" s="380">
        <v>1488</v>
      </c>
      <c r="D47" s="380" t="s">
        <v>202</v>
      </c>
      <c r="E47" s="379">
        <f>SUM(E45+E46)</f>
        <v>14062</v>
      </c>
    </row>
    <row r="49" spans="2:3">
      <c r="B49" s="938" t="s">
        <v>5</v>
      </c>
      <c r="C49" s="947"/>
    </row>
    <row r="50" spans="2:3">
      <c r="B50" s="948" t="s">
        <v>4</v>
      </c>
      <c r="C50" s="949"/>
    </row>
    <row r="51" spans="2:3">
      <c r="B51" s="948" t="s">
        <v>25</v>
      </c>
      <c r="C51" s="949"/>
    </row>
  </sheetData>
  <mergeCells count="22">
    <mergeCell ref="B39:C39"/>
    <mergeCell ref="B40:E40"/>
    <mergeCell ref="B44:E44"/>
    <mergeCell ref="B30:C30"/>
    <mergeCell ref="C32:E32"/>
    <mergeCell ref="B33:B34"/>
    <mergeCell ref="C33:C34"/>
    <mergeCell ref="D33:D34"/>
    <mergeCell ref="E33:E34"/>
    <mergeCell ref="B16:C16"/>
    <mergeCell ref="C18:E18"/>
    <mergeCell ref="B19:B20"/>
    <mergeCell ref="C19:C20"/>
    <mergeCell ref="D19:D20"/>
    <mergeCell ref="E19:E20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2FBE4-6ED9-4426-B388-7A3561FD640A}">
  <sheetPr codeName="Sheet150">
    <pageSetUpPr fitToPage="1"/>
  </sheetPr>
  <dimension ref="B2:H51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44821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673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250</v>
      </c>
      <c r="C7" s="975" t="s">
        <v>669</v>
      </c>
      <c r="D7" s="964">
        <v>270</v>
      </c>
      <c r="E7" s="965">
        <f t="shared" ref="E7:E16" si="0">D7*9.5</f>
        <v>2565</v>
      </c>
    </row>
    <row r="8" spans="2:8" ht="15" customHeight="1">
      <c r="B8" s="973" t="s">
        <v>235</v>
      </c>
      <c r="C8" s="975" t="s">
        <v>669</v>
      </c>
      <c r="D8" s="964">
        <v>64</v>
      </c>
      <c r="E8" s="965">
        <f t="shared" si="0"/>
        <v>608</v>
      </c>
    </row>
    <row r="9" spans="2:8" ht="15" customHeight="1">
      <c r="B9" s="973" t="s">
        <v>189</v>
      </c>
      <c r="C9" s="975" t="s">
        <v>668</v>
      </c>
      <c r="D9" s="964">
        <v>52</v>
      </c>
      <c r="E9" s="965">
        <f t="shared" si="0"/>
        <v>494</v>
      </c>
    </row>
    <row r="10" spans="2:8" ht="15" customHeight="1">
      <c r="B10" s="973" t="s">
        <v>245</v>
      </c>
      <c r="C10" s="975" t="s">
        <v>668</v>
      </c>
      <c r="D10" s="943">
        <v>43</v>
      </c>
      <c r="E10" s="961">
        <f t="shared" si="0"/>
        <v>408.5</v>
      </c>
    </row>
    <row r="11" spans="2:8" ht="15" customHeight="1">
      <c r="B11" s="973" t="s">
        <v>307</v>
      </c>
      <c r="C11" s="975" t="s">
        <v>668</v>
      </c>
      <c r="D11" s="943">
        <v>93</v>
      </c>
      <c r="E11" s="961">
        <f t="shared" si="0"/>
        <v>883.5</v>
      </c>
    </row>
    <row r="12" spans="2:8" ht="15" customHeight="1">
      <c r="B12" s="973" t="s">
        <v>329</v>
      </c>
      <c r="C12" s="975" t="s">
        <v>667</v>
      </c>
      <c r="D12" s="943">
        <v>45</v>
      </c>
      <c r="E12" s="961">
        <f t="shared" si="0"/>
        <v>427.5</v>
      </c>
    </row>
    <row r="13" spans="2:8" ht="15" customHeight="1">
      <c r="B13" s="973" t="s">
        <v>65</v>
      </c>
      <c r="C13" s="975" t="s">
        <v>667</v>
      </c>
      <c r="D13" s="943">
        <v>160</v>
      </c>
      <c r="E13" s="961">
        <f t="shared" si="0"/>
        <v>1520</v>
      </c>
    </row>
    <row r="14" spans="2:8" ht="15" customHeight="1">
      <c r="B14" s="973" t="s">
        <v>70</v>
      </c>
      <c r="C14" s="975" t="s">
        <v>666</v>
      </c>
      <c r="D14" s="943">
        <v>69</v>
      </c>
      <c r="E14" s="961">
        <f t="shared" si="0"/>
        <v>655.5</v>
      </c>
    </row>
    <row r="15" spans="2:8" ht="15" customHeight="1">
      <c r="B15" s="973" t="s">
        <v>675</v>
      </c>
      <c r="C15" s="975" t="s">
        <v>666</v>
      </c>
      <c r="D15" s="943">
        <v>128</v>
      </c>
      <c r="E15" s="961">
        <f t="shared" si="0"/>
        <v>1216</v>
      </c>
    </row>
    <row r="16" spans="2:8" ht="20.100000000000001" customHeight="1">
      <c r="B16" s="1255" t="s">
        <v>24</v>
      </c>
      <c r="C16" s="1255"/>
      <c r="D16" s="964">
        <f>SUM(D7:D15)</f>
        <v>924</v>
      </c>
      <c r="E16" s="965">
        <f t="shared" si="0"/>
        <v>8778</v>
      </c>
    </row>
    <row r="18" spans="2:5" ht="19.5">
      <c r="B18" s="941" t="s">
        <v>671</v>
      </c>
      <c r="C18" s="1256" t="s">
        <v>670</v>
      </c>
      <c r="D18" s="1257"/>
      <c r="E18" s="1258"/>
    </row>
    <row r="19" spans="2:5" ht="15" customHeight="1">
      <c r="B19" s="1251" t="s">
        <v>0</v>
      </c>
      <c r="C19" s="1251" t="s">
        <v>1</v>
      </c>
      <c r="D19" s="1252" t="s">
        <v>40</v>
      </c>
      <c r="E19" s="1253" t="s">
        <v>31</v>
      </c>
    </row>
    <row r="20" spans="2:5" s="974" customFormat="1">
      <c r="B20" s="1251"/>
      <c r="C20" s="1251"/>
      <c r="D20" s="1252"/>
      <c r="E20" s="1254"/>
    </row>
    <row r="21" spans="2:5" ht="14.45" customHeight="1">
      <c r="B21" s="973" t="s">
        <v>250</v>
      </c>
      <c r="C21" s="975" t="s">
        <v>669</v>
      </c>
      <c r="D21" s="964">
        <v>228</v>
      </c>
      <c r="E21" s="965">
        <f t="shared" ref="E21:E30" si="1">D21*9.5</f>
        <v>2166</v>
      </c>
    </row>
    <row r="22" spans="2:5" ht="15" customHeight="1">
      <c r="B22" s="973" t="s">
        <v>235</v>
      </c>
      <c r="C22" s="975" t="s">
        <v>669</v>
      </c>
      <c r="D22" s="964">
        <v>94</v>
      </c>
      <c r="E22" s="965">
        <f t="shared" si="1"/>
        <v>893</v>
      </c>
    </row>
    <row r="23" spans="2:5" ht="14.45" customHeight="1">
      <c r="B23" s="973" t="s">
        <v>189</v>
      </c>
      <c r="C23" s="975" t="s">
        <v>668</v>
      </c>
      <c r="D23" s="964">
        <v>89</v>
      </c>
      <c r="E23" s="965">
        <f t="shared" si="1"/>
        <v>845.5</v>
      </c>
    </row>
    <row r="24" spans="2:5" ht="14.45" customHeight="1">
      <c r="B24" s="973" t="s">
        <v>184</v>
      </c>
      <c r="C24" s="975" t="s">
        <v>668</v>
      </c>
      <c r="D24" s="964">
        <v>84</v>
      </c>
      <c r="E24" s="965">
        <f t="shared" si="1"/>
        <v>798</v>
      </c>
    </row>
    <row r="25" spans="2:5" ht="14.45" customHeight="1">
      <c r="B25" s="973" t="s">
        <v>260</v>
      </c>
      <c r="C25" s="975" t="s">
        <v>668</v>
      </c>
      <c r="D25" s="964">
        <v>74</v>
      </c>
      <c r="E25" s="965">
        <f t="shared" si="1"/>
        <v>703</v>
      </c>
    </row>
    <row r="26" spans="2:5" ht="14.45" customHeight="1">
      <c r="B26" s="973" t="s">
        <v>329</v>
      </c>
      <c r="C26" s="975" t="s">
        <v>667</v>
      </c>
      <c r="D26" s="964">
        <v>34</v>
      </c>
      <c r="E26" s="965">
        <f t="shared" si="1"/>
        <v>323</v>
      </c>
    </row>
    <row r="27" spans="2:5" ht="14.45" customHeight="1">
      <c r="B27" s="973" t="s">
        <v>65</v>
      </c>
      <c r="C27" s="975" t="s">
        <v>667</v>
      </c>
      <c r="D27" s="964">
        <v>128</v>
      </c>
      <c r="E27" s="965">
        <f t="shared" si="1"/>
        <v>1216</v>
      </c>
    </row>
    <row r="28" spans="2:5" ht="14.45" customHeight="1">
      <c r="B28" s="1050" t="s">
        <v>78</v>
      </c>
      <c r="C28" s="1049" t="s">
        <v>666</v>
      </c>
      <c r="D28" s="964">
        <v>64</v>
      </c>
      <c r="E28" s="965">
        <f t="shared" si="1"/>
        <v>608</v>
      </c>
    </row>
    <row r="29" spans="2:5" ht="14.45" customHeight="1">
      <c r="B29" s="1050" t="s">
        <v>70</v>
      </c>
      <c r="C29" s="1049" t="s">
        <v>666</v>
      </c>
      <c r="D29" s="964">
        <v>95</v>
      </c>
      <c r="E29" s="965">
        <f t="shared" si="1"/>
        <v>902.5</v>
      </c>
    </row>
    <row r="30" spans="2:5" ht="14.45" customHeight="1">
      <c r="B30" s="1269" t="s">
        <v>24</v>
      </c>
      <c r="C30" s="1270"/>
      <c r="D30" s="937">
        <f>SUM(D21:D29)</f>
        <v>890</v>
      </c>
      <c r="E30" s="954">
        <f t="shared" si="1"/>
        <v>8455</v>
      </c>
    </row>
    <row r="31" spans="2:5">
      <c r="B31" s="944"/>
      <c r="C31" s="944"/>
      <c r="D31" s="945"/>
      <c r="E31" s="945"/>
    </row>
    <row r="32" spans="2:5" ht="19.5">
      <c r="B32" s="946" t="s">
        <v>665</v>
      </c>
      <c r="C32" s="1264" t="s">
        <v>165</v>
      </c>
      <c r="D32" s="1265"/>
      <c r="E32" s="1266"/>
    </row>
    <row r="33" spans="2:5" ht="15" customHeight="1">
      <c r="B33" s="1251" t="s">
        <v>0</v>
      </c>
      <c r="C33" s="1251" t="s">
        <v>1</v>
      </c>
      <c r="D33" s="1252" t="s">
        <v>40</v>
      </c>
      <c r="E33" s="1253" t="s">
        <v>31</v>
      </c>
    </row>
    <row r="34" spans="2:5">
      <c r="B34" s="1251"/>
      <c r="C34" s="1251"/>
      <c r="D34" s="1252"/>
      <c r="E34" s="1254"/>
    </row>
    <row r="35" spans="2:5">
      <c r="B35" s="973"/>
      <c r="C35" s="975"/>
      <c r="D35" s="964"/>
      <c r="E35" s="965">
        <f>D35*9.5</f>
        <v>0</v>
      </c>
    </row>
    <row r="36" spans="2:5">
      <c r="B36" s="973"/>
      <c r="C36" s="975"/>
      <c r="D36" s="964"/>
      <c r="E36" s="965">
        <f>D36*9.5</f>
        <v>0</v>
      </c>
    </row>
    <row r="37" spans="2:5">
      <c r="B37" s="973"/>
      <c r="C37" s="975"/>
      <c r="D37" s="964"/>
      <c r="E37" s="965">
        <f>D37*9.5</f>
        <v>0</v>
      </c>
    </row>
    <row r="38" spans="2:5">
      <c r="B38" s="973"/>
      <c r="C38" s="975"/>
      <c r="D38" s="964"/>
      <c r="E38" s="965">
        <f>D38*9.5</f>
        <v>0</v>
      </c>
    </row>
    <row r="39" spans="2:5" ht="20.100000000000001" customHeight="1">
      <c r="B39" s="1259" t="s">
        <v>24</v>
      </c>
      <c r="C39" s="1259"/>
      <c r="D39" s="937">
        <f>SUM(D35:D38)</f>
        <v>0</v>
      </c>
      <c r="E39" s="954">
        <f>D39*9.5</f>
        <v>0</v>
      </c>
    </row>
    <row r="40" spans="2:5" ht="19.5">
      <c r="B40" s="1260" t="s">
        <v>200</v>
      </c>
      <c r="C40" s="1260"/>
      <c r="D40" s="1260"/>
      <c r="E40" s="1260"/>
    </row>
    <row r="41" spans="2:5">
      <c r="B41" s="950"/>
      <c r="C41" s="952" t="s">
        <v>34</v>
      </c>
      <c r="D41" s="952" t="s">
        <v>35</v>
      </c>
      <c r="E41" s="952" t="s">
        <v>37</v>
      </c>
    </row>
    <row r="42" spans="2:5">
      <c r="B42" s="953" t="s">
        <v>39</v>
      </c>
      <c r="C42" s="955">
        <f>D16</f>
        <v>924</v>
      </c>
      <c r="D42" s="956">
        <f>D30</f>
        <v>890</v>
      </c>
      <c r="E42" s="956">
        <f>D39</f>
        <v>0</v>
      </c>
    </row>
    <row r="43" spans="2:5">
      <c r="B43" s="953" t="s">
        <v>36</v>
      </c>
      <c r="C43" s="951">
        <f>C42*9.5</f>
        <v>8778</v>
      </c>
      <c r="D43" s="951">
        <f>D42*9.5</f>
        <v>8455</v>
      </c>
      <c r="E43" s="951">
        <f>E42*9.5</f>
        <v>0</v>
      </c>
    </row>
    <row r="44" spans="2:5" ht="19.5">
      <c r="B44" s="1261" t="s">
        <v>199</v>
      </c>
      <c r="C44" s="1262"/>
      <c r="D44" s="1262"/>
      <c r="E44" s="1263"/>
    </row>
    <row r="45" spans="2:5">
      <c r="B45" s="377" t="s">
        <v>198</v>
      </c>
      <c r="C45" s="378">
        <f>C42+D42+E42</f>
        <v>1814</v>
      </c>
      <c r="D45" s="378" t="s">
        <v>253</v>
      </c>
      <c r="E45" s="381">
        <f>C45*9.5</f>
        <v>17233</v>
      </c>
    </row>
    <row r="46" spans="2:5">
      <c r="B46" s="377" t="s">
        <v>197</v>
      </c>
      <c r="C46" s="378">
        <f>C47-C45</f>
        <v>115</v>
      </c>
      <c r="D46" s="378" t="s">
        <v>204</v>
      </c>
      <c r="E46" s="381">
        <f>C46*9</f>
        <v>1035</v>
      </c>
    </row>
    <row r="47" spans="2:5" ht="19.5">
      <c r="B47" s="941" t="s">
        <v>201</v>
      </c>
      <c r="C47" s="380">
        <v>1929</v>
      </c>
      <c r="D47" s="380" t="s">
        <v>202</v>
      </c>
      <c r="E47" s="379">
        <f>SUM(E45+E46)</f>
        <v>18268</v>
      </c>
    </row>
    <row r="49" spans="2:3">
      <c r="B49" s="938" t="s">
        <v>5</v>
      </c>
      <c r="C49" s="947"/>
    </row>
    <row r="50" spans="2:3">
      <c r="B50" s="948" t="s">
        <v>4</v>
      </c>
      <c r="C50" s="949"/>
    </row>
    <row r="51" spans="2:3">
      <c r="B51" s="948" t="s">
        <v>25</v>
      </c>
      <c r="C51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6:C16"/>
    <mergeCell ref="C18:E18"/>
    <mergeCell ref="B19:B20"/>
    <mergeCell ref="C19:C20"/>
    <mergeCell ref="D19:D20"/>
    <mergeCell ref="E19:E20"/>
    <mergeCell ref="B39:C39"/>
    <mergeCell ref="B40:E40"/>
    <mergeCell ref="B44:E44"/>
    <mergeCell ref="B30:C30"/>
    <mergeCell ref="C32:E32"/>
    <mergeCell ref="B33:B34"/>
    <mergeCell ref="C33:C34"/>
    <mergeCell ref="D33:D34"/>
    <mergeCell ref="E33:E34"/>
  </mergeCells>
  <pageMargins left="0.7" right="0.7" top="0.75" bottom="0.75" header="0.3" footer="0.3"/>
  <pageSetup scale="68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9BB01-D693-4E8D-A60E-50C7355517AE}">
  <sheetPr codeName="Sheet151">
    <pageSetUpPr fitToPage="1"/>
  </sheetPr>
  <dimension ref="B2:H51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44822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673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250</v>
      </c>
      <c r="C7" s="975" t="s">
        <v>669</v>
      </c>
      <c r="D7" s="964">
        <v>254</v>
      </c>
      <c r="E7" s="965">
        <f t="shared" ref="E7:E16" si="0">D7*9.5</f>
        <v>2413</v>
      </c>
    </row>
    <row r="8" spans="2:8" ht="15" customHeight="1">
      <c r="B8" s="973" t="s">
        <v>184</v>
      </c>
      <c r="C8" s="975" t="s">
        <v>669</v>
      </c>
      <c r="D8" s="964">
        <v>228</v>
      </c>
      <c r="E8" s="965">
        <f t="shared" si="0"/>
        <v>2166</v>
      </c>
    </row>
    <row r="9" spans="2:8" ht="15" customHeight="1">
      <c r="B9" s="973" t="s">
        <v>252</v>
      </c>
      <c r="C9" s="975" t="s">
        <v>668</v>
      </c>
      <c r="D9" s="964">
        <v>158</v>
      </c>
      <c r="E9" s="965">
        <f t="shared" si="0"/>
        <v>1501</v>
      </c>
    </row>
    <row r="10" spans="2:8" ht="15" customHeight="1">
      <c r="B10" s="1051" t="s">
        <v>676</v>
      </c>
      <c r="C10" s="975" t="s">
        <v>668</v>
      </c>
      <c r="D10" s="943">
        <v>436</v>
      </c>
      <c r="E10" s="961">
        <f t="shared" si="0"/>
        <v>4142</v>
      </c>
    </row>
    <row r="11" spans="2:8" ht="15" customHeight="1">
      <c r="B11" s="973" t="s">
        <v>329</v>
      </c>
      <c r="C11" s="975" t="s">
        <v>668</v>
      </c>
      <c r="D11" s="943">
        <v>75</v>
      </c>
      <c r="E11" s="961">
        <f t="shared" si="0"/>
        <v>712.5</v>
      </c>
    </row>
    <row r="12" spans="2:8" ht="15" customHeight="1">
      <c r="B12" s="973" t="s">
        <v>279</v>
      </c>
      <c r="C12" s="975" t="s">
        <v>667</v>
      </c>
      <c r="D12" s="943">
        <v>330</v>
      </c>
      <c r="E12" s="961">
        <f t="shared" si="0"/>
        <v>3135</v>
      </c>
    </row>
    <row r="13" spans="2:8" ht="15" customHeight="1">
      <c r="B13" s="973" t="s">
        <v>82</v>
      </c>
      <c r="C13" s="975" t="s">
        <v>667</v>
      </c>
      <c r="D13" s="943">
        <v>127</v>
      </c>
      <c r="E13" s="961">
        <f t="shared" si="0"/>
        <v>1206.5</v>
      </c>
    </row>
    <row r="14" spans="2:8" ht="15" customHeight="1">
      <c r="B14" s="973" t="s">
        <v>44</v>
      </c>
      <c r="C14" s="975" t="s">
        <v>666</v>
      </c>
      <c r="D14" s="943">
        <v>66</v>
      </c>
      <c r="E14" s="961">
        <f t="shared" si="0"/>
        <v>627</v>
      </c>
    </row>
    <row r="15" spans="2:8" ht="15" customHeight="1">
      <c r="B15" s="973" t="s">
        <v>143</v>
      </c>
      <c r="C15" s="975" t="s">
        <v>666</v>
      </c>
      <c r="D15" s="943">
        <v>146</v>
      </c>
      <c r="E15" s="961">
        <f t="shared" si="0"/>
        <v>1387</v>
      </c>
    </row>
    <row r="16" spans="2:8" ht="20.100000000000001" customHeight="1">
      <c r="B16" s="1255" t="s">
        <v>24</v>
      </c>
      <c r="C16" s="1255"/>
      <c r="D16" s="964">
        <f>SUM(D7:D15)</f>
        <v>1820</v>
      </c>
      <c r="E16" s="965">
        <f t="shared" si="0"/>
        <v>17290</v>
      </c>
    </row>
    <row r="18" spans="2:6" ht="19.5">
      <c r="B18" s="941" t="s">
        <v>671</v>
      </c>
      <c r="C18" s="1256" t="s">
        <v>670</v>
      </c>
      <c r="D18" s="1257"/>
      <c r="E18" s="1258"/>
    </row>
    <row r="19" spans="2:6" ht="15" customHeight="1">
      <c r="B19" s="1251" t="s">
        <v>0</v>
      </c>
      <c r="C19" s="1251" t="s">
        <v>1</v>
      </c>
      <c r="D19" s="1252" t="s">
        <v>40</v>
      </c>
      <c r="E19" s="1253" t="s">
        <v>31</v>
      </c>
    </row>
    <row r="20" spans="2:6" s="974" customFormat="1">
      <c r="B20" s="1251"/>
      <c r="C20" s="1251"/>
      <c r="D20" s="1252"/>
      <c r="E20" s="1254"/>
    </row>
    <row r="21" spans="2:6" ht="14.45" customHeight="1">
      <c r="B21" s="973" t="s">
        <v>250</v>
      </c>
      <c r="C21" s="975" t="s">
        <v>669</v>
      </c>
      <c r="D21" s="964">
        <v>286</v>
      </c>
      <c r="E21" s="965">
        <f t="shared" ref="E21:E30" si="1">D21*9.5</f>
        <v>2717</v>
      </c>
    </row>
    <row r="22" spans="2:6" ht="15" customHeight="1">
      <c r="B22" s="973" t="s">
        <v>235</v>
      </c>
      <c r="C22" s="975" t="s">
        <v>669</v>
      </c>
      <c r="D22" s="964">
        <v>178</v>
      </c>
      <c r="E22" s="965">
        <f t="shared" si="1"/>
        <v>1691</v>
      </c>
    </row>
    <row r="23" spans="2:6" ht="14.45" customHeight="1">
      <c r="B23" s="1060" t="s">
        <v>252</v>
      </c>
      <c r="C23" s="1060" t="s">
        <v>668</v>
      </c>
      <c r="D23" s="989">
        <v>78</v>
      </c>
      <c r="E23" s="358">
        <f t="shared" si="1"/>
        <v>741</v>
      </c>
      <c r="F23" s="1059" t="s">
        <v>702</v>
      </c>
    </row>
    <row r="24" spans="2:6" ht="14.45" customHeight="1">
      <c r="B24" s="1051" t="s">
        <v>676</v>
      </c>
      <c r="C24" s="975" t="s">
        <v>668</v>
      </c>
      <c r="D24" s="964">
        <v>612</v>
      </c>
      <c r="E24" s="965">
        <f t="shared" si="1"/>
        <v>5814</v>
      </c>
    </row>
    <row r="25" spans="2:6" ht="14.45" customHeight="1">
      <c r="B25" s="973" t="s">
        <v>329</v>
      </c>
      <c r="C25" s="975" t="s">
        <v>668</v>
      </c>
      <c r="D25" s="964">
        <v>76</v>
      </c>
      <c r="E25" s="965">
        <f t="shared" si="1"/>
        <v>722</v>
      </c>
    </row>
    <row r="26" spans="2:6" ht="14.45" customHeight="1">
      <c r="B26" s="973" t="s">
        <v>279</v>
      </c>
      <c r="C26" s="975" t="s">
        <v>667</v>
      </c>
      <c r="D26" s="964">
        <v>376</v>
      </c>
      <c r="E26" s="965">
        <f t="shared" si="1"/>
        <v>3572</v>
      </c>
    </row>
    <row r="27" spans="2:6" ht="14.45" customHeight="1">
      <c r="B27" s="973" t="s">
        <v>82</v>
      </c>
      <c r="C27" s="975" t="s">
        <v>667</v>
      </c>
      <c r="D27" s="964">
        <v>140</v>
      </c>
      <c r="E27" s="965">
        <f t="shared" si="1"/>
        <v>1330</v>
      </c>
    </row>
    <row r="28" spans="2:6" ht="14.45" customHeight="1">
      <c r="B28" s="1050" t="s">
        <v>44</v>
      </c>
      <c r="C28" s="1049" t="s">
        <v>666</v>
      </c>
      <c r="D28" s="964">
        <v>109</v>
      </c>
      <c r="E28" s="965">
        <f t="shared" si="1"/>
        <v>1035.5</v>
      </c>
    </row>
    <row r="29" spans="2:6" ht="14.45" customHeight="1">
      <c r="B29" s="1050" t="s">
        <v>143</v>
      </c>
      <c r="C29" s="1049" t="s">
        <v>666</v>
      </c>
      <c r="D29" s="964">
        <v>175</v>
      </c>
      <c r="E29" s="965">
        <f t="shared" si="1"/>
        <v>1662.5</v>
      </c>
    </row>
    <row r="30" spans="2:6" ht="14.45" customHeight="1">
      <c r="B30" s="1269" t="s">
        <v>24</v>
      </c>
      <c r="C30" s="1270"/>
      <c r="D30" s="937">
        <f>SUM(D21:D29)</f>
        <v>2030</v>
      </c>
      <c r="E30" s="954">
        <f t="shared" si="1"/>
        <v>19285</v>
      </c>
    </row>
    <row r="31" spans="2:6">
      <c r="B31" s="944"/>
      <c r="C31" s="944"/>
      <c r="D31" s="945"/>
      <c r="E31" s="945"/>
    </row>
    <row r="32" spans="2:6" ht="19.5">
      <c r="B32" s="946" t="s">
        <v>665</v>
      </c>
      <c r="C32" s="1264" t="s">
        <v>165</v>
      </c>
      <c r="D32" s="1265"/>
      <c r="E32" s="1266"/>
    </row>
    <row r="33" spans="2:5" ht="15" customHeight="1">
      <c r="B33" s="1251" t="s">
        <v>0</v>
      </c>
      <c r="C33" s="1251" t="s">
        <v>1</v>
      </c>
      <c r="D33" s="1252" t="s">
        <v>40</v>
      </c>
      <c r="E33" s="1253" t="s">
        <v>31</v>
      </c>
    </row>
    <row r="34" spans="2:5">
      <c r="B34" s="1251"/>
      <c r="C34" s="1251"/>
      <c r="D34" s="1252"/>
      <c r="E34" s="1254"/>
    </row>
    <row r="35" spans="2:5">
      <c r="B35" s="973"/>
      <c r="C35" s="975"/>
      <c r="D35" s="964"/>
      <c r="E35" s="965">
        <f>D35*9.5</f>
        <v>0</v>
      </c>
    </row>
    <row r="36" spans="2:5">
      <c r="B36" s="973"/>
      <c r="C36" s="975"/>
      <c r="D36" s="964"/>
      <c r="E36" s="965">
        <f>D36*9.5</f>
        <v>0</v>
      </c>
    </row>
    <row r="37" spans="2:5">
      <c r="B37" s="973"/>
      <c r="C37" s="975"/>
      <c r="D37" s="964"/>
      <c r="E37" s="965">
        <f>D37*9.5</f>
        <v>0</v>
      </c>
    </row>
    <row r="38" spans="2:5">
      <c r="B38" s="973"/>
      <c r="C38" s="975"/>
      <c r="D38" s="964"/>
      <c r="E38" s="965">
        <f>D38*9.5</f>
        <v>0</v>
      </c>
    </row>
    <row r="39" spans="2:5" ht="20.100000000000001" customHeight="1">
      <c r="B39" s="1259" t="s">
        <v>24</v>
      </c>
      <c r="C39" s="1259"/>
      <c r="D39" s="937">
        <f>SUM(D35:D38)</f>
        <v>0</v>
      </c>
      <c r="E39" s="954">
        <f>D39*9.5</f>
        <v>0</v>
      </c>
    </row>
    <row r="40" spans="2:5" ht="19.5">
      <c r="B40" s="1260" t="s">
        <v>200</v>
      </c>
      <c r="C40" s="1260"/>
      <c r="D40" s="1260"/>
      <c r="E40" s="1260"/>
    </row>
    <row r="41" spans="2:5">
      <c r="B41" s="950"/>
      <c r="C41" s="952" t="s">
        <v>34</v>
      </c>
      <c r="D41" s="952" t="s">
        <v>35</v>
      </c>
      <c r="E41" s="952" t="s">
        <v>37</v>
      </c>
    </row>
    <row r="42" spans="2:5">
      <c r="B42" s="953" t="s">
        <v>39</v>
      </c>
      <c r="C42" s="955">
        <f>D16</f>
        <v>1820</v>
      </c>
      <c r="D42" s="956">
        <f>D30</f>
        <v>2030</v>
      </c>
      <c r="E42" s="956">
        <f>D39</f>
        <v>0</v>
      </c>
    </row>
    <row r="43" spans="2:5">
      <c r="B43" s="953" t="s">
        <v>36</v>
      </c>
      <c r="C43" s="951">
        <f>C42*9.5</f>
        <v>17290</v>
      </c>
      <c r="D43" s="951">
        <f>D42*9.5</f>
        <v>19285</v>
      </c>
      <c r="E43" s="951">
        <f>E42*9.5</f>
        <v>0</v>
      </c>
    </row>
    <row r="44" spans="2:5" ht="19.5">
      <c r="B44" s="1261" t="s">
        <v>199</v>
      </c>
      <c r="C44" s="1262"/>
      <c r="D44" s="1262"/>
      <c r="E44" s="1263"/>
    </row>
    <row r="45" spans="2:5">
      <c r="B45" s="377" t="s">
        <v>198</v>
      </c>
      <c r="C45" s="378">
        <f>C42+D42+E42</f>
        <v>3850</v>
      </c>
      <c r="D45" s="378" t="s">
        <v>253</v>
      </c>
      <c r="E45" s="381">
        <f>C45*9.5</f>
        <v>36575</v>
      </c>
    </row>
    <row r="46" spans="2:5">
      <c r="B46" s="377" t="s">
        <v>197</v>
      </c>
      <c r="C46" s="378">
        <f>C47-C45</f>
        <v>58</v>
      </c>
      <c r="D46" s="378" t="s">
        <v>204</v>
      </c>
      <c r="E46" s="381">
        <f>C46*9</f>
        <v>522</v>
      </c>
    </row>
    <row r="47" spans="2:5" ht="19.5">
      <c r="B47" s="941" t="s">
        <v>201</v>
      </c>
      <c r="C47" s="380">
        <v>3908</v>
      </c>
      <c r="D47" s="380" t="s">
        <v>202</v>
      </c>
      <c r="E47" s="379">
        <f>SUM(E45+E46)</f>
        <v>37097</v>
      </c>
    </row>
    <row r="49" spans="2:3">
      <c r="B49" s="938" t="s">
        <v>5</v>
      </c>
      <c r="C49" s="947"/>
    </row>
    <row r="50" spans="2:3">
      <c r="B50" s="948" t="s">
        <v>4</v>
      </c>
      <c r="C50" s="949"/>
    </row>
    <row r="51" spans="2:3">
      <c r="B51" s="948" t="s">
        <v>25</v>
      </c>
      <c r="C51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6:C16"/>
    <mergeCell ref="C18:E18"/>
    <mergeCell ref="B19:B20"/>
    <mergeCell ref="C19:C20"/>
    <mergeCell ref="D19:D20"/>
    <mergeCell ref="E19:E20"/>
    <mergeCell ref="B39:C39"/>
    <mergeCell ref="B40:E40"/>
    <mergeCell ref="B44:E44"/>
    <mergeCell ref="B30:C30"/>
    <mergeCell ref="C32:E32"/>
    <mergeCell ref="B33:B34"/>
    <mergeCell ref="C33:C34"/>
    <mergeCell ref="D33:D34"/>
    <mergeCell ref="E33:E34"/>
  </mergeCells>
  <pageMargins left="0.7" right="0.7" top="0.75" bottom="0.75" header="0.3" footer="0.3"/>
  <pageSetup scale="68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2680B-5F6A-4E55-B635-628286C550FD}">
  <sheetPr codeName="Sheet152">
    <pageSetUpPr fitToPage="1"/>
  </sheetPr>
  <dimension ref="B2:H43"/>
  <sheetViews>
    <sheetView workbookViewId="0"/>
  </sheetViews>
  <sheetFormatPr defaultColWidth="9.140625" defaultRowHeight="15"/>
  <cols>
    <col min="1" max="1" width="9.140625" style="516"/>
    <col min="2" max="2" width="36.7109375" style="516" customWidth="1"/>
    <col min="3" max="3" width="22.7109375" style="516" customWidth="1"/>
    <col min="4" max="4" width="36.7109375" style="516" customWidth="1"/>
    <col min="5" max="5" width="22.7109375" style="516" customWidth="1"/>
    <col min="6" max="8" width="15.7109375" style="516" customWidth="1"/>
    <col min="9" max="16384" width="9.140625" style="516"/>
  </cols>
  <sheetData>
    <row r="2" spans="2:8" ht="19.5">
      <c r="B2" s="480" t="s">
        <v>13</v>
      </c>
      <c r="C2" s="476"/>
      <c r="D2" s="483" t="s">
        <v>27</v>
      </c>
      <c r="E2" s="1247">
        <v>44657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574"/>
      <c r="C9" s="574" t="s">
        <v>16</v>
      </c>
      <c r="D9" s="568"/>
      <c r="E9" s="569">
        <f>D9*10</f>
        <v>0</v>
      </c>
    </row>
    <row r="10" spans="2:8" ht="20.100000000000001" customHeight="1">
      <c r="B10" s="574"/>
      <c r="C10" s="574" t="s">
        <v>16</v>
      </c>
      <c r="D10" s="568"/>
      <c r="E10" s="569">
        <f t="shared" ref="E10:E11" si="0">D10*10</f>
        <v>0</v>
      </c>
    </row>
    <row r="11" spans="2:8" ht="20.100000000000001" customHeight="1">
      <c r="B11" s="574"/>
      <c r="C11" s="574" t="s">
        <v>26</v>
      </c>
      <c r="D11" s="568"/>
      <c r="E11" s="569">
        <f t="shared" si="0"/>
        <v>0</v>
      </c>
    </row>
    <row r="12" spans="2:8" ht="20.100000000000001" customHeight="1">
      <c r="B12" s="574"/>
      <c r="C12" s="574" t="s">
        <v>26</v>
      </c>
      <c r="D12" s="568"/>
      <c r="E12" s="569">
        <f>D12*9.5</f>
        <v>0</v>
      </c>
    </row>
    <row r="13" spans="2:8" ht="20.100000000000001" customHeight="1">
      <c r="B13" s="1267" t="s">
        <v>24</v>
      </c>
      <c r="C13" s="1267"/>
      <c r="D13" s="568">
        <f>SUM(D9:D12)</f>
        <v>0</v>
      </c>
      <c r="E13" s="569">
        <f>D13*9.5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581" t="s">
        <v>159</v>
      </c>
      <c r="C18" s="576" t="s">
        <v>16</v>
      </c>
      <c r="D18" s="484">
        <v>324</v>
      </c>
      <c r="E18" s="520">
        <f>D18*9.5</f>
        <v>3078</v>
      </c>
    </row>
    <row r="19" spans="2:5" ht="20.100000000000001" customHeight="1">
      <c r="B19" s="581" t="s">
        <v>270</v>
      </c>
      <c r="C19" s="576" t="s">
        <v>16</v>
      </c>
      <c r="D19" s="484">
        <v>486</v>
      </c>
      <c r="E19" s="520">
        <f>D19*9.5</f>
        <v>4617</v>
      </c>
    </row>
    <row r="20" spans="2:5" ht="20.100000000000001" customHeight="1">
      <c r="B20" s="580"/>
      <c r="C20" s="574" t="s">
        <v>71</v>
      </c>
      <c r="D20" s="568"/>
      <c r="E20" s="569">
        <f>D20*10</f>
        <v>0</v>
      </c>
    </row>
    <row r="21" spans="2:5" ht="20.100000000000001" customHeight="1">
      <c r="B21" s="579" t="s">
        <v>259</v>
      </c>
      <c r="C21" s="576" t="s">
        <v>26</v>
      </c>
      <c r="D21" s="484">
        <v>251</v>
      </c>
      <c r="E21" s="520">
        <f>D21*9.5</f>
        <v>2384.5</v>
      </c>
    </row>
    <row r="22" spans="2:5" ht="20.100000000000001" customHeight="1">
      <c r="B22" s="579" t="s">
        <v>271</v>
      </c>
      <c r="C22" s="576" t="s">
        <v>26</v>
      </c>
      <c r="D22" s="484">
        <v>407</v>
      </c>
      <c r="E22" s="520">
        <f>D22*9.5</f>
        <v>3866.5</v>
      </c>
    </row>
    <row r="23" spans="2:5" ht="20.100000000000001" customHeight="1">
      <c r="B23" s="1259" t="s">
        <v>24</v>
      </c>
      <c r="C23" s="1259"/>
      <c r="D23" s="518">
        <f>SUM(D18:D22)</f>
        <v>1468</v>
      </c>
      <c r="E23" s="519">
        <f>D23*9.5</f>
        <v>13946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582" t="s">
        <v>65</v>
      </c>
      <c r="C28" s="560" t="s">
        <v>26</v>
      </c>
      <c r="D28" s="484">
        <v>295</v>
      </c>
      <c r="E28" s="520">
        <f>D28*9.5</f>
        <v>2802.5</v>
      </c>
    </row>
    <row r="29" spans="2:5">
      <c r="B29" s="582" t="s">
        <v>78</v>
      </c>
      <c r="C29" s="560" t="s">
        <v>16</v>
      </c>
      <c r="D29" s="484">
        <v>190</v>
      </c>
      <c r="E29" s="520">
        <f>D29*9.5</f>
        <v>1805</v>
      </c>
    </row>
    <row r="30" spans="2:5">
      <c r="B30" s="583" t="s">
        <v>258</v>
      </c>
      <c r="C30" s="560" t="s">
        <v>71</v>
      </c>
      <c r="D30" s="484">
        <v>300</v>
      </c>
      <c r="E30" s="520">
        <f>D30*9.5</f>
        <v>2850</v>
      </c>
    </row>
    <row r="31" spans="2:5" ht="20.100000000000001" customHeight="1">
      <c r="B31" s="1259" t="s">
        <v>24</v>
      </c>
      <c r="C31" s="1259"/>
      <c r="D31" s="518">
        <f>SUM(D28:D30)</f>
        <v>785</v>
      </c>
      <c r="E31" s="519">
        <f>D31*9.5</f>
        <v>7457.5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0</v>
      </c>
      <c r="D34" s="498">
        <f>D23</f>
        <v>1468</v>
      </c>
      <c r="E34" s="498">
        <f>D31</f>
        <v>785</v>
      </c>
    </row>
    <row r="35" spans="2:5">
      <c r="B35" s="495" t="s">
        <v>36</v>
      </c>
      <c r="C35" s="493">
        <f>C34*9.5</f>
        <v>0</v>
      </c>
      <c r="D35" s="493">
        <f>D34*9.5</f>
        <v>13946</v>
      </c>
      <c r="E35" s="493">
        <f>E34*9.5</f>
        <v>7457.5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2253</v>
      </c>
      <c r="D37" s="378" t="s">
        <v>253</v>
      </c>
      <c r="E37" s="381">
        <f>C37*9.5</f>
        <v>21403.5</v>
      </c>
    </row>
    <row r="38" spans="2:5">
      <c r="B38" s="377" t="s">
        <v>197</v>
      </c>
      <c r="C38" s="378">
        <f>C39-C37</f>
        <v>4605</v>
      </c>
      <c r="D38" s="378" t="s">
        <v>204</v>
      </c>
      <c r="E38" s="381">
        <f>C38*9</f>
        <v>41445</v>
      </c>
    </row>
    <row r="39" spans="2:5" ht="19.5">
      <c r="B39" s="482" t="s">
        <v>201</v>
      </c>
      <c r="C39" s="380">
        <f>'Patron Counts v Swipes'!D64</f>
        <v>6858</v>
      </c>
      <c r="D39" s="380" t="s">
        <v>202</v>
      </c>
      <c r="E39" s="379">
        <f>SUM(E37+E38)</f>
        <v>62848.5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f4hAfvraMXO6GUrWCl1KT1twVGAiQu/oFrUQkEp2ZqVjDBe6q7Kjw6WMATafjjsC9zG9LC6dfCDER/QPML+wLw==" saltValue="WrPx4/G1S0blxBqbYv4Slw==" spinCount="100000" sheet="1" objects="1" scenarios="1"/>
  <mergeCells count="22"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FA231-C6FC-4B49-A398-B7AB3F52A988}">
  <sheetPr codeName="Sheet153">
    <pageSetUpPr fitToPage="1"/>
  </sheetPr>
  <dimension ref="B2:H43"/>
  <sheetViews>
    <sheetView workbookViewId="0"/>
  </sheetViews>
  <sheetFormatPr defaultColWidth="9.140625" defaultRowHeight="15"/>
  <cols>
    <col min="1" max="1" width="9.140625" style="516"/>
    <col min="2" max="2" width="36.7109375" style="516" customWidth="1"/>
    <col min="3" max="3" width="22.7109375" style="516" customWidth="1"/>
    <col min="4" max="4" width="36.7109375" style="516" customWidth="1"/>
    <col min="5" max="5" width="22.7109375" style="516" customWidth="1"/>
    <col min="6" max="8" width="15.7109375" style="516" customWidth="1"/>
    <col min="9" max="16384" width="9.140625" style="516"/>
  </cols>
  <sheetData>
    <row r="2" spans="2:8" ht="19.5">
      <c r="B2" s="480" t="s">
        <v>13</v>
      </c>
      <c r="C2" s="476"/>
      <c r="D2" s="483" t="s">
        <v>27</v>
      </c>
      <c r="E2" s="1247">
        <v>44656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567"/>
      <c r="C9" s="567" t="s">
        <v>16</v>
      </c>
      <c r="D9" s="568"/>
      <c r="E9" s="569">
        <f>D9*10</f>
        <v>0</v>
      </c>
    </row>
    <row r="10" spans="2:8" ht="20.100000000000001" customHeight="1">
      <c r="B10" s="567"/>
      <c r="C10" s="567" t="s">
        <v>16</v>
      </c>
      <c r="D10" s="568"/>
      <c r="E10" s="569">
        <f t="shared" ref="E10:E11" si="0">D10*10</f>
        <v>0</v>
      </c>
    </row>
    <row r="11" spans="2:8" ht="20.100000000000001" customHeight="1">
      <c r="B11" s="567"/>
      <c r="C11" s="567" t="s">
        <v>26</v>
      </c>
      <c r="D11" s="568"/>
      <c r="E11" s="569">
        <f t="shared" si="0"/>
        <v>0</v>
      </c>
    </row>
    <row r="12" spans="2:8" ht="20.100000000000001" customHeight="1">
      <c r="B12" s="567"/>
      <c r="C12" s="567" t="s">
        <v>26</v>
      </c>
      <c r="D12" s="568"/>
      <c r="E12" s="569">
        <f>D12*9.5</f>
        <v>0</v>
      </c>
    </row>
    <row r="13" spans="2:8" ht="20.100000000000001" customHeight="1">
      <c r="B13" s="1267" t="s">
        <v>24</v>
      </c>
      <c r="C13" s="1267"/>
      <c r="D13" s="568">
        <f>SUM(D9:D12)</f>
        <v>0</v>
      </c>
      <c r="E13" s="569">
        <f>D13*9.5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575" t="s">
        <v>45</v>
      </c>
      <c r="C18" s="571" t="s">
        <v>16</v>
      </c>
      <c r="D18" s="484">
        <v>449</v>
      </c>
      <c r="E18" s="520">
        <f>D18*9.5</f>
        <v>4265.5</v>
      </c>
    </row>
    <row r="19" spans="2:5" ht="20.100000000000001" customHeight="1">
      <c r="B19" s="575" t="s">
        <v>264</v>
      </c>
      <c r="C19" s="571" t="s">
        <v>16</v>
      </c>
      <c r="D19" s="484">
        <v>367</v>
      </c>
      <c r="E19" s="520">
        <f>D19*9.5</f>
        <v>3486.5</v>
      </c>
    </row>
    <row r="20" spans="2:5" ht="20.100000000000001" customHeight="1">
      <c r="B20" s="574"/>
      <c r="C20" s="567" t="s">
        <v>71</v>
      </c>
      <c r="D20" s="568"/>
      <c r="E20" s="569">
        <f>D20*10</f>
        <v>0</v>
      </c>
    </row>
    <row r="21" spans="2:5" ht="20.100000000000001" customHeight="1">
      <c r="B21" s="573" t="s">
        <v>260</v>
      </c>
      <c r="C21" s="571" t="s">
        <v>26</v>
      </c>
      <c r="D21" s="484">
        <v>290</v>
      </c>
      <c r="E21" s="520">
        <f>D21*9.5</f>
        <v>2755</v>
      </c>
    </row>
    <row r="22" spans="2:5" ht="20.100000000000001" customHeight="1">
      <c r="B22" s="573" t="s">
        <v>265</v>
      </c>
      <c r="C22" s="571" t="s">
        <v>26</v>
      </c>
      <c r="D22" s="484">
        <v>292</v>
      </c>
      <c r="E22" s="520">
        <f>D22*9.5</f>
        <v>2774</v>
      </c>
    </row>
    <row r="23" spans="2:5" ht="20.100000000000001" customHeight="1">
      <c r="B23" s="1259" t="s">
        <v>24</v>
      </c>
      <c r="C23" s="1259"/>
      <c r="D23" s="518">
        <f>SUM(D18:D22)</f>
        <v>1398</v>
      </c>
      <c r="E23" s="519">
        <f>D23*9.5</f>
        <v>13281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576" t="s">
        <v>235</v>
      </c>
      <c r="C28" s="560" t="s">
        <v>26</v>
      </c>
      <c r="D28" s="484">
        <v>560</v>
      </c>
      <c r="E28" s="520">
        <f>D28*9.5</f>
        <v>5320</v>
      </c>
    </row>
    <row r="29" spans="2:5">
      <c r="B29" s="576" t="s">
        <v>262</v>
      </c>
      <c r="C29" s="560" t="s">
        <v>16</v>
      </c>
      <c r="D29" s="484">
        <v>217</v>
      </c>
      <c r="E29" s="520">
        <f>D29*9.5</f>
        <v>2061.5</v>
      </c>
    </row>
    <row r="30" spans="2:5">
      <c r="B30" s="577" t="s">
        <v>266</v>
      </c>
      <c r="C30" s="560" t="s">
        <v>71</v>
      </c>
      <c r="D30" s="484">
        <v>238</v>
      </c>
      <c r="E30" s="520">
        <f>D30*9.5</f>
        <v>2261</v>
      </c>
    </row>
    <row r="31" spans="2:5" ht="20.100000000000001" customHeight="1">
      <c r="B31" s="1259" t="s">
        <v>24</v>
      </c>
      <c r="C31" s="1259"/>
      <c r="D31" s="518">
        <f>SUM(D28:D30)</f>
        <v>1015</v>
      </c>
      <c r="E31" s="519">
        <f>D31*9.5</f>
        <v>9642.5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0</v>
      </c>
      <c r="D34" s="498">
        <f>D23</f>
        <v>1398</v>
      </c>
      <c r="E34" s="498">
        <f>D31</f>
        <v>1015</v>
      </c>
    </row>
    <row r="35" spans="2:5">
      <c r="B35" s="495" t="s">
        <v>36</v>
      </c>
      <c r="C35" s="493">
        <f>C34*9.5</f>
        <v>0</v>
      </c>
      <c r="D35" s="493">
        <f>D34*9.5</f>
        <v>13281</v>
      </c>
      <c r="E35" s="493">
        <f>E34*9.5</f>
        <v>9642.5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2413</v>
      </c>
      <c r="D37" s="378" t="s">
        <v>253</v>
      </c>
      <c r="E37" s="381">
        <f>C37*9.5</f>
        <v>22923.5</v>
      </c>
    </row>
    <row r="38" spans="2:5">
      <c r="B38" s="377" t="s">
        <v>197</v>
      </c>
      <c r="C38" s="378">
        <f>C39-C37</f>
        <v>4440</v>
      </c>
      <c r="D38" s="378" t="s">
        <v>204</v>
      </c>
      <c r="E38" s="381">
        <f>C38*9</f>
        <v>39960</v>
      </c>
    </row>
    <row r="39" spans="2:5" ht="19.5">
      <c r="B39" s="482" t="s">
        <v>201</v>
      </c>
      <c r="C39" s="380">
        <f>'Patron Counts v Swipes'!D58</f>
        <v>6853</v>
      </c>
      <c r="D39" s="380" t="s">
        <v>202</v>
      </c>
      <c r="E39" s="379">
        <f>SUM(E37+E38)</f>
        <v>62883.5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QUVOgCq/sXyw85QTgwS4wPwR32MPhNAKveFH5+kleTO5LZ8rLSqYnxAsmNHsoqrYkEWspwEJxY3a59y54cn2Mw==" saltValue="HaHbd3TbG5kwK2H6WOORZQ==" spinCount="100000" sheet="1" objects="1" scenarios="1"/>
  <mergeCells count="22"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A4A87-0E04-4C88-A219-FA94DB788582}">
  <sheetPr codeName="Sheet154">
    <pageSetUpPr fitToPage="1"/>
  </sheetPr>
  <dimension ref="B2:H43"/>
  <sheetViews>
    <sheetView workbookViewId="0"/>
  </sheetViews>
  <sheetFormatPr defaultColWidth="9.140625" defaultRowHeight="15"/>
  <cols>
    <col min="1" max="1" width="9.140625" style="516"/>
    <col min="2" max="2" width="36.7109375" style="516" customWidth="1"/>
    <col min="3" max="3" width="22.7109375" style="516" customWidth="1"/>
    <col min="4" max="4" width="36.7109375" style="516" customWidth="1"/>
    <col min="5" max="5" width="22.7109375" style="516" customWidth="1"/>
    <col min="6" max="8" width="15.7109375" style="516" customWidth="1"/>
    <col min="9" max="16384" width="9.140625" style="516"/>
  </cols>
  <sheetData>
    <row r="2" spans="2:8" ht="19.5">
      <c r="B2" s="480" t="s">
        <v>13</v>
      </c>
      <c r="C2" s="476"/>
      <c r="D2" s="483" t="s">
        <v>27</v>
      </c>
      <c r="E2" s="1247">
        <v>44655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567"/>
      <c r="C9" s="567" t="s">
        <v>16</v>
      </c>
      <c r="D9" s="568"/>
      <c r="E9" s="569">
        <f>D9*10</f>
        <v>0</v>
      </c>
    </row>
    <row r="10" spans="2:8" ht="20.100000000000001" customHeight="1">
      <c r="B10" s="567"/>
      <c r="C10" s="567" t="s">
        <v>16</v>
      </c>
      <c r="D10" s="568"/>
      <c r="E10" s="569">
        <f t="shared" ref="E10:E11" si="0">D10*10</f>
        <v>0</v>
      </c>
    </row>
    <row r="11" spans="2:8" ht="20.100000000000001" customHeight="1">
      <c r="B11" s="567"/>
      <c r="C11" s="567" t="s">
        <v>26</v>
      </c>
      <c r="D11" s="568"/>
      <c r="E11" s="569">
        <f t="shared" si="0"/>
        <v>0</v>
      </c>
    </row>
    <row r="12" spans="2:8" ht="20.100000000000001" customHeight="1">
      <c r="B12" s="567"/>
      <c r="C12" s="567" t="s">
        <v>26</v>
      </c>
      <c r="D12" s="568"/>
      <c r="E12" s="569">
        <f>D12*9.5</f>
        <v>0</v>
      </c>
    </row>
    <row r="13" spans="2:8" ht="20.100000000000001" customHeight="1">
      <c r="B13" s="1267" t="s">
        <v>24</v>
      </c>
      <c r="C13" s="1267"/>
      <c r="D13" s="568">
        <f>SUM(D9:D12)</f>
        <v>0</v>
      </c>
      <c r="E13" s="569">
        <f>D13*9.5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570" t="s">
        <v>56</v>
      </c>
      <c r="C18" s="564" t="s">
        <v>16</v>
      </c>
      <c r="D18" s="484">
        <v>316</v>
      </c>
      <c r="E18" s="520">
        <f>D18*9.5</f>
        <v>3002</v>
      </c>
    </row>
    <row r="19" spans="2:5" ht="20.100000000000001" customHeight="1">
      <c r="B19" s="570" t="s">
        <v>261</v>
      </c>
      <c r="C19" s="564" t="s">
        <v>16</v>
      </c>
      <c r="D19" s="484">
        <v>331</v>
      </c>
      <c r="E19" s="520">
        <f>D19*9.5</f>
        <v>3144.5</v>
      </c>
    </row>
    <row r="20" spans="2:5" ht="20.100000000000001" customHeight="1">
      <c r="B20" s="567"/>
      <c r="C20" s="562" t="s">
        <v>71</v>
      </c>
      <c r="D20" s="556"/>
      <c r="E20" s="557">
        <f>D20*10</f>
        <v>0</v>
      </c>
    </row>
    <row r="21" spans="2:5" ht="20.100000000000001" customHeight="1">
      <c r="B21" s="566" t="s">
        <v>262</v>
      </c>
      <c r="C21" s="564" t="s">
        <v>26</v>
      </c>
      <c r="D21" s="484">
        <v>400</v>
      </c>
      <c r="E21" s="520">
        <f>D21*9.5</f>
        <v>3800</v>
      </c>
    </row>
    <row r="22" spans="2:5" ht="20.100000000000001" customHeight="1">
      <c r="B22" s="566" t="s">
        <v>263</v>
      </c>
      <c r="C22" s="564" t="s">
        <v>26</v>
      </c>
      <c r="D22" s="484">
        <v>585</v>
      </c>
      <c r="E22" s="520">
        <f>D22*9.5</f>
        <v>5557.5</v>
      </c>
    </row>
    <row r="23" spans="2:5" ht="20.100000000000001" customHeight="1">
      <c r="B23" s="1259" t="s">
        <v>24</v>
      </c>
      <c r="C23" s="1259"/>
      <c r="D23" s="518">
        <f>SUM(D18:D22)</f>
        <v>1632</v>
      </c>
      <c r="E23" s="519">
        <f>D23*9.5</f>
        <v>15504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571" t="s">
        <v>82</v>
      </c>
      <c r="C28" s="560" t="s">
        <v>26</v>
      </c>
      <c r="D28" s="484">
        <v>210</v>
      </c>
      <c r="E28" s="520">
        <f>D28*9.5</f>
        <v>1995</v>
      </c>
    </row>
    <row r="29" spans="2:5">
      <c r="B29" s="571" t="s">
        <v>184</v>
      </c>
      <c r="C29" s="560" t="s">
        <v>16</v>
      </c>
      <c r="D29" s="484">
        <v>283</v>
      </c>
      <c r="E29" s="520">
        <f>D29*9.5</f>
        <v>2688.5</v>
      </c>
    </row>
    <row r="30" spans="2:5">
      <c r="B30" s="572" t="s">
        <v>242</v>
      </c>
      <c r="C30" s="560" t="s">
        <v>71</v>
      </c>
      <c r="D30" s="484">
        <v>633</v>
      </c>
      <c r="E30" s="520">
        <f>D30*9.5</f>
        <v>6013.5</v>
      </c>
    </row>
    <row r="31" spans="2:5" ht="20.100000000000001" customHeight="1">
      <c r="B31" s="1259" t="s">
        <v>24</v>
      </c>
      <c r="C31" s="1259"/>
      <c r="D31" s="518">
        <f>SUM(D28:D30)</f>
        <v>1126</v>
      </c>
      <c r="E31" s="519">
        <f>D31*9.5</f>
        <v>10697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0</v>
      </c>
      <c r="D34" s="498">
        <f>D23</f>
        <v>1632</v>
      </c>
      <c r="E34" s="498">
        <f>D31</f>
        <v>1126</v>
      </c>
    </row>
    <row r="35" spans="2:5">
      <c r="B35" s="495" t="s">
        <v>36</v>
      </c>
      <c r="C35" s="493">
        <f>C34*9.5</f>
        <v>0</v>
      </c>
      <c r="D35" s="493">
        <f>D34*9.5</f>
        <v>15504</v>
      </c>
      <c r="E35" s="493">
        <f>E34*9.5</f>
        <v>10697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2758</v>
      </c>
      <c r="D37" s="378" t="s">
        <v>253</v>
      </c>
      <c r="E37" s="381">
        <f>C37*9.5</f>
        <v>26201</v>
      </c>
    </row>
    <row r="38" spans="2:5">
      <c r="B38" s="377" t="s">
        <v>197</v>
      </c>
      <c r="C38" s="378">
        <f>C39-C37</f>
        <v>3977</v>
      </c>
      <c r="D38" s="378" t="s">
        <v>204</v>
      </c>
      <c r="E38" s="381">
        <f>C38*9</f>
        <v>35793</v>
      </c>
    </row>
    <row r="39" spans="2:5" ht="19.5">
      <c r="B39" s="482" t="s">
        <v>201</v>
      </c>
      <c r="C39" s="380">
        <f>'Patron Counts v Swipes'!D52</f>
        <v>6735</v>
      </c>
      <c r="D39" s="380" t="s">
        <v>202</v>
      </c>
      <c r="E39" s="379">
        <f>SUM(E37+E38)</f>
        <v>61994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i/ffIwnV3tO0/9wOziT+ICFv05YQQE9VK5q5uDF+iItfyy04XftLIOIxNyuHkx98JLxSt9OKzqd7N+a9oOPVvw==" saltValue="GmotGJFlpkViPfiK4VhIx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44C1B-7DA6-483D-B144-0E5BC033BF8A}">
  <sheetPr codeName="Sheet160">
    <pageSetUpPr fitToPage="1"/>
  </sheetPr>
  <dimension ref="B2:H43"/>
  <sheetViews>
    <sheetView workbookViewId="0"/>
  </sheetViews>
  <sheetFormatPr defaultColWidth="9.140625" defaultRowHeight="15"/>
  <cols>
    <col min="1" max="1" width="9.140625" style="516"/>
    <col min="2" max="2" width="36.7109375" style="516" customWidth="1"/>
    <col min="3" max="3" width="22.7109375" style="516" customWidth="1"/>
    <col min="4" max="4" width="36.7109375" style="516" customWidth="1"/>
    <col min="5" max="5" width="22.7109375" style="516" customWidth="1"/>
    <col min="6" max="8" width="15.7109375" style="516" customWidth="1"/>
    <col min="9" max="16384" width="9.140625" style="516"/>
  </cols>
  <sheetData>
    <row r="2" spans="2:8" ht="19.5">
      <c r="B2" s="480" t="s">
        <v>13</v>
      </c>
      <c r="C2" s="476"/>
      <c r="D2" s="483" t="s">
        <v>27</v>
      </c>
      <c r="E2" s="1247">
        <v>44654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539"/>
      <c r="C9" s="539" t="s">
        <v>16</v>
      </c>
      <c r="D9" s="320"/>
      <c r="E9" s="321">
        <f>D9*10</f>
        <v>0</v>
      </c>
    </row>
    <row r="10" spans="2:8" ht="20.100000000000001" customHeight="1">
      <c r="B10" s="539"/>
      <c r="C10" s="539" t="s">
        <v>16</v>
      </c>
      <c r="D10" s="320"/>
      <c r="E10" s="321">
        <f t="shared" ref="E10:E11" si="0">D10*10</f>
        <v>0</v>
      </c>
    </row>
    <row r="11" spans="2:8" ht="20.100000000000001" customHeight="1">
      <c r="B11" s="555"/>
      <c r="C11" s="555" t="s">
        <v>26</v>
      </c>
      <c r="D11" s="556"/>
      <c r="E11" s="557">
        <f t="shared" si="0"/>
        <v>0</v>
      </c>
    </row>
    <row r="12" spans="2:8" ht="20.100000000000001" customHeight="1">
      <c r="B12" s="560" t="s">
        <v>259</v>
      </c>
      <c r="C12" s="542" t="s">
        <v>26</v>
      </c>
      <c r="D12" s="484">
        <v>272</v>
      </c>
      <c r="E12" s="520">
        <f>D12*9.5</f>
        <v>2584</v>
      </c>
    </row>
    <row r="13" spans="2:8" ht="20.100000000000001" customHeight="1">
      <c r="B13" s="1259" t="s">
        <v>24</v>
      </c>
      <c r="C13" s="1259"/>
      <c r="D13" s="518">
        <f>SUM(D9:D12)</f>
        <v>272</v>
      </c>
      <c r="E13" s="519">
        <f>D13*9.5</f>
        <v>2584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563" t="s">
        <v>164</v>
      </c>
      <c r="C18" s="542" t="s">
        <v>16</v>
      </c>
      <c r="D18" s="484">
        <v>455</v>
      </c>
      <c r="E18" s="520">
        <f>D18*9.5</f>
        <v>4322.5</v>
      </c>
    </row>
    <row r="19" spans="2:5" ht="20.100000000000001" customHeight="1">
      <c r="B19" s="563" t="s">
        <v>56</v>
      </c>
      <c r="C19" s="542" t="s">
        <v>16</v>
      </c>
      <c r="D19" s="484">
        <v>285</v>
      </c>
      <c r="E19" s="520">
        <f>D19*9.5</f>
        <v>2707.5</v>
      </c>
    </row>
    <row r="20" spans="2:5" ht="20.100000000000001" customHeight="1">
      <c r="B20" s="562"/>
      <c r="C20" s="539" t="s">
        <v>71</v>
      </c>
      <c r="D20" s="320"/>
      <c r="E20" s="321">
        <f>D20*10</f>
        <v>0</v>
      </c>
    </row>
    <row r="21" spans="2:5" ht="20.100000000000001" customHeight="1">
      <c r="B21" s="561" t="s">
        <v>250</v>
      </c>
      <c r="C21" s="542" t="s">
        <v>26</v>
      </c>
      <c r="D21" s="484">
        <v>377</v>
      </c>
      <c r="E21" s="520">
        <f>D21*9.5</f>
        <v>3581.5</v>
      </c>
    </row>
    <row r="22" spans="2:5" ht="20.100000000000001" customHeight="1">
      <c r="B22" s="561" t="s">
        <v>65</v>
      </c>
      <c r="C22" s="542" t="s">
        <v>26</v>
      </c>
      <c r="D22" s="484">
        <v>511</v>
      </c>
      <c r="E22" s="520">
        <f>D22*9.5</f>
        <v>4854.5</v>
      </c>
    </row>
    <row r="23" spans="2:5" ht="20.100000000000001" customHeight="1">
      <c r="B23" s="1259" t="s">
        <v>24</v>
      </c>
      <c r="C23" s="1259"/>
      <c r="D23" s="518">
        <f>SUM(D18:D22)</f>
        <v>1628</v>
      </c>
      <c r="E23" s="519">
        <f>D23*9.5</f>
        <v>15466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564" t="s">
        <v>260</v>
      </c>
      <c r="C28" s="528" t="s">
        <v>26</v>
      </c>
      <c r="D28" s="484">
        <v>198</v>
      </c>
      <c r="E28" s="520">
        <f>D28*9.5</f>
        <v>1881</v>
      </c>
    </row>
    <row r="29" spans="2:5">
      <c r="B29" s="564" t="s">
        <v>56</v>
      </c>
      <c r="C29" s="528" t="s">
        <v>16</v>
      </c>
      <c r="D29" s="484">
        <v>171</v>
      </c>
      <c r="E29" s="520">
        <f>D29*9.5</f>
        <v>1624.5</v>
      </c>
    </row>
    <row r="30" spans="2:5">
      <c r="B30" s="565" t="s">
        <v>70</v>
      </c>
      <c r="C30" s="528" t="s">
        <v>71</v>
      </c>
      <c r="D30" s="484">
        <v>422</v>
      </c>
      <c r="E30" s="520">
        <f>D30*9.5</f>
        <v>4009</v>
      </c>
    </row>
    <row r="31" spans="2:5" ht="20.100000000000001" customHeight="1">
      <c r="B31" s="1259" t="s">
        <v>24</v>
      </c>
      <c r="C31" s="1259"/>
      <c r="D31" s="518">
        <f>SUM(D28:D30)</f>
        <v>791</v>
      </c>
      <c r="E31" s="519">
        <f>D31*9.5</f>
        <v>7514.5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272</v>
      </c>
      <c r="D34" s="498">
        <f>D23</f>
        <v>1628</v>
      </c>
      <c r="E34" s="498">
        <f>D31</f>
        <v>791</v>
      </c>
    </row>
    <row r="35" spans="2:5">
      <c r="B35" s="495" t="s">
        <v>36</v>
      </c>
      <c r="C35" s="493">
        <f>C34*9.5</f>
        <v>2584</v>
      </c>
      <c r="D35" s="493">
        <f>D34*9.5</f>
        <v>15466</v>
      </c>
      <c r="E35" s="493">
        <f>E34*9.5</f>
        <v>7514.5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2691</v>
      </c>
      <c r="D37" s="378" t="s">
        <v>253</v>
      </c>
      <c r="E37" s="381">
        <f>C37*9.5</f>
        <v>25564.5</v>
      </c>
    </row>
    <row r="38" spans="2:5">
      <c r="B38" s="377" t="s">
        <v>197</v>
      </c>
      <c r="C38" s="378">
        <f>C39-C37</f>
        <v>308</v>
      </c>
      <c r="D38" s="378" t="s">
        <v>204</v>
      </c>
      <c r="E38" s="381">
        <f>C38*9</f>
        <v>2772</v>
      </c>
    </row>
    <row r="39" spans="2:5" ht="19.5">
      <c r="B39" s="482" t="s">
        <v>201</v>
      </c>
      <c r="C39" s="380">
        <f>'Patron Counts v Swipes'!D46</f>
        <v>2999</v>
      </c>
      <c r="D39" s="380" t="s">
        <v>202</v>
      </c>
      <c r="E39" s="379">
        <f>SUM(E37+E38)</f>
        <v>28336.5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4Q4uqLg+ZKIE7hoHxVplBInGNCgYCM7c6weCksGH84hhaMtY3BxXMwHbW3ShwupvSYV94RL0OZKCGqJmd4mabQ==" saltValue="xmV3dM58qfCT6IgIyQW26w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55CBF-D6BC-4E0E-AF85-A8FEEFF3003D}">
  <sheetPr codeName="Sheet161">
    <pageSetUpPr fitToPage="1"/>
  </sheetPr>
  <dimension ref="B2:H43"/>
  <sheetViews>
    <sheetView workbookViewId="0"/>
  </sheetViews>
  <sheetFormatPr defaultColWidth="9.140625" defaultRowHeight="15"/>
  <cols>
    <col min="1" max="1" width="9.140625" style="516"/>
    <col min="2" max="2" width="36.7109375" style="516" customWidth="1"/>
    <col min="3" max="3" width="22.7109375" style="516" customWidth="1"/>
    <col min="4" max="4" width="36.7109375" style="516" customWidth="1"/>
    <col min="5" max="5" width="22.7109375" style="516" customWidth="1"/>
    <col min="6" max="8" width="15.7109375" style="516" customWidth="1"/>
    <col min="9" max="16384" width="9.140625" style="516"/>
  </cols>
  <sheetData>
    <row r="2" spans="2:8" ht="19.5">
      <c r="B2" s="480" t="s">
        <v>13</v>
      </c>
      <c r="C2" s="476"/>
      <c r="D2" s="483" t="s">
        <v>27</v>
      </c>
      <c r="E2" s="1247">
        <v>44653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539"/>
      <c r="C9" s="539" t="s">
        <v>16</v>
      </c>
      <c r="D9" s="320"/>
      <c r="E9" s="321">
        <f>D9*10</f>
        <v>0</v>
      </c>
    </row>
    <row r="10" spans="2:8" ht="20.100000000000001" customHeight="1">
      <c r="B10" s="539"/>
      <c r="C10" s="539" t="s">
        <v>16</v>
      </c>
      <c r="D10" s="320"/>
      <c r="E10" s="321">
        <f t="shared" ref="E10" si="0">D10*10</f>
        <v>0</v>
      </c>
    </row>
    <row r="11" spans="2:8" ht="20.100000000000001" customHeight="1">
      <c r="B11" s="550" t="s">
        <v>44</v>
      </c>
      <c r="C11" s="542" t="s">
        <v>26</v>
      </c>
      <c r="D11" s="484">
        <v>294</v>
      </c>
      <c r="E11" s="520">
        <f>D11*9.5</f>
        <v>2793</v>
      </c>
    </row>
    <row r="12" spans="2:8" ht="20.100000000000001" customHeight="1">
      <c r="B12" s="551" t="s">
        <v>184</v>
      </c>
      <c r="C12" s="542" t="s">
        <v>26</v>
      </c>
      <c r="D12" s="484">
        <v>243</v>
      </c>
      <c r="E12" s="520">
        <f>D12*9.5</f>
        <v>2308.5</v>
      </c>
    </row>
    <row r="13" spans="2:8" ht="20.100000000000001" customHeight="1">
      <c r="B13" s="1259" t="s">
        <v>24</v>
      </c>
      <c r="C13" s="1259"/>
      <c r="D13" s="518">
        <f>SUM(D9:D12)</f>
        <v>537</v>
      </c>
      <c r="E13" s="519">
        <f>D13*9.5</f>
        <v>5101.5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554" t="s">
        <v>250</v>
      </c>
      <c r="C18" s="542" t="s">
        <v>16</v>
      </c>
      <c r="D18" s="484">
        <v>346</v>
      </c>
      <c r="E18" s="520">
        <f>D18*9.5</f>
        <v>3287</v>
      </c>
    </row>
    <row r="19" spans="2:5" ht="20.100000000000001" customHeight="1">
      <c r="B19" s="554" t="s">
        <v>145</v>
      </c>
      <c r="C19" s="542" t="s">
        <v>16</v>
      </c>
      <c r="D19" s="484">
        <v>439</v>
      </c>
      <c r="E19" s="520">
        <f>D19*9.5</f>
        <v>4170.5</v>
      </c>
    </row>
    <row r="20" spans="2:5" ht="20.100000000000001" customHeight="1">
      <c r="B20" s="553"/>
      <c r="C20" s="539" t="s">
        <v>71</v>
      </c>
      <c r="D20" s="320"/>
      <c r="E20" s="321">
        <f>D20*10</f>
        <v>0</v>
      </c>
    </row>
    <row r="21" spans="2:5" ht="20.100000000000001" customHeight="1">
      <c r="B21" s="552" t="s">
        <v>235</v>
      </c>
      <c r="C21" s="542" t="s">
        <v>26</v>
      </c>
      <c r="D21" s="484">
        <v>427</v>
      </c>
      <c r="E21" s="520">
        <f>D21*9.5</f>
        <v>4056.5</v>
      </c>
    </row>
    <row r="22" spans="2:5" ht="20.100000000000001" customHeight="1">
      <c r="B22" s="552" t="s">
        <v>44</v>
      </c>
      <c r="C22" s="542" t="s">
        <v>26</v>
      </c>
      <c r="D22" s="484">
        <v>295</v>
      </c>
      <c r="E22" s="520">
        <f>D22*9.5</f>
        <v>2802.5</v>
      </c>
    </row>
    <row r="23" spans="2:5" ht="20.100000000000001" customHeight="1">
      <c r="B23" s="1259" t="s">
        <v>24</v>
      </c>
      <c r="C23" s="1259"/>
      <c r="D23" s="518">
        <f>SUM(D18:D22)</f>
        <v>1507</v>
      </c>
      <c r="E23" s="519">
        <f>D23*9.5</f>
        <v>14316.5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558" t="s">
        <v>235</v>
      </c>
      <c r="C28" s="528" t="s">
        <v>26</v>
      </c>
      <c r="D28" s="484">
        <v>396</v>
      </c>
      <c r="E28" s="520">
        <f>D28*9.5</f>
        <v>3762</v>
      </c>
    </row>
    <row r="29" spans="2:5">
      <c r="B29" s="558" t="s">
        <v>250</v>
      </c>
      <c r="C29" s="528" t="s">
        <v>16</v>
      </c>
      <c r="D29" s="484">
        <v>126</v>
      </c>
      <c r="E29" s="520">
        <f>D29*9.5</f>
        <v>1197</v>
      </c>
    </row>
    <row r="30" spans="2:5">
      <c r="B30" s="559" t="s">
        <v>145</v>
      </c>
      <c r="C30" s="528" t="s">
        <v>71</v>
      </c>
      <c r="D30" s="484">
        <v>167</v>
      </c>
      <c r="E30" s="520">
        <f>D30*9.5</f>
        <v>1586.5</v>
      </c>
    </row>
    <row r="31" spans="2:5" ht="20.100000000000001" customHeight="1">
      <c r="B31" s="1259" t="s">
        <v>24</v>
      </c>
      <c r="C31" s="1259"/>
      <c r="D31" s="518">
        <f>SUM(D28:D30)</f>
        <v>689</v>
      </c>
      <c r="E31" s="519">
        <f>D31*9.5</f>
        <v>6545.5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537</v>
      </c>
      <c r="D34" s="498">
        <f>D23</f>
        <v>1507</v>
      </c>
      <c r="E34" s="498">
        <f>D31</f>
        <v>689</v>
      </c>
    </row>
    <row r="35" spans="2:5">
      <c r="B35" s="495" t="s">
        <v>36</v>
      </c>
      <c r="C35" s="493">
        <f>C34*9.5</f>
        <v>5101.5</v>
      </c>
      <c r="D35" s="493">
        <f>D34*9.5</f>
        <v>14316.5</v>
      </c>
      <c r="E35" s="493">
        <f>E34*9.5</f>
        <v>6545.5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2733</v>
      </c>
      <c r="D37" s="378" t="s">
        <v>253</v>
      </c>
      <c r="E37" s="381">
        <f>C37*9.5</f>
        <v>25963.5</v>
      </c>
    </row>
    <row r="38" spans="2:5">
      <c r="B38" s="377" t="s">
        <v>197</v>
      </c>
      <c r="C38" s="378">
        <f>C39-C37</f>
        <v>5</v>
      </c>
      <c r="D38" s="378" t="s">
        <v>204</v>
      </c>
      <c r="E38" s="381">
        <f>C38*9</f>
        <v>45</v>
      </c>
    </row>
    <row r="39" spans="2:5" ht="19.5">
      <c r="B39" s="482" t="s">
        <v>201</v>
      </c>
      <c r="C39" s="380">
        <f>'Patron Counts v Swipes'!D40</f>
        <v>2738</v>
      </c>
      <c r="D39" s="380" t="s">
        <v>202</v>
      </c>
      <c r="E39" s="379">
        <f>SUM(E37+E38)</f>
        <v>26008.5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ZsC65Pr+vzNPwwDW0ZyAB2Bta5Y7dYc01n9WCPrkUMwuomXPtqqCBYJWdYhbck9N5CwEt7lU5SvX97itqCNqWg==" saltValue="B8jeaI02GVYX8e6Kn0Mc7Q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BC63E-F003-4DF2-B186-805BF6300E70}">
  <sheetPr codeName="Sheet162">
    <pageSetUpPr fitToPage="1"/>
  </sheetPr>
  <dimension ref="B2:H43"/>
  <sheetViews>
    <sheetView workbookViewId="0"/>
  </sheetViews>
  <sheetFormatPr defaultColWidth="9.140625" defaultRowHeight="15"/>
  <cols>
    <col min="1" max="1" width="9.140625" style="516"/>
    <col min="2" max="2" width="36.7109375" style="516" customWidth="1"/>
    <col min="3" max="3" width="22.7109375" style="516" customWidth="1"/>
    <col min="4" max="4" width="36.7109375" style="516" customWidth="1"/>
    <col min="5" max="5" width="22.7109375" style="516" customWidth="1"/>
    <col min="6" max="8" width="15.7109375" style="516" customWidth="1"/>
    <col min="9" max="16384" width="9.140625" style="516"/>
  </cols>
  <sheetData>
    <row r="2" spans="2:8" ht="19.5">
      <c r="B2" s="480" t="s">
        <v>13</v>
      </c>
      <c r="C2" s="476"/>
      <c r="D2" s="483" t="s">
        <v>27</v>
      </c>
      <c r="E2" s="1247">
        <v>44652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539"/>
      <c r="C9" s="539" t="s">
        <v>16</v>
      </c>
      <c r="D9" s="320"/>
      <c r="E9" s="321">
        <f>D9*10</f>
        <v>0</v>
      </c>
    </row>
    <row r="10" spans="2:8" ht="20.100000000000001" customHeight="1">
      <c r="B10" s="539"/>
      <c r="C10" s="539" t="s">
        <v>16</v>
      </c>
      <c r="D10" s="320"/>
      <c r="E10" s="321">
        <f t="shared" ref="E10:E11" si="0">D10*10</f>
        <v>0</v>
      </c>
    </row>
    <row r="11" spans="2:8" ht="20.100000000000001" customHeight="1">
      <c r="B11" s="539"/>
      <c r="C11" s="539" t="s">
        <v>26</v>
      </c>
      <c r="D11" s="320"/>
      <c r="E11" s="321">
        <f t="shared" si="0"/>
        <v>0</v>
      </c>
    </row>
    <row r="12" spans="2:8" ht="20.100000000000001" customHeight="1">
      <c r="B12" s="539"/>
      <c r="C12" s="539" t="s">
        <v>26</v>
      </c>
      <c r="D12" s="320"/>
      <c r="E12" s="321">
        <f>D12*10</f>
        <v>0</v>
      </c>
    </row>
    <row r="13" spans="2:8" ht="20.100000000000001" customHeight="1">
      <c r="B13" s="1259" t="s">
        <v>24</v>
      </c>
      <c r="C13" s="1259"/>
      <c r="D13" s="518">
        <f>SUM(D9:D12)</f>
        <v>0</v>
      </c>
      <c r="E13" s="519">
        <f>D13*10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547" t="s">
        <v>184</v>
      </c>
      <c r="C18" s="542" t="s">
        <v>16</v>
      </c>
      <c r="D18" s="484">
        <v>288</v>
      </c>
      <c r="E18" s="520">
        <f>D18*9.5</f>
        <v>2736</v>
      </c>
    </row>
    <row r="19" spans="2:5" ht="20.100000000000001" customHeight="1">
      <c r="B19" s="547" t="s">
        <v>257</v>
      </c>
      <c r="C19" s="542" t="s">
        <v>16</v>
      </c>
      <c r="D19" s="484">
        <v>310</v>
      </c>
      <c r="E19" s="520">
        <f>D19*9.5</f>
        <v>2945</v>
      </c>
    </row>
    <row r="20" spans="2:5" ht="20.100000000000001" customHeight="1">
      <c r="B20" s="546"/>
      <c r="C20" s="539" t="s">
        <v>71</v>
      </c>
      <c r="D20" s="320"/>
      <c r="E20" s="321">
        <f>D20*10</f>
        <v>0</v>
      </c>
    </row>
    <row r="21" spans="2:5" ht="20.100000000000001" customHeight="1">
      <c r="B21" s="545" t="s">
        <v>250</v>
      </c>
      <c r="C21" s="542" t="s">
        <v>26</v>
      </c>
      <c r="D21" s="484">
        <v>296</v>
      </c>
      <c r="E21" s="520">
        <f>D21*9.5</f>
        <v>2812</v>
      </c>
    </row>
    <row r="22" spans="2:5" ht="20.100000000000001" customHeight="1">
      <c r="B22" s="545" t="s">
        <v>145</v>
      </c>
      <c r="C22" s="542" t="s">
        <v>26</v>
      </c>
      <c r="D22" s="484">
        <v>428</v>
      </c>
      <c r="E22" s="520">
        <f>D22*9.5</f>
        <v>4066</v>
      </c>
    </row>
    <row r="23" spans="2:5" ht="20.100000000000001" customHeight="1">
      <c r="B23" s="1259" t="s">
        <v>24</v>
      </c>
      <c r="C23" s="1259"/>
      <c r="D23" s="518">
        <f>SUM(D18:D22)</f>
        <v>1322</v>
      </c>
      <c r="E23" s="519">
        <f>D23*9.5</f>
        <v>12559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548" t="s">
        <v>250</v>
      </c>
      <c r="C28" s="528" t="s">
        <v>26</v>
      </c>
      <c r="D28" s="484">
        <v>112</v>
      </c>
      <c r="E28" s="520">
        <f>D28*9.5</f>
        <v>1064</v>
      </c>
    </row>
    <row r="29" spans="2:5">
      <c r="B29" s="548" t="s">
        <v>252</v>
      </c>
      <c r="C29" s="528" t="s">
        <v>16</v>
      </c>
      <c r="D29" s="484">
        <v>138</v>
      </c>
      <c r="E29" s="520">
        <f>D29*9.5</f>
        <v>1311</v>
      </c>
    </row>
    <row r="30" spans="2:5">
      <c r="B30" s="549" t="s">
        <v>242</v>
      </c>
      <c r="C30" s="528" t="s">
        <v>71</v>
      </c>
      <c r="D30" s="484">
        <v>344</v>
      </c>
      <c r="E30" s="520">
        <f>D30*9.5</f>
        <v>3268</v>
      </c>
    </row>
    <row r="31" spans="2:5" ht="20.100000000000001" customHeight="1">
      <c r="B31" s="1259" t="s">
        <v>24</v>
      </c>
      <c r="C31" s="1259"/>
      <c r="D31" s="518">
        <f>SUM(D28:D30)</f>
        <v>594</v>
      </c>
      <c r="E31" s="519">
        <f>D31*9.5</f>
        <v>5643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0</v>
      </c>
      <c r="D34" s="498">
        <f>D23</f>
        <v>1322</v>
      </c>
      <c r="E34" s="498">
        <f>D31</f>
        <v>594</v>
      </c>
    </row>
    <row r="35" spans="2:5">
      <c r="B35" s="495" t="s">
        <v>36</v>
      </c>
      <c r="C35" s="493">
        <f>C34*9.5</f>
        <v>0</v>
      </c>
      <c r="D35" s="493">
        <f>D34*9.5</f>
        <v>12559</v>
      </c>
      <c r="E35" s="493">
        <f>E34*9.5</f>
        <v>5643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1916</v>
      </c>
      <c r="D37" s="378" t="s">
        <v>253</v>
      </c>
      <c r="E37" s="381">
        <f>C37*9.5</f>
        <v>18202</v>
      </c>
    </row>
    <row r="38" spans="2:5">
      <c r="B38" s="377" t="s">
        <v>197</v>
      </c>
      <c r="C38" s="378">
        <f>C39-C37</f>
        <v>3046</v>
      </c>
      <c r="D38" s="378" t="s">
        <v>204</v>
      </c>
      <c r="E38" s="381">
        <f>C38*9</f>
        <v>27414</v>
      </c>
    </row>
    <row r="39" spans="2:5" ht="19.5">
      <c r="B39" s="482" t="s">
        <v>201</v>
      </c>
      <c r="C39" s="380">
        <f>'Patron Counts v Swipes'!D34</f>
        <v>4962</v>
      </c>
      <c r="D39" s="380" t="s">
        <v>202</v>
      </c>
      <c r="E39" s="379">
        <f>SUM(E37+E38)</f>
        <v>45616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Tn9nWsE1vw/BqLA8Pbs6Ud3fkqnMcv3nYvrkPJbUKQPIQy4+yZgrp1MMN/LpFcJrDobiIvOEmVRo1QMlffs7og==" saltValue="i83bzHSmGmN8mFdiXYb/f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33672-B445-46C7-ACBE-1327AE3817A0}">
  <sheetPr codeName="Sheet163">
    <pageSetUpPr fitToPage="1"/>
  </sheetPr>
  <dimension ref="B2:H43"/>
  <sheetViews>
    <sheetView workbookViewId="0"/>
  </sheetViews>
  <sheetFormatPr defaultColWidth="9.140625" defaultRowHeight="15"/>
  <cols>
    <col min="1" max="1" width="9.140625" style="516"/>
    <col min="2" max="2" width="36.7109375" style="516" customWidth="1"/>
    <col min="3" max="3" width="22.7109375" style="516" customWidth="1"/>
    <col min="4" max="4" width="36.7109375" style="516" customWidth="1"/>
    <col min="5" max="5" width="22.7109375" style="516" customWidth="1"/>
    <col min="6" max="8" width="15.7109375" style="516" customWidth="1"/>
    <col min="9" max="16384" width="9.140625" style="516"/>
  </cols>
  <sheetData>
    <row r="2" spans="2:8" ht="19.5">
      <c r="B2" s="480" t="s">
        <v>13</v>
      </c>
      <c r="C2" s="476"/>
      <c r="D2" s="483" t="s">
        <v>27</v>
      </c>
      <c r="E2" s="1247">
        <v>44651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539"/>
      <c r="C9" s="539" t="s">
        <v>16</v>
      </c>
      <c r="D9" s="320"/>
      <c r="E9" s="321">
        <f>D9*10</f>
        <v>0</v>
      </c>
    </row>
    <row r="10" spans="2:8" ht="20.100000000000001" customHeight="1">
      <c r="B10" s="539"/>
      <c r="C10" s="539" t="s">
        <v>16</v>
      </c>
      <c r="D10" s="320"/>
      <c r="E10" s="321">
        <f t="shared" ref="E10:E11" si="0">D10*10</f>
        <v>0</v>
      </c>
    </row>
    <row r="11" spans="2:8" ht="20.100000000000001" customHeight="1">
      <c r="B11" s="539"/>
      <c r="C11" s="539" t="s">
        <v>26</v>
      </c>
      <c r="D11" s="320"/>
      <c r="E11" s="321">
        <f t="shared" si="0"/>
        <v>0</v>
      </c>
    </row>
    <row r="12" spans="2:8" ht="20.100000000000001" customHeight="1">
      <c r="B12" s="539"/>
      <c r="C12" s="539" t="s">
        <v>26</v>
      </c>
      <c r="D12" s="320"/>
      <c r="E12" s="321">
        <f>D12*10</f>
        <v>0</v>
      </c>
    </row>
    <row r="13" spans="2:8" ht="20.100000000000001" customHeight="1">
      <c r="B13" s="1259" t="s">
        <v>24</v>
      </c>
      <c r="C13" s="1259"/>
      <c r="D13" s="518">
        <f>SUM(D9:D12)</f>
        <v>0</v>
      </c>
      <c r="E13" s="519">
        <f>D13*10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542" t="s">
        <v>45</v>
      </c>
      <c r="C18" s="542" t="s">
        <v>16</v>
      </c>
      <c r="D18" s="484">
        <v>438</v>
      </c>
      <c r="E18" s="520">
        <f>D18*9.5</f>
        <v>4161</v>
      </c>
    </row>
    <row r="19" spans="2:5" ht="20.100000000000001" customHeight="1">
      <c r="B19" s="542" t="s">
        <v>44</v>
      </c>
      <c r="C19" s="542" t="s">
        <v>16</v>
      </c>
      <c r="D19" s="484">
        <v>304</v>
      </c>
      <c r="E19" s="520">
        <f>D19*9.5</f>
        <v>2888</v>
      </c>
    </row>
    <row r="20" spans="2:5" ht="20.100000000000001" customHeight="1">
      <c r="B20" s="539"/>
      <c r="C20" s="539" t="s">
        <v>71</v>
      </c>
      <c r="D20" s="320"/>
      <c r="E20" s="321">
        <f>D20*10</f>
        <v>0</v>
      </c>
    </row>
    <row r="21" spans="2:5" ht="20.100000000000001" customHeight="1">
      <c r="B21" s="541" t="s">
        <v>250</v>
      </c>
      <c r="C21" s="542" t="s">
        <v>26</v>
      </c>
      <c r="D21" s="484">
        <v>402</v>
      </c>
      <c r="E21" s="520">
        <f>D21*9.5</f>
        <v>3819</v>
      </c>
    </row>
    <row r="22" spans="2:5" ht="20.100000000000001" customHeight="1">
      <c r="B22" s="541" t="s">
        <v>245</v>
      </c>
      <c r="C22" s="542" t="s">
        <v>26</v>
      </c>
      <c r="D22" s="484">
        <v>437</v>
      </c>
      <c r="E22" s="520">
        <f>D22*9.5</f>
        <v>4151.5</v>
      </c>
    </row>
    <row r="23" spans="2:5" ht="20.100000000000001" customHeight="1">
      <c r="B23" s="1259" t="s">
        <v>24</v>
      </c>
      <c r="C23" s="1259"/>
      <c r="D23" s="518">
        <f>SUM(D18:D22)</f>
        <v>1581</v>
      </c>
      <c r="E23" s="519">
        <f>D23*9.5</f>
        <v>15019.5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541" t="s">
        <v>235</v>
      </c>
      <c r="C28" s="528" t="s">
        <v>26</v>
      </c>
      <c r="D28" s="484">
        <v>473</v>
      </c>
      <c r="E28" s="520">
        <f>D28*9.5</f>
        <v>4493.5</v>
      </c>
    </row>
    <row r="29" spans="2:5">
      <c r="B29" s="542" t="s">
        <v>70</v>
      </c>
      <c r="C29" s="528" t="s">
        <v>16</v>
      </c>
      <c r="D29" s="484">
        <v>343</v>
      </c>
      <c r="E29" s="520">
        <f>D29*9.5</f>
        <v>3258.5</v>
      </c>
    </row>
    <row r="30" spans="2:5">
      <c r="B30" s="543" t="s">
        <v>252</v>
      </c>
      <c r="C30" s="528" t="s">
        <v>71</v>
      </c>
      <c r="D30" s="484">
        <v>162</v>
      </c>
      <c r="E30" s="520">
        <f>D30*9.5</f>
        <v>1539</v>
      </c>
    </row>
    <row r="31" spans="2:5" ht="20.100000000000001" customHeight="1">
      <c r="B31" s="1259" t="s">
        <v>24</v>
      </c>
      <c r="C31" s="1259"/>
      <c r="D31" s="518">
        <f>SUM(D28:D30)</f>
        <v>978</v>
      </c>
      <c r="E31" s="519">
        <f>D31*9.5</f>
        <v>9291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0</v>
      </c>
      <c r="D34" s="498">
        <f>D23</f>
        <v>1581</v>
      </c>
      <c r="E34" s="498">
        <f>D31</f>
        <v>978</v>
      </c>
    </row>
    <row r="35" spans="2:5">
      <c r="B35" s="495" t="s">
        <v>36</v>
      </c>
      <c r="C35" s="493">
        <f>C34*9.5</f>
        <v>0</v>
      </c>
      <c r="D35" s="493">
        <f>D34*9.5</f>
        <v>15019.5</v>
      </c>
      <c r="E35" s="493">
        <f>E34*9.5</f>
        <v>9291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2559</v>
      </c>
      <c r="D37" s="378" t="s">
        <v>253</v>
      </c>
      <c r="E37" s="381">
        <f>C37*9.5</f>
        <v>24310.5</v>
      </c>
    </row>
    <row r="38" spans="2:5">
      <c r="B38" s="377" t="s">
        <v>197</v>
      </c>
      <c r="C38" s="378">
        <f>C39-C37</f>
        <v>3800</v>
      </c>
      <c r="D38" s="378" t="s">
        <v>204</v>
      </c>
      <c r="E38" s="381">
        <f>C38*9</f>
        <v>34200</v>
      </c>
    </row>
    <row r="39" spans="2:5" ht="19.5">
      <c r="B39" s="482" t="s">
        <v>201</v>
      </c>
      <c r="C39" s="380">
        <f>'Patron Counts v Swipes'!D28</f>
        <v>6359</v>
      </c>
      <c r="D39" s="380" t="s">
        <v>202</v>
      </c>
      <c r="E39" s="379">
        <f>SUM(E37+E38)</f>
        <v>58510.5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eFneKluMvXD+0IyfcE+bvsFhVQyMHj/71+Rms7DI1pQwC9ftDXg2+BwGjsxX+hP8hJbJRA24oEaT6w8USls+Kw==" saltValue="pHGA6fbCI4rk592/zDYGzw==" spinCount="100000" sheet="1" objects="1" scenarios="1"/>
  <mergeCells count="22"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6D5AE-6E79-4CC3-BE60-7DB74941CB34}">
  <sheetPr codeName="Sheet164">
    <pageSetUpPr fitToPage="1"/>
  </sheetPr>
  <dimension ref="B2:H43"/>
  <sheetViews>
    <sheetView workbookViewId="0"/>
  </sheetViews>
  <sheetFormatPr defaultColWidth="9.140625" defaultRowHeight="15"/>
  <cols>
    <col min="1" max="1" width="9.140625" style="516"/>
    <col min="2" max="2" width="36.7109375" style="516" customWidth="1"/>
    <col min="3" max="3" width="22.7109375" style="516" customWidth="1"/>
    <col min="4" max="4" width="36.7109375" style="516" customWidth="1"/>
    <col min="5" max="5" width="22.7109375" style="516" customWidth="1"/>
    <col min="6" max="8" width="15.7109375" style="516" customWidth="1"/>
    <col min="9" max="16384" width="9.140625" style="516"/>
  </cols>
  <sheetData>
    <row r="2" spans="2:8" ht="19.5">
      <c r="B2" s="480" t="s">
        <v>13</v>
      </c>
      <c r="C2" s="476"/>
      <c r="D2" s="483" t="s">
        <v>27</v>
      </c>
      <c r="E2" s="1247">
        <v>44650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533"/>
      <c r="C9" s="533" t="s">
        <v>16</v>
      </c>
      <c r="D9" s="320"/>
      <c r="E9" s="321">
        <f>D9*10</f>
        <v>0</v>
      </c>
    </row>
    <row r="10" spans="2:8" ht="20.100000000000001" customHeight="1">
      <c r="B10" s="533"/>
      <c r="C10" s="533" t="s">
        <v>16</v>
      </c>
      <c r="D10" s="320"/>
      <c r="E10" s="321">
        <f t="shared" ref="E10:E11" si="0">D10*10</f>
        <v>0</v>
      </c>
    </row>
    <row r="11" spans="2:8" ht="20.100000000000001" customHeight="1">
      <c r="B11" s="533"/>
      <c r="C11" s="533" t="s">
        <v>26</v>
      </c>
      <c r="D11" s="320"/>
      <c r="E11" s="321">
        <f t="shared" si="0"/>
        <v>0</v>
      </c>
    </row>
    <row r="12" spans="2:8" ht="20.100000000000001" customHeight="1">
      <c r="B12" s="533"/>
      <c r="C12" s="533" t="s">
        <v>26</v>
      </c>
      <c r="D12" s="320"/>
      <c r="E12" s="321">
        <f>D12*10</f>
        <v>0</v>
      </c>
    </row>
    <row r="13" spans="2:8" ht="20.100000000000001" customHeight="1">
      <c r="B13" s="1259" t="s">
        <v>24</v>
      </c>
      <c r="C13" s="1259"/>
      <c r="D13" s="518">
        <f>SUM(D9:D12)</f>
        <v>0</v>
      </c>
      <c r="E13" s="519">
        <f>D13*10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540" t="s">
        <v>82</v>
      </c>
      <c r="C18" s="536" t="s">
        <v>16</v>
      </c>
      <c r="D18" s="484">
        <v>370</v>
      </c>
      <c r="E18" s="520">
        <f>D18*9.5</f>
        <v>3515</v>
      </c>
    </row>
    <row r="19" spans="2:5" ht="20.100000000000001" customHeight="1">
      <c r="B19" s="540" t="s">
        <v>78</v>
      </c>
      <c r="C19" s="536" t="s">
        <v>16</v>
      </c>
      <c r="D19" s="484">
        <v>301</v>
      </c>
      <c r="E19" s="520">
        <f>D19*9.5</f>
        <v>2859.5</v>
      </c>
    </row>
    <row r="20" spans="2:5" ht="20.100000000000001" customHeight="1">
      <c r="B20" s="539"/>
      <c r="C20" s="533" t="s">
        <v>71</v>
      </c>
      <c r="D20" s="320"/>
      <c r="E20" s="321">
        <f>D20*10</f>
        <v>0</v>
      </c>
    </row>
    <row r="21" spans="2:5" ht="20.100000000000001" customHeight="1">
      <c r="B21" s="538" t="s">
        <v>65</v>
      </c>
      <c r="C21" s="536" t="s">
        <v>26</v>
      </c>
      <c r="D21" s="484">
        <v>402</v>
      </c>
      <c r="E21" s="520">
        <f>D21*9.5</f>
        <v>3819</v>
      </c>
    </row>
    <row r="22" spans="2:5" ht="20.100000000000001" customHeight="1">
      <c r="B22" s="538" t="s">
        <v>257</v>
      </c>
      <c r="C22" s="536" t="s">
        <v>26</v>
      </c>
      <c r="D22" s="484">
        <v>315</v>
      </c>
      <c r="E22" s="520">
        <f>D22*9.5</f>
        <v>2992.5</v>
      </c>
    </row>
    <row r="23" spans="2:5" ht="20.100000000000001" customHeight="1">
      <c r="B23" s="1259" t="s">
        <v>24</v>
      </c>
      <c r="C23" s="1259"/>
      <c r="D23" s="518">
        <f>SUM(D18:D22)</f>
        <v>1388</v>
      </c>
      <c r="E23" s="519">
        <f>D23*9.5</f>
        <v>13186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541" t="s">
        <v>256</v>
      </c>
      <c r="C28" s="528" t="s">
        <v>26</v>
      </c>
      <c r="D28" s="484">
        <v>198</v>
      </c>
      <c r="E28" s="520">
        <f>D28*9.5</f>
        <v>1881</v>
      </c>
    </row>
    <row r="29" spans="2:5">
      <c r="B29" s="542" t="s">
        <v>143</v>
      </c>
      <c r="C29" s="528" t="s">
        <v>16</v>
      </c>
      <c r="D29" s="484">
        <v>223</v>
      </c>
      <c r="E29" s="520">
        <f>D29*9.5</f>
        <v>2118.5</v>
      </c>
    </row>
    <row r="30" spans="2:5">
      <c r="B30" s="543" t="s">
        <v>258</v>
      </c>
      <c r="C30" s="528" t="s">
        <v>71</v>
      </c>
      <c r="D30" s="484">
        <v>221</v>
      </c>
      <c r="E30" s="520">
        <f>D30*9.5</f>
        <v>2099.5</v>
      </c>
    </row>
    <row r="31" spans="2:5" ht="20.100000000000001" customHeight="1">
      <c r="B31" s="1259" t="s">
        <v>24</v>
      </c>
      <c r="C31" s="1259"/>
      <c r="D31" s="518">
        <f>SUM(D28:D30)</f>
        <v>642</v>
      </c>
      <c r="E31" s="519">
        <f>D31*9.5</f>
        <v>6099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0</v>
      </c>
      <c r="D34" s="498">
        <f>D23</f>
        <v>1388</v>
      </c>
      <c r="E34" s="498">
        <f>D31</f>
        <v>642</v>
      </c>
    </row>
    <row r="35" spans="2:5">
      <c r="B35" s="495" t="s">
        <v>36</v>
      </c>
      <c r="C35" s="493">
        <f>C34*9.5</f>
        <v>0</v>
      </c>
      <c r="D35" s="493">
        <f>D34*9.5</f>
        <v>13186</v>
      </c>
      <c r="E35" s="493">
        <f>E34*9.5</f>
        <v>6099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2030</v>
      </c>
      <c r="D37" s="378" t="s">
        <v>253</v>
      </c>
      <c r="E37" s="381">
        <f>C37*9.5</f>
        <v>19285</v>
      </c>
    </row>
    <row r="38" spans="2:5">
      <c r="B38" s="377" t="s">
        <v>197</v>
      </c>
      <c r="C38" s="378">
        <f>C39-C37</f>
        <v>3320</v>
      </c>
      <c r="D38" s="378" t="s">
        <v>204</v>
      </c>
      <c r="E38" s="381">
        <f>C38*9</f>
        <v>29880</v>
      </c>
    </row>
    <row r="39" spans="2:5" ht="19.5">
      <c r="B39" s="482" t="s">
        <v>201</v>
      </c>
      <c r="C39" s="380">
        <f>'Patron Counts v Swipes'!D22</f>
        <v>5350</v>
      </c>
      <c r="D39" s="380" t="s">
        <v>202</v>
      </c>
      <c r="E39" s="379">
        <f>SUM(E37+E38)</f>
        <v>49165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15UlVbQFUaonyPmxR17ABhAmJmRCLLDpx5RImuywRUEdNj9YMgbDe1LCRRNxyhEqE1MXzqsKWmajpma3e5hfOQ==" saltValue="FnDbizF34+wQz5id/69a4w==" spinCount="100000" sheet="1" objects="1" scenarios="1"/>
  <mergeCells count="22"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BD64C-C63E-4AB0-B9B3-084968C7BC04}">
  <sheetPr codeName="Sheet165">
    <pageSetUpPr fitToPage="1"/>
  </sheetPr>
  <dimension ref="B2:H43"/>
  <sheetViews>
    <sheetView workbookViewId="0"/>
  </sheetViews>
  <sheetFormatPr defaultColWidth="9.140625" defaultRowHeight="15"/>
  <cols>
    <col min="1" max="1" width="9.140625" style="516"/>
    <col min="2" max="2" width="36.7109375" style="516" customWidth="1"/>
    <col min="3" max="3" width="22.7109375" style="516" customWidth="1"/>
    <col min="4" max="4" width="36.7109375" style="516" customWidth="1"/>
    <col min="5" max="5" width="22.7109375" style="516" customWidth="1"/>
    <col min="6" max="8" width="15.7109375" style="516" customWidth="1"/>
    <col min="9" max="16384" width="9.140625" style="516"/>
  </cols>
  <sheetData>
    <row r="2" spans="2:8" ht="19.5">
      <c r="B2" s="480" t="s">
        <v>13</v>
      </c>
      <c r="C2" s="476"/>
      <c r="D2" s="483" t="s">
        <v>27</v>
      </c>
      <c r="E2" s="1247">
        <v>44649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503"/>
      <c r="C9" s="503" t="s">
        <v>16</v>
      </c>
      <c r="D9" s="320"/>
      <c r="E9" s="321">
        <f>D9*10</f>
        <v>0</v>
      </c>
    </row>
    <row r="10" spans="2:8" ht="20.100000000000001" customHeight="1">
      <c r="B10" s="503"/>
      <c r="C10" s="503" t="s">
        <v>16</v>
      </c>
      <c r="D10" s="320"/>
      <c r="E10" s="321">
        <f t="shared" ref="E10:E11" si="0">D10*10</f>
        <v>0</v>
      </c>
    </row>
    <row r="11" spans="2:8" ht="20.100000000000001" customHeight="1">
      <c r="B11" s="503"/>
      <c r="C11" s="503" t="s">
        <v>26</v>
      </c>
      <c r="D11" s="320"/>
      <c r="E11" s="321">
        <f t="shared" si="0"/>
        <v>0</v>
      </c>
    </row>
    <row r="12" spans="2:8" ht="20.100000000000001" customHeight="1">
      <c r="B12" s="503"/>
      <c r="C12" s="503" t="s">
        <v>26</v>
      </c>
      <c r="D12" s="320"/>
      <c r="E12" s="321">
        <f>D12*10</f>
        <v>0</v>
      </c>
    </row>
    <row r="13" spans="2:8" ht="20.100000000000001" customHeight="1">
      <c r="B13" s="1259" t="s">
        <v>24</v>
      </c>
      <c r="C13" s="1259"/>
      <c r="D13" s="518">
        <f>SUM(D9:D12)</f>
        <v>0</v>
      </c>
      <c r="E13" s="519">
        <f>D13*10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534" t="s">
        <v>250</v>
      </c>
      <c r="C18" s="501" t="s">
        <v>16</v>
      </c>
      <c r="D18" s="484">
        <v>418</v>
      </c>
      <c r="E18" s="520">
        <f>D18*9.5</f>
        <v>3971</v>
      </c>
    </row>
    <row r="19" spans="2:5" ht="20.100000000000001" customHeight="1">
      <c r="B19" s="534" t="s">
        <v>256</v>
      </c>
      <c r="C19" s="501" t="s">
        <v>16</v>
      </c>
      <c r="D19" s="484">
        <v>347</v>
      </c>
      <c r="E19" s="520">
        <f>D19*9.5</f>
        <v>3296.5</v>
      </c>
    </row>
    <row r="20" spans="2:5" ht="20.100000000000001" customHeight="1">
      <c r="B20" s="533"/>
      <c r="C20" s="503" t="s">
        <v>71</v>
      </c>
      <c r="D20" s="320"/>
      <c r="E20" s="321">
        <f>D20*10</f>
        <v>0</v>
      </c>
    </row>
    <row r="21" spans="2:5" ht="20.100000000000001" customHeight="1">
      <c r="B21" s="532" t="s">
        <v>49</v>
      </c>
      <c r="C21" s="501" t="s">
        <v>26</v>
      </c>
      <c r="D21" s="484">
        <v>369</v>
      </c>
      <c r="E21" s="520">
        <f>D21*9.5</f>
        <v>3505.5</v>
      </c>
    </row>
    <row r="22" spans="2:5" ht="20.100000000000001" customHeight="1">
      <c r="B22" s="532" t="s">
        <v>45</v>
      </c>
      <c r="C22" s="501" t="s">
        <v>26</v>
      </c>
      <c r="D22" s="484">
        <v>416</v>
      </c>
      <c r="E22" s="520">
        <f>D22*9.5</f>
        <v>3952</v>
      </c>
    </row>
    <row r="23" spans="2:5" ht="20.100000000000001" customHeight="1">
      <c r="B23" s="1259" t="s">
        <v>24</v>
      </c>
      <c r="C23" s="1259"/>
      <c r="D23" s="518">
        <f>SUM(D18:D22)</f>
        <v>1550</v>
      </c>
      <c r="E23" s="519">
        <f>D23*9.5</f>
        <v>14725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535" t="s">
        <v>70</v>
      </c>
      <c r="C28" s="528" t="s">
        <v>26</v>
      </c>
      <c r="D28" s="484">
        <v>261</v>
      </c>
      <c r="E28" s="520">
        <f>D28*9.5</f>
        <v>2479.5</v>
      </c>
    </row>
    <row r="29" spans="2:5">
      <c r="B29" s="536" t="s">
        <v>250</v>
      </c>
      <c r="C29" s="528" t="s">
        <v>16</v>
      </c>
      <c r="D29" s="484">
        <v>164</v>
      </c>
      <c r="E29" s="520">
        <f>D29*9.5</f>
        <v>1558</v>
      </c>
    </row>
    <row r="30" spans="2:5">
      <c r="B30" s="537" t="s">
        <v>78</v>
      </c>
      <c r="C30" s="528" t="s">
        <v>71</v>
      </c>
      <c r="D30" s="484">
        <v>135</v>
      </c>
      <c r="E30" s="520">
        <f>D30*9.5</f>
        <v>1282.5</v>
      </c>
    </row>
    <row r="31" spans="2:5" ht="20.100000000000001" customHeight="1">
      <c r="B31" s="1259" t="s">
        <v>24</v>
      </c>
      <c r="C31" s="1259"/>
      <c r="D31" s="518">
        <f>SUM(D28:D30)</f>
        <v>560</v>
      </c>
      <c r="E31" s="519">
        <f>D31*9.5</f>
        <v>5320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0</v>
      </c>
      <c r="D34" s="498">
        <f>D23</f>
        <v>1550</v>
      </c>
      <c r="E34" s="498">
        <f>D31</f>
        <v>560</v>
      </c>
    </row>
    <row r="35" spans="2:5">
      <c r="B35" s="495" t="s">
        <v>36</v>
      </c>
      <c r="C35" s="493">
        <f>C34*9.5</f>
        <v>0</v>
      </c>
      <c r="D35" s="493">
        <f>D34*9.5</f>
        <v>14725</v>
      </c>
      <c r="E35" s="493">
        <f>E34*9.5</f>
        <v>5320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2110</v>
      </c>
      <c r="D37" s="378" t="s">
        <v>253</v>
      </c>
      <c r="E37" s="381">
        <f>C37*9.5</f>
        <v>20045</v>
      </c>
    </row>
    <row r="38" spans="2:5">
      <c r="B38" s="377" t="s">
        <v>197</v>
      </c>
      <c r="C38" s="378">
        <f>C39-C37</f>
        <v>2657</v>
      </c>
      <c r="D38" s="378" t="s">
        <v>204</v>
      </c>
      <c r="E38" s="381">
        <f>C38*9</f>
        <v>23913</v>
      </c>
    </row>
    <row r="39" spans="2:5" ht="19.5">
      <c r="B39" s="482" t="s">
        <v>201</v>
      </c>
      <c r="C39" s="380">
        <f>'Patron Counts v Swipes'!D16</f>
        <v>4767</v>
      </c>
      <c r="D39" s="380" t="s">
        <v>202</v>
      </c>
      <c r="E39" s="379">
        <f>SUM(E37+E38)</f>
        <v>43958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MJxo4/AThi/YTo+wSl+W96sTUM+wO4Ua9RucfH6ixN0eIXg17x34qFln0cYLnszrtB5zXDbSYayl4us8UqBnOA==" saltValue="FHMY7IJHSniqoQxZk6CduQ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E6FAD-BB1B-4356-82B7-A4866250B426}">
  <sheetPr codeName="Sheet166">
    <pageSetUpPr fitToPage="1"/>
  </sheetPr>
  <dimension ref="B2:H43"/>
  <sheetViews>
    <sheetView workbookViewId="0"/>
  </sheetViews>
  <sheetFormatPr defaultColWidth="9.140625" defaultRowHeight="15"/>
  <cols>
    <col min="1" max="1" width="9.140625" style="516"/>
    <col min="2" max="2" width="36.7109375" style="516" customWidth="1"/>
    <col min="3" max="3" width="22.7109375" style="516" customWidth="1"/>
    <col min="4" max="4" width="36.7109375" style="516" customWidth="1"/>
    <col min="5" max="5" width="22.7109375" style="516" customWidth="1"/>
    <col min="6" max="8" width="15.7109375" style="516" customWidth="1"/>
    <col min="9" max="16384" width="9.140625" style="516"/>
  </cols>
  <sheetData>
    <row r="2" spans="2:8" ht="19.5">
      <c r="B2" s="480" t="s">
        <v>13</v>
      </c>
      <c r="C2" s="476"/>
      <c r="D2" s="483" t="s">
        <v>27</v>
      </c>
      <c r="E2" s="1247">
        <v>44648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517" customFormat="1">
      <c r="B8" s="1251"/>
      <c r="C8" s="1251"/>
      <c r="D8" s="1252"/>
      <c r="E8" s="1254"/>
    </row>
    <row r="9" spans="2:8" ht="20.100000000000001" customHeight="1">
      <c r="B9" s="503"/>
      <c r="C9" s="503" t="s">
        <v>16</v>
      </c>
      <c r="D9" s="320"/>
      <c r="E9" s="321">
        <f>D9*10</f>
        <v>0</v>
      </c>
    </row>
    <row r="10" spans="2:8" ht="20.100000000000001" customHeight="1">
      <c r="B10" s="503"/>
      <c r="C10" s="503" t="s">
        <v>16</v>
      </c>
      <c r="D10" s="320"/>
      <c r="E10" s="321">
        <f t="shared" ref="E10:E11" si="0">D10*10</f>
        <v>0</v>
      </c>
    </row>
    <row r="11" spans="2:8" ht="20.100000000000001" customHeight="1">
      <c r="B11" s="503"/>
      <c r="C11" s="503" t="s">
        <v>26</v>
      </c>
      <c r="D11" s="320"/>
      <c r="E11" s="321">
        <f t="shared" si="0"/>
        <v>0</v>
      </c>
    </row>
    <row r="12" spans="2:8" ht="20.100000000000001" customHeight="1">
      <c r="B12" s="503"/>
      <c r="C12" s="503" t="s">
        <v>26</v>
      </c>
      <c r="D12" s="320"/>
      <c r="E12" s="321">
        <f>D12*10</f>
        <v>0</v>
      </c>
    </row>
    <row r="13" spans="2:8" ht="20.100000000000001" customHeight="1">
      <c r="B13" s="1259" t="s">
        <v>24</v>
      </c>
      <c r="C13" s="1259"/>
      <c r="D13" s="518">
        <f>SUM(D9:D12)</f>
        <v>0</v>
      </c>
      <c r="E13" s="519">
        <f>D13*10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517" customFormat="1">
      <c r="B17" s="1251"/>
      <c r="C17" s="1251"/>
      <c r="D17" s="1252"/>
      <c r="E17" s="1254"/>
    </row>
    <row r="18" spans="2:5" ht="20.100000000000001" customHeight="1">
      <c r="B18" s="501" t="s">
        <v>78</v>
      </c>
      <c r="C18" s="501" t="s">
        <v>16</v>
      </c>
      <c r="D18" s="484">
        <v>254</v>
      </c>
      <c r="E18" s="520">
        <f>D18*9.5</f>
        <v>2413</v>
      </c>
    </row>
    <row r="19" spans="2:5" ht="20.100000000000001" customHeight="1">
      <c r="B19" s="501" t="s">
        <v>184</v>
      </c>
      <c r="C19" s="501" t="s">
        <v>16</v>
      </c>
      <c r="D19" s="484">
        <v>240</v>
      </c>
      <c r="E19" s="520">
        <f>D19*9.5</f>
        <v>2280</v>
      </c>
    </row>
    <row r="20" spans="2:5" ht="20.100000000000001" customHeight="1">
      <c r="B20" s="503"/>
      <c r="C20" s="503" t="s">
        <v>71</v>
      </c>
      <c r="D20" s="320"/>
      <c r="E20" s="321">
        <f>D20*10</f>
        <v>0</v>
      </c>
    </row>
    <row r="21" spans="2:5" ht="20.100000000000001" customHeight="1">
      <c r="B21" s="477" t="s">
        <v>65</v>
      </c>
      <c r="C21" s="501" t="s">
        <v>26</v>
      </c>
      <c r="D21" s="484">
        <v>364</v>
      </c>
      <c r="E21" s="520">
        <f>D21*9.5</f>
        <v>3458</v>
      </c>
    </row>
    <row r="22" spans="2:5" ht="20.100000000000001" customHeight="1">
      <c r="B22" s="477" t="s">
        <v>82</v>
      </c>
      <c r="C22" s="501" t="s">
        <v>26</v>
      </c>
      <c r="D22" s="484">
        <v>359</v>
      </c>
      <c r="E22" s="520">
        <f>D22*9.5</f>
        <v>3410.5</v>
      </c>
    </row>
    <row r="23" spans="2:5" ht="20.100000000000001" customHeight="1">
      <c r="B23" s="1259" t="s">
        <v>24</v>
      </c>
      <c r="C23" s="1259"/>
      <c r="D23" s="518">
        <f>SUM(D18:D22)</f>
        <v>1217</v>
      </c>
      <c r="E23" s="519">
        <f>D23*9.5</f>
        <v>11561.5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77" t="s">
        <v>235</v>
      </c>
      <c r="C28" s="528" t="s">
        <v>26</v>
      </c>
      <c r="D28" s="484">
        <v>388</v>
      </c>
      <c r="E28" s="520">
        <f>D28*9.5</f>
        <v>3686</v>
      </c>
    </row>
    <row r="29" spans="2:5">
      <c r="B29" s="501" t="s">
        <v>251</v>
      </c>
      <c r="C29" s="528" t="s">
        <v>16</v>
      </c>
      <c r="D29" s="484">
        <v>248</v>
      </c>
      <c r="E29" s="520">
        <f>D29*9.5</f>
        <v>2356</v>
      </c>
    </row>
    <row r="30" spans="2:5">
      <c r="B30" s="531" t="s">
        <v>252</v>
      </c>
      <c r="C30" s="528" t="s">
        <v>71</v>
      </c>
      <c r="D30" s="484">
        <v>115</v>
      </c>
      <c r="E30" s="520">
        <f>D30*9.5</f>
        <v>1092.5</v>
      </c>
    </row>
    <row r="31" spans="2:5" ht="20.100000000000001" customHeight="1">
      <c r="B31" s="1259" t="s">
        <v>24</v>
      </c>
      <c r="C31" s="1259"/>
      <c r="D31" s="518">
        <f>SUM(D28:D30)</f>
        <v>751</v>
      </c>
      <c r="E31" s="519">
        <f>D31*9.5</f>
        <v>7134.5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0</v>
      </c>
      <c r="D34" s="498">
        <f>D23</f>
        <v>1217</v>
      </c>
      <c r="E34" s="498">
        <f>D31</f>
        <v>751</v>
      </c>
    </row>
    <row r="35" spans="2:5">
      <c r="B35" s="495" t="s">
        <v>36</v>
      </c>
      <c r="C35" s="493">
        <f>C34*9.5</f>
        <v>0</v>
      </c>
      <c r="D35" s="493">
        <f>D34*9.5</f>
        <v>11561.5</v>
      </c>
      <c r="E35" s="493">
        <f>E34*9.5</f>
        <v>7134.5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1968</v>
      </c>
      <c r="D37" s="378" t="s">
        <v>253</v>
      </c>
      <c r="E37" s="381">
        <f>C37*9.5</f>
        <v>18696</v>
      </c>
    </row>
    <row r="38" spans="2:5">
      <c r="B38" s="377" t="s">
        <v>197</v>
      </c>
      <c r="C38" s="378">
        <f>C39-C37</f>
        <v>2480</v>
      </c>
      <c r="D38" s="378" t="s">
        <v>204</v>
      </c>
      <c r="E38" s="381">
        <f>C38*9</f>
        <v>22320</v>
      </c>
    </row>
    <row r="39" spans="2:5" ht="19.5">
      <c r="B39" s="482" t="s">
        <v>201</v>
      </c>
      <c r="C39" s="380">
        <f>'Patron Counts v Swipes'!D10</f>
        <v>4448</v>
      </c>
      <c r="D39" s="380" t="s">
        <v>202</v>
      </c>
      <c r="E39" s="379">
        <f>SUM(E37+E38)</f>
        <v>41016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JRjkPCxmqJaR65wjZhIYxSox3bW0L8WBbUD8wmfeioKwbyRJOQKoIu6xqei+f/kpnnpi6MJKp3DWgKRehQ4uDg==" saltValue="R0wkCPIZWK7JyynwTjNQdQ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E547D-0CDD-46D1-ACC2-019EDBA26145}">
  <sheetPr codeName="Sheet67">
    <pageSetUpPr fitToPage="1"/>
  </sheetPr>
  <dimension ref="B2:H43"/>
  <sheetViews>
    <sheetView workbookViewId="0"/>
  </sheetViews>
  <sheetFormatPr defaultColWidth="9.140625" defaultRowHeight="15"/>
  <cols>
    <col min="1" max="1" width="9.140625" style="474"/>
    <col min="2" max="2" width="36.7109375" style="474" customWidth="1"/>
    <col min="3" max="3" width="22.7109375" style="474" customWidth="1"/>
    <col min="4" max="4" width="36.7109375" style="474" customWidth="1"/>
    <col min="5" max="5" width="22.7109375" style="474" customWidth="1"/>
    <col min="6" max="8" width="15.7109375" style="474" customWidth="1"/>
    <col min="9" max="16384" width="9.140625" style="474"/>
  </cols>
  <sheetData>
    <row r="2" spans="2:8" ht="19.5">
      <c r="B2" s="480" t="s">
        <v>13</v>
      </c>
      <c r="C2" s="476"/>
      <c r="D2" s="483" t="s">
        <v>27</v>
      </c>
      <c r="E2" s="1247">
        <v>44647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475" customFormat="1">
      <c r="B8" s="1251"/>
      <c r="C8" s="1251"/>
      <c r="D8" s="1252"/>
      <c r="E8" s="1254"/>
    </row>
    <row r="9" spans="2:8" ht="20.100000000000001" customHeight="1">
      <c r="B9" s="503"/>
      <c r="C9" s="503" t="s">
        <v>16</v>
      </c>
      <c r="D9" s="320"/>
      <c r="E9" s="321">
        <f>D9*10</f>
        <v>0</v>
      </c>
    </row>
    <row r="10" spans="2:8" ht="20.100000000000001" customHeight="1">
      <c r="B10" s="503"/>
      <c r="C10" s="503" t="s">
        <v>16</v>
      </c>
      <c r="D10" s="320"/>
      <c r="E10" s="321">
        <f t="shared" ref="E10:E11" si="0">D10*10</f>
        <v>0</v>
      </c>
    </row>
    <row r="11" spans="2:8" ht="20.100000000000001" customHeight="1">
      <c r="B11" s="503"/>
      <c r="C11" s="503" t="s">
        <v>26</v>
      </c>
      <c r="D11" s="320"/>
      <c r="E11" s="321">
        <f t="shared" si="0"/>
        <v>0</v>
      </c>
    </row>
    <row r="12" spans="2:8" ht="20.100000000000001" customHeight="1">
      <c r="B12" s="503"/>
      <c r="C12" s="503" t="s">
        <v>26</v>
      </c>
      <c r="D12" s="320"/>
      <c r="E12" s="321">
        <f>D12*10</f>
        <v>0</v>
      </c>
    </row>
    <row r="13" spans="2:8" ht="20.100000000000001" customHeight="1">
      <c r="B13" s="1259" t="s">
        <v>24</v>
      </c>
      <c r="C13" s="1259"/>
      <c r="D13" s="478">
        <f>SUM(D9:D12)</f>
        <v>0</v>
      </c>
      <c r="E13" s="496">
        <f>D13*10</f>
        <v>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7" s="475" customFormat="1">
      <c r="B17" s="1251"/>
      <c r="C17" s="1251"/>
      <c r="D17" s="1252"/>
      <c r="E17" s="1254"/>
    </row>
    <row r="18" spans="2:7" ht="20.100000000000001" customHeight="1">
      <c r="B18" s="503"/>
      <c r="C18" s="503" t="s">
        <v>16</v>
      </c>
      <c r="D18" s="320"/>
      <c r="E18" s="321">
        <f>D18*10</f>
        <v>0</v>
      </c>
    </row>
    <row r="19" spans="2:7" ht="20.100000000000001" customHeight="1">
      <c r="B19" s="503"/>
      <c r="C19" s="503" t="s">
        <v>16</v>
      </c>
      <c r="D19" s="320"/>
      <c r="E19" s="321">
        <f>D19*10</f>
        <v>0</v>
      </c>
    </row>
    <row r="20" spans="2:7" ht="20.100000000000001" customHeight="1">
      <c r="B20" s="503"/>
      <c r="C20" s="503" t="s">
        <v>71</v>
      </c>
      <c r="D20" s="320"/>
      <c r="E20" s="321">
        <f>D20*10</f>
        <v>0</v>
      </c>
    </row>
    <row r="21" spans="2:7" ht="20.100000000000001" customHeight="1">
      <c r="B21" s="503"/>
      <c r="C21" s="503" t="s">
        <v>26</v>
      </c>
      <c r="D21" s="320"/>
      <c r="E21" s="321">
        <f t="shared" ref="E21:E22" si="1">D21*10</f>
        <v>0</v>
      </c>
    </row>
    <row r="22" spans="2:7" ht="20.100000000000001" customHeight="1">
      <c r="B22" s="503"/>
      <c r="C22" s="503" t="s">
        <v>26</v>
      </c>
      <c r="D22" s="320"/>
      <c r="E22" s="321">
        <f t="shared" si="1"/>
        <v>0</v>
      </c>
    </row>
    <row r="23" spans="2:7" ht="20.100000000000001" customHeight="1">
      <c r="B23" s="1259" t="s">
        <v>24</v>
      </c>
      <c r="C23" s="1259"/>
      <c r="D23" s="478">
        <f>SUM(D18:D22)</f>
        <v>0</v>
      </c>
      <c r="E23" s="496">
        <f>D23*10</f>
        <v>0</v>
      </c>
    </row>
    <row r="24" spans="2:7">
      <c r="B24" s="485"/>
      <c r="C24" s="485"/>
      <c r="D24" s="486"/>
      <c r="E24" s="486"/>
    </row>
    <row r="25" spans="2:7" ht="19.5">
      <c r="B25" s="487" t="s">
        <v>28</v>
      </c>
      <c r="C25" s="1264" t="s">
        <v>165</v>
      </c>
      <c r="D25" s="1265"/>
      <c r="E25" s="1266"/>
    </row>
    <row r="26" spans="2:7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7">
      <c r="B27" s="1251"/>
      <c r="C27" s="1251"/>
      <c r="D27" s="1252"/>
      <c r="E27" s="1254"/>
    </row>
    <row r="28" spans="2:7">
      <c r="B28" s="528" t="s">
        <v>250</v>
      </c>
      <c r="C28" s="528" t="s">
        <v>26</v>
      </c>
      <c r="D28" s="484">
        <v>103</v>
      </c>
      <c r="E28" s="520">
        <f>D28*9.5</f>
        <v>978.5</v>
      </c>
    </row>
    <row r="29" spans="2:7">
      <c r="B29" s="528" t="s">
        <v>235</v>
      </c>
      <c r="C29" s="528" t="s">
        <v>16</v>
      </c>
      <c r="D29" s="484">
        <v>290</v>
      </c>
      <c r="E29" s="520">
        <f>D29*9.5</f>
        <v>2755</v>
      </c>
    </row>
    <row r="30" spans="2:7">
      <c r="B30" s="529" t="s">
        <v>78</v>
      </c>
      <c r="C30" s="528" t="s">
        <v>71</v>
      </c>
      <c r="D30" s="484">
        <v>170</v>
      </c>
      <c r="E30" s="520">
        <f>D30*9.5</f>
        <v>1615</v>
      </c>
    </row>
    <row r="31" spans="2:7" ht="20.100000000000001" customHeight="1">
      <c r="B31" s="1259" t="s">
        <v>24</v>
      </c>
      <c r="C31" s="1259"/>
      <c r="D31" s="518">
        <f>SUM(D28:D30)</f>
        <v>563</v>
      </c>
      <c r="E31" s="519">
        <f>D31*9.5</f>
        <v>5348.5</v>
      </c>
      <c r="G31" s="234"/>
    </row>
    <row r="32" spans="2:7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0</v>
      </c>
      <c r="D34" s="498">
        <f>D23</f>
        <v>0</v>
      </c>
      <c r="E34" s="498">
        <f>D31</f>
        <v>563</v>
      </c>
    </row>
    <row r="35" spans="2:5">
      <c r="B35" s="495" t="s">
        <v>36</v>
      </c>
      <c r="C35" s="493">
        <f>C34*9.5</f>
        <v>0</v>
      </c>
      <c r="D35" s="493">
        <f>D34*9.5</f>
        <v>0</v>
      </c>
      <c r="E35" s="493">
        <f>E34*9.5</f>
        <v>5348.5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563</v>
      </c>
      <c r="D37" s="378" t="s">
        <v>253</v>
      </c>
      <c r="E37" s="381">
        <f>C37*9.5</f>
        <v>5348.5</v>
      </c>
    </row>
    <row r="38" spans="2:5">
      <c r="B38" s="377" t="s">
        <v>197</v>
      </c>
      <c r="C38" s="378">
        <f>C39-C37</f>
        <v>109</v>
      </c>
      <c r="D38" s="378" t="s">
        <v>204</v>
      </c>
      <c r="E38" s="381">
        <f>C38*9</f>
        <v>981</v>
      </c>
    </row>
    <row r="39" spans="2:5" ht="19.5">
      <c r="B39" s="482" t="s">
        <v>201</v>
      </c>
      <c r="C39" s="380">
        <f>'Patron Counts v Swipes'!D4</f>
        <v>672</v>
      </c>
      <c r="D39" s="380" t="s">
        <v>202</v>
      </c>
      <c r="E39" s="379">
        <f>SUM(E37+E38)</f>
        <v>6329.5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ORcZnYRcMO7L/68dhN3RAlQNMR0Sv//AQ69sBt9DAD1cebvWr7aEi7oc6n4jjjYbwLDOiD/YMXFIvono8XL15A==" saltValue="tGr2qyzytbGT0qMiZi7HCQ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69D2A-F71A-4F42-AD41-4BC0A6D66222}">
  <sheetPr codeName="Sheet68">
    <pageSetUpPr fitToPage="1"/>
  </sheetPr>
  <dimension ref="B2:H43"/>
  <sheetViews>
    <sheetView workbookViewId="0"/>
  </sheetViews>
  <sheetFormatPr defaultColWidth="9.140625" defaultRowHeight="15"/>
  <cols>
    <col min="1" max="1" width="9.140625" style="474"/>
    <col min="2" max="2" width="36.7109375" style="474" customWidth="1"/>
    <col min="3" max="3" width="22.7109375" style="474" customWidth="1"/>
    <col min="4" max="4" width="36.7109375" style="474" customWidth="1"/>
    <col min="5" max="5" width="22.7109375" style="474" customWidth="1"/>
    <col min="6" max="8" width="15.7109375" style="474" customWidth="1"/>
    <col min="9" max="16384" width="9.140625" style="474"/>
  </cols>
  <sheetData>
    <row r="2" spans="2:8" ht="19.5">
      <c r="B2" s="480" t="s">
        <v>13</v>
      </c>
      <c r="C2" s="476"/>
      <c r="D2" s="483" t="s">
        <v>27</v>
      </c>
      <c r="E2" s="1247">
        <v>44540</v>
      </c>
      <c r="F2" s="1247"/>
      <c r="G2" s="1247"/>
      <c r="H2" s="1247"/>
    </row>
    <row r="3" spans="2:8">
      <c r="B3" s="476"/>
      <c r="C3" s="476"/>
    </row>
    <row r="4" spans="2:8">
      <c r="B4" s="476"/>
      <c r="C4" s="476"/>
    </row>
    <row r="5" spans="2:8">
      <c r="B5" s="476"/>
      <c r="C5" s="476"/>
    </row>
    <row r="6" spans="2:8" ht="19.5">
      <c r="B6" s="481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475" customFormat="1">
      <c r="B8" s="1251"/>
      <c r="C8" s="1251"/>
      <c r="D8" s="1252"/>
      <c r="E8" s="1254"/>
    </row>
    <row r="9" spans="2:8" ht="20.100000000000001" customHeight="1">
      <c r="B9" s="501" t="s">
        <v>53</v>
      </c>
      <c r="C9" s="477" t="s">
        <v>16</v>
      </c>
      <c r="D9" s="484">
        <v>492</v>
      </c>
      <c r="E9" s="496">
        <f>D9*10</f>
        <v>4920</v>
      </c>
    </row>
    <row r="10" spans="2:8" ht="20.100000000000001" customHeight="1">
      <c r="B10" s="499"/>
      <c r="C10" s="499" t="s">
        <v>16</v>
      </c>
      <c r="D10" s="488"/>
      <c r="E10" s="500">
        <f t="shared" ref="E10:E11" si="0">D10*10</f>
        <v>0</v>
      </c>
    </row>
    <row r="11" spans="2:8" ht="20.100000000000001" customHeight="1">
      <c r="B11" s="501" t="s">
        <v>45</v>
      </c>
      <c r="C11" s="477" t="s">
        <v>26</v>
      </c>
      <c r="D11" s="478">
        <v>443</v>
      </c>
      <c r="E11" s="496">
        <f t="shared" si="0"/>
        <v>4430</v>
      </c>
    </row>
    <row r="12" spans="2:8" ht="20.100000000000001" customHeight="1">
      <c r="B12" s="499"/>
      <c r="C12" s="499" t="s">
        <v>26</v>
      </c>
      <c r="D12" s="488"/>
      <c r="E12" s="500">
        <f>D12*10</f>
        <v>0</v>
      </c>
    </row>
    <row r="13" spans="2:8" ht="20.100000000000001" customHeight="1">
      <c r="B13" s="1259" t="s">
        <v>24</v>
      </c>
      <c r="C13" s="1259"/>
      <c r="D13" s="478">
        <f>SUM(D9:D12)</f>
        <v>935</v>
      </c>
      <c r="E13" s="496">
        <f>D13*10</f>
        <v>9350</v>
      </c>
    </row>
    <row r="15" spans="2:8" ht="19.5">
      <c r="B15" s="482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475" customFormat="1">
      <c r="B17" s="1251"/>
      <c r="C17" s="1251"/>
      <c r="D17" s="1252"/>
      <c r="E17" s="1254"/>
    </row>
    <row r="18" spans="2:5" ht="20.100000000000001" customHeight="1">
      <c r="B18" s="499"/>
      <c r="C18" s="499" t="s">
        <v>16</v>
      </c>
      <c r="D18" s="488"/>
      <c r="E18" s="500">
        <f>D18*10</f>
        <v>0</v>
      </c>
    </row>
    <row r="19" spans="2:5" ht="20.100000000000001" customHeight="1">
      <c r="B19" s="499"/>
      <c r="C19" s="499" t="s">
        <v>16</v>
      </c>
      <c r="D19" s="488"/>
      <c r="E19" s="500">
        <f>D19*10</f>
        <v>0</v>
      </c>
    </row>
    <row r="20" spans="2:5" ht="20.100000000000001" customHeight="1">
      <c r="B20" s="499"/>
      <c r="C20" s="499" t="s">
        <v>71</v>
      </c>
      <c r="D20" s="488"/>
      <c r="E20" s="500">
        <f>D20*10</f>
        <v>0</v>
      </c>
    </row>
    <row r="21" spans="2:5" ht="20.100000000000001" customHeight="1">
      <c r="B21" s="499"/>
      <c r="C21" s="499" t="s">
        <v>26</v>
      </c>
      <c r="D21" s="488"/>
      <c r="E21" s="500">
        <f t="shared" ref="E21:E22" si="1">D21*10</f>
        <v>0</v>
      </c>
    </row>
    <row r="22" spans="2:5" ht="20.100000000000001" customHeight="1">
      <c r="B22" s="499"/>
      <c r="C22" s="499" t="s">
        <v>26</v>
      </c>
      <c r="D22" s="488"/>
      <c r="E22" s="500">
        <f t="shared" si="1"/>
        <v>0</v>
      </c>
    </row>
    <row r="23" spans="2:5" ht="20.100000000000001" customHeight="1">
      <c r="B23" s="1259" t="s">
        <v>24</v>
      </c>
      <c r="C23" s="1259"/>
      <c r="D23" s="478">
        <f>SUM(D18:D22)</f>
        <v>0</v>
      </c>
      <c r="E23" s="496">
        <f>D23*10</f>
        <v>0</v>
      </c>
    </row>
    <row r="24" spans="2:5">
      <c r="B24" s="485"/>
      <c r="C24" s="485"/>
      <c r="D24" s="486"/>
      <c r="E24" s="486"/>
    </row>
    <row r="25" spans="2:5" ht="19.5">
      <c r="B25" s="487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99"/>
      <c r="C28" s="499" t="s">
        <v>16</v>
      </c>
      <c r="D28" s="488"/>
      <c r="E28" s="500">
        <f>D28*10</f>
        <v>0</v>
      </c>
    </row>
    <row r="29" spans="2:5">
      <c r="B29" s="499"/>
      <c r="C29" s="499" t="s">
        <v>16</v>
      </c>
      <c r="D29" s="488"/>
      <c r="E29" s="500">
        <f t="shared" ref="E29:E30" si="2">D29*10</f>
        <v>0</v>
      </c>
    </row>
    <row r="30" spans="2:5">
      <c r="B30" s="499"/>
      <c r="C30" s="499" t="s">
        <v>71</v>
      </c>
      <c r="D30" s="488"/>
      <c r="E30" s="500">
        <f t="shared" si="2"/>
        <v>0</v>
      </c>
    </row>
    <row r="31" spans="2:5" ht="20.100000000000001" customHeight="1">
      <c r="B31" s="1259" t="s">
        <v>24</v>
      </c>
      <c r="C31" s="1259"/>
      <c r="D31" s="478">
        <f>SUM(D28:D30)</f>
        <v>0</v>
      </c>
      <c r="E31" s="496">
        <f>D31*10</f>
        <v>0</v>
      </c>
    </row>
    <row r="32" spans="2:5" ht="19.5">
      <c r="B32" s="1260" t="s">
        <v>200</v>
      </c>
      <c r="C32" s="1260"/>
      <c r="D32" s="1260"/>
      <c r="E32" s="1260"/>
    </row>
    <row r="33" spans="2:5">
      <c r="B33" s="492"/>
      <c r="C33" s="494" t="s">
        <v>34</v>
      </c>
      <c r="D33" s="494" t="s">
        <v>35</v>
      </c>
      <c r="E33" s="494" t="s">
        <v>37</v>
      </c>
    </row>
    <row r="34" spans="2:5">
      <c r="B34" s="495" t="s">
        <v>39</v>
      </c>
      <c r="C34" s="497">
        <f>D13</f>
        <v>935</v>
      </c>
      <c r="D34" s="498">
        <f>D23</f>
        <v>0</v>
      </c>
      <c r="E34" s="498">
        <f>D31</f>
        <v>0</v>
      </c>
    </row>
    <row r="35" spans="2:5">
      <c r="B35" s="495" t="s">
        <v>36</v>
      </c>
      <c r="C35" s="493">
        <f>C34*10</f>
        <v>9350</v>
      </c>
      <c r="D35" s="493">
        <f>D34*10</f>
        <v>0</v>
      </c>
      <c r="E35" s="493">
        <f>E34*10</f>
        <v>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935</v>
      </c>
      <c r="D37" s="378" t="s">
        <v>203</v>
      </c>
      <c r="E37" s="381">
        <f>C37*10</f>
        <v>9350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482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479" t="s">
        <v>5</v>
      </c>
      <c r="C41" s="489"/>
    </row>
    <row r="42" spans="2:5">
      <c r="B42" s="490" t="s">
        <v>4</v>
      </c>
      <c r="C42" s="491"/>
    </row>
    <row r="43" spans="2:5">
      <c r="B43" s="490" t="s">
        <v>25</v>
      </c>
      <c r="C43" s="491"/>
    </row>
  </sheetData>
  <sheetProtection algorithmName="SHA-512" hashValue="kUK/lFerxTFZpsJikV5PrbjgCXLfFgTm+FpwcKbppoLCG6bA1giNAFGN4PvIcaFRmbHs177KqaceZEkcRsmNIA==" saltValue="pOfVdGzV1znzy4w22bD60Q==" spinCount="100000" sheet="1" objects="1" scenarios="1"/>
  <mergeCells count="22"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C5562-74D3-4C73-9C68-959766AA2B5D}">
  <sheetPr codeName="Sheet69">
    <pageSetUpPr fitToPage="1"/>
  </sheetPr>
  <dimension ref="B2:H43"/>
  <sheetViews>
    <sheetView workbookViewId="0"/>
  </sheetViews>
  <sheetFormatPr defaultColWidth="9.140625" defaultRowHeight="15"/>
  <cols>
    <col min="1" max="1" width="9.140625" style="440"/>
    <col min="2" max="2" width="36.7109375" style="440" customWidth="1"/>
    <col min="3" max="3" width="22.7109375" style="440" customWidth="1"/>
    <col min="4" max="4" width="36.7109375" style="440" customWidth="1"/>
    <col min="5" max="5" width="22.7109375" style="440" customWidth="1"/>
    <col min="6" max="8" width="15.7109375" style="440" customWidth="1"/>
    <col min="9" max="16384" width="9.140625" style="440"/>
  </cols>
  <sheetData>
    <row r="2" spans="2:8" ht="19.5">
      <c r="B2" s="332" t="s">
        <v>13</v>
      </c>
      <c r="C2" s="328"/>
      <c r="D2" s="335" t="s">
        <v>27</v>
      </c>
      <c r="E2" s="1247">
        <v>44538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69" t="s">
        <v>82</v>
      </c>
      <c r="C9" s="468" t="s">
        <v>16</v>
      </c>
      <c r="D9" s="12">
        <v>405</v>
      </c>
      <c r="E9" s="443">
        <f>D9*10</f>
        <v>4050</v>
      </c>
    </row>
    <row r="10" spans="2:8" ht="20.100000000000001" customHeight="1">
      <c r="B10" s="469" t="s">
        <v>193</v>
      </c>
      <c r="C10" s="468" t="s">
        <v>16</v>
      </c>
      <c r="D10" s="442">
        <v>250</v>
      </c>
      <c r="E10" s="443">
        <f t="shared" ref="E10:E11" si="0">D10*10</f>
        <v>2500</v>
      </c>
    </row>
    <row r="11" spans="2:8" ht="20.100000000000001" customHeight="1">
      <c r="B11" s="473" t="s">
        <v>236</v>
      </c>
      <c r="C11" s="468" t="s">
        <v>26</v>
      </c>
      <c r="D11" s="442">
        <v>285</v>
      </c>
      <c r="E11" s="443">
        <f t="shared" si="0"/>
        <v>2850</v>
      </c>
    </row>
    <row r="12" spans="2:8" ht="20.100000000000001" customHeight="1">
      <c r="B12" s="469" t="s">
        <v>53</v>
      </c>
      <c r="C12" s="468" t="s">
        <v>26</v>
      </c>
      <c r="D12" s="442">
        <v>342</v>
      </c>
      <c r="E12" s="443">
        <f>D12*10</f>
        <v>3420</v>
      </c>
    </row>
    <row r="13" spans="2:8" ht="20.100000000000001" customHeight="1">
      <c r="B13" s="1259" t="s">
        <v>24</v>
      </c>
      <c r="C13" s="1259"/>
      <c r="D13" s="442">
        <f>SUM(D9:D12)</f>
        <v>1282</v>
      </c>
      <c r="E13" s="443">
        <f>D13*10</f>
        <v>12820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70" t="s">
        <v>82</v>
      </c>
      <c r="C18" s="468" t="s">
        <v>16</v>
      </c>
      <c r="D18" s="442">
        <v>314</v>
      </c>
      <c r="E18" s="443">
        <f>D18*10</f>
        <v>3140</v>
      </c>
    </row>
    <row r="19" spans="2:5" ht="20.100000000000001" customHeight="1">
      <c r="B19" s="470" t="s">
        <v>193</v>
      </c>
      <c r="C19" s="468" t="s">
        <v>16</v>
      </c>
      <c r="D19" s="442">
        <v>194</v>
      </c>
      <c r="E19" s="443">
        <f>D19*10</f>
        <v>1940</v>
      </c>
    </row>
    <row r="20" spans="2:5" ht="20.100000000000001" customHeight="1">
      <c r="B20" s="471" t="s">
        <v>45</v>
      </c>
      <c r="C20" s="468" t="s">
        <v>71</v>
      </c>
      <c r="D20" s="442">
        <v>272</v>
      </c>
      <c r="E20" s="443">
        <f>D20*10</f>
        <v>2720</v>
      </c>
    </row>
    <row r="21" spans="2:5" ht="20.100000000000001" customHeight="1">
      <c r="B21" s="473" t="s">
        <v>236</v>
      </c>
      <c r="C21" s="468" t="s">
        <v>26</v>
      </c>
      <c r="D21" s="442">
        <v>189</v>
      </c>
      <c r="E21" s="443">
        <f t="shared" ref="E21:E22" si="1">D21*10</f>
        <v>1890</v>
      </c>
    </row>
    <row r="22" spans="2:5" ht="20.100000000000001" customHeight="1">
      <c r="B22" s="471" t="s">
        <v>63</v>
      </c>
      <c r="C22" s="468" t="s">
        <v>26</v>
      </c>
      <c r="D22" s="442">
        <v>227</v>
      </c>
      <c r="E22" s="443">
        <f t="shared" si="1"/>
        <v>2270</v>
      </c>
    </row>
    <row r="23" spans="2:5" ht="20.100000000000001" customHeight="1">
      <c r="B23" s="1259" t="s">
        <v>24</v>
      </c>
      <c r="C23" s="1259"/>
      <c r="D23" s="442">
        <f>SUM(D18:D22)</f>
        <v>1196</v>
      </c>
      <c r="E23" s="443">
        <f>D23*10</f>
        <v>11960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72" t="s">
        <v>82</v>
      </c>
      <c r="C28" s="468" t="s">
        <v>16</v>
      </c>
      <c r="D28" s="442">
        <v>265</v>
      </c>
      <c r="E28" s="443">
        <f>D28*10</f>
        <v>2650</v>
      </c>
    </row>
    <row r="29" spans="2:5">
      <c r="B29" s="472" t="s">
        <v>193</v>
      </c>
      <c r="C29" s="468" t="s">
        <v>16</v>
      </c>
      <c r="D29" s="442">
        <v>48</v>
      </c>
      <c r="E29" s="443">
        <f t="shared" ref="E29:E30" si="2">D29*10</f>
        <v>480</v>
      </c>
    </row>
    <row r="30" spans="2:5">
      <c r="B30" s="472" t="s">
        <v>235</v>
      </c>
      <c r="C30" s="468" t="s">
        <v>71</v>
      </c>
      <c r="D30" s="442">
        <v>532</v>
      </c>
      <c r="E30" s="443">
        <f t="shared" si="2"/>
        <v>5320</v>
      </c>
    </row>
    <row r="31" spans="2:5" ht="20.100000000000001" customHeight="1">
      <c r="B31" s="1259" t="s">
        <v>24</v>
      </c>
      <c r="C31" s="1259"/>
      <c r="D31" s="442">
        <f>SUM(D28:D30)</f>
        <v>845</v>
      </c>
      <c r="E31" s="443">
        <f>D31*10</f>
        <v>8450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1282</v>
      </c>
      <c r="D34" s="348">
        <f>D23</f>
        <v>1196</v>
      </c>
      <c r="E34" s="348">
        <f>D31</f>
        <v>845</v>
      </c>
    </row>
    <row r="35" spans="2:5">
      <c r="B35" s="345" t="s">
        <v>36</v>
      </c>
      <c r="C35" s="343">
        <f>C34*10</f>
        <v>12820</v>
      </c>
      <c r="D35" s="343">
        <f>D34*10</f>
        <v>11960</v>
      </c>
      <c r="E35" s="343">
        <f>E34*10</f>
        <v>8450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3323</v>
      </c>
      <c r="D37" s="378" t="s">
        <v>203</v>
      </c>
      <c r="E37" s="381">
        <f>C37*10</f>
        <v>33230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4PpKYrfeUUn1+ArUx3zX52mPY5rElbCaPh6SN7mH1o7xHCj7nE7NjMVzl+gZsHz39UbMmO9r5ecBHjX9InY7Qg==" saltValue="56HYmfoR1gR/sSpw0RoIq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5098-1C27-4762-A792-908C596B69DB}">
  <sheetPr codeName="Sheet70">
    <pageSetUpPr fitToPage="1"/>
  </sheetPr>
  <dimension ref="B2:H43"/>
  <sheetViews>
    <sheetView workbookViewId="0"/>
  </sheetViews>
  <sheetFormatPr defaultColWidth="9.140625" defaultRowHeight="15"/>
  <cols>
    <col min="1" max="1" width="9.140625" style="440"/>
    <col min="2" max="2" width="36.7109375" style="440" customWidth="1"/>
    <col min="3" max="3" width="22.7109375" style="440" customWidth="1"/>
    <col min="4" max="4" width="36.7109375" style="440" customWidth="1"/>
    <col min="5" max="5" width="22.7109375" style="440" customWidth="1"/>
    <col min="6" max="8" width="15.7109375" style="440" customWidth="1"/>
    <col min="9" max="16384" width="9.140625" style="440"/>
  </cols>
  <sheetData>
    <row r="2" spans="2:8" ht="19.5">
      <c r="B2" s="332" t="s">
        <v>13</v>
      </c>
      <c r="C2" s="328"/>
      <c r="D2" s="335" t="s">
        <v>27</v>
      </c>
      <c r="E2" s="1247">
        <v>44537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65" t="s">
        <v>70</v>
      </c>
      <c r="C9" s="463" t="s">
        <v>16</v>
      </c>
      <c r="D9" s="12">
        <v>500</v>
      </c>
      <c r="E9" s="443">
        <f>D9*10</f>
        <v>5000</v>
      </c>
    </row>
    <row r="10" spans="2:8" ht="20.100000000000001" customHeight="1">
      <c r="B10" s="465" t="s">
        <v>185</v>
      </c>
      <c r="C10" s="463" t="s">
        <v>16</v>
      </c>
      <c r="D10" s="442">
        <v>635</v>
      </c>
      <c r="E10" s="443">
        <f t="shared" ref="E10:E11" si="0">D10*10</f>
        <v>6350</v>
      </c>
    </row>
    <row r="11" spans="2:8" ht="20.100000000000001" customHeight="1">
      <c r="B11" s="464" t="s">
        <v>53</v>
      </c>
      <c r="C11" s="463" t="s">
        <v>26</v>
      </c>
      <c r="D11" s="442">
        <v>289</v>
      </c>
      <c r="E11" s="443">
        <f t="shared" si="0"/>
        <v>2890</v>
      </c>
    </row>
    <row r="12" spans="2:8" ht="20.100000000000001" customHeight="1">
      <c r="B12" s="464" t="s">
        <v>164</v>
      </c>
      <c r="C12" s="463" t="s">
        <v>26</v>
      </c>
      <c r="D12" s="442">
        <v>351</v>
      </c>
      <c r="E12" s="443">
        <f>D12*10</f>
        <v>3510</v>
      </c>
    </row>
    <row r="13" spans="2:8" ht="20.100000000000001" customHeight="1">
      <c r="B13" s="1259" t="s">
        <v>24</v>
      </c>
      <c r="C13" s="1259"/>
      <c r="D13" s="442">
        <f>SUM(D9:D12)</f>
        <v>1775</v>
      </c>
      <c r="E13" s="443">
        <f>D13*10</f>
        <v>17750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67" t="s">
        <v>70</v>
      </c>
      <c r="C18" s="463" t="s">
        <v>16</v>
      </c>
      <c r="D18" s="442">
        <v>384</v>
      </c>
      <c r="E18" s="443">
        <f>D18*10</f>
        <v>3840</v>
      </c>
    </row>
    <row r="19" spans="2:5" ht="20.100000000000001" customHeight="1">
      <c r="B19" s="466" t="s">
        <v>64</v>
      </c>
      <c r="C19" s="463" t="s">
        <v>16</v>
      </c>
      <c r="D19" s="442">
        <v>311</v>
      </c>
      <c r="E19" s="443">
        <f>D19*10</f>
        <v>3110</v>
      </c>
    </row>
    <row r="20" spans="2:5" ht="20.100000000000001" customHeight="1">
      <c r="B20" s="467" t="s">
        <v>185</v>
      </c>
      <c r="C20" s="463" t="s">
        <v>71</v>
      </c>
      <c r="D20" s="442">
        <v>525</v>
      </c>
      <c r="E20" s="443">
        <f>D20*10</f>
        <v>5250</v>
      </c>
    </row>
    <row r="21" spans="2:5" ht="20.100000000000001" customHeight="1">
      <c r="B21" s="466" t="s">
        <v>66</v>
      </c>
      <c r="C21" s="463" t="s">
        <v>26</v>
      </c>
      <c r="D21" s="442">
        <v>313</v>
      </c>
      <c r="E21" s="443">
        <f t="shared" ref="E21:E22" si="1">D21*10</f>
        <v>3130</v>
      </c>
    </row>
    <row r="22" spans="2:5" ht="20.100000000000001" customHeight="1">
      <c r="B22" s="467" t="s">
        <v>44</v>
      </c>
      <c r="C22" s="463" t="s">
        <v>26</v>
      </c>
      <c r="D22" s="442">
        <v>187</v>
      </c>
      <c r="E22" s="443">
        <f t="shared" si="1"/>
        <v>1870</v>
      </c>
    </row>
    <row r="23" spans="2:5" ht="20.100000000000001" customHeight="1">
      <c r="B23" s="1259" t="s">
        <v>24</v>
      </c>
      <c r="C23" s="1259"/>
      <c r="D23" s="442">
        <f>SUM(D18:D22)</f>
        <v>1720</v>
      </c>
      <c r="E23" s="443">
        <f>D23*10</f>
        <v>17200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68" t="s">
        <v>70</v>
      </c>
      <c r="C28" s="463" t="s">
        <v>16</v>
      </c>
      <c r="D28" s="442">
        <v>384</v>
      </c>
      <c r="E28" s="443">
        <f>D28*10</f>
        <v>3840</v>
      </c>
    </row>
    <row r="29" spans="2:5">
      <c r="B29" s="468" t="s">
        <v>64</v>
      </c>
      <c r="C29" s="463" t="s">
        <v>16</v>
      </c>
      <c r="D29" s="442">
        <v>296</v>
      </c>
      <c r="E29" s="443">
        <f t="shared" ref="E29:E30" si="2">D29*10</f>
        <v>2960</v>
      </c>
    </row>
    <row r="30" spans="2:5">
      <c r="B30" s="468" t="s">
        <v>235</v>
      </c>
      <c r="C30" s="463" t="s">
        <v>71</v>
      </c>
      <c r="D30" s="442">
        <v>460</v>
      </c>
      <c r="E30" s="443">
        <f t="shared" si="2"/>
        <v>4600</v>
      </c>
    </row>
    <row r="31" spans="2:5" ht="20.100000000000001" customHeight="1">
      <c r="B31" s="1259" t="s">
        <v>24</v>
      </c>
      <c r="C31" s="1259"/>
      <c r="D31" s="442">
        <f>SUM(D28:D30)</f>
        <v>1140</v>
      </c>
      <c r="E31" s="443">
        <f>D31*10</f>
        <v>11400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1775</v>
      </c>
      <c r="D34" s="348">
        <f>D23</f>
        <v>1720</v>
      </c>
      <c r="E34" s="348">
        <f>D31</f>
        <v>1140</v>
      </c>
    </row>
    <row r="35" spans="2:5">
      <c r="B35" s="345" t="s">
        <v>36</v>
      </c>
      <c r="C35" s="343">
        <f>C34*10</f>
        <v>17750</v>
      </c>
      <c r="D35" s="343">
        <f>D34*10</f>
        <v>17200</v>
      </c>
      <c r="E35" s="343">
        <f>E34*10</f>
        <v>11400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4635</v>
      </c>
      <c r="D37" s="378" t="s">
        <v>203</v>
      </c>
      <c r="E37" s="381">
        <f>C37*10</f>
        <v>46350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Zktrf+pr02pjPPx4lu3D1u+Mx4GyW7pOli6pTR0fn0BNK2qo3DJbuS8Cpdh5kglPoI2jGn0VbOzpsbii/fbA9A==" saltValue="vcMKtShqbpF1LQeIeoiY+w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A2D9E-6ED6-4CCC-9A35-8D7EDBCAAE0B}">
  <sheetPr codeName="Sheet71">
    <pageSetUpPr fitToPage="1"/>
  </sheetPr>
  <dimension ref="B2:H43"/>
  <sheetViews>
    <sheetView workbookViewId="0"/>
  </sheetViews>
  <sheetFormatPr defaultColWidth="9.140625" defaultRowHeight="15"/>
  <cols>
    <col min="1" max="1" width="9.140625" style="440"/>
    <col min="2" max="2" width="36.7109375" style="440" customWidth="1"/>
    <col min="3" max="3" width="22.7109375" style="440" customWidth="1"/>
    <col min="4" max="4" width="36.7109375" style="440" customWidth="1"/>
    <col min="5" max="5" width="22.7109375" style="440" customWidth="1"/>
    <col min="6" max="8" width="15.7109375" style="440" customWidth="1"/>
    <col min="9" max="16384" width="9.140625" style="440"/>
  </cols>
  <sheetData>
    <row r="2" spans="2:8" ht="19.5">
      <c r="B2" s="332" t="s">
        <v>13</v>
      </c>
      <c r="C2" s="328"/>
      <c r="D2" s="335" t="s">
        <v>27</v>
      </c>
      <c r="E2" s="1247">
        <v>44536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59" t="s">
        <v>82</v>
      </c>
      <c r="C9" s="455" t="s">
        <v>16</v>
      </c>
      <c r="D9" s="12">
        <v>358</v>
      </c>
      <c r="E9" s="443">
        <f>D9*10</f>
        <v>3580</v>
      </c>
    </row>
    <row r="10" spans="2:8" ht="20.100000000000001" customHeight="1">
      <c r="B10" s="459" t="s">
        <v>65</v>
      </c>
      <c r="C10" s="455" t="s">
        <v>16</v>
      </c>
      <c r="D10" s="442">
        <v>402</v>
      </c>
      <c r="E10" s="443">
        <f t="shared" ref="E10:E11" si="0">D10*10</f>
        <v>4020</v>
      </c>
    </row>
    <row r="11" spans="2:8" ht="20.100000000000001" customHeight="1">
      <c r="B11" s="459" t="s">
        <v>53</v>
      </c>
      <c r="C11" s="455" t="s">
        <v>26</v>
      </c>
      <c r="D11" s="442">
        <v>527</v>
      </c>
      <c r="E11" s="443">
        <f t="shared" si="0"/>
        <v>5270</v>
      </c>
    </row>
    <row r="12" spans="2:8" ht="20.100000000000001" customHeight="1">
      <c r="B12" s="460" t="s">
        <v>63</v>
      </c>
      <c r="C12" s="455" t="s">
        <v>26</v>
      </c>
      <c r="D12" s="442">
        <v>322</v>
      </c>
      <c r="E12" s="443">
        <f>D12*10</f>
        <v>3220</v>
      </c>
    </row>
    <row r="13" spans="2:8" ht="20.100000000000001" customHeight="1">
      <c r="B13" s="1259" t="s">
        <v>24</v>
      </c>
      <c r="C13" s="1259"/>
      <c r="D13" s="442">
        <f>SUM(D9:D12)</f>
        <v>1609</v>
      </c>
      <c r="E13" s="443">
        <f>D13*10</f>
        <v>16090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61" t="s">
        <v>82</v>
      </c>
      <c r="C18" s="455" t="s">
        <v>16</v>
      </c>
      <c r="D18" s="442">
        <v>300</v>
      </c>
      <c r="E18" s="443">
        <f>D18*10</f>
        <v>3000</v>
      </c>
    </row>
    <row r="19" spans="2:5" ht="20.100000000000001" customHeight="1">
      <c r="B19" s="461" t="s">
        <v>65</v>
      </c>
      <c r="C19" s="455" t="s">
        <v>16</v>
      </c>
      <c r="D19" s="442">
        <v>256</v>
      </c>
      <c r="E19" s="443">
        <f>D19*10</f>
        <v>2560</v>
      </c>
    </row>
    <row r="20" spans="2:5" ht="20.100000000000001" customHeight="1">
      <c r="B20" s="461" t="s">
        <v>184</v>
      </c>
      <c r="C20" s="455" t="s">
        <v>71</v>
      </c>
      <c r="D20" s="442">
        <v>264</v>
      </c>
      <c r="E20" s="443">
        <f>D20*10</f>
        <v>2640</v>
      </c>
    </row>
    <row r="21" spans="2:5" ht="20.100000000000001" customHeight="1">
      <c r="B21" s="462" t="s">
        <v>63</v>
      </c>
      <c r="C21" s="455" t="s">
        <v>26</v>
      </c>
      <c r="D21" s="442">
        <v>270</v>
      </c>
      <c r="E21" s="443">
        <f t="shared" ref="E21:E22" si="1">D21*10</f>
        <v>2700</v>
      </c>
    </row>
    <row r="22" spans="2:5" ht="20.100000000000001" customHeight="1">
      <c r="B22" s="461" t="s">
        <v>170</v>
      </c>
      <c r="C22" s="455" t="s">
        <v>26</v>
      </c>
      <c r="D22" s="442">
        <v>238</v>
      </c>
      <c r="E22" s="443">
        <f t="shared" si="1"/>
        <v>2380</v>
      </c>
    </row>
    <row r="23" spans="2:5" ht="20.100000000000001" customHeight="1">
      <c r="B23" s="1259" t="s">
        <v>24</v>
      </c>
      <c r="C23" s="1259"/>
      <c r="D23" s="442">
        <f>SUM(D18:D22)</f>
        <v>1328</v>
      </c>
      <c r="E23" s="443">
        <f>D23*10</f>
        <v>13280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63" t="s">
        <v>82</v>
      </c>
      <c r="C28" s="455" t="s">
        <v>16</v>
      </c>
      <c r="D28" s="442">
        <v>187</v>
      </c>
      <c r="E28" s="443">
        <f>D28*10</f>
        <v>1870</v>
      </c>
    </row>
    <row r="29" spans="2:5">
      <c r="B29" s="463" t="s">
        <v>65</v>
      </c>
      <c r="C29" s="455" t="s">
        <v>16</v>
      </c>
      <c r="D29" s="442">
        <v>300</v>
      </c>
      <c r="E29" s="443">
        <f t="shared" ref="E29:E30" si="2">D29*10</f>
        <v>3000</v>
      </c>
    </row>
    <row r="30" spans="2:5">
      <c r="B30" s="463" t="s">
        <v>235</v>
      </c>
      <c r="C30" s="455" t="s">
        <v>71</v>
      </c>
      <c r="D30" s="442">
        <v>430</v>
      </c>
      <c r="E30" s="443">
        <f t="shared" si="2"/>
        <v>4300</v>
      </c>
    </row>
    <row r="31" spans="2:5" ht="20.100000000000001" customHeight="1">
      <c r="B31" s="1259" t="s">
        <v>24</v>
      </c>
      <c r="C31" s="1259"/>
      <c r="D31" s="442">
        <f>SUM(D28:D30)</f>
        <v>917</v>
      </c>
      <c r="E31" s="443">
        <f>D31*10</f>
        <v>9170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1609</v>
      </c>
      <c r="D34" s="348">
        <f>D23</f>
        <v>1328</v>
      </c>
      <c r="E34" s="348">
        <f>D31</f>
        <v>917</v>
      </c>
    </row>
    <row r="35" spans="2:5">
      <c r="B35" s="345" t="s">
        <v>36</v>
      </c>
      <c r="C35" s="343">
        <f>C34*10</f>
        <v>16090</v>
      </c>
      <c r="D35" s="343">
        <f>D34*10</f>
        <v>13280</v>
      </c>
      <c r="E35" s="343">
        <f>E34*10</f>
        <v>9170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3854</v>
      </c>
      <c r="D37" s="378" t="s">
        <v>203</v>
      </c>
      <c r="E37" s="381">
        <f>C37*10</f>
        <v>38540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gsFmyMVb69OALr5oJpbiSZZndseZjpY0J5frCo3UbQdAUuKsCArNBFV+qo2Z+LE7me+VPezZeeVmW0IQWHV1tw==" saltValue="gxFIOcqDt9c60gny/4ds8g==" spinCount="100000" sheet="1" objects="1" scenarios="1"/>
  <mergeCells count="22"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FA91E-327F-484C-BFB3-0497D512F698}">
  <sheetPr codeName="Sheet72">
    <pageSetUpPr fitToPage="1"/>
  </sheetPr>
  <dimension ref="B2:H38"/>
  <sheetViews>
    <sheetView workbookViewId="0"/>
  </sheetViews>
  <sheetFormatPr defaultColWidth="9.140625" defaultRowHeight="15"/>
  <cols>
    <col min="1" max="1" width="9.140625" style="440"/>
    <col min="2" max="2" width="36.7109375" style="440" customWidth="1"/>
    <col min="3" max="3" width="22.7109375" style="440" customWidth="1"/>
    <col min="4" max="4" width="36.7109375" style="440" customWidth="1"/>
    <col min="5" max="5" width="22.7109375" style="440" customWidth="1"/>
    <col min="6" max="8" width="15.7109375" style="440" customWidth="1"/>
    <col min="9" max="16384" width="9.140625" style="440"/>
  </cols>
  <sheetData>
    <row r="2" spans="2:8" ht="19.5">
      <c r="B2" s="332" t="s">
        <v>13</v>
      </c>
      <c r="C2" s="328"/>
      <c r="D2" s="335" t="s">
        <v>27</v>
      </c>
      <c r="E2" s="1247">
        <v>44535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195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58" t="s">
        <v>70</v>
      </c>
      <c r="C9" s="451" t="s">
        <v>26</v>
      </c>
      <c r="D9" s="12">
        <v>578</v>
      </c>
      <c r="E9" s="52">
        <f t="shared" ref="E9" si="0">D9*10</f>
        <v>5780</v>
      </c>
    </row>
    <row r="10" spans="2:8" ht="20.100000000000001" customHeight="1">
      <c r="B10" s="458" t="s">
        <v>143</v>
      </c>
      <c r="C10" s="451" t="s">
        <v>26</v>
      </c>
      <c r="D10" s="12">
        <v>432</v>
      </c>
      <c r="E10" s="52">
        <f>D10*10</f>
        <v>4320</v>
      </c>
    </row>
    <row r="11" spans="2:8" ht="20.100000000000001" customHeight="1">
      <c r="B11" s="1259" t="s">
        <v>24</v>
      </c>
      <c r="C11" s="1259"/>
      <c r="D11" s="442">
        <f>SUM(D9:D10)</f>
        <v>1010</v>
      </c>
      <c r="E11" s="443">
        <f>D11*10</f>
        <v>10100</v>
      </c>
    </row>
    <row r="13" spans="2:8" ht="19.5">
      <c r="B13" s="334" t="s">
        <v>21</v>
      </c>
      <c r="C13" s="1256" t="s">
        <v>182</v>
      </c>
      <c r="D13" s="1257"/>
      <c r="E13" s="1258"/>
    </row>
    <row r="14" spans="2:8" ht="15" customHeight="1">
      <c r="B14" s="1251" t="s">
        <v>0</v>
      </c>
      <c r="C14" s="1251" t="s">
        <v>1</v>
      </c>
      <c r="D14" s="1252" t="s">
        <v>40</v>
      </c>
      <c r="E14" s="1253" t="s">
        <v>31</v>
      </c>
    </row>
    <row r="15" spans="2:8" s="327" customFormat="1">
      <c r="B15" s="1251"/>
      <c r="C15" s="1251"/>
      <c r="D15" s="1252"/>
      <c r="E15" s="1254"/>
    </row>
    <row r="16" spans="2:8" ht="20.100000000000001" customHeight="1">
      <c r="B16" s="458" t="s">
        <v>70</v>
      </c>
      <c r="C16" s="451" t="s">
        <v>26</v>
      </c>
      <c r="D16" s="12">
        <v>464</v>
      </c>
      <c r="E16" s="52">
        <f t="shared" ref="E16:E17" si="1">D16*10</f>
        <v>4640</v>
      </c>
    </row>
    <row r="17" spans="2:5" ht="20.100000000000001" customHeight="1">
      <c r="B17" s="458" t="s">
        <v>143</v>
      </c>
      <c r="C17" s="451" t="s">
        <v>26</v>
      </c>
      <c r="D17" s="12">
        <v>334</v>
      </c>
      <c r="E17" s="52">
        <f t="shared" si="1"/>
        <v>3340</v>
      </c>
    </row>
    <row r="18" spans="2:5" ht="20.100000000000001" customHeight="1">
      <c r="B18" s="1259" t="s">
        <v>24</v>
      </c>
      <c r="C18" s="1259"/>
      <c r="D18" s="442">
        <f>SUM(D16:D17)</f>
        <v>798</v>
      </c>
      <c r="E18" s="443">
        <f>D18*10</f>
        <v>7980</v>
      </c>
    </row>
    <row r="19" spans="2:5">
      <c r="B19" s="336"/>
      <c r="C19" s="336"/>
      <c r="D19" s="337"/>
      <c r="E19" s="337"/>
    </row>
    <row r="20" spans="2:5" ht="19.5">
      <c r="B20" s="338" t="s">
        <v>28</v>
      </c>
      <c r="C20" s="1264" t="s">
        <v>29</v>
      </c>
      <c r="D20" s="1265"/>
      <c r="E20" s="1266"/>
    </row>
    <row r="21" spans="2:5" ht="15" customHeight="1">
      <c r="B21" s="1251" t="s">
        <v>0</v>
      </c>
      <c r="C21" s="1251" t="s">
        <v>1</v>
      </c>
      <c r="D21" s="1252" t="s">
        <v>40</v>
      </c>
      <c r="E21" s="1253" t="s">
        <v>31</v>
      </c>
    </row>
    <row r="22" spans="2:5">
      <c r="B22" s="1251"/>
      <c r="C22" s="1251"/>
      <c r="D22" s="1252"/>
      <c r="E22" s="1254"/>
    </row>
    <row r="23" spans="2:5">
      <c r="B23" s="458" t="s">
        <v>70</v>
      </c>
      <c r="C23" s="450" t="s">
        <v>26</v>
      </c>
      <c r="D23" s="442">
        <v>405</v>
      </c>
      <c r="E23" s="443">
        <f>D23*10</f>
        <v>4050</v>
      </c>
    </row>
    <row r="24" spans="2:5">
      <c r="B24" s="458" t="s">
        <v>143</v>
      </c>
      <c r="C24" s="450" t="s">
        <v>26</v>
      </c>
      <c r="D24" s="442">
        <v>243</v>
      </c>
      <c r="E24" s="443">
        <f t="shared" ref="E24" si="2">D24*10</f>
        <v>2430</v>
      </c>
    </row>
    <row r="25" spans="2:5" ht="20.100000000000001" customHeight="1">
      <c r="B25" s="1259" t="s">
        <v>24</v>
      </c>
      <c r="C25" s="1259"/>
      <c r="D25" s="442">
        <f>SUM(D23:D24)</f>
        <v>648</v>
      </c>
      <c r="E25" s="443">
        <f>D25*10</f>
        <v>6480</v>
      </c>
    </row>
    <row r="27" spans="2:5" ht="19.5">
      <c r="B27" s="1260" t="s">
        <v>200</v>
      </c>
      <c r="C27" s="1260"/>
      <c r="D27" s="1260"/>
      <c r="E27" s="1260"/>
    </row>
    <row r="28" spans="2:5">
      <c r="B28" s="342"/>
      <c r="C28" s="344" t="s">
        <v>34</v>
      </c>
      <c r="D28" s="344" t="s">
        <v>35</v>
      </c>
      <c r="E28" s="344" t="s">
        <v>37</v>
      </c>
    </row>
    <row r="29" spans="2:5">
      <c r="B29" s="345" t="s">
        <v>39</v>
      </c>
      <c r="C29" s="347">
        <f>D11</f>
        <v>1010</v>
      </c>
      <c r="D29" s="348">
        <f>D18</f>
        <v>798</v>
      </c>
      <c r="E29" s="348">
        <f>D25</f>
        <v>648</v>
      </c>
    </row>
    <row r="30" spans="2:5">
      <c r="B30" s="345" t="s">
        <v>36</v>
      </c>
      <c r="C30" s="343">
        <f>C29*10</f>
        <v>10100</v>
      </c>
      <c r="D30" s="343">
        <f>D29*10</f>
        <v>7980</v>
      </c>
      <c r="E30" s="343">
        <f>E29*10</f>
        <v>6480</v>
      </c>
    </row>
    <row r="31" spans="2:5" ht="19.5">
      <c r="B31" s="1261" t="s">
        <v>199</v>
      </c>
      <c r="C31" s="1262"/>
      <c r="D31" s="1262"/>
      <c r="E31" s="1263"/>
    </row>
    <row r="32" spans="2:5">
      <c r="B32" s="377" t="s">
        <v>198</v>
      </c>
      <c r="C32" s="378">
        <f>C29+D29+E29</f>
        <v>2456</v>
      </c>
      <c r="D32" s="378" t="s">
        <v>203</v>
      </c>
      <c r="E32" s="381">
        <f>C32*10</f>
        <v>24560</v>
      </c>
    </row>
    <row r="33" spans="2:5">
      <c r="B33" s="377" t="s">
        <v>197</v>
      </c>
      <c r="C33" s="378" t="e">
        <f>C34-C32</f>
        <v>#REF!</v>
      </c>
      <c r="D33" s="378" t="s">
        <v>204</v>
      </c>
      <c r="E33" s="381" t="e">
        <f>C33*9</f>
        <v>#REF!</v>
      </c>
    </row>
    <row r="34" spans="2:5" ht="19.5">
      <c r="B34" s="334" t="s">
        <v>201</v>
      </c>
      <c r="C34" s="380" t="e">
        <f>'Patron Counts v Swipes'!#REF!</f>
        <v>#REF!</v>
      </c>
      <c r="D34" s="380" t="s">
        <v>202</v>
      </c>
      <c r="E34" s="379" t="e">
        <f>SUM(E32+E33)</f>
        <v>#REF!</v>
      </c>
    </row>
    <row r="36" spans="2:5">
      <c r="B36" s="331" t="s">
        <v>5</v>
      </c>
      <c r="C36" s="339"/>
    </row>
    <row r="37" spans="2:5">
      <c r="B37" s="375" t="s">
        <v>4</v>
      </c>
      <c r="C37" s="376"/>
    </row>
    <row r="38" spans="2:5">
      <c r="B38" s="375" t="s">
        <v>25</v>
      </c>
      <c r="C38" s="376"/>
    </row>
  </sheetData>
  <sheetProtection algorithmName="SHA-512" hashValue="wirRiNX37DqUwYcu+Y0vEmQNgR8p81bMmWuX0Yh4d6Y71yJ1J9j2z+sHeALh4gKH1eBj2MWHfYNpd8M70z3afg==" saltValue="gRwSxcSS/UPVwcsAuzGyV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1:C11"/>
    <mergeCell ref="C13:E13"/>
    <mergeCell ref="B14:B15"/>
    <mergeCell ref="C14:C15"/>
    <mergeCell ref="D14:D15"/>
    <mergeCell ref="E14:E15"/>
    <mergeCell ref="B25:C25"/>
    <mergeCell ref="B27:E27"/>
    <mergeCell ref="B31:E31"/>
    <mergeCell ref="B18:C18"/>
    <mergeCell ref="C20:E20"/>
    <mergeCell ref="B21:B22"/>
    <mergeCell ref="C21:C22"/>
    <mergeCell ref="D21:D22"/>
    <mergeCell ref="E21:E22"/>
  </mergeCells>
  <pageMargins left="0.7" right="0.7" top="0.75" bottom="0.75" header="0.3" footer="0.3"/>
  <pageSetup scale="68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ADD21-A987-4D51-8133-4673A31E9689}">
  <sheetPr codeName="Sheet73">
    <pageSetUpPr fitToPage="1"/>
  </sheetPr>
  <dimension ref="B2:H38"/>
  <sheetViews>
    <sheetView workbookViewId="0"/>
  </sheetViews>
  <sheetFormatPr defaultColWidth="9.140625" defaultRowHeight="15"/>
  <cols>
    <col min="1" max="1" width="9.140625" style="440"/>
    <col min="2" max="2" width="36.7109375" style="440" customWidth="1"/>
    <col min="3" max="3" width="22.7109375" style="440" customWidth="1"/>
    <col min="4" max="4" width="36.7109375" style="440" customWidth="1"/>
    <col min="5" max="5" width="22.7109375" style="440" customWidth="1"/>
    <col min="6" max="8" width="15.7109375" style="440" customWidth="1"/>
    <col min="9" max="16384" width="9.140625" style="440"/>
  </cols>
  <sheetData>
    <row r="2" spans="2:8" ht="19.5">
      <c r="B2" s="332" t="s">
        <v>13</v>
      </c>
      <c r="C2" s="328"/>
      <c r="D2" s="335" t="s">
        <v>27</v>
      </c>
      <c r="E2" s="1247">
        <v>44534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195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55" t="s">
        <v>164</v>
      </c>
      <c r="C9" s="451" t="s">
        <v>26</v>
      </c>
      <c r="D9" s="12">
        <v>398</v>
      </c>
      <c r="E9" s="52">
        <f t="shared" ref="E9" si="0">D9*10</f>
        <v>3980</v>
      </c>
    </row>
    <row r="10" spans="2:8" ht="20.100000000000001" customHeight="1">
      <c r="B10" s="455" t="s">
        <v>189</v>
      </c>
      <c r="C10" s="451" t="s">
        <v>26</v>
      </c>
      <c r="D10" s="12">
        <v>517</v>
      </c>
      <c r="E10" s="52">
        <f>D10*10</f>
        <v>5170</v>
      </c>
    </row>
    <row r="11" spans="2:8" ht="20.100000000000001" customHeight="1">
      <c r="B11" s="1259" t="s">
        <v>24</v>
      </c>
      <c r="C11" s="1259"/>
      <c r="D11" s="442">
        <f>SUM(D9:D10)</f>
        <v>915</v>
      </c>
      <c r="E11" s="443">
        <f>D11*10</f>
        <v>9150</v>
      </c>
    </row>
    <row r="13" spans="2:8" ht="19.5">
      <c r="B13" s="334" t="s">
        <v>21</v>
      </c>
      <c r="C13" s="1256" t="s">
        <v>182</v>
      </c>
      <c r="D13" s="1257"/>
      <c r="E13" s="1258"/>
    </row>
    <row r="14" spans="2:8" ht="15" customHeight="1">
      <c r="B14" s="1251" t="s">
        <v>0</v>
      </c>
      <c r="C14" s="1251" t="s">
        <v>1</v>
      </c>
      <c r="D14" s="1252" t="s">
        <v>40</v>
      </c>
      <c r="E14" s="1253" t="s">
        <v>31</v>
      </c>
    </row>
    <row r="15" spans="2:8" s="327" customFormat="1">
      <c r="B15" s="1251"/>
      <c r="C15" s="1251"/>
      <c r="D15" s="1252"/>
      <c r="E15" s="1254"/>
    </row>
    <row r="16" spans="2:8" ht="20.100000000000001" customHeight="1">
      <c r="B16" s="457" t="s">
        <v>66</v>
      </c>
      <c r="C16" s="451" t="s">
        <v>26</v>
      </c>
      <c r="D16" s="12">
        <v>176</v>
      </c>
      <c r="E16" s="52">
        <f t="shared" ref="E16:E17" si="1">D16*10</f>
        <v>1760</v>
      </c>
    </row>
    <row r="17" spans="2:5" ht="20.100000000000001" customHeight="1">
      <c r="B17" s="456" t="s">
        <v>63</v>
      </c>
      <c r="C17" s="451" t="s">
        <v>26</v>
      </c>
      <c r="D17" s="12">
        <v>225</v>
      </c>
      <c r="E17" s="52">
        <f t="shared" si="1"/>
        <v>2250</v>
      </c>
    </row>
    <row r="18" spans="2:5" ht="20.100000000000001" customHeight="1">
      <c r="B18" s="1259" t="s">
        <v>24</v>
      </c>
      <c r="C18" s="1259"/>
      <c r="D18" s="442">
        <f>SUM(D16:D17)</f>
        <v>401</v>
      </c>
      <c r="E18" s="443">
        <f>D18*10</f>
        <v>4010</v>
      </c>
    </row>
    <row r="19" spans="2:5">
      <c r="B19" s="336"/>
      <c r="C19" s="336"/>
      <c r="D19" s="337"/>
      <c r="E19" s="337"/>
    </row>
    <row r="20" spans="2:5" ht="19.5">
      <c r="B20" s="338" t="s">
        <v>28</v>
      </c>
      <c r="C20" s="1264" t="s">
        <v>29</v>
      </c>
      <c r="D20" s="1265"/>
      <c r="E20" s="1266"/>
    </row>
    <row r="21" spans="2:5" ht="15" customHeight="1">
      <c r="B21" s="1251" t="s">
        <v>0</v>
      </c>
      <c r="C21" s="1251" t="s">
        <v>1</v>
      </c>
      <c r="D21" s="1252" t="s">
        <v>40</v>
      </c>
      <c r="E21" s="1253" t="s">
        <v>31</v>
      </c>
    </row>
    <row r="22" spans="2:5">
      <c r="B22" s="1251"/>
      <c r="C22" s="1251"/>
      <c r="D22" s="1252"/>
      <c r="E22" s="1254"/>
    </row>
    <row r="23" spans="2:5">
      <c r="B23" s="457" t="s">
        <v>66</v>
      </c>
      <c r="C23" s="450" t="s">
        <v>26</v>
      </c>
      <c r="D23" s="442">
        <v>300</v>
      </c>
      <c r="E23" s="443">
        <f>D23*10</f>
        <v>3000</v>
      </c>
    </row>
    <row r="24" spans="2:5">
      <c r="B24" s="457" t="s">
        <v>63</v>
      </c>
      <c r="C24" s="450" t="s">
        <v>26</v>
      </c>
      <c r="D24" s="442">
        <v>203</v>
      </c>
      <c r="E24" s="443">
        <f t="shared" ref="E24" si="2">D24*10</f>
        <v>2030</v>
      </c>
    </row>
    <row r="25" spans="2:5" ht="20.100000000000001" customHeight="1">
      <c r="B25" s="1259" t="s">
        <v>24</v>
      </c>
      <c r="C25" s="1259"/>
      <c r="D25" s="442">
        <f>SUM(D23:D24)</f>
        <v>503</v>
      </c>
      <c r="E25" s="443">
        <f>D25*10</f>
        <v>5030</v>
      </c>
    </row>
    <row r="27" spans="2:5" ht="19.5">
      <c r="B27" s="1260" t="s">
        <v>200</v>
      </c>
      <c r="C27" s="1260"/>
      <c r="D27" s="1260"/>
      <c r="E27" s="1260"/>
    </row>
    <row r="28" spans="2:5">
      <c r="B28" s="342"/>
      <c r="C28" s="344" t="s">
        <v>34</v>
      </c>
      <c r="D28" s="344" t="s">
        <v>35</v>
      </c>
      <c r="E28" s="344" t="s">
        <v>37</v>
      </c>
    </row>
    <row r="29" spans="2:5">
      <c r="B29" s="345" t="s">
        <v>39</v>
      </c>
      <c r="C29" s="347">
        <f>D11</f>
        <v>915</v>
      </c>
      <c r="D29" s="348">
        <f>D18</f>
        <v>401</v>
      </c>
      <c r="E29" s="348">
        <f>D25</f>
        <v>503</v>
      </c>
    </row>
    <row r="30" spans="2:5">
      <c r="B30" s="345" t="s">
        <v>36</v>
      </c>
      <c r="C30" s="343">
        <f>C29*10</f>
        <v>9150</v>
      </c>
      <c r="D30" s="343">
        <f>D29*10</f>
        <v>4010</v>
      </c>
      <c r="E30" s="343">
        <f>E29*10</f>
        <v>5030</v>
      </c>
    </row>
    <row r="31" spans="2:5" ht="19.5">
      <c r="B31" s="1261" t="s">
        <v>199</v>
      </c>
      <c r="C31" s="1262"/>
      <c r="D31" s="1262"/>
      <c r="E31" s="1263"/>
    </row>
    <row r="32" spans="2:5">
      <c r="B32" s="377" t="s">
        <v>198</v>
      </c>
      <c r="C32" s="378">
        <f>C29+D29+E29</f>
        <v>1819</v>
      </c>
      <c r="D32" s="378" t="s">
        <v>203</v>
      </c>
      <c r="E32" s="381">
        <f>C32*10</f>
        <v>18190</v>
      </c>
    </row>
    <row r="33" spans="2:5">
      <c r="B33" s="377" t="s">
        <v>197</v>
      </c>
      <c r="C33" s="378" t="e">
        <f>C34-C32</f>
        <v>#REF!</v>
      </c>
      <c r="D33" s="378" t="s">
        <v>204</v>
      </c>
      <c r="E33" s="381" t="e">
        <f>C33*9</f>
        <v>#REF!</v>
      </c>
    </row>
    <row r="34" spans="2:5" ht="19.5">
      <c r="B34" s="334" t="s">
        <v>201</v>
      </c>
      <c r="C34" s="380" t="e">
        <f>'Patron Counts v Swipes'!#REF!</f>
        <v>#REF!</v>
      </c>
      <c r="D34" s="380" t="s">
        <v>202</v>
      </c>
      <c r="E34" s="379" t="e">
        <f>SUM(E32+E33)</f>
        <v>#REF!</v>
      </c>
    </row>
    <row r="36" spans="2:5">
      <c r="B36" s="331" t="s">
        <v>5</v>
      </c>
      <c r="C36" s="339"/>
    </row>
    <row r="37" spans="2:5">
      <c r="B37" s="375" t="s">
        <v>4</v>
      </c>
      <c r="C37" s="376"/>
    </row>
    <row r="38" spans="2:5">
      <c r="B38" s="375" t="s">
        <v>25</v>
      </c>
      <c r="C38" s="376"/>
    </row>
  </sheetData>
  <sheetProtection algorithmName="SHA-512" hashValue="/0Bf7x67mx4od3GLBJZHETkVBNjpLkpfHLdsIRlqg+PjkTrNaGLdIOec5sYueVaApt36p/w95+wNWRjPHk/Itg==" saltValue="1hiI5MrovovCU+5WgHsHx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1:C11"/>
    <mergeCell ref="C13:E13"/>
    <mergeCell ref="B14:B15"/>
    <mergeCell ref="C14:C15"/>
    <mergeCell ref="D14:D15"/>
    <mergeCell ref="E14:E15"/>
    <mergeCell ref="B25:C25"/>
    <mergeCell ref="B27:E27"/>
    <mergeCell ref="B31:E31"/>
    <mergeCell ref="B18:C18"/>
    <mergeCell ref="C20:E20"/>
    <mergeCell ref="B21:B22"/>
    <mergeCell ref="C21:C22"/>
    <mergeCell ref="D21:D22"/>
    <mergeCell ref="E21:E22"/>
  </mergeCells>
  <pageMargins left="0.7" right="0.7" top="0.75" bottom="0.75" header="0.3" footer="0.3"/>
  <pageSetup scale="68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311C1-D2FD-4BAD-8562-EBDAB43D1757}">
  <sheetPr codeName="Sheet74">
    <pageSetUpPr fitToPage="1"/>
  </sheetPr>
  <dimension ref="B2:H43"/>
  <sheetViews>
    <sheetView workbookViewId="0"/>
  </sheetViews>
  <sheetFormatPr defaultColWidth="9.140625" defaultRowHeight="15"/>
  <cols>
    <col min="1" max="1" width="9.140625" style="440"/>
    <col min="2" max="2" width="36.7109375" style="440" customWidth="1"/>
    <col min="3" max="3" width="22.7109375" style="440" customWidth="1"/>
    <col min="4" max="4" width="36.7109375" style="440" customWidth="1"/>
    <col min="5" max="5" width="22.7109375" style="440" customWidth="1"/>
    <col min="6" max="8" width="15.7109375" style="440" customWidth="1"/>
    <col min="9" max="16384" width="9.140625" style="440"/>
  </cols>
  <sheetData>
    <row r="2" spans="2:8" ht="19.5">
      <c r="B2" s="332" t="s">
        <v>13</v>
      </c>
      <c r="C2" s="328"/>
      <c r="D2" s="335" t="s">
        <v>27</v>
      </c>
      <c r="E2" s="1247">
        <v>44533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54" t="s">
        <v>53</v>
      </c>
      <c r="C9" s="450" t="s">
        <v>16</v>
      </c>
      <c r="D9" s="12">
        <v>462</v>
      </c>
      <c r="E9" s="443">
        <f>D9*10</f>
        <v>4620</v>
      </c>
    </row>
    <row r="10" spans="2:8" ht="20.100000000000001" customHeight="1">
      <c r="B10" s="454" t="s">
        <v>143</v>
      </c>
      <c r="C10" s="450" t="s">
        <v>16</v>
      </c>
      <c r="D10" s="442">
        <v>472</v>
      </c>
      <c r="E10" s="443">
        <f t="shared" ref="E10:E11" si="0">D10*10</f>
        <v>4720</v>
      </c>
    </row>
    <row r="11" spans="2:8" ht="20.100000000000001" customHeight="1">
      <c r="B11" s="454" t="s">
        <v>65</v>
      </c>
      <c r="C11" s="450" t="s">
        <v>26</v>
      </c>
      <c r="D11" s="442">
        <v>466</v>
      </c>
      <c r="E11" s="443">
        <f t="shared" si="0"/>
        <v>4660</v>
      </c>
    </row>
    <row r="12" spans="2:8" ht="20.100000000000001" customHeight="1">
      <c r="B12" s="454" t="s">
        <v>63</v>
      </c>
      <c r="C12" s="450" t="s">
        <v>26</v>
      </c>
      <c r="D12" s="442">
        <v>81</v>
      </c>
      <c r="E12" s="443">
        <f>D12*10</f>
        <v>810</v>
      </c>
    </row>
    <row r="13" spans="2:8" ht="20.100000000000001" customHeight="1">
      <c r="B13" s="1259" t="s">
        <v>24</v>
      </c>
      <c r="C13" s="1259"/>
      <c r="D13" s="442">
        <f>SUM(D9:D12)</f>
        <v>1481</v>
      </c>
      <c r="E13" s="443">
        <f>D13*10</f>
        <v>14810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54" t="s">
        <v>63</v>
      </c>
      <c r="C18" s="450" t="s">
        <v>16</v>
      </c>
      <c r="D18" s="442">
        <v>212</v>
      </c>
      <c r="E18" s="443">
        <f>D18*10</f>
        <v>2120</v>
      </c>
    </row>
    <row r="19" spans="2:5" ht="20.100000000000001" customHeight="1">
      <c r="B19" s="454" t="s">
        <v>170</v>
      </c>
      <c r="C19" s="450" t="s">
        <v>16</v>
      </c>
      <c r="D19" s="442">
        <v>216</v>
      </c>
      <c r="E19" s="443">
        <f>D19*10</f>
        <v>2160</v>
      </c>
    </row>
    <row r="20" spans="2:5" ht="20.100000000000001" customHeight="1">
      <c r="B20" s="454" t="s">
        <v>172</v>
      </c>
      <c r="C20" s="450" t="s">
        <v>71</v>
      </c>
      <c r="D20" s="442">
        <v>197</v>
      </c>
      <c r="E20" s="443">
        <f>D20*10</f>
        <v>1970</v>
      </c>
    </row>
    <row r="21" spans="2:5" ht="20.100000000000001" customHeight="1">
      <c r="B21" s="454" t="s">
        <v>65</v>
      </c>
      <c r="C21" s="450" t="s">
        <v>26</v>
      </c>
      <c r="D21" s="442">
        <v>300</v>
      </c>
      <c r="E21" s="443">
        <f t="shared" ref="E21:E22" si="1">D21*10</f>
        <v>3000</v>
      </c>
    </row>
    <row r="22" spans="2:5" ht="20.100000000000001" customHeight="1">
      <c r="B22" s="454" t="s">
        <v>143</v>
      </c>
      <c r="C22" s="450" t="s">
        <v>26</v>
      </c>
      <c r="D22" s="442">
        <v>268</v>
      </c>
      <c r="E22" s="443">
        <f t="shared" si="1"/>
        <v>2680</v>
      </c>
    </row>
    <row r="23" spans="2:5" ht="20.100000000000001" customHeight="1">
      <c r="B23" s="1259" t="s">
        <v>24</v>
      </c>
      <c r="C23" s="1259"/>
      <c r="D23" s="442">
        <f>SUM(D18:D22)</f>
        <v>1193</v>
      </c>
      <c r="E23" s="443">
        <f>D23*10</f>
        <v>11930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53" t="s">
        <v>65</v>
      </c>
      <c r="C28" s="450" t="s">
        <v>16</v>
      </c>
      <c r="D28" s="442">
        <v>185</v>
      </c>
      <c r="E28" s="443">
        <f>D28*10</f>
        <v>1850</v>
      </c>
    </row>
    <row r="29" spans="2:5">
      <c r="B29" s="454" t="s">
        <v>172</v>
      </c>
      <c r="C29" s="450" t="s">
        <v>16</v>
      </c>
      <c r="D29" s="442">
        <v>144</v>
      </c>
      <c r="E29" s="443">
        <f t="shared" ref="E29:E30" si="2">D29*10</f>
        <v>1440</v>
      </c>
    </row>
    <row r="30" spans="2:5">
      <c r="B30" s="450" t="s">
        <v>235</v>
      </c>
      <c r="C30" s="450" t="s">
        <v>71</v>
      </c>
      <c r="D30" s="442">
        <v>304</v>
      </c>
      <c r="E30" s="443">
        <f t="shared" si="2"/>
        <v>3040</v>
      </c>
    </row>
    <row r="31" spans="2:5" ht="20.100000000000001" customHeight="1">
      <c r="B31" s="1259" t="s">
        <v>24</v>
      </c>
      <c r="C31" s="1259"/>
      <c r="D31" s="442">
        <f>SUM(D28:D30)</f>
        <v>633</v>
      </c>
      <c r="E31" s="443">
        <f>D31*10</f>
        <v>6330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1481</v>
      </c>
      <c r="D34" s="348">
        <f>D23</f>
        <v>1193</v>
      </c>
      <c r="E34" s="348">
        <f>D31</f>
        <v>633</v>
      </c>
    </row>
    <row r="35" spans="2:5">
      <c r="B35" s="345" t="s">
        <v>36</v>
      </c>
      <c r="C35" s="343">
        <f>C34*10</f>
        <v>14810</v>
      </c>
      <c r="D35" s="343">
        <f>D34*10</f>
        <v>11930</v>
      </c>
      <c r="E35" s="343">
        <f>E34*10</f>
        <v>6330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3307</v>
      </c>
      <c r="D37" s="378" t="s">
        <v>203</v>
      </c>
      <c r="E37" s="381">
        <f>C37*10</f>
        <v>33070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vrQCGELurWdiNNeM5Zdep2dQIoM4IBVSD6kRyMeu8bP9V2grvK94xQhYiuSHqa06j8pE64KV3mNGXuLZcvCPZQ==" saltValue="U6eLzYk+FfD6bcuHblS/r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791A7-1C6C-4FA6-A997-04B105C4F5DC}">
  <sheetPr codeName="Sheet75">
    <pageSetUpPr fitToPage="1"/>
  </sheetPr>
  <dimension ref="B2:H43"/>
  <sheetViews>
    <sheetView workbookViewId="0"/>
  </sheetViews>
  <sheetFormatPr defaultColWidth="9.140625" defaultRowHeight="15"/>
  <cols>
    <col min="1" max="1" width="9.140625" style="440"/>
    <col min="2" max="2" width="36.7109375" style="440" customWidth="1"/>
    <col min="3" max="3" width="22.7109375" style="440" customWidth="1"/>
    <col min="4" max="4" width="36.7109375" style="440" customWidth="1"/>
    <col min="5" max="5" width="22.7109375" style="440" customWidth="1"/>
    <col min="6" max="8" width="15.7109375" style="440" customWidth="1"/>
    <col min="9" max="16384" width="9.140625" style="440"/>
  </cols>
  <sheetData>
    <row r="2" spans="2:8" ht="19.5">
      <c r="B2" s="332" t="s">
        <v>13</v>
      </c>
      <c r="C2" s="328"/>
      <c r="D2" s="335" t="s">
        <v>27</v>
      </c>
      <c r="E2" s="1247">
        <v>44532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47" t="s">
        <v>185</v>
      </c>
      <c r="C9" s="445" t="s">
        <v>16</v>
      </c>
      <c r="D9" s="12">
        <v>670</v>
      </c>
      <c r="E9" s="443">
        <f>D9*10</f>
        <v>6700</v>
      </c>
    </row>
    <row r="10" spans="2:8" ht="20.100000000000001" customHeight="1">
      <c r="B10" s="446" t="s">
        <v>53</v>
      </c>
      <c r="C10" s="445" t="s">
        <v>16</v>
      </c>
      <c r="D10" s="442">
        <v>392</v>
      </c>
      <c r="E10" s="443">
        <f t="shared" ref="E10:E11" si="0">D10*10</f>
        <v>3920</v>
      </c>
    </row>
    <row r="11" spans="2:8" ht="20.100000000000001" customHeight="1">
      <c r="B11" s="451" t="s">
        <v>172</v>
      </c>
      <c r="C11" s="445" t="s">
        <v>26</v>
      </c>
      <c r="D11" s="442">
        <v>257</v>
      </c>
      <c r="E11" s="443">
        <f t="shared" si="0"/>
        <v>2570</v>
      </c>
    </row>
    <row r="12" spans="2:8" ht="20.100000000000001" customHeight="1">
      <c r="B12" s="446" t="s">
        <v>164</v>
      </c>
      <c r="C12" s="445" t="s">
        <v>26</v>
      </c>
      <c r="D12" s="442">
        <v>360</v>
      </c>
      <c r="E12" s="443">
        <f>D12*10</f>
        <v>3600</v>
      </c>
    </row>
    <row r="13" spans="2:8" ht="20.100000000000001" customHeight="1">
      <c r="B13" s="1259" t="s">
        <v>24</v>
      </c>
      <c r="C13" s="1259"/>
      <c r="D13" s="442">
        <f>SUM(D9:D12)</f>
        <v>1679</v>
      </c>
      <c r="E13" s="443">
        <f>D13*10</f>
        <v>16790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49" t="s">
        <v>185</v>
      </c>
      <c r="C18" s="445" t="s">
        <v>16</v>
      </c>
      <c r="D18" s="442">
        <v>509</v>
      </c>
      <c r="E18" s="443">
        <f>D18*10</f>
        <v>5090</v>
      </c>
    </row>
    <row r="19" spans="2:5" ht="20.100000000000001" customHeight="1">
      <c r="B19" s="449" t="s">
        <v>44</v>
      </c>
      <c r="C19" s="445" t="s">
        <v>16</v>
      </c>
      <c r="D19" s="442">
        <v>208</v>
      </c>
      <c r="E19" s="443">
        <f>D19*10</f>
        <v>2080</v>
      </c>
    </row>
    <row r="20" spans="2:5" ht="20.100000000000001" customHeight="1">
      <c r="B20" s="451" t="s">
        <v>172</v>
      </c>
      <c r="C20" s="445" t="s">
        <v>71</v>
      </c>
      <c r="D20" s="442">
        <v>214</v>
      </c>
      <c r="E20" s="443">
        <f>D20*10</f>
        <v>2140</v>
      </c>
    </row>
    <row r="21" spans="2:5" ht="20.100000000000001" customHeight="1">
      <c r="B21" s="448" t="s">
        <v>189</v>
      </c>
      <c r="C21" s="445" t="s">
        <v>26</v>
      </c>
      <c r="D21" s="442">
        <v>423</v>
      </c>
      <c r="E21" s="443">
        <f t="shared" ref="E21:E22" si="1">D21*10</f>
        <v>4230</v>
      </c>
    </row>
    <row r="22" spans="2:5" ht="20.100000000000001" customHeight="1">
      <c r="B22" s="448" t="s">
        <v>164</v>
      </c>
      <c r="C22" s="445" t="s">
        <v>26</v>
      </c>
      <c r="D22" s="442">
        <v>231</v>
      </c>
      <c r="E22" s="443">
        <f t="shared" si="1"/>
        <v>2310</v>
      </c>
    </row>
    <row r="23" spans="2:5" ht="20.100000000000001" customHeight="1">
      <c r="B23" s="1259" t="s">
        <v>24</v>
      </c>
      <c r="C23" s="1259"/>
      <c r="D23" s="442">
        <f>SUM(D18:D22)</f>
        <v>1585</v>
      </c>
      <c r="E23" s="443">
        <f>D23*10</f>
        <v>15850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50" t="s">
        <v>189</v>
      </c>
      <c r="C28" s="450" t="s">
        <v>16</v>
      </c>
      <c r="D28" s="442">
        <v>287</v>
      </c>
      <c r="E28" s="443">
        <f>D28*10</f>
        <v>2870</v>
      </c>
    </row>
    <row r="29" spans="2:5">
      <c r="B29" s="450" t="s">
        <v>164</v>
      </c>
      <c r="C29" s="450" t="s">
        <v>16</v>
      </c>
      <c r="D29" s="442">
        <v>226</v>
      </c>
      <c r="E29" s="443">
        <f t="shared" ref="E29:E30" si="2">D29*10</f>
        <v>2260</v>
      </c>
    </row>
    <row r="30" spans="2:5">
      <c r="B30" s="445" t="s">
        <v>235</v>
      </c>
      <c r="C30" s="445" t="s">
        <v>71</v>
      </c>
      <c r="D30" s="442">
        <v>308</v>
      </c>
      <c r="E30" s="443">
        <f t="shared" si="2"/>
        <v>3080</v>
      </c>
    </row>
    <row r="31" spans="2:5" ht="20.100000000000001" customHeight="1">
      <c r="B31" s="1259" t="s">
        <v>24</v>
      </c>
      <c r="C31" s="1259"/>
      <c r="D31" s="442">
        <f>SUM(D28:D30)</f>
        <v>821</v>
      </c>
      <c r="E31" s="443">
        <f>D31*10</f>
        <v>8210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1679</v>
      </c>
      <c r="D34" s="348">
        <f>D23</f>
        <v>1585</v>
      </c>
      <c r="E34" s="348">
        <f>D31</f>
        <v>821</v>
      </c>
    </row>
    <row r="35" spans="2:5">
      <c r="B35" s="345" t="s">
        <v>36</v>
      </c>
      <c r="C35" s="343">
        <f>C34*10</f>
        <v>16790</v>
      </c>
      <c r="D35" s="343">
        <f>D34*10</f>
        <v>15850</v>
      </c>
      <c r="E35" s="343">
        <f>E34*10</f>
        <v>8210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4085</v>
      </c>
      <c r="D37" s="378" t="s">
        <v>203</v>
      </c>
      <c r="E37" s="381">
        <f>C37*10</f>
        <v>40850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j4Js7ijaI4+nlsLeJUHZ1iejd4tvG9rveSCQYAHofhv8ohcOFLAMXeFYEs9fGp+uZe6IrOo75fmZFDnZ8Ofo0A==" saltValue="d+qFgR0nQRJJ2R78VXd+ZQ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0E2E7-05D8-4E8C-AD18-E0A1FB982B85}">
  <sheetPr codeName="Sheet76">
    <pageSetUpPr fitToPage="1"/>
  </sheetPr>
  <dimension ref="B2:H43"/>
  <sheetViews>
    <sheetView workbookViewId="0"/>
  </sheetViews>
  <sheetFormatPr defaultColWidth="9.140625" defaultRowHeight="15"/>
  <cols>
    <col min="1" max="1" width="9.140625" style="440"/>
    <col min="2" max="2" width="36.7109375" style="440" customWidth="1"/>
    <col min="3" max="3" width="22.7109375" style="440" customWidth="1"/>
    <col min="4" max="4" width="36.7109375" style="440" customWidth="1"/>
    <col min="5" max="5" width="22.7109375" style="440" customWidth="1"/>
    <col min="6" max="8" width="15.7109375" style="440" customWidth="1"/>
    <col min="9" max="16384" width="9.140625" style="440"/>
  </cols>
  <sheetData>
    <row r="2" spans="2:8" ht="19.5">
      <c r="B2" s="332" t="s">
        <v>13</v>
      </c>
      <c r="C2" s="328"/>
      <c r="D2" s="335" t="s">
        <v>27</v>
      </c>
      <c r="E2" s="1247">
        <v>44531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45" t="s">
        <v>78</v>
      </c>
      <c r="C9" s="445" t="s">
        <v>16</v>
      </c>
      <c r="D9" s="12">
        <v>337</v>
      </c>
      <c r="E9" s="443">
        <f>D9*10</f>
        <v>3370</v>
      </c>
    </row>
    <row r="10" spans="2:8" ht="20.100000000000001" customHeight="1">
      <c r="B10" s="445" t="s">
        <v>53</v>
      </c>
      <c r="C10" s="445" t="s">
        <v>16</v>
      </c>
      <c r="D10" s="442">
        <v>443</v>
      </c>
      <c r="E10" s="443">
        <f t="shared" ref="E10:E11" si="0">D10*10</f>
        <v>4430</v>
      </c>
    </row>
    <row r="11" spans="2:8" ht="20.100000000000001" customHeight="1">
      <c r="B11" s="445" t="s">
        <v>65</v>
      </c>
      <c r="C11" s="445" t="s">
        <v>26</v>
      </c>
      <c r="D11" s="442">
        <v>400</v>
      </c>
      <c r="E11" s="443">
        <f t="shared" si="0"/>
        <v>4000</v>
      </c>
    </row>
    <row r="12" spans="2:8" ht="20.100000000000001" customHeight="1">
      <c r="B12" s="445" t="s">
        <v>64</v>
      </c>
      <c r="C12" s="445" t="s">
        <v>26</v>
      </c>
      <c r="D12" s="442">
        <v>402</v>
      </c>
      <c r="E12" s="443">
        <f>D12*10</f>
        <v>4020</v>
      </c>
    </row>
    <row r="13" spans="2:8" ht="20.100000000000001" customHeight="1">
      <c r="B13" s="1259" t="s">
        <v>24</v>
      </c>
      <c r="C13" s="1259"/>
      <c r="D13" s="442">
        <f>SUM(D9:D12)</f>
        <v>1582</v>
      </c>
      <c r="E13" s="443">
        <f>D13*10</f>
        <v>15820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45" t="s">
        <v>78</v>
      </c>
      <c r="C18" s="445" t="s">
        <v>16</v>
      </c>
      <c r="D18" s="442">
        <v>259</v>
      </c>
      <c r="E18" s="443">
        <f>D18*10</f>
        <v>2590</v>
      </c>
    </row>
    <row r="19" spans="2:5" ht="20.100000000000001" customHeight="1">
      <c r="B19" s="444" t="s">
        <v>63</v>
      </c>
      <c r="C19" s="445" t="s">
        <v>16</v>
      </c>
      <c r="D19" s="442">
        <v>264</v>
      </c>
      <c r="E19" s="443">
        <f>D19*10</f>
        <v>2640</v>
      </c>
    </row>
    <row r="20" spans="2:5" ht="20.100000000000001" customHeight="1">
      <c r="B20" s="444" t="s">
        <v>66</v>
      </c>
      <c r="C20" s="445" t="s">
        <v>71</v>
      </c>
      <c r="D20" s="442">
        <v>228</v>
      </c>
      <c r="E20" s="443">
        <f>D20*10</f>
        <v>2280</v>
      </c>
    </row>
    <row r="21" spans="2:5" ht="20.100000000000001" customHeight="1">
      <c r="B21" s="445" t="s">
        <v>65</v>
      </c>
      <c r="C21" s="445" t="s">
        <v>26</v>
      </c>
      <c r="D21" s="442">
        <v>306</v>
      </c>
      <c r="E21" s="443">
        <f t="shared" ref="E21:E22" si="1">D21*10</f>
        <v>3060</v>
      </c>
    </row>
    <row r="22" spans="2:5" ht="20.100000000000001" customHeight="1">
      <c r="B22" s="445" t="s">
        <v>64</v>
      </c>
      <c r="C22" s="445" t="s">
        <v>26</v>
      </c>
      <c r="D22" s="442">
        <v>351</v>
      </c>
      <c r="E22" s="443">
        <f t="shared" si="1"/>
        <v>3510</v>
      </c>
    </row>
    <row r="23" spans="2:5" ht="20.100000000000001" customHeight="1">
      <c r="B23" s="1259" t="s">
        <v>24</v>
      </c>
      <c r="C23" s="1259"/>
      <c r="D23" s="442">
        <f>SUM(D18:D22)</f>
        <v>1408</v>
      </c>
      <c r="E23" s="443">
        <f>D23*10</f>
        <v>14080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45" t="s">
        <v>65</v>
      </c>
      <c r="C28" s="445" t="s">
        <v>26</v>
      </c>
      <c r="D28" s="442">
        <v>305</v>
      </c>
      <c r="E28" s="443">
        <f>D28*10</f>
        <v>3050</v>
      </c>
    </row>
    <row r="29" spans="2:5">
      <c r="B29" s="445" t="s">
        <v>64</v>
      </c>
      <c r="C29" s="445" t="s">
        <v>26</v>
      </c>
      <c r="D29" s="442">
        <v>298</v>
      </c>
      <c r="E29" s="443">
        <f t="shared" ref="E29:E30" si="2">D29*10</f>
        <v>2980</v>
      </c>
    </row>
    <row r="30" spans="2:5">
      <c r="B30" s="445" t="s">
        <v>235</v>
      </c>
      <c r="C30" s="445" t="s">
        <v>71</v>
      </c>
      <c r="D30" s="442">
        <v>160</v>
      </c>
      <c r="E30" s="443">
        <f t="shared" si="2"/>
        <v>1600</v>
      </c>
    </row>
    <row r="31" spans="2:5" ht="20.100000000000001" customHeight="1">
      <c r="B31" s="1259" t="s">
        <v>24</v>
      </c>
      <c r="C31" s="1259"/>
      <c r="D31" s="442">
        <f>SUM(D28:D30)</f>
        <v>763</v>
      </c>
      <c r="E31" s="443">
        <f>D31*10</f>
        <v>7630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1582</v>
      </c>
      <c r="D34" s="348">
        <f>D23</f>
        <v>1408</v>
      </c>
      <c r="E34" s="348">
        <f>D31</f>
        <v>763</v>
      </c>
    </row>
    <row r="35" spans="2:5">
      <c r="B35" s="345" t="s">
        <v>36</v>
      </c>
      <c r="C35" s="343">
        <f>C34*10</f>
        <v>15820</v>
      </c>
      <c r="D35" s="343">
        <f>D34*10</f>
        <v>14080</v>
      </c>
      <c r="E35" s="343">
        <f>E34*10</f>
        <v>7630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3753</v>
      </c>
      <c r="D37" s="378" t="s">
        <v>203</v>
      </c>
      <c r="E37" s="381">
        <f>C37*10</f>
        <v>37530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E+WUph2GLPlsp9I89X1jGQGlkQ5oqaQ+4bZiOeJ6guPnMhOl4rLxksh7LDyWZtq6CtgokmG8u7D6JZeuCuy9Bw==" saltValue="A74+ipmYrveLXr42Cg4QM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1:C31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64F5-B10E-455A-8A51-B38171900DC1}">
  <sheetPr codeName="Sheet77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44530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39" t="s">
        <v>185</v>
      </c>
      <c r="C9" s="437" t="s">
        <v>16</v>
      </c>
      <c r="D9" s="12">
        <v>634</v>
      </c>
      <c r="E9" s="363">
        <f>D9*10</f>
        <v>6340</v>
      </c>
    </row>
    <row r="10" spans="2:8" ht="20.100000000000001" customHeight="1">
      <c r="B10" s="438" t="s">
        <v>53</v>
      </c>
      <c r="C10" s="437" t="s">
        <v>16</v>
      </c>
      <c r="D10" s="362">
        <v>439</v>
      </c>
      <c r="E10" s="363">
        <f t="shared" ref="E10:E11" si="0">D10*10</f>
        <v>4390</v>
      </c>
    </row>
    <row r="11" spans="2:8" ht="20.100000000000001" customHeight="1">
      <c r="B11" s="438" t="s">
        <v>205</v>
      </c>
      <c r="C11" s="437" t="s">
        <v>26</v>
      </c>
      <c r="D11" s="362">
        <v>291</v>
      </c>
      <c r="E11" s="363">
        <f t="shared" si="0"/>
        <v>2910</v>
      </c>
    </row>
    <row r="12" spans="2:8" ht="20.100000000000001" customHeight="1">
      <c r="B12" s="439" t="s">
        <v>44</v>
      </c>
      <c r="C12" s="437" t="s">
        <v>26</v>
      </c>
      <c r="D12" s="362">
        <v>296</v>
      </c>
      <c r="E12" s="363">
        <f>D12*10</f>
        <v>2960</v>
      </c>
    </row>
    <row r="13" spans="2:8" ht="20.100000000000001" customHeight="1">
      <c r="B13" s="1259" t="s">
        <v>24</v>
      </c>
      <c r="C13" s="1259"/>
      <c r="D13" s="362">
        <f>SUM(D9:D12)</f>
        <v>1660</v>
      </c>
      <c r="E13" s="363">
        <f>D13*10</f>
        <v>16600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44" t="s">
        <v>185</v>
      </c>
      <c r="C18" s="437" t="s">
        <v>16</v>
      </c>
      <c r="D18" s="362">
        <v>557</v>
      </c>
      <c r="E18" s="363">
        <f>D18*10</f>
        <v>5570</v>
      </c>
    </row>
    <row r="19" spans="2:5" ht="20.100000000000001" customHeight="1">
      <c r="B19" s="441" t="s">
        <v>181</v>
      </c>
      <c r="C19" s="437" t="s">
        <v>16</v>
      </c>
      <c r="D19" s="362">
        <v>247</v>
      </c>
      <c r="E19" s="363">
        <f>D19*10</f>
        <v>2470</v>
      </c>
    </row>
    <row r="20" spans="2:5" ht="20.100000000000001" customHeight="1">
      <c r="B20" s="441" t="s">
        <v>164</v>
      </c>
      <c r="C20" s="437" t="s">
        <v>71</v>
      </c>
      <c r="D20" s="362">
        <v>336</v>
      </c>
      <c r="E20" s="363">
        <f>D20*10</f>
        <v>3360</v>
      </c>
    </row>
    <row r="21" spans="2:5" ht="20.100000000000001" customHeight="1">
      <c r="B21" s="441" t="s">
        <v>205</v>
      </c>
      <c r="C21" s="437" t="s">
        <v>26</v>
      </c>
      <c r="D21" s="362">
        <v>432</v>
      </c>
      <c r="E21" s="363">
        <f t="shared" ref="E21:E22" si="1">D21*10</f>
        <v>4320</v>
      </c>
    </row>
    <row r="22" spans="2:5" ht="20.100000000000001" customHeight="1">
      <c r="B22" s="444" t="s">
        <v>44</v>
      </c>
      <c r="C22" s="437" t="s">
        <v>26</v>
      </c>
      <c r="D22" s="362">
        <v>241</v>
      </c>
      <c r="E22" s="363">
        <f t="shared" si="1"/>
        <v>2410</v>
      </c>
    </row>
    <row r="23" spans="2:5" ht="20.100000000000001" customHeight="1">
      <c r="B23" s="1259" t="s">
        <v>24</v>
      </c>
      <c r="C23" s="1259"/>
      <c r="D23" s="362">
        <f>SUM(D18:D22)</f>
        <v>1813</v>
      </c>
      <c r="E23" s="363">
        <f>D23*10</f>
        <v>18130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165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45" t="s">
        <v>234</v>
      </c>
      <c r="C28" s="441" t="s">
        <v>16</v>
      </c>
      <c r="D28" s="362">
        <v>301</v>
      </c>
      <c r="E28" s="363">
        <f>D28*10</f>
        <v>3010</v>
      </c>
    </row>
    <row r="29" spans="2:5">
      <c r="B29" s="445" t="s">
        <v>172</v>
      </c>
      <c r="C29" s="441" t="s">
        <v>16</v>
      </c>
      <c r="D29" s="362">
        <v>236</v>
      </c>
      <c r="E29" s="363">
        <f t="shared" ref="E29" si="2">D29*10</f>
        <v>2360</v>
      </c>
    </row>
    <row r="30" spans="2:5" s="440" customFormat="1">
      <c r="B30" s="445" t="s">
        <v>235</v>
      </c>
      <c r="C30" s="441" t="s">
        <v>71</v>
      </c>
      <c r="D30" s="442">
        <v>318</v>
      </c>
      <c r="E30" s="443">
        <f t="shared" ref="E30" si="3">D30*10</f>
        <v>3180</v>
      </c>
    </row>
    <row r="31" spans="2:5" s="440" customFormat="1" ht="20.100000000000001" customHeight="1">
      <c r="B31" s="1259" t="s">
        <v>24</v>
      </c>
      <c r="C31" s="1259"/>
      <c r="D31" s="442">
        <f>SUM(D28:D30)</f>
        <v>855</v>
      </c>
      <c r="E31" s="443">
        <f>D31*10</f>
        <v>8550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1660</v>
      </c>
      <c r="D34" s="348">
        <f>D23</f>
        <v>1813</v>
      </c>
      <c r="E34" s="348">
        <f>D31</f>
        <v>855</v>
      </c>
    </row>
    <row r="35" spans="2:5">
      <c r="B35" s="345" t="s">
        <v>36</v>
      </c>
      <c r="C35" s="343">
        <f>C34*10</f>
        <v>16600</v>
      </c>
      <c r="D35" s="343">
        <f>D34*10</f>
        <v>18130</v>
      </c>
      <c r="E35" s="343">
        <f>E34*10</f>
        <v>8550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4328</v>
      </c>
      <c r="D37" s="378" t="s">
        <v>203</v>
      </c>
      <c r="E37" s="381">
        <f>C37*10</f>
        <v>43280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JRsid6KplqNDpR/z1SU3QcBDnqrFuySstToFJzhMA80t1Tmr5mpaD2382onqwTojv3qDEUXWvyEEj/oGSWBkow==" saltValue="IEuoKabxIkiojFncTgO7+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2:E32"/>
    <mergeCell ref="B36:E36"/>
    <mergeCell ref="B31:C31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5C45-DB05-49A0-97F5-D030DF574A39}">
  <sheetPr codeName="Sheet78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44529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35" t="s">
        <v>53</v>
      </c>
      <c r="C9" s="434" t="s">
        <v>16</v>
      </c>
      <c r="D9" s="12">
        <v>277</v>
      </c>
      <c r="E9" s="363">
        <f>D9*10</f>
        <v>2770</v>
      </c>
    </row>
    <row r="10" spans="2:8" ht="20.100000000000001" customHeight="1">
      <c r="B10" s="435" t="s">
        <v>170</v>
      </c>
      <c r="C10" s="434" t="s">
        <v>16</v>
      </c>
      <c r="D10" s="362">
        <v>330</v>
      </c>
      <c r="E10" s="363">
        <f t="shared" ref="E10:E11" si="0">D10*10</f>
        <v>3300</v>
      </c>
    </row>
    <row r="11" spans="2:8" ht="20.100000000000001" customHeight="1">
      <c r="B11" s="435" t="s">
        <v>64</v>
      </c>
      <c r="C11" s="434" t="s">
        <v>26</v>
      </c>
      <c r="D11" s="362">
        <v>297</v>
      </c>
      <c r="E11" s="363">
        <f t="shared" si="0"/>
        <v>2970</v>
      </c>
    </row>
    <row r="12" spans="2:8" ht="20.100000000000001" customHeight="1">
      <c r="B12" s="435" t="s">
        <v>189</v>
      </c>
      <c r="C12" s="434" t="s">
        <v>26</v>
      </c>
      <c r="D12" s="362">
        <v>381</v>
      </c>
      <c r="E12" s="363">
        <f>D12*10</f>
        <v>3810</v>
      </c>
    </row>
    <row r="13" spans="2:8" ht="20.100000000000001" customHeight="1">
      <c r="B13" s="1259" t="s">
        <v>24</v>
      </c>
      <c r="C13" s="1259"/>
      <c r="D13" s="362">
        <f>SUM(D9:D12)</f>
        <v>1285</v>
      </c>
      <c r="E13" s="363">
        <f>D13*10</f>
        <v>12850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36" t="s">
        <v>234</v>
      </c>
      <c r="C18" s="434" t="s">
        <v>16</v>
      </c>
      <c r="D18" s="362">
        <v>253</v>
      </c>
      <c r="E18" s="363">
        <f>D18*10</f>
        <v>2530</v>
      </c>
    </row>
    <row r="19" spans="2:5" ht="20.100000000000001" customHeight="1">
      <c r="B19" s="436" t="s">
        <v>170</v>
      </c>
      <c r="C19" s="434" t="s">
        <v>16</v>
      </c>
      <c r="D19" s="362">
        <v>170</v>
      </c>
      <c r="E19" s="363">
        <f>D19*10</f>
        <v>1700</v>
      </c>
    </row>
    <row r="20" spans="2:5" ht="20.100000000000001" customHeight="1">
      <c r="B20" s="436" t="s">
        <v>64</v>
      </c>
      <c r="C20" s="434" t="s">
        <v>71</v>
      </c>
      <c r="D20" s="362">
        <v>236</v>
      </c>
      <c r="E20" s="363">
        <f>D20*10</f>
        <v>2360</v>
      </c>
    </row>
    <row r="21" spans="2:5" ht="20.100000000000001" customHeight="1">
      <c r="B21" s="436" t="s">
        <v>172</v>
      </c>
      <c r="C21" s="434" t="s">
        <v>26</v>
      </c>
      <c r="D21" s="362">
        <v>237</v>
      </c>
      <c r="E21" s="363">
        <f t="shared" ref="E21:E22" si="1">D21*10</f>
        <v>2370</v>
      </c>
    </row>
    <row r="22" spans="2:5" ht="20.100000000000001" customHeight="1">
      <c r="B22" s="436" t="s">
        <v>189</v>
      </c>
      <c r="C22" s="434" t="s">
        <v>26</v>
      </c>
      <c r="D22" s="362">
        <v>308</v>
      </c>
      <c r="E22" s="363">
        <f t="shared" si="1"/>
        <v>3080</v>
      </c>
    </row>
    <row r="23" spans="2:5" ht="20.100000000000001" customHeight="1">
      <c r="B23" s="1259" t="s">
        <v>24</v>
      </c>
      <c r="C23" s="1259"/>
      <c r="D23" s="362">
        <f>SUM(D18:D22)</f>
        <v>1204</v>
      </c>
      <c r="E23" s="363">
        <f>D23*10</f>
        <v>12040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37" t="s">
        <v>172</v>
      </c>
      <c r="C28" s="434" t="s">
        <v>26</v>
      </c>
      <c r="D28" s="362">
        <v>193</v>
      </c>
      <c r="E28" s="363">
        <f>D28*10</f>
        <v>1930</v>
      </c>
    </row>
    <row r="29" spans="2:5">
      <c r="B29" s="437" t="s">
        <v>189</v>
      </c>
      <c r="C29" s="434" t="s">
        <v>26</v>
      </c>
      <c r="D29" s="362">
        <v>231</v>
      </c>
      <c r="E29" s="363">
        <f t="shared" ref="E29" si="2">D29*10</f>
        <v>2310</v>
      </c>
    </row>
    <row r="30" spans="2:5" ht="20.100000000000001" customHeight="1">
      <c r="B30" s="1259" t="s">
        <v>24</v>
      </c>
      <c r="C30" s="1259"/>
      <c r="D30" s="362">
        <f>SUM(D28:D29)</f>
        <v>424</v>
      </c>
      <c r="E30" s="363">
        <f>D30*10</f>
        <v>4240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1285</v>
      </c>
      <c r="D34" s="348">
        <f>D23</f>
        <v>1204</v>
      </c>
      <c r="E34" s="348">
        <f>D30</f>
        <v>424</v>
      </c>
    </row>
    <row r="35" spans="2:5">
      <c r="B35" s="345" t="s">
        <v>36</v>
      </c>
      <c r="C35" s="343">
        <f>C34*10</f>
        <v>12850</v>
      </c>
      <c r="D35" s="343">
        <f>D34*10</f>
        <v>12040</v>
      </c>
      <c r="E35" s="343">
        <f>E34*10</f>
        <v>4240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2913</v>
      </c>
      <c r="D37" s="378" t="s">
        <v>203</v>
      </c>
      <c r="E37" s="381">
        <f>C37*10</f>
        <v>29130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q/w40pzklXEh7t42tZTNc0bLt3O2x1LPbhxxsg3si8A9u2bCY8e/39udL/wzfxqkRHrhAoifr88hUgZjCJiaWw==" saltValue="J/OepQH0jo0iNLmLxp71qQ==" spinCount="100000" sheet="1" objects="1" scenarios="1"/>
  <mergeCells count="22"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117CC-4A21-4B55-B2BC-6652B9A00DA1}">
  <sheetPr codeName="Sheet79">
    <pageSetUpPr fitToPage="1"/>
  </sheetPr>
  <dimension ref="B2:H38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44528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195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27"/>
      <c r="C9" s="427" t="s">
        <v>26</v>
      </c>
      <c r="D9" s="428"/>
      <c r="E9" s="429">
        <f t="shared" ref="E9" si="0">D9*10</f>
        <v>0</v>
      </c>
    </row>
    <row r="10" spans="2:8" ht="20.100000000000001" customHeight="1">
      <c r="B10" s="427"/>
      <c r="C10" s="427" t="s">
        <v>26</v>
      </c>
      <c r="D10" s="428"/>
      <c r="E10" s="429">
        <f>D10*10</f>
        <v>0</v>
      </c>
    </row>
    <row r="11" spans="2:8" ht="20.100000000000001" customHeight="1">
      <c r="B11" s="1259" t="s">
        <v>24</v>
      </c>
      <c r="C11" s="1259"/>
      <c r="D11" s="362">
        <f>SUM(D9:D10)</f>
        <v>0</v>
      </c>
      <c r="E11" s="363">
        <f>D11*10</f>
        <v>0</v>
      </c>
    </row>
    <row r="13" spans="2:8" ht="19.5">
      <c r="B13" s="334" t="s">
        <v>21</v>
      </c>
      <c r="C13" s="1256" t="s">
        <v>182</v>
      </c>
      <c r="D13" s="1257"/>
      <c r="E13" s="1258"/>
    </row>
    <row r="14" spans="2:8" ht="15" customHeight="1">
      <c r="B14" s="1251" t="s">
        <v>0</v>
      </c>
      <c r="C14" s="1251" t="s">
        <v>1</v>
      </c>
      <c r="D14" s="1252" t="s">
        <v>40</v>
      </c>
      <c r="E14" s="1253" t="s">
        <v>31</v>
      </c>
    </row>
    <row r="15" spans="2:8" s="327" customFormat="1">
      <c r="B15" s="1251"/>
      <c r="C15" s="1251"/>
      <c r="D15" s="1252"/>
      <c r="E15" s="1254"/>
    </row>
    <row r="16" spans="2:8" ht="20.100000000000001" customHeight="1">
      <c r="B16" s="427"/>
      <c r="C16" s="427" t="s">
        <v>26</v>
      </c>
      <c r="D16" s="428"/>
      <c r="E16" s="429">
        <f t="shared" ref="E16:E17" si="1">D16*10</f>
        <v>0</v>
      </c>
    </row>
    <row r="17" spans="2:5" ht="20.100000000000001" customHeight="1">
      <c r="B17" s="427"/>
      <c r="C17" s="427" t="s">
        <v>26</v>
      </c>
      <c r="D17" s="428"/>
      <c r="E17" s="429">
        <f t="shared" si="1"/>
        <v>0</v>
      </c>
    </row>
    <row r="18" spans="2:5" ht="20.100000000000001" customHeight="1">
      <c r="B18" s="1259" t="s">
        <v>24</v>
      </c>
      <c r="C18" s="1259"/>
      <c r="D18" s="362">
        <f>SUM(D16:D17)</f>
        <v>0</v>
      </c>
      <c r="E18" s="363">
        <f>D18*10</f>
        <v>0</v>
      </c>
    </row>
    <row r="19" spans="2:5">
      <c r="B19" s="336"/>
      <c r="C19" s="336"/>
      <c r="D19" s="337"/>
      <c r="E19" s="337"/>
    </row>
    <row r="20" spans="2:5" ht="19.5">
      <c r="B20" s="338" t="s">
        <v>28</v>
      </c>
      <c r="C20" s="1264" t="s">
        <v>29</v>
      </c>
      <c r="D20" s="1265"/>
      <c r="E20" s="1266"/>
    </row>
    <row r="21" spans="2:5" ht="15" customHeight="1">
      <c r="B21" s="1251" t="s">
        <v>0</v>
      </c>
      <c r="C21" s="1251" t="s">
        <v>1</v>
      </c>
      <c r="D21" s="1252" t="s">
        <v>40</v>
      </c>
      <c r="E21" s="1253" t="s">
        <v>31</v>
      </c>
    </row>
    <row r="22" spans="2:5">
      <c r="B22" s="1251"/>
      <c r="C22" s="1251"/>
      <c r="D22" s="1252"/>
      <c r="E22" s="1254"/>
    </row>
    <row r="23" spans="2:5">
      <c r="B23" s="424" t="s">
        <v>70</v>
      </c>
      <c r="C23" s="423" t="s">
        <v>26</v>
      </c>
      <c r="D23" s="362">
        <v>415</v>
      </c>
      <c r="E23" s="363">
        <f>D23*10</f>
        <v>4150</v>
      </c>
    </row>
    <row r="24" spans="2:5">
      <c r="B24" s="423" t="s">
        <v>63</v>
      </c>
      <c r="C24" s="423" t="s">
        <v>26</v>
      </c>
      <c r="D24" s="362">
        <v>229</v>
      </c>
      <c r="E24" s="363">
        <f t="shared" ref="E24" si="2">D24*10</f>
        <v>2290</v>
      </c>
    </row>
    <row r="25" spans="2:5" ht="20.100000000000001" customHeight="1">
      <c r="B25" s="1259" t="s">
        <v>24</v>
      </c>
      <c r="C25" s="1259"/>
      <c r="D25" s="362">
        <f>SUM(D23:D24)</f>
        <v>644</v>
      </c>
      <c r="E25" s="363">
        <f>D25*10</f>
        <v>6440</v>
      </c>
    </row>
    <row r="27" spans="2:5" ht="19.5">
      <c r="B27" s="1260" t="s">
        <v>200</v>
      </c>
      <c r="C27" s="1260"/>
      <c r="D27" s="1260"/>
      <c r="E27" s="1260"/>
    </row>
    <row r="28" spans="2:5">
      <c r="B28" s="342"/>
      <c r="C28" s="344" t="s">
        <v>34</v>
      </c>
      <c r="D28" s="344" t="s">
        <v>35</v>
      </c>
      <c r="E28" s="344" t="s">
        <v>37</v>
      </c>
    </row>
    <row r="29" spans="2:5">
      <c r="B29" s="345" t="s">
        <v>39</v>
      </c>
      <c r="C29" s="347">
        <f>D11</f>
        <v>0</v>
      </c>
      <c r="D29" s="348">
        <f>D18</f>
        <v>0</v>
      </c>
      <c r="E29" s="348">
        <f>D25</f>
        <v>644</v>
      </c>
    </row>
    <row r="30" spans="2:5">
      <c r="B30" s="345" t="s">
        <v>36</v>
      </c>
      <c r="C30" s="343">
        <f>C29*10</f>
        <v>0</v>
      </c>
      <c r="D30" s="343">
        <f>D29*10</f>
        <v>0</v>
      </c>
      <c r="E30" s="343">
        <f>E29*10</f>
        <v>6440</v>
      </c>
    </row>
    <row r="31" spans="2:5" ht="19.5">
      <c r="B31" s="1261" t="s">
        <v>199</v>
      </c>
      <c r="C31" s="1262"/>
      <c r="D31" s="1262"/>
      <c r="E31" s="1263"/>
    </row>
    <row r="32" spans="2:5">
      <c r="B32" s="377" t="s">
        <v>198</v>
      </c>
      <c r="C32" s="378">
        <f>C29+D29+E29</f>
        <v>644</v>
      </c>
      <c r="D32" s="378" t="s">
        <v>203</v>
      </c>
      <c r="E32" s="381">
        <f>C32*10</f>
        <v>6440</v>
      </c>
    </row>
    <row r="33" spans="2:5">
      <c r="B33" s="377" t="s">
        <v>197</v>
      </c>
      <c r="C33" s="378" t="e">
        <f>C34-C32</f>
        <v>#REF!</v>
      </c>
      <c r="D33" s="378" t="s">
        <v>204</v>
      </c>
      <c r="E33" s="381" t="e">
        <f>C33*9</f>
        <v>#REF!</v>
      </c>
    </row>
    <row r="34" spans="2:5" ht="19.5">
      <c r="B34" s="334" t="s">
        <v>201</v>
      </c>
      <c r="C34" s="380" t="e">
        <f>'Patron Counts v Swipes'!#REF!</f>
        <v>#REF!</v>
      </c>
      <c r="D34" s="380" t="s">
        <v>202</v>
      </c>
      <c r="E34" s="379" t="e">
        <f>SUM(E32+E33)</f>
        <v>#REF!</v>
      </c>
    </row>
    <row r="36" spans="2:5">
      <c r="B36" s="331" t="s">
        <v>5</v>
      </c>
      <c r="C36" s="339"/>
    </row>
    <row r="37" spans="2:5">
      <c r="B37" s="375" t="s">
        <v>4</v>
      </c>
      <c r="C37" s="376"/>
    </row>
    <row r="38" spans="2:5">
      <c r="B38" s="375" t="s">
        <v>25</v>
      </c>
      <c r="C38" s="376"/>
    </row>
  </sheetData>
  <sheetProtection algorithmName="SHA-512" hashValue="87UKfVZBqrnpby51Myz/Gbn8v+qLJpe5eOTWPrJ6g3hoSYTHDyTxOAEoKPrHZzGjMPOcCEwP0wFV8O0HvVIdsw==" saltValue="E0D38FV3tEX8xwLoCq0aB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1:C11"/>
    <mergeCell ref="C13:E13"/>
    <mergeCell ref="B14:B15"/>
    <mergeCell ref="C14:C15"/>
    <mergeCell ref="D14:D15"/>
    <mergeCell ref="E14:E15"/>
    <mergeCell ref="B25:C25"/>
    <mergeCell ref="B27:E27"/>
    <mergeCell ref="B31:E31"/>
    <mergeCell ref="B18:C18"/>
    <mergeCell ref="C20:E20"/>
    <mergeCell ref="B21:B22"/>
    <mergeCell ref="C21:C22"/>
    <mergeCell ref="D21:D22"/>
    <mergeCell ref="E21:E22"/>
  </mergeCells>
  <pageMargins left="0.7" right="0.7" top="0.75" bottom="0.75" header="0.3" footer="0.3"/>
  <pageSetup scale="68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73620-FD95-4984-ACDD-249991D9EA45}">
  <sheetPr codeName="Sheet80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44524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31" t="s">
        <v>171</v>
      </c>
      <c r="C9" s="423" t="s">
        <v>16</v>
      </c>
      <c r="D9" s="12">
        <v>221</v>
      </c>
      <c r="E9" s="363">
        <f>D9*10</f>
        <v>2210</v>
      </c>
    </row>
    <row r="10" spans="2:8" ht="20.100000000000001" customHeight="1">
      <c r="B10" s="430" t="s">
        <v>53</v>
      </c>
      <c r="C10" s="423" t="s">
        <v>16</v>
      </c>
      <c r="D10" s="362">
        <v>137</v>
      </c>
      <c r="E10" s="363">
        <f t="shared" ref="E10:E11" si="0">D10*10</f>
        <v>1370</v>
      </c>
    </row>
    <row r="11" spans="2:8" ht="20.100000000000001" customHeight="1">
      <c r="B11" s="430" t="s">
        <v>143</v>
      </c>
      <c r="C11" s="423" t="s">
        <v>26</v>
      </c>
      <c r="D11" s="362">
        <v>223</v>
      </c>
      <c r="E11" s="363">
        <f t="shared" si="0"/>
        <v>2230</v>
      </c>
    </row>
    <row r="12" spans="2:8" ht="20.100000000000001" customHeight="1">
      <c r="B12" s="430" t="s">
        <v>65</v>
      </c>
      <c r="C12" s="423" t="s">
        <v>26</v>
      </c>
      <c r="D12" s="362">
        <v>169</v>
      </c>
      <c r="E12" s="363">
        <f>D12*10</f>
        <v>1690</v>
      </c>
    </row>
    <row r="13" spans="2:8" ht="20.100000000000001" customHeight="1">
      <c r="B13" s="1259" t="s">
        <v>24</v>
      </c>
      <c r="C13" s="1259"/>
      <c r="D13" s="362">
        <f>SUM(D9:D12)</f>
        <v>750</v>
      </c>
      <c r="E13" s="363">
        <f>D13*10</f>
        <v>7500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33" t="s">
        <v>171</v>
      </c>
      <c r="C18" s="423" t="s">
        <v>16</v>
      </c>
      <c r="D18" s="362">
        <v>231</v>
      </c>
      <c r="E18" s="363">
        <f>D18*10</f>
        <v>2310</v>
      </c>
    </row>
    <row r="19" spans="2:5" ht="20.100000000000001" customHeight="1">
      <c r="B19" s="432" t="s">
        <v>181</v>
      </c>
      <c r="C19" s="423" t="s">
        <v>16</v>
      </c>
      <c r="D19" s="362">
        <v>196</v>
      </c>
      <c r="E19" s="363">
        <f>D19*10</f>
        <v>1960</v>
      </c>
    </row>
    <row r="20" spans="2:5" ht="20.100000000000001" customHeight="1">
      <c r="B20" s="432" t="s">
        <v>159</v>
      </c>
      <c r="C20" s="423" t="s">
        <v>71</v>
      </c>
      <c r="D20" s="362">
        <v>80</v>
      </c>
      <c r="E20" s="363">
        <f>D20*10</f>
        <v>800</v>
      </c>
    </row>
    <row r="21" spans="2:5" ht="20.100000000000001" customHeight="1">
      <c r="B21" s="432" t="s">
        <v>143</v>
      </c>
      <c r="C21" s="423" t="s">
        <v>26</v>
      </c>
      <c r="D21" s="362">
        <v>225</v>
      </c>
      <c r="E21" s="363">
        <f t="shared" ref="E21:E22" si="1">D21*10</f>
        <v>2250</v>
      </c>
    </row>
    <row r="22" spans="2:5" ht="20.100000000000001" customHeight="1">
      <c r="B22" s="432" t="s">
        <v>65</v>
      </c>
      <c r="C22" s="423" t="s">
        <v>26</v>
      </c>
      <c r="D22" s="362">
        <v>189</v>
      </c>
      <c r="E22" s="363">
        <f t="shared" si="1"/>
        <v>1890</v>
      </c>
    </row>
    <row r="23" spans="2:5" ht="20.100000000000001" customHeight="1">
      <c r="B23" s="1259" t="s">
        <v>24</v>
      </c>
      <c r="C23" s="1259"/>
      <c r="D23" s="362">
        <f>SUM(D18:D22)</f>
        <v>921</v>
      </c>
      <c r="E23" s="363">
        <f>D23*10</f>
        <v>9210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34" t="s">
        <v>143</v>
      </c>
      <c r="C28" s="423" t="s">
        <v>26</v>
      </c>
      <c r="D28" s="362">
        <v>124</v>
      </c>
      <c r="E28" s="363">
        <f>D28*10</f>
        <v>1240</v>
      </c>
    </row>
    <row r="29" spans="2:5">
      <c r="B29" s="434" t="s">
        <v>65</v>
      </c>
      <c r="C29" s="423" t="s">
        <v>26</v>
      </c>
      <c r="D29" s="362">
        <v>143</v>
      </c>
      <c r="E29" s="363">
        <f t="shared" ref="E29" si="2">D29*10</f>
        <v>1430</v>
      </c>
    </row>
    <row r="30" spans="2:5" ht="20.100000000000001" customHeight="1">
      <c r="B30" s="1259" t="s">
        <v>24</v>
      </c>
      <c r="C30" s="1259"/>
      <c r="D30" s="362">
        <f>SUM(D28:D29)</f>
        <v>267</v>
      </c>
      <c r="E30" s="363">
        <f>D30*10</f>
        <v>2670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750</v>
      </c>
      <c r="D34" s="348">
        <f>D23</f>
        <v>921</v>
      </c>
      <c r="E34" s="348">
        <f>D30</f>
        <v>267</v>
      </c>
    </row>
    <row r="35" spans="2:5">
      <c r="B35" s="345" t="s">
        <v>36</v>
      </c>
      <c r="C35" s="343">
        <f>C34*10</f>
        <v>7500</v>
      </c>
      <c r="D35" s="343">
        <f>D34*10</f>
        <v>9210</v>
      </c>
      <c r="E35" s="343">
        <f>E34*10</f>
        <v>2670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1938</v>
      </c>
      <c r="D37" s="378" t="s">
        <v>203</v>
      </c>
      <c r="E37" s="381">
        <f>C37*10</f>
        <v>19380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sKVcA5nwsFiaytJu1/2UUAgPr8m6w0Yw6CTAwUiM2wVZhNBRVCApaX8K6f2BTuCTgSFXw86mcxMzmQ1BiOpNEg==" saltValue="LOfaIIJj9ajmVWxYa3uiY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F50AE-D845-40C2-B8B4-669FE6219DC9}">
  <sheetPr codeName="Sheet81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44523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24" t="s">
        <v>185</v>
      </c>
      <c r="C9" s="423" t="s">
        <v>16</v>
      </c>
      <c r="D9" s="12">
        <v>621</v>
      </c>
      <c r="E9" s="363">
        <f>D9*10</f>
        <v>6210</v>
      </c>
    </row>
    <row r="10" spans="2:8" ht="20.100000000000001" customHeight="1">
      <c r="B10" s="423" t="s">
        <v>53</v>
      </c>
      <c r="C10" s="423" t="s">
        <v>16</v>
      </c>
      <c r="D10" s="362">
        <v>206</v>
      </c>
      <c r="E10" s="363">
        <f t="shared" ref="E10:E11" si="0">D10*10</f>
        <v>2060</v>
      </c>
    </row>
    <row r="11" spans="2:8" ht="20.100000000000001" customHeight="1">
      <c r="B11" s="423" t="s">
        <v>164</v>
      </c>
      <c r="C11" s="423" t="s">
        <v>26</v>
      </c>
      <c r="D11" s="362">
        <v>354</v>
      </c>
      <c r="E11" s="363">
        <f t="shared" si="0"/>
        <v>3540</v>
      </c>
    </row>
    <row r="12" spans="2:8" ht="20.100000000000001" customHeight="1">
      <c r="B12" s="423" t="s">
        <v>70</v>
      </c>
      <c r="C12" s="423" t="s">
        <v>26</v>
      </c>
      <c r="D12" s="362">
        <v>425</v>
      </c>
      <c r="E12" s="363">
        <f>D12*10</f>
        <v>4250</v>
      </c>
    </row>
    <row r="13" spans="2:8" ht="20.100000000000001" customHeight="1">
      <c r="B13" s="1259" t="s">
        <v>24</v>
      </c>
      <c r="C13" s="1259"/>
      <c r="D13" s="362">
        <f>SUM(D9:D12)</f>
        <v>1606</v>
      </c>
      <c r="E13" s="363">
        <f>D13*10</f>
        <v>16060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24" t="s">
        <v>185</v>
      </c>
      <c r="C18" s="423" t="s">
        <v>16</v>
      </c>
      <c r="D18" s="362">
        <v>576</v>
      </c>
      <c r="E18" s="363">
        <f>D18*10</f>
        <v>5760</v>
      </c>
    </row>
    <row r="19" spans="2:5" ht="20.100000000000001" customHeight="1">
      <c r="B19" s="423" t="s">
        <v>186</v>
      </c>
      <c r="C19" s="423" t="s">
        <v>16</v>
      </c>
      <c r="D19" s="362">
        <v>198</v>
      </c>
      <c r="E19" s="363">
        <f>D19*10</f>
        <v>1980</v>
      </c>
    </row>
    <row r="20" spans="2:5" ht="20.100000000000001" customHeight="1">
      <c r="B20" s="423" t="s">
        <v>66</v>
      </c>
      <c r="C20" s="423" t="s">
        <v>71</v>
      </c>
      <c r="D20" s="362">
        <v>220</v>
      </c>
      <c r="E20" s="363">
        <f>D20*10</f>
        <v>2200</v>
      </c>
    </row>
    <row r="21" spans="2:5" ht="20.100000000000001" customHeight="1">
      <c r="B21" s="423" t="s">
        <v>164</v>
      </c>
      <c r="C21" s="423" t="s">
        <v>26</v>
      </c>
      <c r="D21" s="362">
        <v>255</v>
      </c>
      <c r="E21" s="363">
        <f t="shared" ref="E21:E22" si="1">D21*10</f>
        <v>2550</v>
      </c>
    </row>
    <row r="22" spans="2:5" ht="20.100000000000001" customHeight="1">
      <c r="B22" s="424" t="s">
        <v>70</v>
      </c>
      <c r="C22" s="423" t="s">
        <v>26</v>
      </c>
      <c r="D22" s="362">
        <v>275</v>
      </c>
      <c r="E22" s="363">
        <f t="shared" si="1"/>
        <v>2750</v>
      </c>
    </row>
    <row r="23" spans="2:5" ht="20.100000000000001" customHeight="1">
      <c r="B23" s="1259" t="s">
        <v>24</v>
      </c>
      <c r="C23" s="1259"/>
      <c r="D23" s="362">
        <f>SUM(D18:D22)</f>
        <v>1524</v>
      </c>
      <c r="E23" s="363">
        <f>D23*10</f>
        <v>15240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23" t="s">
        <v>234</v>
      </c>
      <c r="C28" s="423" t="s">
        <v>26</v>
      </c>
      <c r="D28" s="362">
        <v>220</v>
      </c>
      <c r="E28" s="363">
        <f>D28*10</f>
        <v>2200</v>
      </c>
    </row>
    <row r="29" spans="2:5">
      <c r="B29" s="424" t="s">
        <v>70</v>
      </c>
      <c r="C29" s="423" t="s">
        <v>26</v>
      </c>
      <c r="D29" s="362">
        <v>274</v>
      </c>
      <c r="E29" s="363">
        <f t="shared" ref="E29" si="2">D29*10</f>
        <v>2740</v>
      </c>
    </row>
    <row r="30" spans="2:5" ht="20.100000000000001" customHeight="1">
      <c r="B30" s="1259" t="s">
        <v>24</v>
      </c>
      <c r="C30" s="1259"/>
      <c r="D30" s="362">
        <f>SUM(D28:D29)</f>
        <v>494</v>
      </c>
      <c r="E30" s="363">
        <f>D30*10</f>
        <v>4940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1606</v>
      </c>
      <c r="D34" s="348">
        <f>D23</f>
        <v>1524</v>
      </c>
      <c r="E34" s="348">
        <f>D30</f>
        <v>494</v>
      </c>
    </row>
    <row r="35" spans="2:5">
      <c r="B35" s="345" t="s">
        <v>36</v>
      </c>
      <c r="C35" s="343">
        <f>C34*10</f>
        <v>16060</v>
      </c>
      <c r="D35" s="343">
        <f>D34*10</f>
        <v>15240</v>
      </c>
      <c r="E35" s="343">
        <f>E34*10</f>
        <v>4940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3624</v>
      </c>
      <c r="D37" s="378" t="s">
        <v>203</v>
      </c>
      <c r="E37" s="381">
        <f>C37*10</f>
        <v>36240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Uo3FqTicKeXtH0z4HHGGHTb5mZxZQuxop+7CTudZljyCqcHtlVv49AiWIWCXSyNS5WSvXD1TDb2inwIJi8JTZw==" saltValue="XZBDG+NWHvEFubHEyOAHx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583E4-AD42-4A7A-8EC2-657E9042FB31}">
  <sheetPr codeName="Sheet82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44522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23" t="s">
        <v>45</v>
      </c>
      <c r="C9" s="423" t="s">
        <v>16</v>
      </c>
      <c r="D9" s="12">
        <v>292</v>
      </c>
      <c r="E9" s="363">
        <f>D9*10</f>
        <v>2920</v>
      </c>
    </row>
    <row r="10" spans="2:8" ht="20.100000000000001" customHeight="1">
      <c r="B10" s="423" t="s">
        <v>170</v>
      </c>
      <c r="C10" s="423" t="s">
        <v>16</v>
      </c>
      <c r="D10" s="362">
        <v>344</v>
      </c>
      <c r="E10" s="363">
        <f t="shared" ref="E10:E11" si="0">D10*10</f>
        <v>3440</v>
      </c>
    </row>
    <row r="11" spans="2:8" ht="20.100000000000001" customHeight="1">
      <c r="B11" s="423" t="s">
        <v>53</v>
      </c>
      <c r="C11" s="423" t="s">
        <v>26</v>
      </c>
      <c r="D11" s="362">
        <v>313</v>
      </c>
      <c r="E11" s="363">
        <f t="shared" si="0"/>
        <v>3130</v>
      </c>
    </row>
    <row r="12" spans="2:8" ht="20.100000000000001" customHeight="1">
      <c r="B12" s="423" t="s">
        <v>144</v>
      </c>
      <c r="C12" s="423" t="s">
        <v>26</v>
      </c>
      <c r="D12" s="362">
        <v>285</v>
      </c>
      <c r="E12" s="363">
        <f>D12*10</f>
        <v>2850</v>
      </c>
    </row>
    <row r="13" spans="2:8" ht="20.100000000000001" customHeight="1">
      <c r="B13" s="1259" t="s">
        <v>24</v>
      </c>
      <c r="C13" s="1259"/>
      <c r="D13" s="362">
        <f>SUM(D9:D12)</f>
        <v>1234</v>
      </c>
      <c r="E13" s="363">
        <f>D13*10</f>
        <v>12340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23" t="s">
        <v>45</v>
      </c>
      <c r="C18" s="423" t="s">
        <v>16</v>
      </c>
      <c r="D18" s="362">
        <v>292</v>
      </c>
      <c r="E18" s="363">
        <f>D18*10</f>
        <v>2920</v>
      </c>
    </row>
    <row r="19" spans="2:5" ht="20.100000000000001" customHeight="1">
      <c r="B19" s="423" t="s">
        <v>170</v>
      </c>
      <c r="C19" s="423" t="s">
        <v>16</v>
      </c>
      <c r="D19" s="362">
        <v>163</v>
      </c>
      <c r="E19" s="363">
        <f>D19*10</f>
        <v>1630</v>
      </c>
    </row>
    <row r="20" spans="2:5" ht="20.100000000000001" customHeight="1">
      <c r="B20" s="423" t="s">
        <v>65</v>
      </c>
      <c r="C20" s="423" t="s">
        <v>71</v>
      </c>
      <c r="D20" s="362">
        <v>200</v>
      </c>
      <c r="E20" s="363">
        <f>D20*10</f>
        <v>2000</v>
      </c>
    </row>
    <row r="21" spans="2:5" ht="20.100000000000001" customHeight="1">
      <c r="B21" s="423" t="s">
        <v>159</v>
      </c>
      <c r="C21" s="423" t="s">
        <v>26</v>
      </c>
      <c r="D21" s="362">
        <v>224</v>
      </c>
      <c r="E21" s="363">
        <f t="shared" ref="E21:E22" si="1">D21*10</f>
        <v>2240</v>
      </c>
    </row>
    <row r="22" spans="2:5" ht="20.100000000000001" customHeight="1">
      <c r="B22" s="423" t="s">
        <v>144</v>
      </c>
      <c r="C22" s="423" t="s">
        <v>26</v>
      </c>
      <c r="D22" s="362">
        <v>231</v>
      </c>
      <c r="E22" s="363">
        <f t="shared" si="1"/>
        <v>2310</v>
      </c>
    </row>
    <row r="23" spans="2:5" ht="20.100000000000001" customHeight="1">
      <c r="B23" s="1259" t="s">
        <v>24</v>
      </c>
      <c r="C23" s="1259"/>
      <c r="D23" s="362">
        <f>SUM(D18:D22)</f>
        <v>1110</v>
      </c>
      <c r="E23" s="363">
        <f>D23*10</f>
        <v>11100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23" t="s">
        <v>159</v>
      </c>
      <c r="C28" s="423" t="s">
        <v>26</v>
      </c>
      <c r="D28" s="362">
        <v>227</v>
      </c>
      <c r="E28" s="363">
        <f>D28*10</f>
        <v>2270</v>
      </c>
    </row>
    <row r="29" spans="2:5">
      <c r="B29" s="423" t="s">
        <v>144</v>
      </c>
      <c r="C29" s="423" t="s">
        <v>26</v>
      </c>
      <c r="D29" s="362">
        <v>216</v>
      </c>
      <c r="E29" s="363">
        <f t="shared" ref="E29" si="2">D29*10</f>
        <v>2160</v>
      </c>
    </row>
    <row r="30" spans="2:5" ht="20.100000000000001" customHeight="1">
      <c r="B30" s="1259" t="s">
        <v>24</v>
      </c>
      <c r="C30" s="1259"/>
      <c r="D30" s="362">
        <f>SUM(D28:D29)</f>
        <v>443</v>
      </c>
      <c r="E30" s="363">
        <f>D30*10</f>
        <v>4430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1234</v>
      </c>
      <c r="D34" s="348">
        <f>D23</f>
        <v>1110</v>
      </c>
      <c r="E34" s="348">
        <f>D30</f>
        <v>443</v>
      </c>
    </row>
    <row r="35" spans="2:5">
      <c r="B35" s="345" t="s">
        <v>36</v>
      </c>
      <c r="C35" s="343">
        <f>C34*10</f>
        <v>12340</v>
      </c>
      <c r="D35" s="343">
        <f>D34*10</f>
        <v>11100</v>
      </c>
      <c r="E35" s="343">
        <f>E34*10</f>
        <v>4430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2787</v>
      </c>
      <c r="D37" s="378" t="s">
        <v>203</v>
      </c>
      <c r="E37" s="381">
        <f>C37*10</f>
        <v>27870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y5bYmoWBS4wLpLQs8lIbHkSB1ZsBkFAJTwTohGcFK4l0zKI9f+nI73Xd3ltNd8eSwDtBFZA8hNvDSdYoKxYYYw==" saltValue="iEhEYnzuU4YGSjWzgkM/Zg==" spinCount="100000" sheet="1" objects="1" scenarios="1"/>
  <mergeCells count="22"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EFC71-60E9-46DD-BC19-84B6F1526DFA}">
  <sheetPr codeName="Sheet83">
    <pageSetUpPr fitToPage="1"/>
  </sheetPr>
  <dimension ref="B2:H38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44521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195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23" t="s">
        <v>82</v>
      </c>
      <c r="C9" s="423" t="s">
        <v>26</v>
      </c>
      <c r="D9" s="362">
        <v>300</v>
      </c>
      <c r="E9" s="363">
        <f t="shared" ref="E9" si="0">D9*10</f>
        <v>3000</v>
      </c>
    </row>
    <row r="10" spans="2:8" ht="20.100000000000001" customHeight="1">
      <c r="B10" s="423" t="s">
        <v>171</v>
      </c>
      <c r="C10" s="423" t="s">
        <v>26</v>
      </c>
      <c r="D10" s="362">
        <v>433</v>
      </c>
      <c r="E10" s="363">
        <f>D10*10</f>
        <v>4330</v>
      </c>
    </row>
    <row r="11" spans="2:8" ht="20.100000000000001" customHeight="1">
      <c r="B11" s="1259" t="s">
        <v>24</v>
      </c>
      <c r="C11" s="1259"/>
      <c r="D11" s="362">
        <f>SUM(D9:D10)</f>
        <v>733</v>
      </c>
      <c r="E11" s="363">
        <f>D11*10</f>
        <v>7330</v>
      </c>
    </row>
    <row r="13" spans="2:8" ht="19.5">
      <c r="B13" s="334" t="s">
        <v>21</v>
      </c>
      <c r="C13" s="1256" t="s">
        <v>182</v>
      </c>
      <c r="D13" s="1257"/>
      <c r="E13" s="1258"/>
    </row>
    <row r="14" spans="2:8" ht="15" customHeight="1">
      <c r="B14" s="1251" t="s">
        <v>0</v>
      </c>
      <c r="C14" s="1251" t="s">
        <v>1</v>
      </c>
      <c r="D14" s="1252" t="s">
        <v>40</v>
      </c>
      <c r="E14" s="1253" t="s">
        <v>31</v>
      </c>
    </row>
    <row r="15" spans="2:8" s="327" customFormat="1">
      <c r="B15" s="1251"/>
      <c r="C15" s="1251"/>
      <c r="D15" s="1252"/>
      <c r="E15" s="1254"/>
    </row>
    <row r="16" spans="2:8" ht="20.100000000000001" customHeight="1">
      <c r="B16" s="424" t="s">
        <v>44</v>
      </c>
      <c r="C16" s="423" t="s">
        <v>26</v>
      </c>
      <c r="D16" s="362">
        <v>262</v>
      </c>
      <c r="E16" s="363">
        <f t="shared" ref="E16:E17" si="1">D16*10</f>
        <v>2620</v>
      </c>
    </row>
    <row r="17" spans="2:5" ht="20.100000000000001" customHeight="1">
      <c r="B17" s="423" t="s">
        <v>171</v>
      </c>
      <c r="C17" s="423" t="s">
        <v>26</v>
      </c>
      <c r="D17" s="362">
        <v>380</v>
      </c>
      <c r="E17" s="363">
        <f t="shared" si="1"/>
        <v>3800</v>
      </c>
    </row>
    <row r="18" spans="2:5" ht="20.100000000000001" customHeight="1">
      <c r="B18" s="1259" t="s">
        <v>24</v>
      </c>
      <c r="C18" s="1259"/>
      <c r="D18" s="362">
        <f>SUM(D16:D17)</f>
        <v>642</v>
      </c>
      <c r="E18" s="363">
        <f>D18*10</f>
        <v>6420</v>
      </c>
    </row>
    <row r="19" spans="2:5">
      <c r="B19" s="336"/>
      <c r="C19" s="336"/>
      <c r="D19" s="337"/>
      <c r="E19" s="337"/>
    </row>
    <row r="20" spans="2:5" ht="19.5">
      <c r="B20" s="338" t="s">
        <v>28</v>
      </c>
      <c r="C20" s="1264" t="s">
        <v>29</v>
      </c>
      <c r="D20" s="1265"/>
      <c r="E20" s="1266"/>
    </row>
    <row r="21" spans="2:5" ht="15" customHeight="1">
      <c r="B21" s="1251" t="s">
        <v>0</v>
      </c>
      <c r="C21" s="1251" t="s">
        <v>1</v>
      </c>
      <c r="D21" s="1252" t="s">
        <v>40</v>
      </c>
      <c r="E21" s="1253" t="s">
        <v>31</v>
      </c>
    </row>
    <row r="22" spans="2:5">
      <c r="B22" s="1251"/>
      <c r="C22" s="1251"/>
      <c r="D22" s="1252"/>
      <c r="E22" s="1254"/>
    </row>
    <row r="23" spans="2:5">
      <c r="B23" s="424" t="s">
        <v>44</v>
      </c>
      <c r="C23" s="423" t="s">
        <v>26</v>
      </c>
      <c r="D23" s="362">
        <v>250</v>
      </c>
      <c r="E23" s="363">
        <f>D23*10</f>
        <v>2500</v>
      </c>
    </row>
    <row r="24" spans="2:5">
      <c r="B24" s="423" t="s">
        <v>171</v>
      </c>
      <c r="C24" s="423" t="s">
        <v>26</v>
      </c>
      <c r="D24" s="362">
        <v>286</v>
      </c>
      <c r="E24" s="363">
        <f t="shared" ref="E24" si="2">D24*10</f>
        <v>2860</v>
      </c>
    </row>
    <row r="25" spans="2:5" ht="20.100000000000001" customHeight="1">
      <c r="B25" s="1259" t="s">
        <v>24</v>
      </c>
      <c r="C25" s="1259"/>
      <c r="D25" s="362">
        <f>SUM(D23:D24)</f>
        <v>536</v>
      </c>
      <c r="E25" s="363">
        <f>D25*10</f>
        <v>5360</v>
      </c>
    </row>
    <row r="27" spans="2:5" ht="19.5">
      <c r="B27" s="1260" t="s">
        <v>200</v>
      </c>
      <c r="C27" s="1260"/>
      <c r="D27" s="1260"/>
      <c r="E27" s="1260"/>
    </row>
    <row r="28" spans="2:5">
      <c r="B28" s="342"/>
      <c r="C28" s="344" t="s">
        <v>34</v>
      </c>
      <c r="D28" s="344" t="s">
        <v>35</v>
      </c>
      <c r="E28" s="344" t="s">
        <v>37</v>
      </c>
    </row>
    <row r="29" spans="2:5">
      <c r="B29" s="345" t="s">
        <v>39</v>
      </c>
      <c r="C29" s="347">
        <f>D11</f>
        <v>733</v>
      </c>
      <c r="D29" s="348">
        <f>D18</f>
        <v>642</v>
      </c>
      <c r="E29" s="348">
        <f>D25</f>
        <v>536</v>
      </c>
    </row>
    <row r="30" spans="2:5">
      <c r="B30" s="345" t="s">
        <v>36</v>
      </c>
      <c r="C30" s="343">
        <f>C29*10</f>
        <v>7330</v>
      </c>
      <c r="D30" s="343">
        <f>D29*10</f>
        <v>6420</v>
      </c>
      <c r="E30" s="343">
        <f>E29*10</f>
        <v>5360</v>
      </c>
    </row>
    <row r="31" spans="2:5" ht="19.5">
      <c r="B31" s="1261" t="s">
        <v>199</v>
      </c>
      <c r="C31" s="1262"/>
      <c r="D31" s="1262"/>
      <c r="E31" s="1263"/>
    </row>
    <row r="32" spans="2:5">
      <c r="B32" s="377" t="s">
        <v>198</v>
      </c>
      <c r="C32" s="378">
        <f>C29+D29+E29</f>
        <v>1911</v>
      </c>
      <c r="D32" s="378" t="s">
        <v>203</v>
      </c>
      <c r="E32" s="381">
        <f>C32*10</f>
        <v>19110</v>
      </c>
    </row>
    <row r="33" spans="2:5">
      <c r="B33" s="377" t="s">
        <v>197</v>
      </c>
      <c r="C33" s="378" t="e">
        <f>C34-C32</f>
        <v>#REF!</v>
      </c>
      <c r="D33" s="378" t="s">
        <v>204</v>
      </c>
      <c r="E33" s="381" t="e">
        <f>C33*9</f>
        <v>#REF!</v>
      </c>
    </row>
    <row r="34" spans="2:5" ht="19.5">
      <c r="B34" s="334" t="s">
        <v>201</v>
      </c>
      <c r="C34" s="380" t="e">
        <f>'Patron Counts v Swipes'!#REF!</f>
        <v>#REF!</v>
      </c>
      <c r="D34" s="380" t="s">
        <v>202</v>
      </c>
      <c r="E34" s="379" t="e">
        <f>SUM(E32+E33)</f>
        <v>#REF!</v>
      </c>
    </row>
    <row r="36" spans="2:5">
      <c r="B36" s="331" t="s">
        <v>5</v>
      </c>
      <c r="C36" s="339"/>
    </row>
    <row r="37" spans="2:5">
      <c r="B37" s="375" t="s">
        <v>4</v>
      </c>
      <c r="C37" s="376"/>
    </row>
    <row r="38" spans="2:5">
      <c r="B38" s="375" t="s">
        <v>25</v>
      </c>
      <c r="C38" s="376"/>
    </row>
  </sheetData>
  <sheetProtection algorithmName="SHA-512" hashValue="SMC2DIqTrsv2+d2RAjYJC8aJJxDDnOYfrG9pL2ig1zVwLgK1RprIatHEbn2x5JfjXXzHVJRt24ZaRXrCaMdqog==" saltValue="APQbxNkJApnOo20eIrc87w==" spinCount="100000" sheet="1" objects="1" scenarios="1"/>
  <mergeCells count="22">
    <mergeCell ref="B25:C25"/>
    <mergeCell ref="B27:E27"/>
    <mergeCell ref="B31:E31"/>
    <mergeCell ref="B18:C18"/>
    <mergeCell ref="C20:E20"/>
    <mergeCell ref="B21:B22"/>
    <mergeCell ref="C21:C22"/>
    <mergeCell ref="D21:D22"/>
    <mergeCell ref="E21:E22"/>
    <mergeCell ref="B11:C11"/>
    <mergeCell ref="C13:E13"/>
    <mergeCell ref="B14:B15"/>
    <mergeCell ref="C14:C15"/>
    <mergeCell ref="D14:D15"/>
    <mergeCell ref="E14:E15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2B8DD-2990-4BD8-8C49-DB735BD95AC9}">
  <sheetPr codeName="Sheet84">
    <pageSetUpPr fitToPage="1"/>
  </sheetPr>
  <dimension ref="B2:H38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44520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195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23" t="s">
        <v>143</v>
      </c>
      <c r="C9" s="423" t="s">
        <v>26</v>
      </c>
      <c r="D9" s="362">
        <v>326</v>
      </c>
      <c r="E9" s="363">
        <f t="shared" ref="E9" si="0">D9*10</f>
        <v>3260</v>
      </c>
    </row>
    <row r="10" spans="2:8" ht="20.100000000000001" customHeight="1">
      <c r="B10" s="423" t="s">
        <v>64</v>
      </c>
      <c r="C10" s="423" t="s">
        <v>26</v>
      </c>
      <c r="D10" s="362">
        <v>232</v>
      </c>
      <c r="E10" s="363">
        <f>D10*10</f>
        <v>2320</v>
      </c>
    </row>
    <row r="11" spans="2:8" ht="20.100000000000001" customHeight="1">
      <c r="B11" s="1259" t="s">
        <v>24</v>
      </c>
      <c r="C11" s="1259"/>
      <c r="D11" s="362">
        <f>SUM(D9:D10)</f>
        <v>558</v>
      </c>
      <c r="E11" s="363">
        <f>D11*10</f>
        <v>5580</v>
      </c>
    </row>
    <row r="13" spans="2:8" ht="19.5">
      <c r="B13" s="334" t="s">
        <v>21</v>
      </c>
      <c r="C13" s="1256" t="s">
        <v>182</v>
      </c>
      <c r="D13" s="1257"/>
      <c r="E13" s="1258"/>
    </row>
    <row r="14" spans="2:8" ht="15" customHeight="1">
      <c r="B14" s="1251" t="s">
        <v>0</v>
      </c>
      <c r="C14" s="1251" t="s">
        <v>1</v>
      </c>
      <c r="D14" s="1252" t="s">
        <v>40</v>
      </c>
      <c r="E14" s="1253" t="s">
        <v>31</v>
      </c>
    </row>
    <row r="15" spans="2:8" s="327" customFormat="1">
      <c r="B15" s="1251"/>
      <c r="C15" s="1251"/>
      <c r="D15" s="1252"/>
      <c r="E15" s="1254"/>
    </row>
    <row r="16" spans="2:8" ht="20.100000000000001" customHeight="1">
      <c r="B16" s="423" t="s">
        <v>143</v>
      </c>
      <c r="C16" s="423" t="s">
        <v>26</v>
      </c>
      <c r="D16" s="362">
        <v>281</v>
      </c>
      <c r="E16" s="363">
        <f t="shared" ref="E16:E17" si="1">D16*10</f>
        <v>2810</v>
      </c>
    </row>
    <row r="17" spans="2:5" ht="20.100000000000001" customHeight="1">
      <c r="B17" s="423" t="s">
        <v>64</v>
      </c>
      <c r="C17" s="423" t="s">
        <v>26</v>
      </c>
      <c r="D17" s="362">
        <v>225</v>
      </c>
      <c r="E17" s="363">
        <f t="shared" si="1"/>
        <v>2250</v>
      </c>
    </row>
    <row r="18" spans="2:5" ht="20.100000000000001" customHeight="1">
      <c r="B18" s="1259" t="s">
        <v>24</v>
      </c>
      <c r="C18" s="1259"/>
      <c r="D18" s="362">
        <f>SUM(D16:D17)</f>
        <v>506</v>
      </c>
      <c r="E18" s="363">
        <f>D18*10</f>
        <v>5060</v>
      </c>
    </row>
    <row r="19" spans="2:5">
      <c r="B19" s="336"/>
      <c r="C19" s="336"/>
      <c r="D19" s="337"/>
      <c r="E19" s="337"/>
    </row>
    <row r="20" spans="2:5" ht="19.5">
      <c r="B20" s="338" t="s">
        <v>28</v>
      </c>
      <c r="C20" s="1264" t="s">
        <v>29</v>
      </c>
      <c r="D20" s="1265"/>
      <c r="E20" s="1266"/>
    </row>
    <row r="21" spans="2:5" ht="15" customHeight="1">
      <c r="B21" s="1251" t="s">
        <v>0</v>
      </c>
      <c r="C21" s="1251" t="s">
        <v>1</v>
      </c>
      <c r="D21" s="1252" t="s">
        <v>40</v>
      </c>
      <c r="E21" s="1253" t="s">
        <v>31</v>
      </c>
    </row>
    <row r="22" spans="2:5">
      <c r="B22" s="1251"/>
      <c r="C22" s="1251"/>
      <c r="D22" s="1252"/>
      <c r="E22" s="1254"/>
    </row>
    <row r="23" spans="2:5">
      <c r="B23" s="423" t="s">
        <v>143</v>
      </c>
      <c r="C23" s="423" t="s">
        <v>26</v>
      </c>
      <c r="D23" s="362">
        <v>201</v>
      </c>
      <c r="E23" s="363">
        <f>D23*10</f>
        <v>2010</v>
      </c>
    </row>
    <row r="24" spans="2:5">
      <c r="B24" s="423" t="s">
        <v>64</v>
      </c>
      <c r="C24" s="423" t="s">
        <v>26</v>
      </c>
      <c r="D24" s="362">
        <v>216</v>
      </c>
      <c r="E24" s="363">
        <f t="shared" ref="E24" si="2">D24*10</f>
        <v>2160</v>
      </c>
    </row>
    <row r="25" spans="2:5" ht="20.100000000000001" customHeight="1">
      <c r="B25" s="1259" t="s">
        <v>24</v>
      </c>
      <c r="C25" s="1259"/>
      <c r="D25" s="362">
        <f>SUM(D23:D24)</f>
        <v>417</v>
      </c>
      <c r="E25" s="363">
        <f>D25*10</f>
        <v>4170</v>
      </c>
    </row>
    <row r="27" spans="2:5" ht="19.5">
      <c r="B27" s="1260" t="s">
        <v>200</v>
      </c>
      <c r="C27" s="1260"/>
      <c r="D27" s="1260"/>
      <c r="E27" s="1260"/>
    </row>
    <row r="28" spans="2:5">
      <c r="B28" s="342"/>
      <c r="C28" s="344" t="s">
        <v>34</v>
      </c>
      <c r="D28" s="344" t="s">
        <v>35</v>
      </c>
      <c r="E28" s="344" t="s">
        <v>37</v>
      </c>
    </row>
    <row r="29" spans="2:5">
      <c r="B29" s="345" t="s">
        <v>39</v>
      </c>
      <c r="C29" s="347">
        <f>D11</f>
        <v>558</v>
      </c>
      <c r="D29" s="348">
        <f>D18</f>
        <v>506</v>
      </c>
      <c r="E29" s="348">
        <f>D25</f>
        <v>417</v>
      </c>
    </row>
    <row r="30" spans="2:5">
      <c r="B30" s="345" t="s">
        <v>36</v>
      </c>
      <c r="C30" s="343">
        <f>C29*10</f>
        <v>5580</v>
      </c>
      <c r="D30" s="343">
        <f>D29*10</f>
        <v>5060</v>
      </c>
      <c r="E30" s="343">
        <f>E29*10</f>
        <v>4170</v>
      </c>
    </row>
    <row r="31" spans="2:5" ht="19.5">
      <c r="B31" s="1261" t="s">
        <v>199</v>
      </c>
      <c r="C31" s="1262"/>
      <c r="D31" s="1262"/>
      <c r="E31" s="1263"/>
    </row>
    <row r="32" spans="2:5">
      <c r="B32" s="377" t="s">
        <v>198</v>
      </c>
      <c r="C32" s="378">
        <f>C29+D29+E29</f>
        <v>1481</v>
      </c>
      <c r="D32" s="378" t="s">
        <v>203</v>
      </c>
      <c r="E32" s="381">
        <f>C32*10</f>
        <v>14810</v>
      </c>
    </row>
    <row r="33" spans="2:5">
      <c r="B33" s="377" t="s">
        <v>197</v>
      </c>
      <c r="C33" s="378" t="e">
        <f>C34-C32</f>
        <v>#REF!</v>
      </c>
      <c r="D33" s="378" t="s">
        <v>204</v>
      </c>
      <c r="E33" s="381" t="e">
        <f>C33*9</f>
        <v>#REF!</v>
      </c>
    </row>
    <row r="34" spans="2:5" ht="19.5">
      <c r="B34" s="334" t="s">
        <v>201</v>
      </c>
      <c r="C34" s="380" t="e">
        <f>'Patron Counts v Swipes'!#REF!</f>
        <v>#REF!</v>
      </c>
      <c r="D34" s="380" t="s">
        <v>202</v>
      </c>
      <c r="E34" s="379" t="e">
        <f>SUM(E32+E33)</f>
        <v>#REF!</v>
      </c>
    </row>
    <row r="36" spans="2:5">
      <c r="B36" s="331" t="s">
        <v>5</v>
      </c>
      <c r="C36" s="339"/>
    </row>
    <row r="37" spans="2:5">
      <c r="B37" s="375" t="s">
        <v>4</v>
      </c>
      <c r="C37" s="376"/>
    </row>
    <row r="38" spans="2:5">
      <c r="B38" s="375" t="s">
        <v>25</v>
      </c>
      <c r="C38" s="376"/>
    </row>
  </sheetData>
  <sheetProtection algorithmName="SHA-512" hashValue="MGyUPwTl3oh0fyyjJOwI47j5MnbWgd+375moHft7CUvXRBItkteTGpVxDwHbu1KTFgR57oqORJ4vaRW/4oQAoQ==" saltValue="00qbxmHP0f3NiOWR5Jw26Q==" spinCount="100000" sheet="1" objects="1" scenarios="1"/>
  <mergeCells count="22">
    <mergeCell ref="B25:C25"/>
    <mergeCell ref="B27:E27"/>
    <mergeCell ref="B31:E31"/>
    <mergeCell ref="B18:C18"/>
    <mergeCell ref="C20:E20"/>
    <mergeCell ref="B21:B22"/>
    <mergeCell ref="C21:C22"/>
    <mergeCell ref="D21:D22"/>
    <mergeCell ref="E21:E22"/>
    <mergeCell ref="B11:C11"/>
    <mergeCell ref="C13:E13"/>
    <mergeCell ref="B14:B15"/>
    <mergeCell ref="C14:C15"/>
    <mergeCell ref="D14:D15"/>
    <mergeCell ref="E14:E15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568C6-ABE2-43DD-A13B-DE8E5496D4A2}">
  <sheetPr codeName="Sheet85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44519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24" t="s">
        <v>44</v>
      </c>
      <c r="C9" s="423" t="s">
        <v>16</v>
      </c>
      <c r="D9" s="12">
        <v>245</v>
      </c>
      <c r="E9" s="363">
        <f>D9*10</f>
        <v>2450</v>
      </c>
    </row>
    <row r="10" spans="2:8" ht="20.100000000000001" customHeight="1">
      <c r="B10" s="424" t="s">
        <v>189</v>
      </c>
      <c r="C10" s="423" t="s">
        <v>16</v>
      </c>
      <c r="D10" s="362">
        <v>383</v>
      </c>
      <c r="E10" s="363">
        <f t="shared" ref="E10:E11" si="0">D10*10</f>
        <v>3830</v>
      </c>
    </row>
    <row r="11" spans="2:8" ht="20.100000000000001" customHeight="1">
      <c r="B11" s="423" t="s">
        <v>53</v>
      </c>
      <c r="C11" s="423" t="s">
        <v>26</v>
      </c>
      <c r="D11" s="362">
        <v>231</v>
      </c>
      <c r="E11" s="363">
        <f t="shared" si="0"/>
        <v>2310</v>
      </c>
    </row>
    <row r="12" spans="2:8" ht="20.100000000000001" customHeight="1">
      <c r="B12" s="423" t="s">
        <v>164</v>
      </c>
      <c r="C12" s="423" t="s">
        <v>26</v>
      </c>
      <c r="D12" s="362">
        <v>364</v>
      </c>
      <c r="E12" s="363">
        <f>D12*10</f>
        <v>3640</v>
      </c>
    </row>
    <row r="13" spans="2:8" ht="20.100000000000001" customHeight="1">
      <c r="B13" s="1259" t="s">
        <v>24</v>
      </c>
      <c r="C13" s="1259"/>
      <c r="D13" s="362">
        <f>SUM(D9:D12)</f>
        <v>1223</v>
      </c>
      <c r="E13" s="363">
        <f>D13*10</f>
        <v>12230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24" t="s">
        <v>44</v>
      </c>
      <c r="C18" s="423" t="s">
        <v>16</v>
      </c>
      <c r="D18" s="362">
        <v>151</v>
      </c>
      <c r="E18" s="363">
        <f>D18*10</f>
        <v>1510</v>
      </c>
    </row>
    <row r="19" spans="2:5" ht="20.100000000000001" customHeight="1">
      <c r="B19" s="424" t="s">
        <v>189</v>
      </c>
      <c r="C19" s="423" t="s">
        <v>16</v>
      </c>
      <c r="D19" s="362">
        <v>174</v>
      </c>
      <c r="E19" s="363">
        <f>D19*10</f>
        <v>1740</v>
      </c>
    </row>
    <row r="20" spans="2:5" ht="20.100000000000001" customHeight="1">
      <c r="B20" s="423" t="s">
        <v>164</v>
      </c>
      <c r="C20" s="423" t="s">
        <v>71</v>
      </c>
      <c r="D20" s="362">
        <v>250</v>
      </c>
      <c r="E20" s="363">
        <f>D20*10</f>
        <v>2500</v>
      </c>
    </row>
    <row r="21" spans="2:5" ht="20.100000000000001" customHeight="1">
      <c r="B21" s="423" t="s">
        <v>172</v>
      </c>
      <c r="C21" s="423" t="s">
        <v>26</v>
      </c>
      <c r="D21" s="362">
        <v>107</v>
      </c>
      <c r="E21" s="363">
        <f t="shared" ref="E21:E22" si="1">D21*10</f>
        <v>1070</v>
      </c>
    </row>
    <row r="22" spans="2:5" ht="20.100000000000001" customHeight="1">
      <c r="B22" s="423" t="s">
        <v>171</v>
      </c>
      <c r="C22" s="423" t="s">
        <v>26</v>
      </c>
      <c r="D22" s="362">
        <v>258</v>
      </c>
      <c r="E22" s="363">
        <f t="shared" si="1"/>
        <v>2580</v>
      </c>
    </row>
    <row r="23" spans="2:5" ht="20.100000000000001" customHeight="1">
      <c r="B23" s="1259" t="s">
        <v>24</v>
      </c>
      <c r="C23" s="1259"/>
      <c r="D23" s="362">
        <f>SUM(D18:D22)</f>
        <v>940</v>
      </c>
      <c r="E23" s="363">
        <f>D23*10</f>
        <v>9400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23" t="s">
        <v>172</v>
      </c>
      <c r="C28" s="423" t="s">
        <v>26</v>
      </c>
      <c r="D28" s="362">
        <v>75</v>
      </c>
      <c r="E28" s="363">
        <f>D28*10</f>
        <v>750</v>
      </c>
    </row>
    <row r="29" spans="2:5">
      <c r="B29" s="423" t="s">
        <v>171</v>
      </c>
      <c r="C29" s="423" t="s">
        <v>26</v>
      </c>
      <c r="D29" s="362">
        <v>269</v>
      </c>
      <c r="E29" s="363">
        <f t="shared" ref="E29" si="2">D29*10</f>
        <v>2690</v>
      </c>
    </row>
    <row r="30" spans="2:5" ht="20.100000000000001" customHeight="1">
      <c r="B30" s="1259" t="s">
        <v>24</v>
      </c>
      <c r="C30" s="1259"/>
      <c r="D30" s="362">
        <f>SUM(D28:D29)</f>
        <v>344</v>
      </c>
      <c r="E30" s="363">
        <f>D30*10</f>
        <v>3440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1223</v>
      </c>
      <c r="D34" s="348">
        <f>D23</f>
        <v>940</v>
      </c>
      <c r="E34" s="348">
        <f>D30</f>
        <v>344</v>
      </c>
    </row>
    <row r="35" spans="2:5">
      <c r="B35" s="345" t="s">
        <v>36</v>
      </c>
      <c r="C35" s="343">
        <f>C34*10</f>
        <v>12230</v>
      </c>
      <c r="D35" s="343">
        <f>D34*10</f>
        <v>9400</v>
      </c>
      <c r="E35" s="343">
        <f>E34*10</f>
        <v>3440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2507</v>
      </c>
      <c r="D37" s="378" t="s">
        <v>203</v>
      </c>
      <c r="E37" s="381">
        <f>C37*10</f>
        <v>25070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xXF3G3XnH/riF/l8XbWH1CGDWBYWI3KmA2BTLAtR0g4HE/yvJO7UdiuurCvLyAH5cm0czjNUnRNlGyxa/5Z9NA==" saltValue="evZeJ+yWLxBPlaDYYxZX1A==" spinCount="100000" sheet="1" objects="1" scenarios="1"/>
  <mergeCells count="22"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3CBB8-6C97-4A46-AAAC-6C242173D56C}">
  <sheetPr codeName="Sheet86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44518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23" t="s">
        <v>53</v>
      </c>
      <c r="C9" s="423" t="s">
        <v>16</v>
      </c>
      <c r="D9" s="12">
        <v>295</v>
      </c>
      <c r="E9" s="363">
        <f>D9*10</f>
        <v>2950</v>
      </c>
    </row>
    <row r="10" spans="2:8" ht="20.100000000000001" customHeight="1">
      <c r="B10" s="424" t="s">
        <v>185</v>
      </c>
      <c r="C10" s="423" t="s">
        <v>16</v>
      </c>
      <c r="D10" s="362">
        <v>627</v>
      </c>
      <c r="E10" s="363">
        <f t="shared" ref="E10:E11" si="0">D10*10</f>
        <v>6270</v>
      </c>
    </row>
    <row r="11" spans="2:8" ht="20.100000000000001" customHeight="1">
      <c r="B11" s="423" t="s">
        <v>70</v>
      </c>
      <c r="C11" s="423" t="s">
        <v>26</v>
      </c>
      <c r="D11" s="362">
        <v>425</v>
      </c>
      <c r="E11" s="363">
        <f t="shared" si="0"/>
        <v>4250</v>
      </c>
    </row>
    <row r="12" spans="2:8" ht="20.100000000000001" customHeight="1">
      <c r="B12" s="423" t="s">
        <v>65</v>
      </c>
      <c r="C12" s="423" t="s">
        <v>26</v>
      </c>
      <c r="D12" s="362">
        <v>293</v>
      </c>
      <c r="E12" s="363">
        <f>D12*10</f>
        <v>2930</v>
      </c>
    </row>
    <row r="13" spans="2:8" ht="20.100000000000001" customHeight="1">
      <c r="B13" s="1259" t="s">
        <v>24</v>
      </c>
      <c r="C13" s="1259"/>
      <c r="D13" s="362">
        <f>SUM(D9:D12)</f>
        <v>1640</v>
      </c>
      <c r="E13" s="363">
        <f>D13*10</f>
        <v>16400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23" t="s">
        <v>172</v>
      </c>
      <c r="C18" s="423" t="s">
        <v>16</v>
      </c>
      <c r="D18" s="362">
        <v>151</v>
      </c>
      <c r="E18" s="363">
        <f>D18*10</f>
        <v>1510</v>
      </c>
    </row>
    <row r="19" spans="2:5" ht="20.100000000000001" customHeight="1">
      <c r="B19" s="424" t="s">
        <v>185</v>
      </c>
      <c r="C19" s="423" t="s">
        <v>16</v>
      </c>
      <c r="D19" s="362">
        <v>566</v>
      </c>
      <c r="E19" s="363">
        <f>D19*10</f>
        <v>5660</v>
      </c>
    </row>
    <row r="20" spans="2:5" ht="20.100000000000001" customHeight="1">
      <c r="B20" s="423" t="s">
        <v>164</v>
      </c>
      <c r="C20" s="423" t="s">
        <v>71</v>
      </c>
      <c r="D20" s="362">
        <v>264</v>
      </c>
      <c r="E20" s="363">
        <f>D20*10</f>
        <v>2640</v>
      </c>
    </row>
    <row r="21" spans="2:5" ht="20.100000000000001" customHeight="1">
      <c r="B21" s="424" t="s">
        <v>70</v>
      </c>
      <c r="C21" s="423" t="s">
        <v>26</v>
      </c>
      <c r="D21" s="362">
        <v>400</v>
      </c>
      <c r="E21" s="363">
        <f t="shared" ref="E21:E22" si="1">D21*10</f>
        <v>4000</v>
      </c>
    </row>
    <row r="22" spans="2:5" ht="20.100000000000001" customHeight="1">
      <c r="B22" s="423" t="s">
        <v>65</v>
      </c>
      <c r="C22" s="423" t="s">
        <v>26</v>
      </c>
      <c r="D22" s="362">
        <v>225</v>
      </c>
      <c r="E22" s="363">
        <f t="shared" si="1"/>
        <v>2250</v>
      </c>
    </row>
    <row r="23" spans="2:5" ht="20.100000000000001" customHeight="1">
      <c r="B23" s="1259" t="s">
        <v>24</v>
      </c>
      <c r="C23" s="1259"/>
      <c r="D23" s="362">
        <f>SUM(D18:D22)</f>
        <v>1606</v>
      </c>
      <c r="E23" s="363">
        <f>D23*10</f>
        <v>16060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24" t="s">
        <v>70</v>
      </c>
      <c r="C28" s="423" t="s">
        <v>26</v>
      </c>
      <c r="D28" s="362">
        <v>389</v>
      </c>
      <c r="E28" s="363">
        <f>D28*10</f>
        <v>3890</v>
      </c>
    </row>
    <row r="29" spans="2:5">
      <c r="B29" s="423" t="s">
        <v>65</v>
      </c>
      <c r="C29" s="423" t="s">
        <v>26</v>
      </c>
      <c r="D29" s="362">
        <v>245</v>
      </c>
      <c r="E29" s="363">
        <f t="shared" ref="E29" si="2">D29*10</f>
        <v>2450</v>
      </c>
    </row>
    <row r="30" spans="2:5" ht="20.100000000000001" customHeight="1">
      <c r="B30" s="1259" t="s">
        <v>24</v>
      </c>
      <c r="C30" s="1259"/>
      <c r="D30" s="362">
        <f>SUM(D28:D29)</f>
        <v>634</v>
      </c>
      <c r="E30" s="363">
        <f>D30*10</f>
        <v>6340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1640</v>
      </c>
      <c r="D34" s="348">
        <f>D23</f>
        <v>1606</v>
      </c>
      <c r="E34" s="348">
        <f>D30</f>
        <v>634</v>
      </c>
    </row>
    <row r="35" spans="2:5">
      <c r="B35" s="345" t="s">
        <v>36</v>
      </c>
      <c r="C35" s="343">
        <f>C34*10</f>
        <v>16400</v>
      </c>
      <c r="D35" s="343">
        <f>D34*10</f>
        <v>16060</v>
      </c>
      <c r="E35" s="343">
        <f>E34*10</f>
        <v>6340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3880</v>
      </c>
      <c r="D37" s="378" t="s">
        <v>203</v>
      </c>
      <c r="E37" s="381">
        <f>C37*10</f>
        <v>38800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Q6G+9htwLOoWxPLRM0FqpVykhnCS2JPGSShmV6XSdel7CQYIscyywSTOlLlLk8CPf0Y93Ru7MFJQsYuPAlbBow==" saltValue="q3B9gldMG09Jqm8vMEGlUw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5635A-359E-45C9-A7CC-51A055EE9F97}">
  <sheetPr codeName="Sheet87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44517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20" t="s">
        <v>63</v>
      </c>
      <c r="C9" s="415" t="s">
        <v>16</v>
      </c>
      <c r="D9" s="12">
        <v>293</v>
      </c>
      <c r="E9" s="363">
        <f>D9*10</f>
        <v>2930</v>
      </c>
    </row>
    <row r="10" spans="2:8" ht="20.100000000000001" customHeight="1">
      <c r="B10" s="419" t="s">
        <v>171</v>
      </c>
      <c r="C10" s="415" t="s">
        <v>16</v>
      </c>
      <c r="D10" s="362">
        <v>427</v>
      </c>
      <c r="E10" s="363">
        <f t="shared" ref="E10:E11" si="0">D10*10</f>
        <v>4270</v>
      </c>
    </row>
    <row r="11" spans="2:8" ht="20.100000000000001" customHeight="1">
      <c r="B11" s="419" t="s">
        <v>53</v>
      </c>
      <c r="C11" s="415" t="s">
        <v>26</v>
      </c>
      <c r="D11" s="362">
        <v>280</v>
      </c>
      <c r="E11" s="363">
        <f t="shared" si="0"/>
        <v>2800</v>
      </c>
    </row>
    <row r="12" spans="2:8" ht="20.100000000000001" customHeight="1">
      <c r="B12" s="419" t="s">
        <v>82</v>
      </c>
      <c r="C12" s="415" t="s">
        <v>26</v>
      </c>
      <c r="D12" s="362">
        <v>306</v>
      </c>
      <c r="E12" s="363">
        <f>D12*10</f>
        <v>3060</v>
      </c>
    </row>
    <row r="13" spans="2:8" ht="20.100000000000001" customHeight="1">
      <c r="B13" s="1259" t="s">
        <v>24</v>
      </c>
      <c r="C13" s="1259"/>
      <c r="D13" s="362">
        <f>SUM(D9:D12)</f>
        <v>1306</v>
      </c>
      <c r="E13" s="363">
        <f>D13*10</f>
        <v>13060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22" t="s">
        <v>63</v>
      </c>
      <c r="C18" s="415" t="s">
        <v>16</v>
      </c>
      <c r="D18" s="362">
        <v>202</v>
      </c>
      <c r="E18" s="363">
        <f>D18*10</f>
        <v>2020</v>
      </c>
    </row>
    <row r="19" spans="2:5" ht="20.100000000000001" customHeight="1">
      <c r="B19" s="421" t="s">
        <v>66</v>
      </c>
      <c r="C19" s="415" t="s">
        <v>16</v>
      </c>
      <c r="D19" s="362">
        <v>218</v>
      </c>
      <c r="E19" s="363">
        <f>D19*10</f>
        <v>2180</v>
      </c>
    </row>
    <row r="20" spans="2:5" ht="20.100000000000001" customHeight="1">
      <c r="B20" s="424" t="s">
        <v>189</v>
      </c>
      <c r="C20" s="415" t="s">
        <v>71</v>
      </c>
      <c r="D20" s="362">
        <v>289</v>
      </c>
      <c r="E20" s="363">
        <f>D20*10</f>
        <v>2890</v>
      </c>
    </row>
    <row r="21" spans="2:5" ht="20.100000000000001" customHeight="1">
      <c r="B21" s="424" t="s">
        <v>164</v>
      </c>
      <c r="C21" s="415" t="s">
        <v>26</v>
      </c>
      <c r="D21" s="362">
        <v>339</v>
      </c>
      <c r="E21" s="363">
        <f t="shared" ref="E21:E22" si="1">D21*10</f>
        <v>3390</v>
      </c>
    </row>
    <row r="22" spans="2:5" ht="20.100000000000001" customHeight="1">
      <c r="B22" s="424" t="s">
        <v>44</v>
      </c>
      <c r="C22" s="415" t="s">
        <v>26</v>
      </c>
      <c r="D22" s="362">
        <v>254</v>
      </c>
      <c r="E22" s="363">
        <f t="shared" si="1"/>
        <v>2540</v>
      </c>
    </row>
    <row r="23" spans="2:5" ht="20.100000000000001" customHeight="1">
      <c r="B23" s="1259" t="s">
        <v>24</v>
      </c>
      <c r="C23" s="1259"/>
      <c r="D23" s="362">
        <f>SUM(D18:D22)</f>
        <v>1302</v>
      </c>
      <c r="E23" s="363">
        <f>D23*10</f>
        <v>13020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23" t="s">
        <v>164</v>
      </c>
      <c r="C28" s="415" t="s">
        <v>26</v>
      </c>
      <c r="D28" s="362">
        <v>278</v>
      </c>
      <c r="E28" s="363">
        <f>D28*10</f>
        <v>2780</v>
      </c>
    </row>
    <row r="29" spans="2:5">
      <c r="B29" s="424" t="s">
        <v>44</v>
      </c>
      <c r="C29" s="415" t="s">
        <v>26</v>
      </c>
      <c r="D29" s="362">
        <v>253</v>
      </c>
      <c r="E29" s="363">
        <f t="shared" ref="E29" si="2">D29*10</f>
        <v>2530</v>
      </c>
    </row>
    <row r="30" spans="2:5" ht="20.100000000000001" customHeight="1">
      <c r="B30" s="1259" t="s">
        <v>24</v>
      </c>
      <c r="C30" s="1259"/>
      <c r="D30" s="362">
        <f>SUM(D28:D29)</f>
        <v>531</v>
      </c>
      <c r="E30" s="363">
        <f>D30*10</f>
        <v>5310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1306</v>
      </c>
      <c r="D34" s="348">
        <f>D23</f>
        <v>1302</v>
      </c>
      <c r="E34" s="348">
        <f>D30</f>
        <v>531</v>
      </c>
    </row>
    <row r="35" spans="2:5">
      <c r="B35" s="345" t="s">
        <v>36</v>
      </c>
      <c r="C35" s="343">
        <f>C34*10</f>
        <v>13060</v>
      </c>
      <c r="D35" s="343">
        <f>D34*10</f>
        <v>13020</v>
      </c>
      <c r="E35" s="343">
        <f>E34*10</f>
        <v>5310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3139</v>
      </c>
      <c r="D37" s="378" t="s">
        <v>203</v>
      </c>
      <c r="E37" s="381">
        <f>C37*10</f>
        <v>31390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uiQOOSTtjWJk2uOXujvpjGjoKiFAwmPyxyyjLhNMrv9dFPeUR1hq6CGCzMA5VgXQ4QS0Z/yvCREaWsXPlHjYGg==" saltValue="a9lHQe3eplHvqQQ3yJDXF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B17F5-0651-4184-95F6-2FA63B32E66C}">
  <sheetPr codeName="Sheet88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44516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412" t="s">
        <v>185</v>
      </c>
      <c r="C9" s="401" t="s">
        <v>16</v>
      </c>
      <c r="D9" s="12">
        <v>589</v>
      </c>
      <c r="E9" s="363">
        <f>D9*10</f>
        <v>5890</v>
      </c>
    </row>
    <row r="10" spans="2:8" ht="20.100000000000001" customHeight="1">
      <c r="B10" s="411" t="s">
        <v>205</v>
      </c>
      <c r="C10" s="401" t="s">
        <v>16</v>
      </c>
      <c r="D10" s="362">
        <v>283</v>
      </c>
      <c r="E10" s="363">
        <f t="shared" ref="E10:E11" si="0">D10*10</f>
        <v>2830</v>
      </c>
    </row>
    <row r="11" spans="2:8" ht="20.100000000000001" customHeight="1">
      <c r="B11" s="411" t="s">
        <v>170</v>
      </c>
      <c r="C11" s="401" t="s">
        <v>26</v>
      </c>
      <c r="D11" s="362">
        <v>266</v>
      </c>
      <c r="E11" s="363">
        <f t="shared" si="0"/>
        <v>2660</v>
      </c>
    </row>
    <row r="12" spans="2:8" ht="20.100000000000001" customHeight="1">
      <c r="B12" s="411" t="s">
        <v>53</v>
      </c>
      <c r="C12" s="401" t="s">
        <v>26</v>
      </c>
      <c r="D12" s="362">
        <v>266</v>
      </c>
      <c r="E12" s="363">
        <f>D12*10</f>
        <v>2660</v>
      </c>
    </row>
    <row r="13" spans="2:8" ht="20.100000000000001" customHeight="1">
      <c r="B13" s="1259" t="s">
        <v>24</v>
      </c>
      <c r="C13" s="1259"/>
      <c r="D13" s="362">
        <f>SUM(D9:D12)</f>
        <v>1404</v>
      </c>
      <c r="E13" s="363">
        <f>D13*10</f>
        <v>14040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14" t="s">
        <v>185</v>
      </c>
      <c r="C18" s="401" t="s">
        <v>16</v>
      </c>
      <c r="D18" s="362">
        <v>565</v>
      </c>
      <c r="E18" s="363">
        <f>D18*10</f>
        <v>5650</v>
      </c>
    </row>
    <row r="19" spans="2:5" ht="20.100000000000001" customHeight="1">
      <c r="B19" s="413" t="s">
        <v>78</v>
      </c>
      <c r="C19" s="401" t="s">
        <v>16</v>
      </c>
      <c r="D19" s="362">
        <v>218</v>
      </c>
      <c r="E19" s="363">
        <f>D19*10</f>
        <v>2180</v>
      </c>
    </row>
    <row r="20" spans="2:5" ht="20.100000000000001" customHeight="1">
      <c r="B20" s="413" t="s">
        <v>170</v>
      </c>
      <c r="C20" s="401" t="s">
        <v>71</v>
      </c>
      <c r="D20" s="362">
        <v>188</v>
      </c>
      <c r="E20" s="363">
        <f>D20*10</f>
        <v>1880</v>
      </c>
    </row>
    <row r="21" spans="2:5" ht="20.100000000000001" customHeight="1">
      <c r="B21" s="414" t="s">
        <v>70</v>
      </c>
      <c r="C21" s="401" t="s">
        <v>26</v>
      </c>
      <c r="D21" s="362">
        <v>350</v>
      </c>
      <c r="E21" s="363">
        <f t="shared" ref="E21:E22" si="1">D21*10</f>
        <v>3500</v>
      </c>
    </row>
    <row r="22" spans="2:5" ht="20.100000000000001" customHeight="1">
      <c r="B22" s="413" t="s">
        <v>159</v>
      </c>
      <c r="C22" s="401" t="s">
        <v>26</v>
      </c>
      <c r="D22" s="362">
        <v>210</v>
      </c>
      <c r="E22" s="363">
        <f t="shared" si="1"/>
        <v>2100</v>
      </c>
    </row>
    <row r="23" spans="2:5" ht="20.100000000000001" customHeight="1">
      <c r="B23" s="1259" t="s">
        <v>24</v>
      </c>
      <c r="C23" s="1259"/>
      <c r="D23" s="362">
        <f>SUM(D18:D22)</f>
        <v>1531</v>
      </c>
      <c r="E23" s="363">
        <f>D23*10</f>
        <v>15310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16" t="s">
        <v>70</v>
      </c>
      <c r="C28" s="401" t="s">
        <v>26</v>
      </c>
      <c r="D28" s="362">
        <v>359</v>
      </c>
      <c r="E28" s="363">
        <f>D28*10</f>
        <v>3590</v>
      </c>
    </row>
    <row r="29" spans="2:5">
      <c r="B29" s="415" t="s">
        <v>159</v>
      </c>
      <c r="C29" s="401" t="s">
        <v>26</v>
      </c>
      <c r="D29" s="362">
        <v>222</v>
      </c>
      <c r="E29" s="363">
        <f t="shared" ref="E29" si="2">D29*10</f>
        <v>2220</v>
      </c>
    </row>
    <row r="30" spans="2:5" ht="20.100000000000001" customHeight="1">
      <c r="B30" s="1259" t="s">
        <v>24</v>
      </c>
      <c r="C30" s="1259"/>
      <c r="D30" s="362">
        <f>SUM(D28:D29)</f>
        <v>581</v>
      </c>
      <c r="E30" s="363">
        <f>D30*10</f>
        <v>5810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1404</v>
      </c>
      <c r="D34" s="348">
        <f>D23</f>
        <v>1531</v>
      </c>
      <c r="E34" s="348">
        <f>D30</f>
        <v>581</v>
      </c>
    </row>
    <row r="35" spans="2:5">
      <c r="B35" s="345" t="s">
        <v>36</v>
      </c>
      <c r="C35" s="343">
        <f>C34*10</f>
        <v>14040</v>
      </c>
      <c r="D35" s="343">
        <f>D34*10</f>
        <v>15310</v>
      </c>
      <c r="E35" s="343">
        <f>E34*10</f>
        <v>5810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3516</v>
      </c>
      <c r="D37" s="378" t="s">
        <v>203</v>
      </c>
      <c r="E37" s="381">
        <f>C37*10</f>
        <v>35160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yYjpARqq8plGlBCwjjyEtfhQviTMxXK4yaSDyPwGq9jMxIWQlxdh+LlektShvSDm5b2b7n1++GbxEun4eyv0xQ==" saltValue="xGzQQbrDKQEmk1VlA49ruw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92A1C-485A-4032-87F7-57A291184926}">
  <sheetPr codeName="Sheet89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44515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99" t="s">
        <v>171</v>
      </c>
      <c r="C9" s="386" t="s">
        <v>16</v>
      </c>
      <c r="D9" s="12">
        <v>431</v>
      </c>
      <c r="E9" s="363">
        <f>D9*10</f>
        <v>4310</v>
      </c>
    </row>
    <row r="10" spans="2:8" ht="20.100000000000001" customHeight="1">
      <c r="B10" s="399" t="s">
        <v>45</v>
      </c>
      <c r="C10" s="386" t="s">
        <v>16</v>
      </c>
      <c r="D10" s="362">
        <v>248</v>
      </c>
      <c r="E10" s="363">
        <f t="shared" ref="E10:E11" si="0">D10*10</f>
        <v>2480</v>
      </c>
    </row>
    <row r="11" spans="2:8" ht="20.100000000000001" customHeight="1">
      <c r="B11" s="399" t="s">
        <v>65</v>
      </c>
      <c r="C11" s="386" t="s">
        <v>26</v>
      </c>
      <c r="D11" s="362">
        <v>292</v>
      </c>
      <c r="E11" s="363">
        <f t="shared" si="0"/>
        <v>2920</v>
      </c>
    </row>
    <row r="12" spans="2:8" ht="20.100000000000001" customHeight="1">
      <c r="B12" s="399" t="s">
        <v>53</v>
      </c>
      <c r="C12" s="386" t="s">
        <v>26</v>
      </c>
      <c r="D12" s="362">
        <v>228</v>
      </c>
      <c r="E12" s="363">
        <f>D12*10</f>
        <v>2280</v>
      </c>
    </row>
    <row r="13" spans="2:8" ht="20.100000000000001" customHeight="1">
      <c r="B13" s="1259" t="s">
        <v>24</v>
      </c>
      <c r="C13" s="1259"/>
      <c r="D13" s="362">
        <f>SUM(D9:D12)</f>
        <v>1199</v>
      </c>
      <c r="E13" s="363">
        <f>D13*10</f>
        <v>11990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400" t="s">
        <v>171</v>
      </c>
      <c r="C18" s="386" t="s">
        <v>16</v>
      </c>
      <c r="D18" s="362">
        <v>347</v>
      </c>
      <c r="E18" s="363">
        <f>D18*10</f>
        <v>3470</v>
      </c>
    </row>
    <row r="19" spans="2:5" ht="20.100000000000001" customHeight="1">
      <c r="B19" s="400" t="s">
        <v>45</v>
      </c>
      <c r="C19" s="386" t="s">
        <v>16</v>
      </c>
      <c r="D19" s="362">
        <v>262</v>
      </c>
      <c r="E19" s="363">
        <f>D19*10</f>
        <v>2620</v>
      </c>
    </row>
    <row r="20" spans="2:5" ht="20.100000000000001" customHeight="1">
      <c r="B20" s="400" t="s">
        <v>172</v>
      </c>
      <c r="C20" s="386" t="s">
        <v>71</v>
      </c>
      <c r="D20" s="362">
        <v>100</v>
      </c>
      <c r="E20" s="363">
        <f>D20*10</f>
        <v>1000</v>
      </c>
    </row>
    <row r="21" spans="2:5" ht="20.100000000000001" customHeight="1">
      <c r="B21" s="400" t="s">
        <v>65</v>
      </c>
      <c r="C21" s="386" t="s">
        <v>26</v>
      </c>
      <c r="D21" s="362">
        <v>215</v>
      </c>
      <c r="E21" s="363">
        <f t="shared" ref="E21:E22" si="1">D21*10</f>
        <v>2150</v>
      </c>
    </row>
    <row r="22" spans="2:5" ht="20.100000000000001" customHeight="1">
      <c r="B22" s="400" t="s">
        <v>164</v>
      </c>
      <c r="C22" s="386" t="s">
        <v>26</v>
      </c>
      <c r="D22" s="362">
        <v>300</v>
      </c>
      <c r="E22" s="363">
        <f t="shared" si="1"/>
        <v>3000</v>
      </c>
    </row>
    <row r="23" spans="2:5" ht="20.100000000000001" customHeight="1">
      <c r="B23" s="1259" t="s">
        <v>24</v>
      </c>
      <c r="C23" s="1259"/>
      <c r="D23" s="362">
        <f>SUM(D18:D22)</f>
        <v>1224</v>
      </c>
      <c r="E23" s="363">
        <f>D23*10</f>
        <v>12240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401" t="s">
        <v>65</v>
      </c>
      <c r="C28" s="386" t="s">
        <v>26</v>
      </c>
      <c r="D28" s="362">
        <v>200</v>
      </c>
      <c r="E28" s="363">
        <f>D28*10</f>
        <v>2000</v>
      </c>
    </row>
    <row r="29" spans="2:5">
      <c r="B29" s="401" t="s">
        <v>164</v>
      </c>
      <c r="C29" s="386" t="s">
        <v>26</v>
      </c>
      <c r="D29" s="362">
        <v>235</v>
      </c>
      <c r="E29" s="363">
        <f t="shared" ref="E29" si="2">D29*10</f>
        <v>2350</v>
      </c>
    </row>
    <row r="30" spans="2:5" ht="20.100000000000001" customHeight="1">
      <c r="B30" s="1259" t="s">
        <v>24</v>
      </c>
      <c r="C30" s="1259"/>
      <c r="D30" s="362">
        <f>SUM(D28:D29)</f>
        <v>435</v>
      </c>
      <c r="E30" s="363">
        <f>D30*10</f>
        <v>4350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1199</v>
      </c>
      <c r="D34" s="348">
        <f>D23</f>
        <v>1224</v>
      </c>
      <c r="E34" s="348">
        <f>D30</f>
        <v>435</v>
      </c>
    </row>
    <row r="35" spans="2:5">
      <c r="B35" s="345" t="s">
        <v>36</v>
      </c>
      <c r="C35" s="343">
        <f>C34*10</f>
        <v>11990</v>
      </c>
      <c r="D35" s="343">
        <f>D34*10</f>
        <v>12240</v>
      </c>
      <c r="E35" s="343">
        <f>E34*10</f>
        <v>4350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2858</v>
      </c>
      <c r="D37" s="378" t="s">
        <v>203</v>
      </c>
      <c r="E37" s="381">
        <f>C37*10</f>
        <v>28580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78QPhA/eRHzmaE7tF189JZv+sqyw+1knG6JBjckpUUfdM0bv9Gok1fAxTPWETZl3RbTxAzShWG1IKF/5Lklhzw==" saltValue="TkwPfoxNYjSmvNIBOgCy9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86903-0E0D-49B5-8B44-2483D0CCF82D}">
  <sheetPr codeName="Sheet90">
    <pageSetUpPr fitToPage="1"/>
  </sheetPr>
  <dimension ref="B2:H38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44514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195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87" t="s">
        <v>63</v>
      </c>
      <c r="C9" s="386" t="s">
        <v>26</v>
      </c>
      <c r="D9" s="362">
        <v>245</v>
      </c>
      <c r="E9" s="363">
        <f t="shared" ref="E9" si="0">D9*10</f>
        <v>2450</v>
      </c>
    </row>
    <row r="10" spans="2:8" ht="20.100000000000001" customHeight="1">
      <c r="B10" s="386" t="s">
        <v>144</v>
      </c>
      <c r="C10" s="386" t="s">
        <v>26</v>
      </c>
      <c r="D10" s="362">
        <v>267</v>
      </c>
      <c r="E10" s="363">
        <f>D10*10</f>
        <v>2670</v>
      </c>
    </row>
    <row r="11" spans="2:8" ht="20.100000000000001" customHeight="1">
      <c r="B11" s="1259" t="s">
        <v>24</v>
      </c>
      <c r="C11" s="1259"/>
      <c r="D11" s="362">
        <f>SUM(D9:D10)</f>
        <v>512</v>
      </c>
      <c r="E11" s="363">
        <f>D11*10</f>
        <v>5120</v>
      </c>
    </row>
    <row r="13" spans="2:8" ht="19.5">
      <c r="B13" s="334" t="s">
        <v>21</v>
      </c>
      <c r="C13" s="1256" t="s">
        <v>182</v>
      </c>
      <c r="D13" s="1257"/>
      <c r="E13" s="1258"/>
    </row>
    <row r="14" spans="2:8" ht="15" customHeight="1">
      <c r="B14" s="1251" t="s">
        <v>0</v>
      </c>
      <c r="C14" s="1251" t="s">
        <v>1</v>
      </c>
      <c r="D14" s="1252" t="s">
        <v>40</v>
      </c>
      <c r="E14" s="1253" t="s">
        <v>31</v>
      </c>
    </row>
    <row r="15" spans="2:8" s="327" customFormat="1">
      <c r="B15" s="1251"/>
      <c r="C15" s="1251"/>
      <c r="D15" s="1252"/>
      <c r="E15" s="1254"/>
    </row>
    <row r="16" spans="2:8" ht="20.100000000000001" customHeight="1">
      <c r="B16" s="387" t="s">
        <v>63</v>
      </c>
      <c r="C16" s="386" t="s">
        <v>26</v>
      </c>
      <c r="D16" s="362">
        <v>150</v>
      </c>
      <c r="E16" s="363">
        <f t="shared" ref="E16:E17" si="1">D16*10</f>
        <v>1500</v>
      </c>
    </row>
    <row r="17" spans="2:5" ht="20.100000000000001" customHeight="1">
      <c r="B17" s="386" t="s">
        <v>144</v>
      </c>
      <c r="C17" s="386" t="s">
        <v>26</v>
      </c>
      <c r="D17" s="362">
        <v>242</v>
      </c>
      <c r="E17" s="363">
        <f t="shared" si="1"/>
        <v>2420</v>
      </c>
    </row>
    <row r="18" spans="2:5" ht="20.100000000000001" customHeight="1">
      <c r="B18" s="1259" t="s">
        <v>24</v>
      </c>
      <c r="C18" s="1259"/>
      <c r="D18" s="362">
        <f>SUM(D16:D17)</f>
        <v>392</v>
      </c>
      <c r="E18" s="363">
        <f>D18*10</f>
        <v>3920</v>
      </c>
    </row>
    <row r="19" spans="2:5">
      <c r="B19" s="336"/>
      <c r="C19" s="336"/>
      <c r="D19" s="337"/>
      <c r="E19" s="337"/>
    </row>
    <row r="20" spans="2:5" ht="19.5">
      <c r="B20" s="338" t="s">
        <v>28</v>
      </c>
      <c r="C20" s="1264" t="s">
        <v>29</v>
      </c>
      <c r="D20" s="1265"/>
      <c r="E20" s="1266"/>
    </row>
    <row r="21" spans="2:5" ht="15" customHeight="1">
      <c r="B21" s="1251" t="s">
        <v>0</v>
      </c>
      <c r="C21" s="1251" t="s">
        <v>1</v>
      </c>
      <c r="D21" s="1252" t="s">
        <v>40</v>
      </c>
      <c r="E21" s="1253" t="s">
        <v>31</v>
      </c>
    </row>
    <row r="22" spans="2:5">
      <c r="B22" s="1251"/>
      <c r="C22" s="1251"/>
      <c r="D22" s="1252"/>
      <c r="E22" s="1254"/>
    </row>
    <row r="23" spans="2:5">
      <c r="B23" s="387" t="s">
        <v>63</v>
      </c>
      <c r="C23" s="386" t="s">
        <v>26</v>
      </c>
      <c r="D23" s="362">
        <v>134</v>
      </c>
      <c r="E23" s="363">
        <f>D23*10</f>
        <v>1340</v>
      </c>
    </row>
    <row r="24" spans="2:5">
      <c r="B24" s="386" t="s">
        <v>144</v>
      </c>
      <c r="C24" s="386" t="s">
        <v>26</v>
      </c>
      <c r="D24" s="362">
        <v>203</v>
      </c>
      <c r="E24" s="363">
        <f t="shared" ref="E24" si="2">D24*10</f>
        <v>2030</v>
      </c>
    </row>
    <row r="25" spans="2:5" ht="20.100000000000001" customHeight="1">
      <c r="B25" s="1259" t="s">
        <v>24</v>
      </c>
      <c r="C25" s="1259"/>
      <c r="D25" s="362">
        <f>SUM(D23:D24)</f>
        <v>337</v>
      </c>
      <c r="E25" s="363">
        <f>D25*10</f>
        <v>3370</v>
      </c>
    </row>
    <row r="27" spans="2:5" ht="19.5">
      <c r="B27" s="1260" t="s">
        <v>200</v>
      </c>
      <c r="C27" s="1260"/>
      <c r="D27" s="1260"/>
      <c r="E27" s="1260"/>
    </row>
    <row r="28" spans="2:5">
      <c r="B28" s="342"/>
      <c r="C28" s="344" t="s">
        <v>34</v>
      </c>
      <c r="D28" s="344" t="s">
        <v>35</v>
      </c>
      <c r="E28" s="344" t="s">
        <v>37</v>
      </c>
    </row>
    <row r="29" spans="2:5">
      <c r="B29" s="345" t="s">
        <v>39</v>
      </c>
      <c r="C29" s="347">
        <f>D11</f>
        <v>512</v>
      </c>
      <c r="D29" s="348">
        <f>D18</f>
        <v>392</v>
      </c>
      <c r="E29" s="348">
        <f>D25</f>
        <v>337</v>
      </c>
    </row>
    <row r="30" spans="2:5">
      <c r="B30" s="345" t="s">
        <v>36</v>
      </c>
      <c r="C30" s="343">
        <f>C29*10</f>
        <v>5120</v>
      </c>
      <c r="D30" s="343">
        <f>D29*10</f>
        <v>3920</v>
      </c>
      <c r="E30" s="343">
        <f>E29*10</f>
        <v>3370</v>
      </c>
    </row>
    <row r="31" spans="2:5" ht="19.5">
      <c r="B31" s="1261" t="s">
        <v>199</v>
      </c>
      <c r="C31" s="1262"/>
      <c r="D31" s="1262"/>
      <c r="E31" s="1263"/>
    </row>
    <row r="32" spans="2:5">
      <c r="B32" s="377" t="s">
        <v>198</v>
      </c>
      <c r="C32" s="378">
        <f>C29+D29+E29</f>
        <v>1241</v>
      </c>
      <c r="D32" s="378" t="s">
        <v>203</v>
      </c>
      <c r="E32" s="381">
        <f>C32*10</f>
        <v>12410</v>
      </c>
    </row>
    <row r="33" spans="2:5">
      <c r="B33" s="377" t="s">
        <v>197</v>
      </c>
      <c r="C33" s="378" t="e">
        <f>C34-C32</f>
        <v>#REF!</v>
      </c>
      <c r="D33" s="378" t="s">
        <v>204</v>
      </c>
      <c r="E33" s="381" t="e">
        <f>C33*9</f>
        <v>#REF!</v>
      </c>
    </row>
    <row r="34" spans="2:5" ht="19.5">
      <c r="B34" s="334" t="s">
        <v>201</v>
      </c>
      <c r="C34" s="380" t="e">
        <f>'Patron Counts v Swipes'!#REF!</f>
        <v>#REF!</v>
      </c>
      <c r="D34" s="380" t="s">
        <v>202</v>
      </c>
      <c r="E34" s="379" t="e">
        <f>SUM(E32+E33)</f>
        <v>#REF!</v>
      </c>
    </row>
    <row r="36" spans="2:5">
      <c r="B36" s="331" t="s">
        <v>5</v>
      </c>
      <c r="C36" s="339"/>
    </row>
    <row r="37" spans="2:5">
      <c r="B37" s="375" t="s">
        <v>4</v>
      </c>
      <c r="C37" s="376"/>
    </row>
    <row r="38" spans="2:5">
      <c r="B38" s="375" t="s">
        <v>25</v>
      </c>
      <c r="C38" s="376"/>
    </row>
  </sheetData>
  <sheetProtection algorithmName="SHA-512" hashValue="nG1t7kKt1x/NMNexSydad0shbdizHxIQa/xrPKu3eY9TuSruTddlsaCGBGvZ39mLWkKE/Piy9O1h8CnJrQLT+g==" saltValue="3VNNAgweQ6KntZBHJCeQTw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1:C11"/>
    <mergeCell ref="C13:E13"/>
    <mergeCell ref="B14:B15"/>
    <mergeCell ref="C14:C15"/>
    <mergeCell ref="D14:D15"/>
    <mergeCell ref="E14:E15"/>
    <mergeCell ref="B25:C25"/>
    <mergeCell ref="B27:E27"/>
    <mergeCell ref="B31:E31"/>
    <mergeCell ref="B18:C18"/>
    <mergeCell ref="C20:E20"/>
    <mergeCell ref="B21:B22"/>
    <mergeCell ref="C21:C22"/>
    <mergeCell ref="D21:D22"/>
    <mergeCell ref="E21:E22"/>
  </mergeCells>
  <pageMargins left="0.7" right="0.7" top="0.75" bottom="0.75" header="0.3" footer="0.3"/>
  <pageSetup scale="68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BBAC0-BF93-4B67-99BB-AD7150827940}">
  <sheetPr codeName="Sheet91">
    <pageSetUpPr fitToPage="1"/>
  </sheetPr>
  <dimension ref="B2:H38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44513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195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86" t="s">
        <v>189</v>
      </c>
      <c r="C9" s="386" t="s">
        <v>26</v>
      </c>
      <c r="D9" s="362">
        <v>383</v>
      </c>
      <c r="E9" s="363">
        <f t="shared" ref="E9" si="0">D9*10</f>
        <v>3830</v>
      </c>
    </row>
    <row r="10" spans="2:8" ht="20.100000000000001" customHeight="1">
      <c r="B10" s="386" t="s">
        <v>172</v>
      </c>
      <c r="C10" s="386" t="s">
        <v>26</v>
      </c>
      <c r="D10" s="362">
        <v>153</v>
      </c>
      <c r="E10" s="363">
        <f>D10*10</f>
        <v>1530</v>
      </c>
    </row>
    <row r="11" spans="2:8" ht="20.100000000000001" customHeight="1">
      <c r="B11" s="1259" t="s">
        <v>24</v>
      </c>
      <c r="C11" s="1259"/>
      <c r="D11" s="362">
        <f>SUM(D9:D10)</f>
        <v>536</v>
      </c>
      <c r="E11" s="363">
        <f>D11*10</f>
        <v>5360</v>
      </c>
    </row>
    <row r="13" spans="2:8" ht="19.5">
      <c r="B13" s="334" t="s">
        <v>21</v>
      </c>
      <c r="C13" s="1256" t="s">
        <v>182</v>
      </c>
      <c r="D13" s="1257"/>
      <c r="E13" s="1258"/>
    </row>
    <row r="14" spans="2:8" ht="15" customHeight="1">
      <c r="B14" s="1251" t="s">
        <v>0</v>
      </c>
      <c r="C14" s="1251" t="s">
        <v>1</v>
      </c>
      <c r="D14" s="1252" t="s">
        <v>40</v>
      </c>
      <c r="E14" s="1253" t="s">
        <v>31</v>
      </c>
    </row>
    <row r="15" spans="2:8" s="327" customFormat="1">
      <c r="B15" s="1251"/>
      <c r="C15" s="1251"/>
      <c r="D15" s="1252"/>
      <c r="E15" s="1254"/>
    </row>
    <row r="16" spans="2:8" ht="20.100000000000001" customHeight="1">
      <c r="B16" s="386" t="s">
        <v>189</v>
      </c>
      <c r="C16" s="386" t="s">
        <v>26</v>
      </c>
      <c r="D16" s="362">
        <v>336</v>
      </c>
      <c r="E16" s="363">
        <f t="shared" ref="E16:E17" si="1">D16*10</f>
        <v>3360</v>
      </c>
    </row>
    <row r="17" spans="2:5" ht="20.100000000000001" customHeight="1">
      <c r="B17" s="386" t="s">
        <v>164</v>
      </c>
      <c r="C17" s="386" t="s">
        <v>26</v>
      </c>
      <c r="D17" s="362">
        <v>210</v>
      </c>
      <c r="E17" s="363">
        <f t="shared" si="1"/>
        <v>2100</v>
      </c>
    </row>
    <row r="18" spans="2:5" ht="20.100000000000001" customHeight="1">
      <c r="B18" s="1259" t="s">
        <v>24</v>
      </c>
      <c r="C18" s="1259"/>
      <c r="D18" s="362">
        <f>SUM(D16:D17)</f>
        <v>546</v>
      </c>
      <c r="E18" s="363">
        <f>D18*10</f>
        <v>5460</v>
      </c>
    </row>
    <row r="19" spans="2:5">
      <c r="B19" s="336"/>
      <c r="C19" s="336"/>
      <c r="D19" s="337"/>
      <c r="E19" s="337"/>
    </row>
    <row r="20" spans="2:5" ht="19.5">
      <c r="B20" s="338" t="s">
        <v>28</v>
      </c>
      <c r="C20" s="1264" t="s">
        <v>29</v>
      </c>
      <c r="D20" s="1265"/>
      <c r="E20" s="1266"/>
    </row>
    <row r="21" spans="2:5" ht="15" customHeight="1">
      <c r="B21" s="1251" t="s">
        <v>0</v>
      </c>
      <c r="C21" s="1251" t="s">
        <v>1</v>
      </c>
      <c r="D21" s="1252" t="s">
        <v>40</v>
      </c>
      <c r="E21" s="1253" t="s">
        <v>31</v>
      </c>
    </row>
    <row r="22" spans="2:5">
      <c r="B22" s="1251"/>
      <c r="C22" s="1251"/>
      <c r="D22" s="1252"/>
      <c r="E22" s="1254"/>
    </row>
    <row r="23" spans="2:5">
      <c r="B23" s="386" t="s">
        <v>189</v>
      </c>
      <c r="C23" s="386" t="s">
        <v>26</v>
      </c>
      <c r="D23" s="362">
        <v>126</v>
      </c>
      <c r="E23" s="363">
        <f>D23*10</f>
        <v>1260</v>
      </c>
    </row>
    <row r="24" spans="2:5">
      <c r="B24" s="386" t="s">
        <v>164</v>
      </c>
      <c r="C24" s="386" t="s">
        <v>26</v>
      </c>
      <c r="D24" s="362">
        <v>249</v>
      </c>
      <c r="E24" s="363">
        <f t="shared" ref="E24" si="2">D24*10</f>
        <v>2490</v>
      </c>
    </row>
    <row r="25" spans="2:5" ht="20.100000000000001" customHeight="1">
      <c r="B25" s="1259" t="s">
        <v>24</v>
      </c>
      <c r="C25" s="1259"/>
      <c r="D25" s="362">
        <f>SUM(D23:D24)</f>
        <v>375</v>
      </c>
      <c r="E25" s="363">
        <f>D25*10</f>
        <v>3750</v>
      </c>
    </row>
    <row r="27" spans="2:5" ht="19.5">
      <c r="B27" s="1260" t="s">
        <v>200</v>
      </c>
      <c r="C27" s="1260"/>
      <c r="D27" s="1260"/>
      <c r="E27" s="1260"/>
    </row>
    <row r="28" spans="2:5">
      <c r="B28" s="342"/>
      <c r="C28" s="344" t="s">
        <v>34</v>
      </c>
      <c r="D28" s="344" t="s">
        <v>35</v>
      </c>
      <c r="E28" s="344" t="s">
        <v>37</v>
      </c>
    </row>
    <row r="29" spans="2:5">
      <c r="B29" s="345" t="s">
        <v>39</v>
      </c>
      <c r="C29" s="347">
        <f>D11</f>
        <v>536</v>
      </c>
      <c r="D29" s="348">
        <f>D18</f>
        <v>546</v>
      </c>
      <c r="E29" s="348">
        <f>D25</f>
        <v>375</v>
      </c>
    </row>
    <row r="30" spans="2:5">
      <c r="B30" s="345" t="s">
        <v>36</v>
      </c>
      <c r="C30" s="343">
        <f>C29*10</f>
        <v>5360</v>
      </c>
      <c r="D30" s="343">
        <f>D29*10</f>
        <v>5460</v>
      </c>
      <c r="E30" s="343">
        <f>E29*10</f>
        <v>3750</v>
      </c>
    </row>
    <row r="31" spans="2:5" ht="19.5">
      <c r="B31" s="1261" t="s">
        <v>199</v>
      </c>
      <c r="C31" s="1262"/>
      <c r="D31" s="1262"/>
      <c r="E31" s="1263"/>
    </row>
    <row r="32" spans="2:5">
      <c r="B32" s="377" t="s">
        <v>198</v>
      </c>
      <c r="C32" s="378">
        <f>C29+D29+E29</f>
        <v>1457</v>
      </c>
      <c r="D32" s="378" t="s">
        <v>203</v>
      </c>
      <c r="E32" s="381">
        <f>C32*10</f>
        <v>14570</v>
      </c>
    </row>
    <row r="33" spans="2:5">
      <c r="B33" s="377" t="s">
        <v>197</v>
      </c>
      <c r="C33" s="378" t="e">
        <f>C34-C32</f>
        <v>#REF!</v>
      </c>
      <c r="D33" s="378" t="s">
        <v>204</v>
      </c>
      <c r="E33" s="381" t="e">
        <f>C33*9</f>
        <v>#REF!</v>
      </c>
    </row>
    <row r="34" spans="2:5" ht="19.5">
      <c r="B34" s="334" t="s">
        <v>201</v>
      </c>
      <c r="C34" s="380" t="e">
        <f>'Patron Counts v Swipes'!#REF!</f>
        <v>#REF!</v>
      </c>
      <c r="D34" s="380" t="s">
        <v>202</v>
      </c>
      <c r="E34" s="379" t="e">
        <f>SUM(E32+E33)</f>
        <v>#REF!</v>
      </c>
    </row>
    <row r="36" spans="2:5">
      <c r="B36" s="331" t="s">
        <v>5</v>
      </c>
      <c r="C36" s="339"/>
    </row>
    <row r="37" spans="2:5">
      <c r="B37" s="375" t="s">
        <v>4</v>
      </c>
      <c r="C37" s="376"/>
    </row>
    <row r="38" spans="2:5">
      <c r="B38" s="375" t="s">
        <v>25</v>
      </c>
      <c r="C38" s="376"/>
    </row>
  </sheetData>
  <sheetProtection algorithmName="SHA-512" hashValue="SHCcpFlHMLErgJg8K6z3edhabAfGEXCXcIPxFsQNow+BPXbmOuZsKEr32T+TPfoRAZaJ+MNr1X869+DAHJkbkg==" saltValue="QEIJbfO+6B9/GmrIyMDWC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1:C11"/>
    <mergeCell ref="C13:E13"/>
    <mergeCell ref="B14:B15"/>
    <mergeCell ref="C14:C15"/>
    <mergeCell ref="D14:D15"/>
    <mergeCell ref="E14:E15"/>
    <mergeCell ref="B25:C25"/>
    <mergeCell ref="B27:E27"/>
    <mergeCell ref="B31:E31"/>
    <mergeCell ref="B18:C18"/>
    <mergeCell ref="C20:E20"/>
    <mergeCell ref="B21:B22"/>
    <mergeCell ref="C21:C22"/>
    <mergeCell ref="D21:D22"/>
    <mergeCell ref="E21:E22"/>
  </mergeCells>
  <pageMargins left="0.7" right="0.7" top="0.75" bottom="0.75" header="0.3" footer="0.3"/>
  <pageSetup scale="68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08194-31C5-4870-888E-09DF8CD7957C}">
  <sheetPr codeName="Sheet92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44512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86" t="s">
        <v>172</v>
      </c>
      <c r="C9" s="386" t="s">
        <v>16</v>
      </c>
      <c r="D9" s="12">
        <v>204</v>
      </c>
      <c r="E9" s="363">
        <f>D9*10</f>
        <v>2040</v>
      </c>
    </row>
    <row r="10" spans="2:8" ht="20.100000000000001" customHeight="1">
      <c r="B10" s="386" t="s">
        <v>170</v>
      </c>
      <c r="C10" s="386" t="s">
        <v>16</v>
      </c>
      <c r="D10" s="362">
        <v>205</v>
      </c>
      <c r="E10" s="363">
        <f t="shared" ref="E10:E11" si="0">D10*10</f>
        <v>2050</v>
      </c>
    </row>
    <row r="11" spans="2:8" ht="20.100000000000001" customHeight="1">
      <c r="B11" s="386" t="s">
        <v>70</v>
      </c>
      <c r="C11" s="386" t="s">
        <v>26</v>
      </c>
      <c r="D11" s="362">
        <v>455</v>
      </c>
      <c r="E11" s="363">
        <f t="shared" si="0"/>
        <v>4550</v>
      </c>
    </row>
    <row r="12" spans="2:8" ht="20.100000000000001" customHeight="1">
      <c r="B12" s="387" t="s">
        <v>53</v>
      </c>
      <c r="C12" s="386" t="s">
        <v>26</v>
      </c>
      <c r="D12" s="362">
        <v>250</v>
      </c>
      <c r="E12" s="363">
        <f>D12*10</f>
        <v>2500</v>
      </c>
    </row>
    <row r="13" spans="2:8" ht="20.100000000000001" customHeight="1">
      <c r="B13" s="1259" t="s">
        <v>24</v>
      </c>
      <c r="C13" s="1259"/>
      <c r="D13" s="362">
        <f>SUM(D9:D12)</f>
        <v>1114</v>
      </c>
      <c r="E13" s="363">
        <f>D13*10</f>
        <v>11140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386" t="s">
        <v>172</v>
      </c>
      <c r="C18" s="386" t="s">
        <v>16</v>
      </c>
      <c r="D18" s="362">
        <v>117</v>
      </c>
      <c r="E18" s="363">
        <f>D18*10</f>
        <v>1170</v>
      </c>
    </row>
    <row r="19" spans="2:5" ht="20.100000000000001" customHeight="1">
      <c r="B19" s="386" t="s">
        <v>170</v>
      </c>
      <c r="C19" s="386" t="s">
        <v>16</v>
      </c>
      <c r="D19" s="362">
        <v>83</v>
      </c>
      <c r="E19" s="363">
        <f>D19*10</f>
        <v>830</v>
      </c>
    </row>
    <row r="20" spans="2:5" ht="20.100000000000001" customHeight="1">
      <c r="B20" s="387" t="s">
        <v>171</v>
      </c>
      <c r="C20" s="386" t="s">
        <v>71</v>
      </c>
      <c r="D20" s="362">
        <v>145</v>
      </c>
      <c r="E20" s="363">
        <f>D20*10</f>
        <v>1450</v>
      </c>
    </row>
    <row r="21" spans="2:5" ht="20.100000000000001" customHeight="1">
      <c r="B21" s="386" t="s">
        <v>70</v>
      </c>
      <c r="C21" s="386" t="s">
        <v>26</v>
      </c>
      <c r="D21" s="362">
        <v>351</v>
      </c>
      <c r="E21" s="363">
        <f t="shared" ref="E21:E22" si="1">D21*10</f>
        <v>3510</v>
      </c>
    </row>
    <row r="22" spans="2:5" ht="20.100000000000001" customHeight="1">
      <c r="B22" s="387" t="s">
        <v>185</v>
      </c>
      <c r="C22" s="386" t="s">
        <v>26</v>
      </c>
      <c r="D22" s="362">
        <v>515</v>
      </c>
      <c r="E22" s="363">
        <f t="shared" si="1"/>
        <v>5150</v>
      </c>
    </row>
    <row r="23" spans="2:5" ht="20.100000000000001" customHeight="1">
      <c r="B23" s="1259" t="s">
        <v>24</v>
      </c>
      <c r="C23" s="1259"/>
      <c r="D23" s="362">
        <f>SUM(D18:D22)</f>
        <v>1211</v>
      </c>
      <c r="E23" s="363">
        <f>D23*10</f>
        <v>12110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386" t="s">
        <v>70</v>
      </c>
      <c r="C28" s="386" t="s">
        <v>26</v>
      </c>
      <c r="D28" s="362">
        <v>327</v>
      </c>
      <c r="E28" s="363">
        <f>D28*10</f>
        <v>3270</v>
      </c>
    </row>
    <row r="29" spans="2:5">
      <c r="B29" s="387" t="s">
        <v>171</v>
      </c>
      <c r="C29" s="386" t="s">
        <v>26</v>
      </c>
      <c r="D29" s="362">
        <v>197</v>
      </c>
      <c r="E29" s="363">
        <f t="shared" ref="E29" si="2">D29*10</f>
        <v>1970</v>
      </c>
    </row>
    <row r="30" spans="2:5" ht="20.100000000000001" customHeight="1">
      <c r="B30" s="1259" t="s">
        <v>24</v>
      </c>
      <c r="C30" s="1259"/>
      <c r="D30" s="362">
        <f>SUM(D28:D29)</f>
        <v>524</v>
      </c>
      <c r="E30" s="363">
        <f>D30*10</f>
        <v>5240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1114</v>
      </c>
      <c r="D34" s="348">
        <f>D23</f>
        <v>1211</v>
      </c>
      <c r="E34" s="348">
        <f>D30</f>
        <v>524</v>
      </c>
    </row>
    <row r="35" spans="2:5">
      <c r="B35" s="345" t="s">
        <v>36</v>
      </c>
      <c r="C35" s="343">
        <f>C34*10</f>
        <v>11140</v>
      </c>
      <c r="D35" s="343">
        <f>D34*10</f>
        <v>12110</v>
      </c>
      <c r="E35" s="343">
        <f>E34*10</f>
        <v>5240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2849</v>
      </c>
      <c r="D37" s="378" t="s">
        <v>203</v>
      </c>
      <c r="E37" s="381">
        <f>C37*10</f>
        <v>28490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8pFeeXedRlcjcuuPlInHYI/yf1JP+QrUpq6ceaf+2CMSWDrM+oMjRoaPyFVFWoHt4CFp1xRmtkaGeK6Ua/9SzQ==" saltValue="5IKejF8YdJh1YGm/c0KHiQ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55A06-BC39-45D1-98BA-167DC3226EC8}">
  <sheetPr codeName="Sheet93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44511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86" t="s">
        <v>53</v>
      </c>
      <c r="C9" s="386" t="s">
        <v>16</v>
      </c>
      <c r="D9" s="12">
        <v>203</v>
      </c>
      <c r="E9" s="363">
        <f>D9*10</f>
        <v>2030</v>
      </c>
    </row>
    <row r="10" spans="2:8" ht="20.100000000000001" customHeight="1">
      <c r="B10" s="386" t="s">
        <v>82</v>
      </c>
      <c r="C10" s="386" t="s">
        <v>16</v>
      </c>
      <c r="D10" s="362">
        <v>261</v>
      </c>
      <c r="E10" s="363">
        <f t="shared" ref="E10:E11" si="0">D10*10</f>
        <v>2610</v>
      </c>
    </row>
    <row r="11" spans="2:8" ht="20.100000000000001" customHeight="1">
      <c r="B11" s="386" t="s">
        <v>171</v>
      </c>
      <c r="C11" s="386" t="s">
        <v>26</v>
      </c>
      <c r="D11" s="362">
        <v>415</v>
      </c>
      <c r="E11" s="363">
        <f t="shared" si="0"/>
        <v>4150</v>
      </c>
    </row>
    <row r="12" spans="2:8" ht="20.100000000000001" customHeight="1">
      <c r="B12" s="387" t="s">
        <v>63</v>
      </c>
      <c r="C12" s="386" t="s">
        <v>26</v>
      </c>
      <c r="D12" s="362">
        <v>185</v>
      </c>
      <c r="E12" s="363">
        <f>D12*10</f>
        <v>1850</v>
      </c>
    </row>
    <row r="13" spans="2:8" ht="20.100000000000001" customHeight="1">
      <c r="B13" s="1259" t="s">
        <v>24</v>
      </c>
      <c r="C13" s="1259"/>
      <c r="D13" s="362">
        <f>SUM(D9:D12)</f>
        <v>1064</v>
      </c>
      <c r="E13" s="363">
        <f>D13*10</f>
        <v>10640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387" t="s">
        <v>185</v>
      </c>
      <c r="C18" s="386" t="s">
        <v>16</v>
      </c>
      <c r="D18" s="362">
        <v>565</v>
      </c>
      <c r="E18" s="363">
        <f>D18*10</f>
        <v>5650</v>
      </c>
    </row>
    <row r="19" spans="2:5" ht="20.100000000000001" customHeight="1">
      <c r="B19" s="386" t="s">
        <v>164</v>
      </c>
      <c r="C19" s="386" t="s">
        <v>16</v>
      </c>
      <c r="D19" s="362">
        <v>295</v>
      </c>
      <c r="E19" s="363">
        <f>D19*10</f>
        <v>2950</v>
      </c>
    </row>
    <row r="20" spans="2:5" ht="20.100000000000001" customHeight="1">
      <c r="B20" s="386" t="s">
        <v>56</v>
      </c>
      <c r="C20" s="386" t="s">
        <v>71</v>
      </c>
      <c r="D20" s="362">
        <v>100</v>
      </c>
      <c r="E20" s="363">
        <f>D20*10</f>
        <v>1000</v>
      </c>
    </row>
    <row r="21" spans="2:5" ht="20.100000000000001" customHeight="1">
      <c r="B21" s="387" t="s">
        <v>171</v>
      </c>
      <c r="C21" s="386" t="s">
        <v>26</v>
      </c>
      <c r="D21" s="362">
        <v>310</v>
      </c>
      <c r="E21" s="363">
        <f t="shared" ref="E21:E22" si="1">D21*10</f>
        <v>3100</v>
      </c>
    </row>
    <row r="22" spans="2:5" ht="20.100000000000001" customHeight="1">
      <c r="B22" s="386" t="s">
        <v>172</v>
      </c>
      <c r="C22" s="386" t="s">
        <v>26</v>
      </c>
      <c r="D22" s="362">
        <v>125</v>
      </c>
      <c r="E22" s="363">
        <f t="shared" si="1"/>
        <v>1250</v>
      </c>
    </row>
    <row r="23" spans="2:5" ht="20.100000000000001" customHeight="1">
      <c r="B23" s="1259" t="s">
        <v>24</v>
      </c>
      <c r="C23" s="1259"/>
      <c r="D23" s="362">
        <f>SUM(D18:D22)</f>
        <v>1395</v>
      </c>
      <c r="E23" s="363">
        <f>D23*10</f>
        <v>13950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387" t="s">
        <v>171</v>
      </c>
      <c r="C28" s="386" t="s">
        <v>26</v>
      </c>
      <c r="D28" s="362">
        <v>253</v>
      </c>
      <c r="E28" s="363">
        <f>D28*10</f>
        <v>2530</v>
      </c>
    </row>
    <row r="29" spans="2:5">
      <c r="B29" s="386" t="s">
        <v>172</v>
      </c>
      <c r="C29" s="386" t="s">
        <v>26</v>
      </c>
      <c r="D29" s="362">
        <v>125</v>
      </c>
      <c r="E29" s="363">
        <f t="shared" ref="E29" si="2">D29*10</f>
        <v>1250</v>
      </c>
    </row>
    <row r="30" spans="2:5" ht="20.100000000000001" customHeight="1">
      <c r="B30" s="1259" t="s">
        <v>24</v>
      </c>
      <c r="C30" s="1259"/>
      <c r="D30" s="362">
        <f>SUM(D28:D29)</f>
        <v>378</v>
      </c>
      <c r="E30" s="363">
        <f>D30*10</f>
        <v>3780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1064</v>
      </c>
      <c r="D34" s="348">
        <f>D23</f>
        <v>1395</v>
      </c>
      <c r="E34" s="348">
        <f>D30</f>
        <v>378</v>
      </c>
    </row>
    <row r="35" spans="2:5">
      <c r="B35" s="345" t="s">
        <v>36</v>
      </c>
      <c r="C35" s="343">
        <f>C34*10</f>
        <v>10640</v>
      </c>
      <c r="D35" s="343">
        <f>D34*10</f>
        <v>13950</v>
      </c>
      <c r="E35" s="343">
        <f>E34*10</f>
        <v>3780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2837</v>
      </c>
      <c r="D37" s="378" t="s">
        <v>203</v>
      </c>
      <c r="E37" s="381">
        <f>C37*10</f>
        <v>28370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gnmU5CvwqHe/H9RikJkMYPA5alQIOOZZUtA+l6ErMo95HNsWCunLQTRsmdAVCeGBJ5q/2WvSom+tA/rrBRdOLQ==" saltValue="K7sk0Tns61iPQbcDu4Q4Qg==" spinCount="100000" sheet="1" objects="1" scenarios="1"/>
  <mergeCells count="22"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CA9FD-7041-4FE1-98F4-740B214ADCAA}">
  <sheetPr codeName="Sheet94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44510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86" t="s">
        <v>170</v>
      </c>
      <c r="C9" s="386" t="s">
        <v>16</v>
      </c>
      <c r="D9" s="12">
        <v>278</v>
      </c>
      <c r="E9" s="363">
        <f>D9*10</f>
        <v>2780</v>
      </c>
    </row>
    <row r="10" spans="2:8" ht="20.100000000000001" customHeight="1">
      <c r="B10" s="386" t="s">
        <v>172</v>
      </c>
      <c r="C10" s="386" t="s">
        <v>16</v>
      </c>
      <c r="D10" s="362">
        <v>229</v>
      </c>
      <c r="E10" s="363">
        <f t="shared" ref="E10:E11" si="0">D10*10</f>
        <v>2290</v>
      </c>
    </row>
    <row r="11" spans="2:8" ht="20.100000000000001" customHeight="1">
      <c r="B11" s="386" t="s">
        <v>53</v>
      </c>
      <c r="C11" s="386" t="s">
        <v>26</v>
      </c>
      <c r="D11" s="362">
        <v>304</v>
      </c>
      <c r="E11" s="363">
        <f t="shared" si="0"/>
        <v>3040</v>
      </c>
    </row>
    <row r="12" spans="2:8" ht="20.100000000000001" customHeight="1">
      <c r="B12" s="386" t="s">
        <v>70</v>
      </c>
      <c r="C12" s="386" t="s">
        <v>26</v>
      </c>
      <c r="D12" s="362">
        <v>525</v>
      </c>
      <c r="E12" s="363">
        <f>D12*10</f>
        <v>5250</v>
      </c>
    </row>
    <row r="13" spans="2:8" ht="20.100000000000001" customHeight="1">
      <c r="B13" s="1259" t="s">
        <v>24</v>
      </c>
      <c r="C13" s="1259"/>
      <c r="D13" s="362">
        <f>SUM(D9:D12)</f>
        <v>1336</v>
      </c>
      <c r="E13" s="363">
        <f>D13*10</f>
        <v>13360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386" t="s">
        <v>170</v>
      </c>
      <c r="C18" s="386" t="s">
        <v>16</v>
      </c>
      <c r="D18" s="362">
        <v>159</v>
      </c>
      <c r="E18" s="363">
        <f>D18*10</f>
        <v>1590</v>
      </c>
    </row>
    <row r="19" spans="2:5" ht="20.100000000000001" customHeight="1">
      <c r="B19" s="386" t="s">
        <v>172</v>
      </c>
      <c r="C19" s="386" t="s">
        <v>16</v>
      </c>
      <c r="D19" s="362">
        <v>217</v>
      </c>
      <c r="E19" s="363">
        <f>D19*10</f>
        <v>2170</v>
      </c>
    </row>
    <row r="20" spans="2:5" ht="20.100000000000001" customHeight="1">
      <c r="B20" s="386" t="s">
        <v>56</v>
      </c>
      <c r="C20" s="386" t="s">
        <v>71</v>
      </c>
      <c r="D20" s="362">
        <v>140</v>
      </c>
      <c r="E20" s="363">
        <f>D20*10</f>
        <v>1400</v>
      </c>
    </row>
    <row r="21" spans="2:5" ht="20.100000000000001" customHeight="1">
      <c r="B21" s="386" t="s">
        <v>65</v>
      </c>
      <c r="C21" s="386" t="s">
        <v>26</v>
      </c>
      <c r="D21" s="362">
        <v>225</v>
      </c>
      <c r="E21" s="363">
        <f t="shared" ref="E21:E22" si="1">D21*10</f>
        <v>2250</v>
      </c>
    </row>
    <row r="22" spans="2:5" ht="20.100000000000001" customHeight="1">
      <c r="B22" s="386" t="s">
        <v>70</v>
      </c>
      <c r="C22" s="386" t="s">
        <v>26</v>
      </c>
      <c r="D22" s="362">
        <v>400</v>
      </c>
      <c r="E22" s="363">
        <f t="shared" si="1"/>
        <v>4000</v>
      </c>
    </row>
    <row r="23" spans="2:5" ht="20.100000000000001" customHeight="1">
      <c r="B23" s="1259" t="s">
        <v>24</v>
      </c>
      <c r="C23" s="1259"/>
      <c r="D23" s="362">
        <f>SUM(D18:D22)</f>
        <v>1141</v>
      </c>
      <c r="E23" s="363">
        <f>D23*10</f>
        <v>11410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386" t="s">
        <v>65</v>
      </c>
      <c r="C28" s="386" t="s">
        <v>26</v>
      </c>
      <c r="D28" s="362">
        <v>219</v>
      </c>
      <c r="E28" s="363">
        <f>D28*10</f>
        <v>2190</v>
      </c>
    </row>
    <row r="29" spans="2:5">
      <c r="B29" s="386" t="s">
        <v>70</v>
      </c>
      <c r="C29" s="386" t="s">
        <v>26</v>
      </c>
      <c r="D29" s="362">
        <v>362</v>
      </c>
      <c r="E29" s="363">
        <f t="shared" ref="E29" si="2">D29*10</f>
        <v>3620</v>
      </c>
    </row>
    <row r="30" spans="2:5" ht="20.100000000000001" customHeight="1">
      <c r="B30" s="1259" t="s">
        <v>24</v>
      </c>
      <c r="C30" s="1259"/>
      <c r="D30" s="362">
        <f>SUM(D28:D29)</f>
        <v>581</v>
      </c>
      <c r="E30" s="363">
        <f>D30*10</f>
        <v>5810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1336</v>
      </c>
      <c r="D34" s="348">
        <f>D23</f>
        <v>1141</v>
      </c>
      <c r="E34" s="348">
        <f>D30</f>
        <v>581</v>
      </c>
    </row>
    <row r="35" spans="2:5">
      <c r="B35" s="345" t="s">
        <v>36</v>
      </c>
      <c r="C35" s="343">
        <f>C34*10</f>
        <v>13360</v>
      </c>
      <c r="D35" s="343">
        <f>D34*10</f>
        <v>11410</v>
      </c>
      <c r="E35" s="343">
        <f>E34*10</f>
        <v>5810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3058</v>
      </c>
      <c r="D37" s="378" t="s">
        <v>203</v>
      </c>
      <c r="E37" s="381">
        <f>C37*10</f>
        <v>30580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a9CEfBomXcKm5W0/q94l7bZ8KSw3C7hGgzp11MKxa/7NI5CF6t/aBjQF0S667Ar4/vZDZ0hoQaG5hexGaFLAjA==" saltValue="ymKHqCiy9CaTxbRBw4njDw==" spinCount="100000" sheet="1" objects="1" scenarios="1"/>
  <mergeCells count="22"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E2:F2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68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B05AA-631F-47D3-A0CC-1324B0061AC7}">
  <sheetPr codeName="Sheet95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44509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82" t="s">
        <v>205</v>
      </c>
      <c r="C9" s="374" t="s">
        <v>16</v>
      </c>
      <c r="D9" s="12">
        <v>283</v>
      </c>
      <c r="E9" s="363">
        <f>D9*10</f>
        <v>2830</v>
      </c>
    </row>
    <row r="10" spans="2:8" ht="20.100000000000001" customHeight="1">
      <c r="B10" s="383" t="s">
        <v>44</v>
      </c>
      <c r="C10" s="374" t="s">
        <v>16</v>
      </c>
      <c r="D10" s="362">
        <v>296</v>
      </c>
      <c r="E10" s="363">
        <f t="shared" ref="E10:E11" si="0">D10*10</f>
        <v>2960</v>
      </c>
    </row>
    <row r="11" spans="2:8" ht="20.100000000000001" customHeight="1">
      <c r="B11" s="383" t="s">
        <v>185</v>
      </c>
      <c r="C11" s="374" t="s">
        <v>26</v>
      </c>
      <c r="D11" s="362">
        <v>583</v>
      </c>
      <c r="E11" s="363">
        <f t="shared" si="0"/>
        <v>5830</v>
      </c>
    </row>
    <row r="12" spans="2:8" ht="20.100000000000001" customHeight="1">
      <c r="B12" s="382" t="s">
        <v>53</v>
      </c>
      <c r="C12" s="374" t="s">
        <v>26</v>
      </c>
      <c r="D12" s="362">
        <v>363</v>
      </c>
      <c r="E12" s="363">
        <f>D12*10</f>
        <v>3630</v>
      </c>
    </row>
    <row r="13" spans="2:8" ht="20.100000000000001" customHeight="1">
      <c r="B13" s="1259" t="s">
        <v>24</v>
      </c>
      <c r="C13" s="1259"/>
      <c r="D13" s="362">
        <f>SUM(D9:D12)</f>
        <v>1525</v>
      </c>
      <c r="E13" s="363">
        <f>D13*10</f>
        <v>15250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384" t="s">
        <v>82</v>
      </c>
      <c r="C18" s="374" t="s">
        <v>16</v>
      </c>
      <c r="D18" s="362">
        <v>270</v>
      </c>
      <c r="E18" s="363">
        <f>D18*10</f>
        <v>2700</v>
      </c>
    </row>
    <row r="19" spans="2:5" ht="20.100000000000001" customHeight="1">
      <c r="B19" s="385" t="s">
        <v>44</v>
      </c>
      <c r="C19" s="374" t="s">
        <v>16</v>
      </c>
      <c r="D19" s="362">
        <v>232</v>
      </c>
      <c r="E19" s="363">
        <f>D19*10</f>
        <v>2320</v>
      </c>
    </row>
    <row r="20" spans="2:5" ht="20.100000000000001" customHeight="1">
      <c r="B20" s="384" t="s">
        <v>171</v>
      </c>
      <c r="C20" s="374" t="s">
        <v>71</v>
      </c>
      <c r="D20" s="362">
        <v>250</v>
      </c>
      <c r="E20" s="363">
        <f>D20*10</f>
        <v>2500</v>
      </c>
    </row>
    <row r="21" spans="2:5" ht="20.100000000000001" customHeight="1">
      <c r="B21" s="385" t="s">
        <v>185</v>
      </c>
      <c r="C21" s="374" t="s">
        <v>26</v>
      </c>
      <c r="D21" s="362">
        <v>623</v>
      </c>
      <c r="E21" s="363">
        <f t="shared" ref="E21:E22" si="1">D21*10</f>
        <v>6230</v>
      </c>
    </row>
    <row r="22" spans="2:5" ht="20.100000000000001" customHeight="1">
      <c r="B22" s="384" t="s">
        <v>164</v>
      </c>
      <c r="C22" s="374" t="s">
        <v>26</v>
      </c>
      <c r="D22" s="362">
        <v>306</v>
      </c>
      <c r="E22" s="363">
        <f t="shared" si="1"/>
        <v>3060</v>
      </c>
    </row>
    <row r="23" spans="2:5" ht="20.100000000000001" customHeight="1">
      <c r="B23" s="1259" t="s">
        <v>24</v>
      </c>
      <c r="C23" s="1259"/>
      <c r="D23" s="362">
        <f>SUM(D18:D22)</f>
        <v>1681</v>
      </c>
      <c r="E23" s="363">
        <f>D23*10</f>
        <v>16810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387" t="s">
        <v>185</v>
      </c>
      <c r="C28" s="374" t="s">
        <v>26</v>
      </c>
      <c r="D28" s="362">
        <v>71</v>
      </c>
      <c r="E28" s="363">
        <f>D28*10</f>
        <v>710</v>
      </c>
    </row>
    <row r="29" spans="2:5">
      <c r="B29" s="386" t="s">
        <v>164</v>
      </c>
      <c r="C29" s="374" t="s">
        <v>26</v>
      </c>
      <c r="D29" s="362">
        <v>231</v>
      </c>
      <c r="E29" s="363">
        <f t="shared" ref="E29" si="2">D29*10</f>
        <v>2310</v>
      </c>
    </row>
    <row r="30" spans="2:5" ht="20.100000000000001" customHeight="1">
      <c r="B30" s="1259" t="s">
        <v>24</v>
      </c>
      <c r="C30" s="1259"/>
      <c r="D30" s="362">
        <f>SUM(D28:D29)</f>
        <v>302</v>
      </c>
      <c r="E30" s="363">
        <f>D30*10</f>
        <v>3020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1525</v>
      </c>
      <c r="D34" s="348">
        <f>D23</f>
        <v>1681</v>
      </c>
      <c r="E34" s="348">
        <f>D30</f>
        <v>302</v>
      </c>
    </row>
    <row r="35" spans="2:5">
      <c r="B35" s="345" t="s">
        <v>36</v>
      </c>
      <c r="C35" s="343">
        <f>C34*10</f>
        <v>15250</v>
      </c>
      <c r="D35" s="343">
        <f>D34*10</f>
        <v>16810</v>
      </c>
      <c r="E35" s="343">
        <f>E34*10</f>
        <v>3020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3508</v>
      </c>
      <c r="D37" s="378" t="s">
        <v>203</v>
      </c>
      <c r="E37" s="381">
        <f>C37*10</f>
        <v>35080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FMyzoeV5JaFELAF6FdZ8WmIHsiQqzYvGLDVR4W/DPMaE4cuJcV4niCPGRzy871NhAX8sHtKYNzkzB2a1i2mKTw==" saltValue="58fPFwVk5f7yZ+/VdY8MAA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720B6-92BB-449F-AFF0-3DF04E8390D8}">
  <sheetPr codeName="Sheet96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44508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74" t="s">
        <v>170</v>
      </c>
      <c r="C9" s="374" t="s">
        <v>16</v>
      </c>
      <c r="D9" s="12">
        <v>275</v>
      </c>
      <c r="E9" s="363">
        <f>D9*10</f>
        <v>2750</v>
      </c>
    </row>
    <row r="10" spans="2:8" ht="20.100000000000001" customHeight="1">
      <c r="B10" s="374" t="s">
        <v>53</v>
      </c>
      <c r="C10" s="374" t="s">
        <v>16</v>
      </c>
      <c r="D10" s="362">
        <v>287</v>
      </c>
      <c r="E10" s="363">
        <f t="shared" ref="E10:E11" si="0">D10*10</f>
        <v>2870</v>
      </c>
    </row>
    <row r="11" spans="2:8" ht="20.100000000000001" customHeight="1">
      <c r="B11" s="374" t="s">
        <v>65</v>
      </c>
      <c r="C11" s="374" t="s">
        <v>26</v>
      </c>
      <c r="D11" s="362">
        <v>258</v>
      </c>
      <c r="E11" s="363">
        <f t="shared" si="0"/>
        <v>2580</v>
      </c>
    </row>
    <row r="12" spans="2:8" ht="20.100000000000001" customHeight="1">
      <c r="B12" s="367" t="s">
        <v>63</v>
      </c>
      <c r="C12" s="374" t="s">
        <v>26</v>
      </c>
      <c r="D12" s="362">
        <v>248</v>
      </c>
      <c r="E12" s="363">
        <f>D12*10</f>
        <v>2480</v>
      </c>
    </row>
    <row r="13" spans="2:8" ht="20.100000000000001" customHeight="1">
      <c r="B13" s="1259" t="s">
        <v>24</v>
      </c>
      <c r="C13" s="1259"/>
      <c r="D13" s="362">
        <f>SUM(D9:D12)</f>
        <v>1068</v>
      </c>
      <c r="E13" s="363">
        <f>D13*10</f>
        <v>10680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374" t="s">
        <v>170</v>
      </c>
      <c r="C18" s="374" t="s">
        <v>16</v>
      </c>
      <c r="D18" s="362">
        <v>210</v>
      </c>
      <c r="E18" s="363">
        <f>D18*10</f>
        <v>2100</v>
      </c>
    </row>
    <row r="19" spans="2:5" ht="20.100000000000001" customHeight="1">
      <c r="B19" s="374" t="s">
        <v>56</v>
      </c>
      <c r="C19" s="374" t="s">
        <v>16</v>
      </c>
      <c r="D19" s="362">
        <v>186</v>
      </c>
      <c r="E19" s="363">
        <f>D19*10</f>
        <v>1860</v>
      </c>
    </row>
    <row r="20" spans="2:5" ht="20.100000000000001" customHeight="1">
      <c r="B20" s="374" t="s">
        <v>172</v>
      </c>
      <c r="C20" s="374" t="s">
        <v>71</v>
      </c>
      <c r="D20" s="362">
        <v>162</v>
      </c>
      <c r="E20" s="363">
        <f>D20*10</f>
        <v>1620</v>
      </c>
    </row>
    <row r="21" spans="2:5" ht="20.100000000000001" customHeight="1">
      <c r="B21" s="374" t="s">
        <v>65</v>
      </c>
      <c r="C21" s="374" t="s">
        <v>26</v>
      </c>
      <c r="D21" s="362">
        <v>250</v>
      </c>
      <c r="E21" s="363">
        <f t="shared" ref="E21:E22" si="1">D21*10</f>
        <v>2500</v>
      </c>
    </row>
    <row r="22" spans="2:5" ht="20.100000000000001" customHeight="1">
      <c r="B22" s="367" t="s">
        <v>63</v>
      </c>
      <c r="C22" s="374" t="s">
        <v>26</v>
      </c>
      <c r="D22" s="362">
        <v>211</v>
      </c>
      <c r="E22" s="363">
        <f t="shared" si="1"/>
        <v>2110</v>
      </c>
    </row>
    <row r="23" spans="2:5" ht="20.100000000000001" customHeight="1">
      <c r="B23" s="1259" t="s">
        <v>24</v>
      </c>
      <c r="C23" s="1259"/>
      <c r="D23" s="362">
        <f>SUM(D18:D22)</f>
        <v>1019</v>
      </c>
      <c r="E23" s="363">
        <f>D23*10</f>
        <v>10190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374" t="s">
        <v>65</v>
      </c>
      <c r="C28" s="374" t="s">
        <v>26</v>
      </c>
      <c r="D28" s="362">
        <v>277</v>
      </c>
      <c r="E28" s="363">
        <f>D28*10</f>
        <v>2770</v>
      </c>
    </row>
    <row r="29" spans="2:5">
      <c r="B29" s="367" t="s">
        <v>63</v>
      </c>
      <c r="C29" s="374" t="s">
        <v>26</v>
      </c>
      <c r="D29" s="362">
        <v>50</v>
      </c>
      <c r="E29" s="363">
        <f t="shared" ref="E29" si="2">D29*10</f>
        <v>500</v>
      </c>
    </row>
    <row r="30" spans="2:5" ht="20.100000000000001" customHeight="1">
      <c r="B30" s="1259" t="s">
        <v>24</v>
      </c>
      <c r="C30" s="1259"/>
      <c r="D30" s="362">
        <f>SUM(D28:D29)</f>
        <v>327</v>
      </c>
      <c r="E30" s="363">
        <f>D30*10</f>
        <v>3270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1068</v>
      </c>
      <c r="D34" s="348">
        <f>D23</f>
        <v>1019</v>
      </c>
      <c r="E34" s="348">
        <f>D30</f>
        <v>327</v>
      </c>
    </row>
    <row r="35" spans="2:5">
      <c r="B35" s="345" t="s">
        <v>36</v>
      </c>
      <c r="C35" s="343">
        <f>C34*10</f>
        <v>10680</v>
      </c>
      <c r="D35" s="343">
        <f>D34*10</f>
        <v>10190</v>
      </c>
      <c r="E35" s="343">
        <f>E34*10</f>
        <v>3270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2414</v>
      </c>
      <c r="D37" s="378" t="s">
        <v>203</v>
      </c>
      <c r="E37" s="381">
        <f>C37*10</f>
        <v>24140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uiSf2hLW0FQsJPgoLj+9ME88Gu6xQi9iwVdx9SR/aTqcXAuBZtoNyD/yW5L96lZKKcAeAhMYj5SIEvviv8j7Jg==" saltValue="u01uQ3zS83ABOfWY95+jgg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F7DDC-2C09-4A22-87CA-00E5A081002D}">
  <sheetPr codeName="Sheet97">
    <pageSetUpPr fitToPage="1"/>
  </sheetPr>
  <dimension ref="B2:H38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44507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195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74" t="s">
        <v>164</v>
      </c>
      <c r="C9" s="374" t="s">
        <v>26</v>
      </c>
      <c r="D9" s="362">
        <v>311</v>
      </c>
      <c r="E9" s="363">
        <f t="shared" ref="E9" si="0">D9*10</f>
        <v>3110</v>
      </c>
    </row>
    <row r="10" spans="2:8" ht="20.100000000000001" customHeight="1">
      <c r="B10" s="374" t="s">
        <v>159</v>
      </c>
      <c r="C10" s="374" t="s">
        <v>26</v>
      </c>
      <c r="D10" s="362">
        <v>262</v>
      </c>
      <c r="E10" s="363">
        <f>D10*10</f>
        <v>2620</v>
      </c>
    </row>
    <row r="11" spans="2:8" ht="20.100000000000001" customHeight="1">
      <c r="B11" s="1259" t="s">
        <v>24</v>
      </c>
      <c r="C11" s="1259"/>
      <c r="D11" s="362">
        <f>SUM(D9:D10)</f>
        <v>573</v>
      </c>
      <c r="E11" s="363">
        <f>D11*10</f>
        <v>5730</v>
      </c>
    </row>
    <row r="13" spans="2:8" ht="19.5">
      <c r="B13" s="334" t="s">
        <v>21</v>
      </c>
      <c r="C13" s="1256" t="s">
        <v>182</v>
      </c>
      <c r="D13" s="1257"/>
      <c r="E13" s="1258"/>
    </row>
    <row r="14" spans="2:8" ht="15" customHeight="1">
      <c r="B14" s="1251" t="s">
        <v>0</v>
      </c>
      <c r="C14" s="1251" t="s">
        <v>1</v>
      </c>
      <c r="D14" s="1252" t="s">
        <v>40</v>
      </c>
      <c r="E14" s="1253" t="s">
        <v>31</v>
      </c>
    </row>
    <row r="15" spans="2:8" s="327" customFormat="1">
      <c r="B15" s="1251"/>
      <c r="C15" s="1251"/>
      <c r="D15" s="1252"/>
      <c r="E15" s="1254"/>
    </row>
    <row r="16" spans="2:8" ht="20.100000000000001" customHeight="1">
      <c r="B16" s="374" t="s">
        <v>164</v>
      </c>
      <c r="C16" s="374" t="s">
        <v>26</v>
      </c>
      <c r="D16" s="362">
        <v>265</v>
      </c>
      <c r="E16" s="363">
        <f t="shared" ref="E16:E17" si="1">D16*10</f>
        <v>2650</v>
      </c>
    </row>
    <row r="17" spans="2:5" ht="20.100000000000001" customHeight="1">
      <c r="B17" s="374" t="s">
        <v>159</v>
      </c>
      <c r="C17" s="374" t="s">
        <v>26</v>
      </c>
      <c r="D17" s="362">
        <v>219</v>
      </c>
      <c r="E17" s="363">
        <f t="shared" si="1"/>
        <v>2190</v>
      </c>
    </row>
    <row r="18" spans="2:5" ht="20.100000000000001" customHeight="1">
      <c r="B18" s="1259" t="s">
        <v>24</v>
      </c>
      <c r="C18" s="1259"/>
      <c r="D18" s="362">
        <f>SUM(D16:D17)</f>
        <v>484</v>
      </c>
      <c r="E18" s="363">
        <f>D18*10</f>
        <v>4840</v>
      </c>
    </row>
    <row r="19" spans="2:5">
      <c r="B19" s="336"/>
      <c r="C19" s="336"/>
      <c r="D19" s="337"/>
      <c r="E19" s="337"/>
    </row>
    <row r="20" spans="2:5" ht="19.5">
      <c r="B20" s="338" t="s">
        <v>28</v>
      </c>
      <c r="C20" s="1264" t="s">
        <v>29</v>
      </c>
      <c r="D20" s="1265"/>
      <c r="E20" s="1266"/>
    </row>
    <row r="21" spans="2:5" ht="15" customHeight="1">
      <c r="B21" s="1251" t="s">
        <v>0</v>
      </c>
      <c r="C21" s="1251" t="s">
        <v>1</v>
      </c>
      <c r="D21" s="1252" t="s">
        <v>40</v>
      </c>
      <c r="E21" s="1253" t="s">
        <v>31</v>
      </c>
    </row>
    <row r="22" spans="2:5">
      <c r="B22" s="1251"/>
      <c r="C22" s="1251"/>
      <c r="D22" s="1252"/>
      <c r="E22" s="1254"/>
    </row>
    <row r="23" spans="2:5">
      <c r="B23" s="374" t="s">
        <v>164</v>
      </c>
      <c r="C23" s="374" t="s">
        <v>26</v>
      </c>
      <c r="D23" s="362">
        <v>191</v>
      </c>
      <c r="E23" s="363">
        <f>D23*10</f>
        <v>1910</v>
      </c>
    </row>
    <row r="24" spans="2:5">
      <c r="B24" s="374" t="s">
        <v>159</v>
      </c>
      <c r="C24" s="374" t="s">
        <v>26</v>
      </c>
      <c r="D24" s="362">
        <v>112</v>
      </c>
      <c r="E24" s="363">
        <f t="shared" ref="E24" si="2">D24*10</f>
        <v>1120</v>
      </c>
    </row>
    <row r="25" spans="2:5" ht="20.100000000000001" customHeight="1">
      <c r="B25" s="1259" t="s">
        <v>24</v>
      </c>
      <c r="C25" s="1259"/>
      <c r="D25" s="362">
        <f>SUM(D23:D24)</f>
        <v>303</v>
      </c>
      <c r="E25" s="363">
        <f>D25*10</f>
        <v>3030</v>
      </c>
    </row>
    <row r="27" spans="2:5" ht="19.5">
      <c r="B27" s="1260" t="s">
        <v>200</v>
      </c>
      <c r="C27" s="1260"/>
      <c r="D27" s="1260"/>
      <c r="E27" s="1260"/>
    </row>
    <row r="28" spans="2:5">
      <c r="B28" s="342"/>
      <c r="C28" s="344" t="s">
        <v>34</v>
      </c>
      <c r="D28" s="344" t="s">
        <v>35</v>
      </c>
      <c r="E28" s="344" t="s">
        <v>37</v>
      </c>
    </row>
    <row r="29" spans="2:5">
      <c r="B29" s="345" t="s">
        <v>39</v>
      </c>
      <c r="C29" s="347">
        <f>D11</f>
        <v>573</v>
      </c>
      <c r="D29" s="348">
        <f>D18</f>
        <v>484</v>
      </c>
      <c r="E29" s="348">
        <f>D25</f>
        <v>303</v>
      </c>
    </row>
    <row r="30" spans="2:5">
      <c r="B30" s="345" t="s">
        <v>36</v>
      </c>
      <c r="C30" s="343">
        <f>C29*10</f>
        <v>5730</v>
      </c>
      <c r="D30" s="343">
        <f>D29*10</f>
        <v>4840</v>
      </c>
      <c r="E30" s="343">
        <f>E29*10</f>
        <v>3030</v>
      </c>
    </row>
    <row r="31" spans="2:5" ht="19.5">
      <c r="B31" s="1261" t="s">
        <v>199</v>
      </c>
      <c r="C31" s="1262"/>
      <c r="D31" s="1262"/>
      <c r="E31" s="1263"/>
    </row>
    <row r="32" spans="2:5">
      <c r="B32" s="377" t="s">
        <v>198</v>
      </c>
      <c r="C32" s="378">
        <f>C29+D29+E29</f>
        <v>1360</v>
      </c>
      <c r="D32" s="378" t="s">
        <v>203</v>
      </c>
      <c r="E32" s="381">
        <f>C32*10</f>
        <v>13600</v>
      </c>
    </row>
    <row r="33" spans="2:5">
      <c r="B33" s="377" t="s">
        <v>197</v>
      </c>
      <c r="C33" s="378" t="e">
        <f>C34-C32</f>
        <v>#REF!</v>
      </c>
      <c r="D33" s="378" t="s">
        <v>204</v>
      </c>
      <c r="E33" s="381" t="e">
        <f>C33*9</f>
        <v>#REF!</v>
      </c>
    </row>
    <row r="34" spans="2:5" ht="19.5">
      <c r="B34" s="334" t="s">
        <v>201</v>
      </c>
      <c r="C34" s="380" t="e">
        <f>'Patron Counts v Swipes'!#REF!</f>
        <v>#REF!</v>
      </c>
      <c r="D34" s="380" t="s">
        <v>202</v>
      </c>
      <c r="E34" s="379" t="e">
        <f>SUM(E32+E33)</f>
        <v>#REF!</v>
      </c>
    </row>
    <row r="36" spans="2:5">
      <c r="B36" s="331" t="s">
        <v>5</v>
      </c>
      <c r="C36" s="339"/>
    </row>
    <row r="37" spans="2:5">
      <c r="B37" s="375" t="s">
        <v>4</v>
      </c>
      <c r="C37" s="376"/>
    </row>
    <row r="38" spans="2:5">
      <c r="B38" s="375" t="s">
        <v>25</v>
      </c>
      <c r="C38" s="376"/>
    </row>
  </sheetData>
  <sheetProtection algorithmName="SHA-512" hashValue="UJiX2DpwgmOkssdrQV19xWqxRhqWby/HqF9s2hrq8Cv90Vc1dJ2fBqZS/vfamIB7QH+Ha0DTjzlmvZxjDf/E6A==" saltValue="cJHt6EQK28cI17Rpu70AIw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1:C11"/>
    <mergeCell ref="C13:E13"/>
    <mergeCell ref="B14:B15"/>
    <mergeCell ref="C14:C15"/>
    <mergeCell ref="D14:D15"/>
    <mergeCell ref="E14:E15"/>
    <mergeCell ref="B25:C25"/>
    <mergeCell ref="B27:E27"/>
    <mergeCell ref="B31:E31"/>
    <mergeCell ref="B18:C18"/>
    <mergeCell ref="C20:E20"/>
    <mergeCell ref="B21:B22"/>
    <mergeCell ref="C21:C22"/>
    <mergeCell ref="D21:D22"/>
    <mergeCell ref="E21:E22"/>
  </mergeCells>
  <pageMargins left="0.7" right="0.7" top="0.75" bottom="0.75" header="0.3" footer="0.3"/>
  <pageSetup scale="68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98D27-F506-433A-BAA1-CFFCD9F24F31}">
  <sheetPr codeName="Sheet98">
    <pageSetUpPr fitToPage="1"/>
  </sheetPr>
  <dimension ref="B2:H38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44506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195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74" t="s">
        <v>172</v>
      </c>
      <c r="C9" s="374" t="s">
        <v>26</v>
      </c>
      <c r="D9" s="362">
        <v>175</v>
      </c>
      <c r="E9" s="363">
        <f t="shared" ref="E9" si="0">D9*10</f>
        <v>1750</v>
      </c>
    </row>
    <row r="10" spans="2:8" ht="20.100000000000001" customHeight="1">
      <c r="B10" s="374" t="s">
        <v>189</v>
      </c>
      <c r="C10" s="374" t="s">
        <v>26</v>
      </c>
      <c r="D10" s="362">
        <v>299</v>
      </c>
      <c r="E10" s="363">
        <f>D10*10</f>
        <v>2990</v>
      </c>
    </row>
    <row r="11" spans="2:8" ht="20.100000000000001" customHeight="1">
      <c r="B11" s="1259" t="s">
        <v>24</v>
      </c>
      <c r="C11" s="1259"/>
      <c r="D11" s="362">
        <f>SUM(D9:D10)</f>
        <v>474</v>
      </c>
      <c r="E11" s="363">
        <f>D11*10</f>
        <v>4740</v>
      </c>
    </row>
    <row r="13" spans="2:8" ht="19.5">
      <c r="B13" s="334" t="s">
        <v>21</v>
      </c>
      <c r="C13" s="1256" t="s">
        <v>182</v>
      </c>
      <c r="D13" s="1257"/>
      <c r="E13" s="1258"/>
    </row>
    <row r="14" spans="2:8" ht="15" customHeight="1">
      <c r="B14" s="1251" t="s">
        <v>0</v>
      </c>
      <c r="C14" s="1251" t="s">
        <v>1</v>
      </c>
      <c r="D14" s="1252" t="s">
        <v>40</v>
      </c>
      <c r="E14" s="1253" t="s">
        <v>31</v>
      </c>
    </row>
    <row r="15" spans="2:8" s="327" customFormat="1">
      <c r="B15" s="1251"/>
      <c r="C15" s="1251"/>
      <c r="D15" s="1252"/>
      <c r="E15" s="1254"/>
    </row>
    <row r="16" spans="2:8" ht="20.100000000000001" customHeight="1">
      <c r="B16" s="374" t="s">
        <v>172</v>
      </c>
      <c r="C16" s="374" t="s">
        <v>26</v>
      </c>
      <c r="D16" s="362">
        <v>190</v>
      </c>
      <c r="E16" s="363">
        <f t="shared" ref="E16:E17" si="1">D16*10</f>
        <v>1900</v>
      </c>
    </row>
    <row r="17" spans="2:5" ht="20.100000000000001" customHeight="1">
      <c r="B17" s="374" t="s">
        <v>189</v>
      </c>
      <c r="C17" s="374" t="s">
        <v>26</v>
      </c>
      <c r="D17" s="362">
        <v>242</v>
      </c>
      <c r="E17" s="363">
        <f t="shared" si="1"/>
        <v>2420</v>
      </c>
    </row>
    <row r="18" spans="2:5" ht="20.100000000000001" customHeight="1">
      <c r="B18" s="1259" t="s">
        <v>24</v>
      </c>
      <c r="C18" s="1259"/>
      <c r="D18" s="362">
        <f>SUM(D16:D17)</f>
        <v>432</v>
      </c>
      <c r="E18" s="363">
        <f>D18*10</f>
        <v>4320</v>
      </c>
    </row>
    <row r="19" spans="2:5">
      <c r="B19" s="336"/>
      <c r="C19" s="336"/>
      <c r="D19" s="337"/>
      <c r="E19" s="337"/>
    </row>
    <row r="20" spans="2:5" ht="19.5">
      <c r="B20" s="338" t="s">
        <v>28</v>
      </c>
      <c r="C20" s="1264" t="s">
        <v>29</v>
      </c>
      <c r="D20" s="1265"/>
      <c r="E20" s="1266"/>
    </row>
    <row r="21" spans="2:5" ht="15" customHeight="1">
      <c r="B21" s="1251" t="s">
        <v>0</v>
      </c>
      <c r="C21" s="1251" t="s">
        <v>1</v>
      </c>
      <c r="D21" s="1252" t="s">
        <v>40</v>
      </c>
      <c r="E21" s="1253" t="s">
        <v>31</v>
      </c>
    </row>
    <row r="22" spans="2:5">
      <c r="B22" s="1251"/>
      <c r="C22" s="1251"/>
      <c r="D22" s="1252"/>
      <c r="E22" s="1254"/>
    </row>
    <row r="23" spans="2:5">
      <c r="B23" s="374" t="s">
        <v>184</v>
      </c>
      <c r="C23" s="374" t="s">
        <v>26</v>
      </c>
      <c r="D23" s="362">
        <v>143</v>
      </c>
      <c r="E23" s="363">
        <f>D23*10</f>
        <v>1430</v>
      </c>
    </row>
    <row r="24" spans="2:5">
      <c r="B24" s="367" t="s">
        <v>63</v>
      </c>
      <c r="C24" s="374" t="s">
        <v>26</v>
      </c>
      <c r="D24" s="362">
        <v>112</v>
      </c>
      <c r="E24" s="363">
        <f t="shared" ref="E24" si="2">D24*10</f>
        <v>1120</v>
      </c>
    </row>
    <row r="25" spans="2:5" ht="20.100000000000001" customHeight="1">
      <c r="B25" s="1259" t="s">
        <v>24</v>
      </c>
      <c r="C25" s="1259"/>
      <c r="D25" s="362">
        <f>SUM(D23:D24)</f>
        <v>255</v>
      </c>
      <c r="E25" s="363">
        <f>D25*10</f>
        <v>2550</v>
      </c>
    </row>
    <row r="27" spans="2:5" ht="19.5">
      <c r="B27" s="1260" t="s">
        <v>200</v>
      </c>
      <c r="C27" s="1260"/>
      <c r="D27" s="1260"/>
      <c r="E27" s="1260"/>
    </row>
    <row r="28" spans="2:5">
      <c r="B28" s="342"/>
      <c r="C28" s="344" t="s">
        <v>34</v>
      </c>
      <c r="D28" s="344" t="s">
        <v>35</v>
      </c>
      <c r="E28" s="344" t="s">
        <v>37</v>
      </c>
    </row>
    <row r="29" spans="2:5">
      <c r="B29" s="345" t="s">
        <v>39</v>
      </c>
      <c r="C29" s="347">
        <f>D11</f>
        <v>474</v>
      </c>
      <c r="D29" s="348">
        <f>D18</f>
        <v>432</v>
      </c>
      <c r="E29" s="348">
        <f>D25</f>
        <v>255</v>
      </c>
    </row>
    <row r="30" spans="2:5">
      <c r="B30" s="345" t="s">
        <v>36</v>
      </c>
      <c r="C30" s="343">
        <f>C29*10</f>
        <v>4740</v>
      </c>
      <c r="D30" s="343">
        <f>D29*10</f>
        <v>4320</v>
      </c>
      <c r="E30" s="343">
        <f>E29*10</f>
        <v>2550</v>
      </c>
    </row>
    <row r="31" spans="2:5" ht="19.5">
      <c r="B31" s="1261" t="s">
        <v>199</v>
      </c>
      <c r="C31" s="1262"/>
      <c r="D31" s="1262"/>
      <c r="E31" s="1263"/>
    </row>
    <row r="32" spans="2:5">
      <c r="B32" s="377" t="s">
        <v>198</v>
      </c>
      <c r="C32" s="378">
        <f>C29+D29+E29</f>
        <v>1161</v>
      </c>
      <c r="D32" s="378" t="s">
        <v>203</v>
      </c>
      <c r="E32" s="381">
        <f>C32*10</f>
        <v>11610</v>
      </c>
    </row>
    <row r="33" spans="2:5">
      <c r="B33" s="377" t="s">
        <v>197</v>
      </c>
      <c r="C33" s="378" t="e">
        <f>C34-C32</f>
        <v>#REF!</v>
      </c>
      <c r="D33" s="378" t="s">
        <v>204</v>
      </c>
      <c r="E33" s="381" t="e">
        <f>C33*9</f>
        <v>#REF!</v>
      </c>
    </row>
    <row r="34" spans="2:5" ht="19.5">
      <c r="B34" s="334" t="s">
        <v>201</v>
      </c>
      <c r="C34" s="380" t="e">
        <f>'Patron Counts v Swipes'!#REF!</f>
        <v>#REF!</v>
      </c>
      <c r="D34" s="380" t="s">
        <v>202</v>
      </c>
      <c r="E34" s="379" t="e">
        <f>SUM(E32+E33)</f>
        <v>#REF!</v>
      </c>
    </row>
    <row r="36" spans="2:5">
      <c r="B36" s="331" t="s">
        <v>5</v>
      </c>
      <c r="C36" s="339"/>
    </row>
    <row r="37" spans="2:5">
      <c r="B37" s="375" t="s">
        <v>4</v>
      </c>
      <c r="C37" s="376"/>
    </row>
    <row r="38" spans="2:5">
      <c r="B38" s="375" t="s">
        <v>25</v>
      </c>
      <c r="C38" s="376"/>
    </row>
  </sheetData>
  <sheetProtection algorithmName="SHA-512" hashValue="afpVoskbElXjJ827LvK/s7WFlTU+3q5rXB/goTbxIZQVHia7cCeXQnS1eZ+a1XtiTuJ3wRU21T/NW3gtjx3Mcw==" saltValue="DCW9TUMNDB10l3pd2rHpLQ==" spinCount="100000" sheet="1" objects="1" scenarios="1"/>
  <mergeCells count="22">
    <mergeCell ref="E2:F2"/>
    <mergeCell ref="G2:H2"/>
    <mergeCell ref="C6:E6"/>
    <mergeCell ref="B7:B8"/>
    <mergeCell ref="C7:C8"/>
    <mergeCell ref="D7:D8"/>
    <mergeCell ref="E7:E8"/>
    <mergeCell ref="B11:C11"/>
    <mergeCell ref="C13:E13"/>
    <mergeCell ref="B14:B15"/>
    <mergeCell ref="C14:C15"/>
    <mergeCell ref="D14:D15"/>
    <mergeCell ref="E14:E15"/>
    <mergeCell ref="B25:C25"/>
    <mergeCell ref="B27:E27"/>
    <mergeCell ref="B31:E31"/>
    <mergeCell ref="B18:C18"/>
    <mergeCell ref="C20:E20"/>
    <mergeCell ref="B21:B22"/>
    <mergeCell ref="C21:C22"/>
    <mergeCell ref="D21:D22"/>
    <mergeCell ref="E21:E22"/>
  </mergeCells>
  <pageMargins left="0.7" right="0.7" top="0.75" bottom="0.75" header="0.3" footer="0.3"/>
  <pageSetup scale="68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273CA-564E-47A3-87E4-799F9B54746E}">
  <sheetPr codeName="Sheet99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44505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74" t="s">
        <v>164</v>
      </c>
      <c r="C9" s="374" t="s">
        <v>16</v>
      </c>
      <c r="D9" s="12">
        <v>270</v>
      </c>
      <c r="E9" s="363">
        <f>D9*10</f>
        <v>2700</v>
      </c>
    </row>
    <row r="10" spans="2:8" ht="20.100000000000001" customHeight="1">
      <c r="B10" s="374" t="s">
        <v>53</v>
      </c>
      <c r="C10" s="374" t="s">
        <v>16</v>
      </c>
      <c r="D10" s="362">
        <v>204</v>
      </c>
      <c r="E10" s="363">
        <f t="shared" ref="E10:E11" si="0">D10*10</f>
        <v>2040</v>
      </c>
    </row>
    <row r="11" spans="2:8" ht="20.100000000000001" customHeight="1">
      <c r="B11" s="374" t="s">
        <v>70</v>
      </c>
      <c r="C11" s="374" t="s">
        <v>26</v>
      </c>
      <c r="D11" s="362">
        <v>425</v>
      </c>
      <c r="E11" s="363">
        <f t="shared" si="0"/>
        <v>4250</v>
      </c>
    </row>
    <row r="12" spans="2:8" ht="20.100000000000001" customHeight="1">
      <c r="B12" s="374" t="s">
        <v>69</v>
      </c>
      <c r="C12" s="374" t="s">
        <v>26</v>
      </c>
      <c r="D12" s="362">
        <v>190</v>
      </c>
      <c r="E12" s="363">
        <f>D12*10</f>
        <v>1900</v>
      </c>
    </row>
    <row r="13" spans="2:8" ht="20.100000000000001" customHeight="1">
      <c r="B13" s="1259" t="s">
        <v>24</v>
      </c>
      <c r="C13" s="1259"/>
      <c r="D13" s="362">
        <f>SUM(D9:D12)</f>
        <v>1089</v>
      </c>
      <c r="E13" s="363">
        <f>D13*10</f>
        <v>10890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6" s="327" customFormat="1">
      <c r="B17" s="1251"/>
      <c r="C17" s="1251"/>
      <c r="D17" s="1252"/>
      <c r="E17" s="1254"/>
    </row>
    <row r="18" spans="2:6" ht="20.100000000000001" customHeight="1">
      <c r="B18" s="374" t="s">
        <v>45</v>
      </c>
      <c r="C18" s="374" t="s">
        <v>16</v>
      </c>
      <c r="D18" s="362">
        <v>140</v>
      </c>
      <c r="E18" s="363">
        <f>D18*10</f>
        <v>1400</v>
      </c>
    </row>
    <row r="19" spans="2:6" ht="20.100000000000001" customHeight="1">
      <c r="B19" s="374" t="s">
        <v>184</v>
      </c>
      <c r="C19" s="374" t="s">
        <v>16</v>
      </c>
      <c r="D19" s="362">
        <v>165</v>
      </c>
      <c r="E19" s="363">
        <f>D19*10</f>
        <v>1650</v>
      </c>
    </row>
    <row r="20" spans="2:6" ht="20.100000000000001" customHeight="1">
      <c r="B20" s="374" t="s">
        <v>170</v>
      </c>
      <c r="C20" s="374" t="s">
        <v>71</v>
      </c>
      <c r="D20" s="362">
        <v>106</v>
      </c>
      <c r="E20" s="363">
        <f>D20*10</f>
        <v>1060</v>
      </c>
    </row>
    <row r="21" spans="2:6" ht="20.100000000000001" customHeight="1">
      <c r="B21" s="374" t="s">
        <v>70</v>
      </c>
      <c r="C21" s="374" t="s">
        <v>26</v>
      </c>
      <c r="D21" s="362">
        <v>265</v>
      </c>
      <c r="E21" s="363">
        <f t="shared" ref="E21:E22" si="1">D21*10</f>
        <v>2650</v>
      </c>
      <c r="F21" s="326" t="s">
        <v>233</v>
      </c>
    </row>
    <row r="22" spans="2:6" ht="20.100000000000001" customHeight="1">
      <c r="B22" s="374" t="s">
        <v>171</v>
      </c>
      <c r="C22" s="374" t="s">
        <v>26</v>
      </c>
      <c r="D22" s="362">
        <v>258</v>
      </c>
      <c r="E22" s="363">
        <f t="shared" si="1"/>
        <v>2580</v>
      </c>
    </row>
    <row r="23" spans="2:6" ht="20.100000000000001" customHeight="1">
      <c r="B23" s="1259" t="s">
        <v>24</v>
      </c>
      <c r="C23" s="1259"/>
      <c r="D23" s="362">
        <f>SUM(D18:D22)</f>
        <v>934</v>
      </c>
      <c r="E23" s="363">
        <f>D23*10</f>
        <v>9340</v>
      </c>
    </row>
    <row r="24" spans="2:6">
      <c r="B24" s="336"/>
      <c r="C24" s="336"/>
      <c r="D24" s="337"/>
      <c r="E24" s="337"/>
    </row>
    <row r="25" spans="2:6" ht="19.5">
      <c r="B25" s="338" t="s">
        <v>28</v>
      </c>
      <c r="C25" s="1264" t="s">
        <v>29</v>
      </c>
      <c r="D25" s="1265"/>
      <c r="E25" s="1266"/>
    </row>
    <row r="26" spans="2:6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6">
      <c r="B27" s="1251"/>
      <c r="C27" s="1251"/>
      <c r="D27" s="1252"/>
      <c r="E27" s="1254"/>
    </row>
    <row r="28" spans="2:6">
      <c r="B28" s="374" t="s">
        <v>70</v>
      </c>
      <c r="C28" s="374" t="s">
        <v>26</v>
      </c>
      <c r="D28" s="362">
        <v>313</v>
      </c>
      <c r="E28" s="363">
        <f>D28*10</f>
        <v>3130</v>
      </c>
    </row>
    <row r="29" spans="2:6">
      <c r="B29" s="374" t="s">
        <v>171</v>
      </c>
      <c r="C29" s="374" t="s">
        <v>26</v>
      </c>
      <c r="D29" s="362">
        <v>183</v>
      </c>
      <c r="E29" s="363">
        <f t="shared" ref="E29" si="2">D29*10</f>
        <v>1830</v>
      </c>
    </row>
    <row r="30" spans="2:6" ht="20.100000000000001" customHeight="1">
      <c r="B30" s="1259" t="s">
        <v>24</v>
      </c>
      <c r="C30" s="1259"/>
      <c r="D30" s="362">
        <f>SUM(D28:D29)</f>
        <v>496</v>
      </c>
      <c r="E30" s="363">
        <f>D30*10</f>
        <v>4960</v>
      </c>
    </row>
    <row r="32" spans="2:6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1089</v>
      </c>
      <c r="D34" s="348">
        <f>D23</f>
        <v>934</v>
      </c>
      <c r="E34" s="348">
        <f>D30</f>
        <v>496</v>
      </c>
    </row>
    <row r="35" spans="2:5">
      <c r="B35" s="345" t="s">
        <v>36</v>
      </c>
      <c r="C35" s="343">
        <f>C34*10</f>
        <v>10890</v>
      </c>
      <c r="D35" s="343">
        <f>D34*10</f>
        <v>9340</v>
      </c>
      <c r="E35" s="343">
        <f>E34*10</f>
        <v>4960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2519</v>
      </c>
      <c r="D37" s="378" t="s">
        <v>203</v>
      </c>
      <c r="E37" s="381">
        <f>C37*10</f>
        <v>25190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mergeCells count="22">
    <mergeCell ref="E2:F2"/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B32:E32"/>
    <mergeCell ref="B36:E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CED11-092C-4563-ACDA-0DB22F6986AC}">
  <sheetPr codeName="Sheet100">
    <pageSetUpPr fitToPage="1"/>
  </sheetPr>
  <dimension ref="B2:H43"/>
  <sheetViews>
    <sheetView workbookViewId="0"/>
  </sheetViews>
  <sheetFormatPr defaultColWidth="9.140625" defaultRowHeight="15"/>
  <cols>
    <col min="1" max="1" width="9.140625" style="326"/>
    <col min="2" max="2" width="36.7109375" style="326" customWidth="1"/>
    <col min="3" max="3" width="22.7109375" style="326" customWidth="1"/>
    <col min="4" max="4" width="36.7109375" style="326" customWidth="1"/>
    <col min="5" max="5" width="22.7109375" style="326" customWidth="1"/>
    <col min="6" max="8" width="15.7109375" style="326" customWidth="1"/>
    <col min="9" max="16384" width="9.140625" style="326"/>
  </cols>
  <sheetData>
    <row r="2" spans="2:8" ht="19.5">
      <c r="B2" s="332" t="s">
        <v>13</v>
      </c>
      <c r="C2" s="328"/>
      <c r="D2" s="335" t="s">
        <v>27</v>
      </c>
      <c r="E2" s="1247">
        <v>44504</v>
      </c>
      <c r="F2" s="1247"/>
      <c r="G2" s="1247"/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72" t="s">
        <v>66</v>
      </c>
      <c r="C9" s="371" t="s">
        <v>16</v>
      </c>
      <c r="D9" s="12">
        <v>205</v>
      </c>
      <c r="E9" s="363">
        <f>D9*10</f>
        <v>2050</v>
      </c>
    </row>
    <row r="10" spans="2:8" ht="20.100000000000001" customHeight="1">
      <c r="B10" s="372" t="s">
        <v>53</v>
      </c>
      <c r="C10" s="371" t="s">
        <v>16</v>
      </c>
      <c r="D10" s="362">
        <v>377</v>
      </c>
      <c r="E10" s="363">
        <f t="shared" ref="E10:E11" si="0">D10*10</f>
        <v>3770</v>
      </c>
    </row>
    <row r="11" spans="2:8" ht="20.100000000000001" customHeight="1">
      <c r="B11" s="372" t="s">
        <v>65</v>
      </c>
      <c r="C11" s="371" t="s">
        <v>26</v>
      </c>
      <c r="D11" s="362">
        <v>228</v>
      </c>
      <c r="E11" s="363">
        <f t="shared" si="0"/>
        <v>2280</v>
      </c>
    </row>
    <row r="12" spans="2:8" ht="20.100000000000001" customHeight="1">
      <c r="B12" s="372" t="s">
        <v>64</v>
      </c>
      <c r="C12" s="371" t="s">
        <v>26</v>
      </c>
      <c r="D12" s="362">
        <v>266</v>
      </c>
      <c r="E12" s="363">
        <f>D12*10</f>
        <v>2660</v>
      </c>
    </row>
    <row r="13" spans="2:8" ht="20.100000000000001" customHeight="1">
      <c r="B13" s="1259" t="s">
        <v>24</v>
      </c>
      <c r="C13" s="1259"/>
      <c r="D13" s="362">
        <f>SUM(D9:D12)</f>
        <v>1076</v>
      </c>
      <c r="E13" s="363">
        <f>D13*10</f>
        <v>10760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5" s="327" customFormat="1">
      <c r="B17" s="1251"/>
      <c r="C17" s="1251"/>
      <c r="D17" s="1252"/>
      <c r="E17" s="1254"/>
    </row>
    <row r="18" spans="2:5" ht="20.100000000000001" customHeight="1">
      <c r="B18" s="373" t="s">
        <v>170</v>
      </c>
      <c r="C18" s="371" t="s">
        <v>16</v>
      </c>
      <c r="D18" s="362">
        <v>217</v>
      </c>
      <c r="E18" s="363">
        <f>D18*10</f>
        <v>2170</v>
      </c>
    </row>
    <row r="19" spans="2:5" ht="20.100000000000001" customHeight="1">
      <c r="B19" s="373" t="s">
        <v>159</v>
      </c>
      <c r="C19" s="371" t="s">
        <v>16</v>
      </c>
      <c r="D19" s="362">
        <v>136</v>
      </c>
      <c r="E19" s="363">
        <f>D19*10</f>
        <v>1360</v>
      </c>
    </row>
    <row r="20" spans="2:5" ht="20.100000000000001" customHeight="1">
      <c r="B20" s="373" t="s">
        <v>66</v>
      </c>
      <c r="C20" s="371" t="s">
        <v>71</v>
      </c>
      <c r="D20" s="362">
        <v>247</v>
      </c>
      <c r="E20" s="363">
        <f>D20*10</f>
        <v>2470</v>
      </c>
    </row>
    <row r="21" spans="2:5" ht="20.100000000000001" customHeight="1">
      <c r="B21" s="373" t="s">
        <v>65</v>
      </c>
      <c r="C21" s="371" t="s">
        <v>26</v>
      </c>
      <c r="D21" s="362">
        <v>209</v>
      </c>
      <c r="E21" s="363">
        <f t="shared" ref="E21:E22" si="1">D21*10</f>
        <v>2090</v>
      </c>
    </row>
    <row r="22" spans="2:5" ht="20.100000000000001" customHeight="1">
      <c r="B22" s="373" t="s">
        <v>64</v>
      </c>
      <c r="C22" s="371" t="s">
        <v>26</v>
      </c>
      <c r="D22" s="362">
        <v>214</v>
      </c>
      <c r="E22" s="363">
        <f t="shared" si="1"/>
        <v>2140</v>
      </c>
    </row>
    <row r="23" spans="2:5" ht="20.100000000000001" customHeight="1">
      <c r="B23" s="1259" t="s">
        <v>24</v>
      </c>
      <c r="C23" s="1259"/>
      <c r="D23" s="362">
        <f>SUM(D18:D22)</f>
        <v>1023</v>
      </c>
      <c r="E23" s="363">
        <f>D23*10</f>
        <v>10230</v>
      </c>
    </row>
    <row r="24" spans="2:5">
      <c r="B24" s="336"/>
      <c r="C24" s="336"/>
      <c r="D24" s="337"/>
      <c r="E24" s="337"/>
    </row>
    <row r="25" spans="2:5" ht="19.5">
      <c r="B25" s="338" t="s">
        <v>28</v>
      </c>
      <c r="C25" s="1264" t="s">
        <v>29</v>
      </c>
      <c r="D25" s="1265"/>
      <c r="E25" s="1266"/>
    </row>
    <row r="26" spans="2:5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5">
      <c r="B27" s="1251"/>
      <c r="C27" s="1251"/>
      <c r="D27" s="1252"/>
      <c r="E27" s="1254"/>
    </row>
    <row r="28" spans="2:5">
      <c r="B28" s="374" t="s">
        <v>65</v>
      </c>
      <c r="C28" s="371" t="s">
        <v>26</v>
      </c>
      <c r="D28" s="362">
        <v>275</v>
      </c>
      <c r="E28" s="363">
        <f>D28*10</f>
        <v>2750</v>
      </c>
    </row>
    <row r="29" spans="2:5">
      <c r="B29" s="374" t="s">
        <v>64</v>
      </c>
      <c r="C29" s="371" t="s">
        <v>26</v>
      </c>
      <c r="D29" s="362">
        <v>215</v>
      </c>
      <c r="E29" s="363">
        <f t="shared" ref="E29" si="2">D29*10</f>
        <v>2150</v>
      </c>
    </row>
    <row r="30" spans="2:5" ht="20.100000000000001" customHeight="1">
      <c r="B30" s="1259" t="s">
        <v>24</v>
      </c>
      <c r="C30" s="1259"/>
      <c r="D30" s="362">
        <f>SUM(D28:D29)</f>
        <v>490</v>
      </c>
      <c r="E30" s="363">
        <f>D30*10</f>
        <v>4900</v>
      </c>
    </row>
    <row r="32" spans="2:5" ht="19.5">
      <c r="B32" s="1260" t="s">
        <v>200</v>
      </c>
      <c r="C32" s="1260"/>
      <c r="D32" s="1260"/>
      <c r="E32" s="1260"/>
    </row>
    <row r="33" spans="2:5">
      <c r="B33" s="342"/>
      <c r="C33" s="344" t="s">
        <v>34</v>
      </c>
      <c r="D33" s="344" t="s">
        <v>35</v>
      </c>
      <c r="E33" s="344" t="s">
        <v>37</v>
      </c>
    </row>
    <row r="34" spans="2:5">
      <c r="B34" s="345" t="s">
        <v>39</v>
      </c>
      <c r="C34" s="347">
        <f>D13</f>
        <v>1076</v>
      </c>
      <c r="D34" s="348">
        <f>D23</f>
        <v>1023</v>
      </c>
      <c r="E34" s="348">
        <f>D30</f>
        <v>490</v>
      </c>
    </row>
    <row r="35" spans="2:5">
      <c r="B35" s="345" t="s">
        <v>36</v>
      </c>
      <c r="C35" s="343">
        <f>C34*10</f>
        <v>10760</v>
      </c>
      <c r="D35" s="343">
        <f>D34*10</f>
        <v>10230</v>
      </c>
      <c r="E35" s="343">
        <f>E34*10</f>
        <v>4900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2589</v>
      </c>
      <c r="D37" s="378" t="s">
        <v>203</v>
      </c>
      <c r="E37" s="381">
        <f>C37*10</f>
        <v>25890</v>
      </c>
    </row>
    <row r="38" spans="2:5">
      <c r="B38" s="377" t="s">
        <v>197</v>
      </c>
      <c r="C38" s="378" t="e">
        <f>C39-C37</f>
        <v>#REF!</v>
      </c>
      <c r="D38" s="378" t="s">
        <v>204</v>
      </c>
      <c r="E38" s="381" t="e">
        <f>C38*9</f>
        <v>#REF!</v>
      </c>
    </row>
    <row r="39" spans="2:5" ht="19.5">
      <c r="B39" s="334" t="s">
        <v>201</v>
      </c>
      <c r="C39" s="380" t="e">
        <f>'Patron Counts v Swipes'!#REF!</f>
        <v>#REF!</v>
      </c>
      <c r="D39" s="380" t="s">
        <v>202</v>
      </c>
      <c r="E39" s="379" t="e">
        <f>SUM(E37+E38)</f>
        <v>#REF!</v>
      </c>
    </row>
    <row r="41" spans="2:5">
      <c r="B41" s="331" t="s">
        <v>5</v>
      </c>
      <c r="C41" s="339"/>
    </row>
    <row r="42" spans="2:5">
      <c r="B42" s="375" t="s">
        <v>4</v>
      </c>
      <c r="C42" s="376"/>
    </row>
    <row r="43" spans="2:5">
      <c r="B43" s="375" t="s">
        <v>25</v>
      </c>
      <c r="C43" s="376"/>
    </row>
  </sheetData>
  <sheetProtection algorithmName="SHA-512" hashValue="4/fcHG1Wyv63DTmIJZH5Wgx1MdS8Gbb7fWkl3L2CB9aGq65xVP5qWqcS/dpZB5Of4q5OQ0ceBfA2jmn2tHekFw==" saltValue="WQk4hoW/KSSgjJhqbykGUQ==" spinCount="100000" sheet="1" objects="1" scenarios="1"/>
  <mergeCells count="22">
    <mergeCell ref="B36:E36"/>
    <mergeCell ref="G2:H2"/>
    <mergeCell ref="C6:E6"/>
    <mergeCell ref="B7:B8"/>
    <mergeCell ref="C7:C8"/>
    <mergeCell ref="D7:D8"/>
    <mergeCell ref="E7:E8"/>
    <mergeCell ref="E2:F2"/>
    <mergeCell ref="B13:C13"/>
    <mergeCell ref="C15:E15"/>
    <mergeCell ref="B16:B17"/>
    <mergeCell ref="C16:C17"/>
    <mergeCell ref="D16:D17"/>
    <mergeCell ref="E16:E17"/>
    <mergeCell ref="B32:E32"/>
    <mergeCell ref="B30:C30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68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310CE-C421-47B8-8E13-0AEAEDA9E342}">
  <sheetPr codeName="Sheet101">
    <pageSetUpPr fitToPage="1"/>
  </sheetPr>
  <dimension ref="B2:H36"/>
  <sheetViews>
    <sheetView workbookViewId="0"/>
  </sheetViews>
  <sheetFormatPr defaultColWidth="9.140625" defaultRowHeight="15"/>
  <cols>
    <col min="1" max="1" width="9.140625" style="326"/>
    <col min="2" max="2" width="21.5703125" style="326" customWidth="1"/>
    <col min="3" max="3" width="24.28515625" style="326" bestFit="1" customWidth="1"/>
    <col min="4" max="8" width="15.7109375" style="326" customWidth="1"/>
    <col min="9" max="16384" width="9.140625" style="326"/>
  </cols>
  <sheetData>
    <row r="2" spans="2:8" ht="19.5">
      <c r="B2" s="332" t="s">
        <v>13</v>
      </c>
      <c r="C2" s="328"/>
      <c r="E2" s="368"/>
      <c r="F2" s="335" t="s">
        <v>27</v>
      </c>
      <c r="G2" s="1247">
        <v>44503</v>
      </c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69" t="s">
        <v>144</v>
      </c>
      <c r="C9" s="366" t="s">
        <v>16</v>
      </c>
      <c r="D9" s="12">
        <v>273</v>
      </c>
      <c r="E9" s="363">
        <f>D9*10</f>
        <v>2730</v>
      </c>
    </row>
    <row r="10" spans="2:8" ht="20.100000000000001" customHeight="1">
      <c r="B10" s="369" t="s">
        <v>82</v>
      </c>
      <c r="C10" s="366" t="s">
        <v>16</v>
      </c>
      <c r="D10" s="362">
        <v>318</v>
      </c>
      <c r="E10" s="363">
        <f t="shared" ref="E10:E11" si="0">D10*10</f>
        <v>3180</v>
      </c>
    </row>
    <row r="11" spans="2:8" ht="20.100000000000001" customHeight="1">
      <c r="B11" s="369" t="s">
        <v>53</v>
      </c>
      <c r="C11" s="366" t="s">
        <v>26</v>
      </c>
      <c r="D11" s="362">
        <v>263</v>
      </c>
      <c r="E11" s="363">
        <f t="shared" si="0"/>
        <v>2630</v>
      </c>
    </row>
    <row r="12" spans="2:8" ht="20.100000000000001" customHeight="1">
      <c r="B12" s="369" t="s">
        <v>171</v>
      </c>
      <c r="C12" s="366" t="s">
        <v>26</v>
      </c>
      <c r="D12" s="362">
        <v>406</v>
      </c>
      <c r="E12" s="363">
        <f>D12*10</f>
        <v>4060</v>
      </c>
    </row>
    <row r="13" spans="2:8" ht="20.100000000000001" customHeight="1">
      <c r="B13" s="1259" t="s">
        <v>24</v>
      </c>
      <c r="C13" s="1259"/>
      <c r="D13" s="362">
        <f>SUM(D9:D12)</f>
        <v>1260</v>
      </c>
      <c r="E13" s="363">
        <f>D13*10</f>
        <v>12600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7" s="327" customFormat="1">
      <c r="B17" s="1251"/>
      <c r="C17" s="1251"/>
      <c r="D17" s="1252"/>
      <c r="E17" s="1254"/>
    </row>
    <row r="18" spans="2:7" ht="20.100000000000001" customHeight="1">
      <c r="B18" s="370" t="s">
        <v>144</v>
      </c>
      <c r="C18" s="366" t="s">
        <v>16</v>
      </c>
      <c r="D18" s="362">
        <v>189</v>
      </c>
      <c r="E18" s="363">
        <f>D18*10</f>
        <v>1890</v>
      </c>
    </row>
    <row r="19" spans="2:7" ht="20.100000000000001" customHeight="1">
      <c r="B19" s="370" t="s">
        <v>82</v>
      </c>
      <c r="C19" s="366" t="s">
        <v>16</v>
      </c>
      <c r="D19" s="362">
        <v>304</v>
      </c>
      <c r="E19" s="363">
        <f>D19*10</f>
        <v>3040</v>
      </c>
    </row>
    <row r="20" spans="2:7" ht="20.100000000000001" customHeight="1">
      <c r="B20" s="370" t="s">
        <v>69</v>
      </c>
      <c r="C20" s="366" t="s">
        <v>71</v>
      </c>
      <c r="D20" s="362">
        <v>138</v>
      </c>
      <c r="E20" s="363">
        <f>D20*10</f>
        <v>1380</v>
      </c>
    </row>
    <row r="21" spans="2:7" ht="20.100000000000001" customHeight="1">
      <c r="B21" s="370" t="s">
        <v>164</v>
      </c>
      <c r="C21" s="366" t="s">
        <v>26</v>
      </c>
      <c r="D21" s="362">
        <v>283</v>
      </c>
      <c r="E21" s="363">
        <f t="shared" ref="E21:E22" si="1">D21*10</f>
        <v>2830</v>
      </c>
    </row>
    <row r="22" spans="2:7" ht="20.100000000000001" customHeight="1">
      <c r="B22" s="370" t="s">
        <v>171</v>
      </c>
      <c r="C22" s="366" t="s">
        <v>26</v>
      </c>
      <c r="D22" s="362">
        <v>382</v>
      </c>
      <c r="E22" s="363">
        <f t="shared" si="1"/>
        <v>3820</v>
      </c>
    </row>
    <row r="23" spans="2:7" ht="20.100000000000001" customHeight="1">
      <c r="B23" s="1259" t="s">
        <v>24</v>
      </c>
      <c r="C23" s="1259"/>
      <c r="D23" s="362">
        <f>SUM(D18:D22)</f>
        <v>1296</v>
      </c>
      <c r="E23" s="363">
        <f>D23*10</f>
        <v>12960</v>
      </c>
    </row>
    <row r="24" spans="2:7">
      <c r="B24" s="336"/>
      <c r="C24" s="336"/>
      <c r="D24" s="337"/>
      <c r="E24" s="337"/>
    </row>
    <row r="25" spans="2:7" ht="19.5">
      <c r="B25" s="338" t="s">
        <v>28</v>
      </c>
      <c r="C25" s="1264" t="s">
        <v>29</v>
      </c>
      <c r="D25" s="1265"/>
      <c r="E25" s="1266"/>
    </row>
    <row r="26" spans="2:7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7">
      <c r="B27" s="1251"/>
      <c r="C27" s="1251"/>
      <c r="D27" s="1252"/>
      <c r="E27" s="1254"/>
    </row>
    <row r="28" spans="2:7">
      <c r="B28" s="371" t="s">
        <v>164</v>
      </c>
      <c r="C28" s="366" t="s">
        <v>26</v>
      </c>
      <c r="D28" s="362">
        <v>184</v>
      </c>
      <c r="E28" s="363">
        <f>D28*10</f>
        <v>1840</v>
      </c>
    </row>
    <row r="29" spans="2:7">
      <c r="B29" s="371" t="s">
        <v>171</v>
      </c>
      <c r="C29" s="366" t="s">
        <v>26</v>
      </c>
      <c r="D29" s="362">
        <v>287</v>
      </c>
      <c r="E29" s="363">
        <f t="shared" ref="E29" si="2">D29*10</f>
        <v>2870</v>
      </c>
    </row>
    <row r="30" spans="2:7" ht="20.100000000000001" customHeight="1">
      <c r="B30" s="1259" t="s">
        <v>24</v>
      </c>
      <c r="C30" s="1259"/>
      <c r="D30" s="362">
        <f>SUM(D28:D29)</f>
        <v>471</v>
      </c>
      <c r="E30" s="363">
        <f>D30*10</f>
        <v>4710</v>
      </c>
    </row>
    <row r="32" spans="2:7" ht="19.5">
      <c r="B32" s="331" t="s">
        <v>5</v>
      </c>
      <c r="C32" s="339"/>
      <c r="D32" s="1271" t="s">
        <v>32</v>
      </c>
      <c r="E32" s="1272"/>
      <c r="F32" s="1272"/>
      <c r="G32" s="1273"/>
    </row>
    <row r="33" spans="2:7">
      <c r="B33" s="340" t="s">
        <v>4</v>
      </c>
      <c r="C33" s="341"/>
      <c r="D33" s="342"/>
      <c r="E33" s="344" t="s">
        <v>34</v>
      </c>
      <c r="F33" s="344" t="s">
        <v>35</v>
      </c>
      <c r="G33" s="344" t="s">
        <v>37</v>
      </c>
    </row>
    <row r="34" spans="2:7">
      <c r="B34" s="340" t="s">
        <v>33</v>
      </c>
      <c r="C34" s="341"/>
      <c r="D34" s="345" t="s">
        <v>39</v>
      </c>
      <c r="E34" s="347">
        <f>D13</f>
        <v>1260</v>
      </c>
      <c r="F34" s="348">
        <f>D23</f>
        <v>1296</v>
      </c>
      <c r="G34" s="348">
        <f>D30</f>
        <v>471</v>
      </c>
    </row>
    <row r="35" spans="2:7">
      <c r="B35" s="340" t="s">
        <v>25</v>
      </c>
      <c r="C35" s="341"/>
      <c r="D35" s="345" t="s">
        <v>36</v>
      </c>
      <c r="E35" s="343">
        <f>E34*10</f>
        <v>12600</v>
      </c>
      <c r="F35" s="343">
        <f>F34*10</f>
        <v>12960</v>
      </c>
      <c r="G35" s="343">
        <f>G34*10</f>
        <v>4710</v>
      </c>
    </row>
    <row r="36" spans="2:7" ht="19.5">
      <c r="D36" s="334" t="s">
        <v>38</v>
      </c>
      <c r="E36" s="1274">
        <f>SUM(E35:G35)</f>
        <v>30270</v>
      </c>
      <c r="F36" s="1275"/>
      <c r="G36" s="1276"/>
    </row>
  </sheetData>
  <sheetProtection algorithmName="SHA-512" hashValue="1NGY3jcFodEPN0p/RxeN50ghtNXnozVm/CC6zrkmEsIlmEJg096OIBu9Cn8DEwkFilHVxDkW11IMHluZBnGsOA==" saltValue="wBeGyjDBQz6VHLht7Orc2Q==" spinCount="100000" sheet="1" objects="1" scenarios="1"/>
  <mergeCells count="21"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D32:G32"/>
    <mergeCell ref="E36:G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76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A5FE9-9DF8-4472-8813-EC5B6B88D731}">
  <sheetPr codeName="Sheet102">
    <pageSetUpPr fitToPage="1"/>
  </sheetPr>
  <dimension ref="B2:H36"/>
  <sheetViews>
    <sheetView workbookViewId="0"/>
  </sheetViews>
  <sheetFormatPr defaultColWidth="9.140625" defaultRowHeight="15"/>
  <cols>
    <col min="1" max="1" width="9.140625" style="326"/>
    <col min="2" max="2" width="21.5703125" style="326" customWidth="1"/>
    <col min="3" max="3" width="24.28515625" style="326" bestFit="1" customWidth="1"/>
    <col min="4" max="8" width="15.7109375" style="326" customWidth="1"/>
    <col min="9" max="16384" width="9.140625" style="326"/>
  </cols>
  <sheetData>
    <row r="2" spans="2:8" ht="19.5">
      <c r="B2" s="332" t="s">
        <v>13</v>
      </c>
      <c r="C2" s="328"/>
      <c r="E2" s="360"/>
      <c r="F2" s="335" t="s">
        <v>27</v>
      </c>
      <c r="G2" s="1247">
        <v>44502</v>
      </c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61" t="s">
        <v>78</v>
      </c>
      <c r="C9" s="357" t="s">
        <v>16</v>
      </c>
      <c r="D9" s="12">
        <v>323</v>
      </c>
      <c r="E9" s="346">
        <f>D9*10</f>
        <v>3230</v>
      </c>
    </row>
    <row r="10" spans="2:8" ht="20.100000000000001" customHeight="1">
      <c r="B10" s="361" t="s">
        <v>45</v>
      </c>
      <c r="C10" s="357" t="s">
        <v>16</v>
      </c>
      <c r="D10" s="330">
        <v>275</v>
      </c>
      <c r="E10" s="346">
        <f t="shared" ref="E10:E11" si="0">D10*10</f>
        <v>2750</v>
      </c>
    </row>
    <row r="11" spans="2:8" ht="20.100000000000001" customHeight="1">
      <c r="B11" s="361" t="s">
        <v>53</v>
      </c>
      <c r="C11" s="357" t="s">
        <v>26</v>
      </c>
      <c r="D11" s="330">
        <v>286</v>
      </c>
      <c r="E11" s="346">
        <f t="shared" si="0"/>
        <v>2860</v>
      </c>
    </row>
    <row r="12" spans="2:8" ht="20.100000000000001" customHeight="1">
      <c r="B12" s="361" t="s">
        <v>70</v>
      </c>
      <c r="C12" s="357" t="s">
        <v>26</v>
      </c>
      <c r="D12" s="330">
        <v>375</v>
      </c>
      <c r="E12" s="346">
        <f>D12*10</f>
        <v>3750</v>
      </c>
    </row>
    <row r="13" spans="2:8" ht="20.100000000000001" customHeight="1">
      <c r="B13" s="1259" t="s">
        <v>24</v>
      </c>
      <c r="C13" s="1259"/>
      <c r="D13" s="330">
        <f>SUM(D9:D12)</f>
        <v>1259</v>
      </c>
      <c r="E13" s="346">
        <f>D13*10</f>
        <v>12590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7" s="327" customFormat="1">
      <c r="B17" s="1251"/>
      <c r="C17" s="1251"/>
      <c r="D17" s="1252"/>
      <c r="E17" s="1254"/>
    </row>
    <row r="18" spans="2:7" ht="20.100000000000001" customHeight="1">
      <c r="B18" s="364" t="s">
        <v>78</v>
      </c>
      <c r="C18" s="357" t="s">
        <v>16</v>
      </c>
      <c r="D18" s="330">
        <v>221</v>
      </c>
      <c r="E18" s="346">
        <f>D18*10</f>
        <v>2210</v>
      </c>
    </row>
    <row r="19" spans="2:7" ht="20.100000000000001" customHeight="1">
      <c r="B19" s="364" t="s">
        <v>45</v>
      </c>
      <c r="C19" s="357" t="s">
        <v>16</v>
      </c>
      <c r="D19" s="330">
        <v>288</v>
      </c>
      <c r="E19" s="346">
        <f>D19*10</f>
        <v>2880</v>
      </c>
    </row>
    <row r="20" spans="2:7" ht="20.100000000000001" customHeight="1">
      <c r="B20" s="365" t="s">
        <v>44</v>
      </c>
      <c r="C20" s="357" t="s">
        <v>71</v>
      </c>
      <c r="D20" s="362">
        <v>82</v>
      </c>
      <c r="E20" s="363">
        <f>D20*10</f>
        <v>820</v>
      </c>
    </row>
    <row r="21" spans="2:7" ht="20.100000000000001" customHeight="1">
      <c r="B21" s="367" t="s">
        <v>185</v>
      </c>
      <c r="C21" s="357" t="s">
        <v>26</v>
      </c>
      <c r="D21" s="330">
        <v>450</v>
      </c>
      <c r="E21" s="346">
        <f t="shared" ref="E21:E22" si="1">D21*10</f>
        <v>4500</v>
      </c>
    </row>
    <row r="22" spans="2:7" ht="20.100000000000001" customHeight="1">
      <c r="B22" s="364" t="s">
        <v>70</v>
      </c>
      <c r="C22" s="357" t="s">
        <v>26</v>
      </c>
      <c r="D22" s="330">
        <v>450</v>
      </c>
      <c r="E22" s="346">
        <f t="shared" si="1"/>
        <v>4500</v>
      </c>
    </row>
    <row r="23" spans="2:7" ht="20.100000000000001" customHeight="1">
      <c r="B23" s="1259" t="s">
        <v>24</v>
      </c>
      <c r="C23" s="1259"/>
      <c r="D23" s="330">
        <f>SUM(D18:D22)</f>
        <v>1491</v>
      </c>
      <c r="E23" s="346">
        <f>D23*10</f>
        <v>14910</v>
      </c>
    </row>
    <row r="24" spans="2:7">
      <c r="B24" s="336"/>
      <c r="C24" s="336"/>
      <c r="D24" s="337"/>
      <c r="E24" s="337"/>
    </row>
    <row r="25" spans="2:7" ht="19.5">
      <c r="B25" s="338" t="s">
        <v>28</v>
      </c>
      <c r="C25" s="1264" t="s">
        <v>29</v>
      </c>
      <c r="D25" s="1265"/>
      <c r="E25" s="1266"/>
    </row>
    <row r="26" spans="2:7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7">
      <c r="B27" s="1251"/>
      <c r="C27" s="1251"/>
      <c r="D27" s="1252"/>
      <c r="E27" s="1254"/>
    </row>
    <row r="28" spans="2:7">
      <c r="B28" s="367" t="s">
        <v>185</v>
      </c>
      <c r="C28" s="357" t="s">
        <v>26</v>
      </c>
      <c r="D28" s="330">
        <v>278</v>
      </c>
      <c r="E28" s="346">
        <f>D28*10</f>
        <v>2780</v>
      </c>
    </row>
    <row r="29" spans="2:7">
      <c r="B29" s="366" t="s">
        <v>70</v>
      </c>
      <c r="C29" s="357" t="s">
        <v>26</v>
      </c>
      <c r="D29" s="330">
        <v>437</v>
      </c>
      <c r="E29" s="346">
        <f t="shared" ref="E29" si="2">D29*10</f>
        <v>4370</v>
      </c>
    </row>
    <row r="30" spans="2:7" ht="20.100000000000001" customHeight="1">
      <c r="B30" s="1259" t="s">
        <v>24</v>
      </c>
      <c r="C30" s="1259"/>
      <c r="D30" s="330">
        <f>SUM(D28:D29)</f>
        <v>715</v>
      </c>
      <c r="E30" s="346">
        <f>D30*10</f>
        <v>7150</v>
      </c>
    </row>
    <row r="32" spans="2:7" ht="19.5">
      <c r="B32" s="331" t="s">
        <v>5</v>
      </c>
      <c r="C32" s="339"/>
      <c r="D32" s="1271" t="s">
        <v>32</v>
      </c>
      <c r="E32" s="1272"/>
      <c r="F32" s="1272"/>
      <c r="G32" s="1273"/>
    </row>
    <row r="33" spans="2:7">
      <c r="B33" s="340" t="s">
        <v>4</v>
      </c>
      <c r="C33" s="341"/>
      <c r="D33" s="342"/>
      <c r="E33" s="344" t="s">
        <v>34</v>
      </c>
      <c r="F33" s="344" t="s">
        <v>35</v>
      </c>
      <c r="G33" s="344" t="s">
        <v>37</v>
      </c>
    </row>
    <row r="34" spans="2:7">
      <c r="B34" s="340" t="s">
        <v>33</v>
      </c>
      <c r="C34" s="341"/>
      <c r="D34" s="345" t="s">
        <v>39</v>
      </c>
      <c r="E34" s="347">
        <f>D13</f>
        <v>1259</v>
      </c>
      <c r="F34" s="348">
        <f>D23</f>
        <v>1491</v>
      </c>
      <c r="G34" s="348">
        <f>D30</f>
        <v>715</v>
      </c>
    </row>
    <row r="35" spans="2:7">
      <c r="B35" s="340" t="s">
        <v>25</v>
      </c>
      <c r="C35" s="341"/>
      <c r="D35" s="345" t="s">
        <v>36</v>
      </c>
      <c r="E35" s="343">
        <f>E34*10</f>
        <v>12590</v>
      </c>
      <c r="F35" s="343">
        <f>F34*10</f>
        <v>14910</v>
      </c>
      <c r="G35" s="343">
        <f>G34*10</f>
        <v>7150</v>
      </c>
    </row>
    <row r="36" spans="2:7" ht="19.5">
      <c r="D36" s="334" t="s">
        <v>38</v>
      </c>
      <c r="E36" s="1274">
        <f>SUM(E35:G35)</f>
        <v>34650</v>
      </c>
      <c r="F36" s="1275"/>
      <c r="G36" s="1276"/>
    </row>
  </sheetData>
  <sheetProtection algorithmName="SHA-512" hashValue="ndVcEITYWxPiT9ErVqeXu2BiQjx/QHK9FwS12dkM63JWBJNmtWHfKLKUw2CsAl2B2JDnvYRliq2vRuB3OFCpUw==" saltValue="Pu/eBqw5dCFDFR0WSk7A1w==" spinCount="100000" sheet="1" objects="1" scenarios="1"/>
  <mergeCells count="21">
    <mergeCell ref="B30:C30"/>
    <mergeCell ref="D32:G32"/>
    <mergeCell ref="E36:G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76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F4229-F99C-451A-8E6B-37D45D112E14}">
  <sheetPr codeName="Sheet103">
    <pageSetUpPr fitToPage="1"/>
  </sheetPr>
  <dimension ref="B2:H36"/>
  <sheetViews>
    <sheetView workbookViewId="0"/>
  </sheetViews>
  <sheetFormatPr defaultColWidth="9.140625" defaultRowHeight="15"/>
  <cols>
    <col min="1" max="1" width="9.140625" style="326"/>
    <col min="2" max="2" width="21.5703125" style="326" customWidth="1"/>
    <col min="3" max="3" width="24.28515625" style="326" bestFit="1" customWidth="1"/>
    <col min="4" max="8" width="15.7109375" style="326" customWidth="1"/>
    <col min="9" max="16384" width="9.140625" style="326"/>
  </cols>
  <sheetData>
    <row r="2" spans="2:8" ht="19.5">
      <c r="B2" s="332" t="s">
        <v>13</v>
      </c>
      <c r="C2" s="328"/>
      <c r="E2" s="359"/>
      <c r="F2" s="335" t="s">
        <v>27</v>
      </c>
      <c r="G2" s="1247">
        <v>44501</v>
      </c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327" customFormat="1">
      <c r="B8" s="1251"/>
      <c r="C8" s="1251"/>
      <c r="D8" s="1252"/>
      <c r="E8" s="1254"/>
    </row>
    <row r="9" spans="2:8" ht="20.100000000000001" customHeight="1">
      <c r="B9" s="357" t="s">
        <v>70</v>
      </c>
      <c r="C9" s="357" t="s">
        <v>16</v>
      </c>
      <c r="D9" s="12">
        <v>525</v>
      </c>
      <c r="E9" s="346">
        <f>D9*10</f>
        <v>5250</v>
      </c>
    </row>
    <row r="10" spans="2:8" ht="20.100000000000001" customHeight="1">
      <c r="B10" s="357" t="s">
        <v>53</v>
      </c>
      <c r="C10" s="357" t="s">
        <v>16</v>
      </c>
      <c r="D10" s="330">
        <v>193</v>
      </c>
      <c r="E10" s="346">
        <f t="shared" ref="E10:E11" si="0">D10*10</f>
        <v>1930</v>
      </c>
    </row>
    <row r="11" spans="2:8" ht="20.100000000000001" customHeight="1">
      <c r="B11" s="357" t="s">
        <v>187</v>
      </c>
      <c r="C11" s="357" t="s">
        <v>26</v>
      </c>
      <c r="D11" s="330">
        <v>210</v>
      </c>
      <c r="E11" s="346">
        <f t="shared" si="0"/>
        <v>2100</v>
      </c>
    </row>
    <row r="12" spans="2:8" ht="20.100000000000001" customHeight="1">
      <c r="B12" s="357" t="s">
        <v>65</v>
      </c>
      <c r="C12" s="357" t="s">
        <v>26</v>
      </c>
      <c r="D12" s="330">
        <v>207</v>
      </c>
      <c r="E12" s="346">
        <f>D12*10</f>
        <v>2070</v>
      </c>
    </row>
    <row r="13" spans="2:8" ht="20.100000000000001" customHeight="1">
      <c r="B13" s="1259" t="s">
        <v>24</v>
      </c>
      <c r="C13" s="1259"/>
      <c r="D13" s="330">
        <f>SUM(D9:D12)</f>
        <v>1135</v>
      </c>
      <c r="E13" s="346">
        <f>D13*10</f>
        <v>11350</v>
      </c>
    </row>
    <row r="15" spans="2:8" ht="19.5">
      <c r="B15" s="334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7" s="327" customFormat="1">
      <c r="B17" s="1251"/>
      <c r="C17" s="1251"/>
      <c r="D17" s="1252"/>
      <c r="E17" s="1254"/>
    </row>
    <row r="18" spans="2:7" ht="20.100000000000001" customHeight="1">
      <c r="B18" s="357" t="s">
        <v>70</v>
      </c>
      <c r="C18" s="357" t="s">
        <v>16</v>
      </c>
      <c r="D18" s="330">
        <v>456</v>
      </c>
      <c r="E18" s="346">
        <f>D18*10</f>
        <v>4560</v>
      </c>
    </row>
    <row r="19" spans="2:7" ht="20.100000000000001" customHeight="1">
      <c r="B19" s="357" t="s">
        <v>184</v>
      </c>
      <c r="C19" s="357" t="s">
        <v>16</v>
      </c>
      <c r="D19" s="330">
        <v>176</v>
      </c>
      <c r="E19" s="346">
        <f>D19*10</f>
        <v>1760</v>
      </c>
    </row>
    <row r="20" spans="2:7" ht="20.100000000000001" customHeight="1">
      <c r="B20" s="226"/>
      <c r="C20" s="357" t="s">
        <v>71</v>
      </c>
      <c r="D20" s="227"/>
      <c r="E20" s="225">
        <f t="shared" ref="E20:E22" si="1">D20*10</f>
        <v>0</v>
      </c>
    </row>
    <row r="21" spans="2:7" ht="20.100000000000001" customHeight="1">
      <c r="B21" s="357" t="s">
        <v>187</v>
      </c>
      <c r="C21" s="357" t="s">
        <v>26</v>
      </c>
      <c r="D21" s="330">
        <v>195</v>
      </c>
      <c r="E21" s="346">
        <f t="shared" si="1"/>
        <v>1950</v>
      </c>
    </row>
    <row r="22" spans="2:7" ht="20.100000000000001" customHeight="1">
      <c r="B22" s="357" t="s">
        <v>65</v>
      </c>
      <c r="C22" s="357" t="s">
        <v>26</v>
      </c>
      <c r="D22" s="330">
        <v>234</v>
      </c>
      <c r="E22" s="346">
        <f t="shared" si="1"/>
        <v>2340</v>
      </c>
    </row>
    <row r="23" spans="2:7" ht="20.100000000000001" customHeight="1">
      <c r="B23" s="1259" t="s">
        <v>24</v>
      </c>
      <c r="C23" s="1259"/>
      <c r="D23" s="330">
        <f>SUM(D18:D22)</f>
        <v>1061</v>
      </c>
      <c r="E23" s="346">
        <f>D23*10</f>
        <v>10610</v>
      </c>
    </row>
    <row r="24" spans="2:7">
      <c r="B24" s="336"/>
      <c r="C24" s="336"/>
      <c r="D24" s="337"/>
      <c r="E24" s="337"/>
    </row>
    <row r="25" spans="2:7" ht="19.5">
      <c r="B25" s="338" t="s">
        <v>28</v>
      </c>
      <c r="C25" s="1264" t="s">
        <v>29</v>
      </c>
      <c r="D25" s="1265"/>
      <c r="E25" s="1266"/>
    </row>
    <row r="26" spans="2:7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7">
      <c r="B27" s="1251"/>
      <c r="C27" s="1251"/>
      <c r="D27" s="1252"/>
      <c r="E27" s="1254"/>
    </row>
    <row r="28" spans="2:7">
      <c r="B28" s="357" t="s">
        <v>187</v>
      </c>
      <c r="C28" s="357" t="s">
        <v>26</v>
      </c>
      <c r="D28" s="330">
        <v>225</v>
      </c>
      <c r="E28" s="346">
        <f>D28*10</f>
        <v>2250</v>
      </c>
    </row>
    <row r="29" spans="2:7">
      <c r="B29" s="357" t="s">
        <v>65</v>
      </c>
      <c r="C29" s="357" t="s">
        <v>26</v>
      </c>
      <c r="D29" s="330">
        <v>219</v>
      </c>
      <c r="E29" s="346">
        <f t="shared" ref="E29" si="2">D29*10</f>
        <v>2190</v>
      </c>
    </row>
    <row r="30" spans="2:7" ht="20.100000000000001" customHeight="1">
      <c r="B30" s="1259" t="s">
        <v>24</v>
      </c>
      <c r="C30" s="1259"/>
      <c r="D30" s="330">
        <f>SUM(D28:D29)</f>
        <v>444</v>
      </c>
      <c r="E30" s="346">
        <f>D30*10</f>
        <v>4440</v>
      </c>
    </row>
    <row r="32" spans="2:7" ht="19.5">
      <c r="B32" s="331" t="s">
        <v>5</v>
      </c>
      <c r="C32" s="339"/>
      <c r="D32" s="1271" t="s">
        <v>32</v>
      </c>
      <c r="E32" s="1272"/>
      <c r="F32" s="1272"/>
      <c r="G32" s="1273"/>
    </row>
    <row r="33" spans="2:7">
      <c r="B33" s="340" t="s">
        <v>4</v>
      </c>
      <c r="C33" s="341"/>
      <c r="D33" s="342"/>
      <c r="E33" s="344" t="s">
        <v>34</v>
      </c>
      <c r="F33" s="344" t="s">
        <v>35</v>
      </c>
      <c r="G33" s="344" t="s">
        <v>37</v>
      </c>
    </row>
    <row r="34" spans="2:7">
      <c r="B34" s="340" t="s">
        <v>33</v>
      </c>
      <c r="C34" s="341"/>
      <c r="D34" s="345" t="s">
        <v>39</v>
      </c>
      <c r="E34" s="347">
        <f>D13</f>
        <v>1135</v>
      </c>
      <c r="F34" s="348">
        <f>D23</f>
        <v>1061</v>
      </c>
      <c r="G34" s="348">
        <f>D30</f>
        <v>444</v>
      </c>
    </row>
    <row r="35" spans="2:7">
      <c r="B35" s="340" t="s">
        <v>25</v>
      </c>
      <c r="C35" s="341"/>
      <c r="D35" s="345" t="s">
        <v>36</v>
      </c>
      <c r="E35" s="343">
        <f>E34*10</f>
        <v>11350</v>
      </c>
      <c r="F35" s="343">
        <f>F34*10</f>
        <v>10610</v>
      </c>
      <c r="G35" s="343">
        <f>G34*10</f>
        <v>4440</v>
      </c>
    </row>
    <row r="36" spans="2:7" ht="19.5">
      <c r="D36" s="334" t="s">
        <v>38</v>
      </c>
      <c r="E36" s="1274">
        <f>SUM(E35:G35)</f>
        <v>26400</v>
      </c>
      <c r="F36" s="1275"/>
      <c r="G36" s="1276"/>
    </row>
  </sheetData>
  <sheetProtection algorithmName="SHA-512" hashValue="zMExRkNS2IlKcKn+ApfkJhuo1GWQmcxj9Y0EdCU/fI9voGgD3UsaBiTGg1uj0ZCAKlO71Yv6qDc+mt2ZN1Iu2w==" saltValue="TIOLtssj6n90mQVffI1Kuw==" spinCount="100000" sheet="1" objects="1" scenarios="1"/>
  <mergeCells count="21"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D32:G32"/>
    <mergeCell ref="E36:G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76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DA911-2EF3-4AD8-984B-75231C56301C}">
  <sheetPr codeName="Sheet104">
    <pageSetUpPr fitToPage="1"/>
  </sheetPr>
  <dimension ref="B2:H33"/>
  <sheetViews>
    <sheetView workbookViewId="0"/>
  </sheetViews>
  <sheetFormatPr defaultColWidth="9.140625" defaultRowHeight="15"/>
  <cols>
    <col min="1" max="1" width="9.140625" style="326"/>
    <col min="2" max="2" width="21.5703125" style="326" customWidth="1"/>
    <col min="3" max="3" width="24.28515625" style="326" bestFit="1" customWidth="1"/>
    <col min="4" max="7" width="15.7109375" style="326" customWidth="1"/>
    <col min="8" max="16384" width="9.140625" style="326"/>
  </cols>
  <sheetData>
    <row r="2" spans="2:8" ht="19.5">
      <c r="B2" s="332" t="s">
        <v>13</v>
      </c>
      <c r="C2" s="328"/>
      <c r="E2" s="351"/>
      <c r="F2" s="335" t="s">
        <v>27</v>
      </c>
      <c r="G2" s="1247">
        <v>44500</v>
      </c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195</v>
      </c>
      <c r="D6" s="1249"/>
      <c r="E6" s="1250"/>
    </row>
    <row r="7" spans="2:8" ht="15" customHeight="1">
      <c r="B7" s="1277" t="s">
        <v>0</v>
      </c>
      <c r="C7" s="1277" t="s">
        <v>1</v>
      </c>
      <c r="D7" s="1253" t="s">
        <v>40</v>
      </c>
      <c r="E7" s="1253" t="s">
        <v>31</v>
      </c>
    </row>
    <row r="8" spans="2:8" s="327" customFormat="1">
      <c r="B8" s="1278"/>
      <c r="C8" s="1278"/>
      <c r="D8" s="1254"/>
      <c r="E8" s="1254"/>
    </row>
    <row r="9" spans="2:8">
      <c r="B9" s="355" t="s">
        <v>44</v>
      </c>
      <c r="C9" s="329" t="s">
        <v>26</v>
      </c>
      <c r="D9" s="330">
        <v>263</v>
      </c>
      <c r="E9" s="346">
        <f>D9*10</f>
        <v>2630</v>
      </c>
    </row>
    <row r="10" spans="2:8">
      <c r="B10" s="355" t="s">
        <v>75</v>
      </c>
      <c r="C10" s="329" t="s">
        <v>26</v>
      </c>
      <c r="D10" s="330">
        <v>191</v>
      </c>
      <c r="E10" s="346">
        <f t="shared" ref="E10:E11" si="0">D10*10</f>
        <v>1910</v>
      </c>
    </row>
    <row r="11" spans="2:8" ht="20.100000000000001" customHeight="1">
      <c r="B11" s="1259" t="s">
        <v>24</v>
      </c>
      <c r="C11" s="1259"/>
      <c r="D11" s="330">
        <f>SUM(D9:D10)</f>
        <v>454</v>
      </c>
      <c r="E11" s="346">
        <f t="shared" si="0"/>
        <v>4540</v>
      </c>
    </row>
    <row r="13" spans="2:8" ht="19.5">
      <c r="B13" s="334" t="s">
        <v>21</v>
      </c>
      <c r="C13" s="1256" t="s">
        <v>182</v>
      </c>
      <c r="D13" s="1257"/>
      <c r="E13" s="1258"/>
    </row>
    <row r="14" spans="2:8" ht="15" customHeight="1">
      <c r="B14" s="1277" t="s">
        <v>0</v>
      </c>
      <c r="C14" s="1277" t="s">
        <v>1</v>
      </c>
      <c r="D14" s="1253" t="s">
        <v>40</v>
      </c>
      <c r="E14" s="1253" t="s">
        <v>31</v>
      </c>
    </row>
    <row r="15" spans="2:8" s="327" customFormat="1">
      <c r="B15" s="1278"/>
      <c r="C15" s="1278"/>
      <c r="D15" s="1254"/>
      <c r="E15" s="1254"/>
    </row>
    <row r="16" spans="2:8">
      <c r="B16" s="356" t="s">
        <v>44</v>
      </c>
      <c r="C16" s="329" t="s">
        <v>26</v>
      </c>
      <c r="D16" s="330">
        <v>200</v>
      </c>
      <c r="E16" s="346">
        <f>D16*10</f>
        <v>2000</v>
      </c>
    </row>
    <row r="17" spans="2:7">
      <c r="B17" s="356" t="s">
        <v>75</v>
      </c>
      <c r="C17" s="329" t="s">
        <v>26</v>
      </c>
      <c r="D17" s="330">
        <v>220</v>
      </c>
      <c r="E17" s="346">
        <f t="shared" ref="E17:E19" si="1">D17*10</f>
        <v>2200</v>
      </c>
    </row>
    <row r="18" spans="2:7">
      <c r="B18" s="350"/>
      <c r="C18" s="329"/>
      <c r="D18" s="330"/>
      <c r="E18" s="346">
        <f t="shared" si="1"/>
        <v>0</v>
      </c>
    </row>
    <row r="19" spans="2:7" ht="20.100000000000001" customHeight="1">
      <c r="B19" s="1259" t="s">
        <v>24</v>
      </c>
      <c r="C19" s="1259"/>
      <c r="D19" s="330">
        <f>SUM(D16:D18)</f>
        <v>420</v>
      </c>
      <c r="E19" s="346">
        <f t="shared" si="1"/>
        <v>4200</v>
      </c>
    </row>
    <row r="20" spans="2:7">
      <c r="B20" s="336"/>
      <c r="C20" s="336"/>
      <c r="D20" s="337"/>
      <c r="E20" s="337"/>
    </row>
    <row r="21" spans="2:7" ht="19.5">
      <c r="B21" s="338" t="s">
        <v>28</v>
      </c>
      <c r="C21" s="1264" t="s">
        <v>29</v>
      </c>
      <c r="D21" s="1265"/>
      <c r="E21" s="1266"/>
    </row>
    <row r="22" spans="2:7" ht="15" customHeight="1">
      <c r="B22" s="1251" t="s">
        <v>0</v>
      </c>
      <c r="C22" s="1251" t="s">
        <v>1</v>
      </c>
      <c r="D22" s="1252" t="s">
        <v>40</v>
      </c>
      <c r="E22" s="1253" t="s">
        <v>31</v>
      </c>
    </row>
    <row r="23" spans="2:7">
      <c r="B23" s="1251"/>
      <c r="C23" s="1251"/>
      <c r="D23" s="1252"/>
      <c r="E23" s="1254"/>
    </row>
    <row r="24" spans="2:7">
      <c r="B24" s="357" t="s">
        <v>44</v>
      </c>
      <c r="C24" s="329" t="s">
        <v>26</v>
      </c>
      <c r="D24" s="330">
        <v>204</v>
      </c>
      <c r="E24" s="346">
        <f>D24*10</f>
        <v>2040</v>
      </c>
    </row>
    <row r="25" spans="2:7">
      <c r="B25" s="374" t="s">
        <v>75</v>
      </c>
      <c r="C25" s="329" t="s">
        <v>26</v>
      </c>
      <c r="D25" s="330">
        <v>140</v>
      </c>
      <c r="E25" s="346">
        <f t="shared" ref="E25:E27" si="2">D25*10</f>
        <v>1400</v>
      </c>
    </row>
    <row r="26" spans="2:7">
      <c r="B26" s="350"/>
      <c r="C26" s="329"/>
      <c r="D26" s="330"/>
      <c r="E26" s="346">
        <f t="shared" si="2"/>
        <v>0</v>
      </c>
    </row>
    <row r="27" spans="2:7" ht="20.100000000000001" customHeight="1">
      <c r="B27" s="1259" t="s">
        <v>24</v>
      </c>
      <c r="C27" s="1259"/>
      <c r="D27" s="330">
        <f>SUM(D24:D26)</f>
        <v>344</v>
      </c>
      <c r="E27" s="346">
        <f t="shared" si="2"/>
        <v>3440</v>
      </c>
    </row>
    <row r="29" spans="2:7" ht="19.5">
      <c r="B29" s="331" t="s">
        <v>5</v>
      </c>
      <c r="C29" s="339"/>
      <c r="D29" s="1271" t="s">
        <v>32</v>
      </c>
      <c r="E29" s="1272"/>
      <c r="F29" s="1272"/>
      <c r="G29" s="1273"/>
    </row>
    <row r="30" spans="2:7">
      <c r="B30" s="340" t="s">
        <v>4</v>
      </c>
      <c r="C30" s="341"/>
      <c r="D30" s="342"/>
      <c r="E30" s="344" t="s">
        <v>34</v>
      </c>
      <c r="F30" s="344" t="s">
        <v>35</v>
      </c>
      <c r="G30" s="344" t="s">
        <v>37</v>
      </c>
    </row>
    <row r="31" spans="2:7">
      <c r="B31" s="340" t="s">
        <v>33</v>
      </c>
      <c r="C31" s="341"/>
      <c r="D31" s="345" t="s">
        <v>39</v>
      </c>
      <c r="E31" s="347">
        <f>D11</f>
        <v>454</v>
      </c>
      <c r="F31" s="348">
        <f>D19</f>
        <v>420</v>
      </c>
      <c r="G31" s="348">
        <f>D27</f>
        <v>344</v>
      </c>
    </row>
    <row r="32" spans="2:7">
      <c r="B32" s="340" t="s">
        <v>25</v>
      </c>
      <c r="C32" s="341"/>
      <c r="D32" s="345" t="s">
        <v>36</v>
      </c>
      <c r="E32" s="343">
        <f>E31*10</f>
        <v>4540</v>
      </c>
      <c r="F32" s="343">
        <f>F31*10</f>
        <v>4200</v>
      </c>
      <c r="G32" s="343">
        <f>G31*10</f>
        <v>3440</v>
      </c>
    </row>
    <row r="33" spans="4:7" ht="19.5">
      <c r="D33" s="334" t="s">
        <v>38</v>
      </c>
      <c r="E33" s="1274">
        <f>SUM(E32:G32)</f>
        <v>12180</v>
      </c>
      <c r="F33" s="1275"/>
      <c r="G33" s="1276"/>
    </row>
  </sheetData>
  <sheetProtection algorithmName="SHA-512" hashValue="VPB1TIp8cUbHPDpu8IK9JnjslCcudfI5ceqov0TyrGcsm/rw0ckxsiXwhnt0X5HK/PblI1J3Om27qux90LY2Og==" saltValue="fObpgbNnpNvjrZkhKiS4EQ==" spinCount="100000" sheet="1" objects="1" scenarios="1"/>
  <mergeCells count="21">
    <mergeCell ref="B27:C27"/>
    <mergeCell ref="D29:G29"/>
    <mergeCell ref="E33:G33"/>
    <mergeCell ref="B19:C19"/>
    <mergeCell ref="C21:E21"/>
    <mergeCell ref="B22:B23"/>
    <mergeCell ref="C22:C23"/>
    <mergeCell ref="D22:D23"/>
    <mergeCell ref="E22:E23"/>
    <mergeCell ref="B11:C11"/>
    <mergeCell ref="C13:E13"/>
    <mergeCell ref="B14:B15"/>
    <mergeCell ref="C14:C15"/>
    <mergeCell ref="D14:D15"/>
    <mergeCell ref="E14:E15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76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47A76-4409-4E6F-9A86-87FCC2CCEEDD}">
  <sheetPr codeName="Sheet105">
    <pageSetUpPr fitToPage="1"/>
  </sheetPr>
  <dimension ref="B2:H33"/>
  <sheetViews>
    <sheetView workbookViewId="0"/>
  </sheetViews>
  <sheetFormatPr defaultColWidth="9.140625" defaultRowHeight="15"/>
  <cols>
    <col min="1" max="1" width="9.140625" style="326"/>
    <col min="2" max="2" width="21.5703125" style="326" customWidth="1"/>
    <col min="3" max="3" width="24.28515625" style="326" bestFit="1" customWidth="1"/>
    <col min="4" max="7" width="15.7109375" style="326" customWidth="1"/>
    <col min="8" max="16384" width="9.140625" style="326"/>
  </cols>
  <sheetData>
    <row r="2" spans="2:8" ht="19.5">
      <c r="B2" s="332" t="s">
        <v>13</v>
      </c>
      <c r="C2" s="328"/>
      <c r="E2" s="351"/>
      <c r="F2" s="335" t="s">
        <v>27</v>
      </c>
      <c r="G2" s="1247">
        <v>44499</v>
      </c>
      <c r="H2" s="1247"/>
    </row>
    <row r="3" spans="2:8">
      <c r="B3" s="328"/>
      <c r="C3" s="328"/>
    </row>
    <row r="4" spans="2:8">
      <c r="B4" s="328"/>
      <c r="C4" s="328"/>
    </row>
    <row r="5" spans="2:8">
      <c r="B5" s="328"/>
      <c r="C5" s="328"/>
    </row>
    <row r="6" spans="2:8" ht="19.5">
      <c r="B6" s="333" t="s">
        <v>42</v>
      </c>
      <c r="C6" s="1248" t="s">
        <v>195</v>
      </c>
      <c r="D6" s="1249"/>
      <c r="E6" s="1250"/>
    </row>
    <row r="7" spans="2:8" ht="15" customHeight="1">
      <c r="B7" s="1277" t="s">
        <v>0</v>
      </c>
      <c r="C7" s="1277" t="s">
        <v>1</v>
      </c>
      <c r="D7" s="1253" t="s">
        <v>40</v>
      </c>
      <c r="E7" s="1253" t="s">
        <v>31</v>
      </c>
    </row>
    <row r="8" spans="2:8" s="327" customFormat="1">
      <c r="B8" s="1278"/>
      <c r="C8" s="1278"/>
      <c r="D8" s="1254"/>
      <c r="E8" s="1254"/>
    </row>
    <row r="9" spans="2:8">
      <c r="B9" s="352" t="s">
        <v>69</v>
      </c>
      <c r="C9" s="329" t="s">
        <v>26</v>
      </c>
      <c r="D9" s="330">
        <v>204</v>
      </c>
      <c r="E9" s="346">
        <f>D9*10</f>
        <v>2040</v>
      </c>
    </row>
    <row r="10" spans="2:8">
      <c r="B10" s="352" t="s">
        <v>170</v>
      </c>
      <c r="C10" s="329" t="s">
        <v>26</v>
      </c>
      <c r="D10" s="330">
        <v>168</v>
      </c>
      <c r="E10" s="346">
        <f t="shared" ref="E10:E11" si="0">D10*10</f>
        <v>1680</v>
      </c>
    </row>
    <row r="11" spans="2:8" ht="20.100000000000001" customHeight="1">
      <c r="B11" s="1259" t="s">
        <v>24</v>
      </c>
      <c r="C11" s="1259"/>
      <c r="D11" s="330">
        <f>SUM(D9:D10)</f>
        <v>372</v>
      </c>
      <c r="E11" s="346">
        <f t="shared" si="0"/>
        <v>3720</v>
      </c>
    </row>
    <row r="13" spans="2:8" ht="19.5">
      <c r="B13" s="334" t="s">
        <v>21</v>
      </c>
      <c r="C13" s="1256" t="s">
        <v>182</v>
      </c>
      <c r="D13" s="1257"/>
      <c r="E13" s="1258"/>
    </row>
    <row r="14" spans="2:8" ht="15" customHeight="1">
      <c r="B14" s="1277" t="s">
        <v>0</v>
      </c>
      <c r="C14" s="1277" t="s">
        <v>1</v>
      </c>
      <c r="D14" s="1253" t="s">
        <v>40</v>
      </c>
      <c r="E14" s="1253" t="s">
        <v>31</v>
      </c>
    </row>
    <row r="15" spans="2:8" s="327" customFormat="1">
      <c r="B15" s="1278"/>
      <c r="C15" s="1278"/>
      <c r="D15" s="1254"/>
      <c r="E15" s="1254"/>
    </row>
    <row r="16" spans="2:8">
      <c r="B16" s="353" t="s">
        <v>69</v>
      </c>
      <c r="C16" s="329" t="s">
        <v>26</v>
      </c>
      <c r="D16" s="330">
        <v>257</v>
      </c>
      <c r="E16" s="346">
        <f>D16*10</f>
        <v>2570</v>
      </c>
    </row>
    <row r="17" spans="2:7">
      <c r="B17" s="353" t="s">
        <v>172</v>
      </c>
      <c r="C17" s="329" t="s">
        <v>26</v>
      </c>
      <c r="D17" s="330">
        <v>200</v>
      </c>
      <c r="E17" s="346">
        <f t="shared" ref="E17:E19" si="1">D17*10</f>
        <v>2000</v>
      </c>
    </row>
    <row r="18" spans="2:7">
      <c r="B18" s="350"/>
      <c r="C18" s="329"/>
      <c r="D18" s="330"/>
      <c r="E18" s="346">
        <f t="shared" si="1"/>
        <v>0</v>
      </c>
    </row>
    <row r="19" spans="2:7" ht="20.100000000000001" customHeight="1">
      <c r="B19" s="1259" t="s">
        <v>24</v>
      </c>
      <c r="C19" s="1259"/>
      <c r="D19" s="330">
        <f>SUM(D16:D18)</f>
        <v>457</v>
      </c>
      <c r="E19" s="346">
        <f t="shared" si="1"/>
        <v>4570</v>
      </c>
    </row>
    <row r="20" spans="2:7">
      <c r="B20" s="336"/>
      <c r="C20" s="336"/>
      <c r="D20" s="337"/>
      <c r="E20" s="337"/>
    </row>
    <row r="21" spans="2:7" ht="19.5">
      <c r="B21" s="338" t="s">
        <v>28</v>
      </c>
      <c r="C21" s="1264" t="s">
        <v>29</v>
      </c>
      <c r="D21" s="1265"/>
      <c r="E21" s="1266"/>
    </row>
    <row r="22" spans="2:7" ht="15" customHeight="1">
      <c r="B22" s="1251" t="s">
        <v>0</v>
      </c>
      <c r="C22" s="1251" t="s">
        <v>1</v>
      </c>
      <c r="D22" s="1252" t="s">
        <v>40</v>
      </c>
      <c r="E22" s="1253" t="s">
        <v>31</v>
      </c>
    </row>
    <row r="23" spans="2:7">
      <c r="B23" s="1251"/>
      <c r="C23" s="1251"/>
      <c r="D23" s="1252"/>
      <c r="E23" s="1254"/>
    </row>
    <row r="24" spans="2:7">
      <c r="B24" s="354" t="s">
        <v>75</v>
      </c>
      <c r="C24" s="329" t="s">
        <v>26</v>
      </c>
      <c r="D24" s="330">
        <v>140</v>
      </c>
      <c r="E24" s="346">
        <f>D24*10</f>
        <v>1400</v>
      </c>
    </row>
    <row r="25" spans="2:7">
      <c r="B25" s="354" t="s">
        <v>172</v>
      </c>
      <c r="C25" s="329" t="s">
        <v>26</v>
      </c>
      <c r="D25" s="330">
        <v>152</v>
      </c>
      <c r="E25" s="346">
        <f t="shared" ref="E25:E27" si="2">D25*10</f>
        <v>1520</v>
      </c>
    </row>
    <row r="26" spans="2:7">
      <c r="B26" s="350"/>
      <c r="C26" s="329"/>
      <c r="D26" s="330"/>
      <c r="E26" s="346">
        <f t="shared" si="2"/>
        <v>0</v>
      </c>
    </row>
    <row r="27" spans="2:7" ht="20.100000000000001" customHeight="1">
      <c r="B27" s="1259" t="s">
        <v>24</v>
      </c>
      <c r="C27" s="1259"/>
      <c r="D27" s="330">
        <f>SUM(D24:D26)</f>
        <v>292</v>
      </c>
      <c r="E27" s="346">
        <f t="shared" si="2"/>
        <v>2920</v>
      </c>
    </row>
    <row r="29" spans="2:7" ht="19.5">
      <c r="B29" s="331" t="s">
        <v>5</v>
      </c>
      <c r="C29" s="339"/>
      <c r="D29" s="1271" t="s">
        <v>32</v>
      </c>
      <c r="E29" s="1272"/>
      <c r="F29" s="1272"/>
      <c r="G29" s="1273"/>
    </row>
    <row r="30" spans="2:7">
      <c r="B30" s="340" t="s">
        <v>4</v>
      </c>
      <c r="C30" s="341"/>
      <c r="D30" s="342"/>
      <c r="E30" s="344" t="s">
        <v>34</v>
      </c>
      <c r="F30" s="344" t="s">
        <v>35</v>
      </c>
      <c r="G30" s="344" t="s">
        <v>37</v>
      </c>
    </row>
    <row r="31" spans="2:7">
      <c r="B31" s="340" t="s">
        <v>33</v>
      </c>
      <c r="C31" s="341"/>
      <c r="D31" s="345" t="s">
        <v>39</v>
      </c>
      <c r="E31" s="347">
        <f>D11</f>
        <v>372</v>
      </c>
      <c r="F31" s="348">
        <f>D19</f>
        <v>457</v>
      </c>
      <c r="G31" s="348">
        <f>D27</f>
        <v>292</v>
      </c>
    </row>
    <row r="32" spans="2:7">
      <c r="B32" s="340" t="s">
        <v>25</v>
      </c>
      <c r="C32" s="341"/>
      <c r="D32" s="345" t="s">
        <v>36</v>
      </c>
      <c r="E32" s="343">
        <f>E31*10</f>
        <v>3720</v>
      </c>
      <c r="F32" s="343">
        <f>F31*10</f>
        <v>4570</v>
      </c>
      <c r="G32" s="343">
        <f>G31*10</f>
        <v>2920</v>
      </c>
    </row>
    <row r="33" spans="4:7" ht="19.5">
      <c r="D33" s="334" t="s">
        <v>38</v>
      </c>
      <c r="E33" s="1274">
        <f>SUM(E32:G32)</f>
        <v>11210</v>
      </c>
      <c r="F33" s="1275"/>
      <c r="G33" s="1276"/>
    </row>
  </sheetData>
  <sheetProtection algorithmName="SHA-512" hashValue="f/3PkdePo28zRjijW31G3UXRZFbnsGUijr8J0yo4qZw6wzu9sWDHmF4hcgMWXsDePUI+ze2VB0LDNHcF1FWr/w==" saltValue="8KoeXJSFslm2YQtClPxn4g==" spinCount="100000" sheet="1" objects="1" scenarios="1"/>
  <mergeCells count="21">
    <mergeCell ref="B27:C27"/>
    <mergeCell ref="D29:G29"/>
    <mergeCell ref="E33:G33"/>
    <mergeCell ref="B19:C19"/>
    <mergeCell ref="C21:E21"/>
    <mergeCell ref="B22:B23"/>
    <mergeCell ref="C22:C23"/>
    <mergeCell ref="D22:D23"/>
    <mergeCell ref="E22:E23"/>
    <mergeCell ref="B11:C11"/>
    <mergeCell ref="C13:E13"/>
    <mergeCell ref="B14:B15"/>
    <mergeCell ref="C14:C15"/>
    <mergeCell ref="D14:D15"/>
    <mergeCell ref="E14:E15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76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4778-CC40-427B-AF59-479948B7CC74}">
  <sheetPr codeName="Sheet106">
    <pageSetUpPr fitToPage="1"/>
  </sheetPr>
  <dimension ref="B2:H36"/>
  <sheetViews>
    <sheetView workbookViewId="0"/>
  </sheetViews>
  <sheetFormatPr defaultColWidth="9.140625" defaultRowHeight="15"/>
  <cols>
    <col min="1" max="1" width="9.140625" style="262"/>
    <col min="2" max="2" width="21.5703125" style="262" customWidth="1"/>
    <col min="3" max="3" width="24.28515625" style="262" bestFit="1" customWidth="1"/>
    <col min="4" max="8" width="15.7109375" style="262" customWidth="1"/>
    <col min="9" max="16384" width="9.140625" style="262"/>
  </cols>
  <sheetData>
    <row r="2" spans="2:8" ht="19.5">
      <c r="B2" s="268" t="s">
        <v>13</v>
      </c>
      <c r="C2" s="264"/>
      <c r="E2" s="322"/>
      <c r="F2" s="271" t="s">
        <v>27</v>
      </c>
      <c r="G2" s="1247">
        <v>44498</v>
      </c>
      <c r="H2" s="1247"/>
    </row>
    <row r="3" spans="2:8">
      <c r="B3" s="264"/>
      <c r="C3" s="264"/>
    </row>
    <row r="4" spans="2:8">
      <c r="B4" s="264"/>
      <c r="C4" s="264"/>
    </row>
    <row r="5" spans="2:8">
      <c r="B5" s="264"/>
      <c r="C5" s="264"/>
    </row>
    <row r="6" spans="2:8" ht="19.5">
      <c r="B6" s="269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263" customFormat="1">
      <c r="B8" s="1251"/>
      <c r="C8" s="1251"/>
      <c r="D8" s="1252"/>
      <c r="E8" s="1254"/>
    </row>
    <row r="9" spans="2:8" ht="20.100000000000001" customHeight="1">
      <c r="B9" s="323" t="s">
        <v>44</v>
      </c>
      <c r="C9" s="319" t="s">
        <v>16</v>
      </c>
      <c r="D9" s="12">
        <v>179</v>
      </c>
      <c r="E9" s="309">
        <f>D9*10</f>
        <v>1790</v>
      </c>
    </row>
    <row r="10" spans="2:8" ht="20.100000000000001" customHeight="1">
      <c r="B10" s="323" t="s">
        <v>164</v>
      </c>
      <c r="C10" s="319" t="s">
        <v>16</v>
      </c>
      <c r="D10" s="308">
        <v>284</v>
      </c>
      <c r="E10" s="309">
        <f t="shared" ref="E10:E11" si="0">D10*10</f>
        <v>2840</v>
      </c>
    </row>
    <row r="11" spans="2:8" ht="20.100000000000001" customHeight="1">
      <c r="B11" s="323" t="s">
        <v>53</v>
      </c>
      <c r="C11" s="319" t="s">
        <v>26</v>
      </c>
      <c r="D11" s="308">
        <v>257</v>
      </c>
      <c r="E11" s="309">
        <f t="shared" si="0"/>
        <v>2570</v>
      </c>
    </row>
    <row r="12" spans="2:8" ht="20.100000000000001" customHeight="1">
      <c r="B12" s="323" t="s">
        <v>56</v>
      </c>
      <c r="C12" s="319" t="s">
        <v>26</v>
      </c>
      <c r="D12" s="308">
        <v>182</v>
      </c>
      <c r="E12" s="309">
        <f>D12*10</f>
        <v>1820</v>
      </c>
    </row>
    <row r="13" spans="2:8" ht="20.100000000000001" customHeight="1">
      <c r="B13" s="1259" t="s">
        <v>24</v>
      </c>
      <c r="C13" s="1259"/>
      <c r="D13" s="308">
        <f>SUM(D9:D12)</f>
        <v>902</v>
      </c>
      <c r="E13" s="309">
        <f>D13*10</f>
        <v>9020</v>
      </c>
    </row>
    <row r="15" spans="2:8" ht="19.5">
      <c r="B15" s="270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7" s="263" customFormat="1">
      <c r="B17" s="1251"/>
      <c r="C17" s="1251"/>
      <c r="D17" s="1252"/>
      <c r="E17" s="1254"/>
    </row>
    <row r="18" spans="2:7" ht="20.100000000000001" customHeight="1">
      <c r="B18" s="324" t="s">
        <v>44</v>
      </c>
      <c r="C18" s="319" t="s">
        <v>16</v>
      </c>
      <c r="D18" s="308">
        <v>151</v>
      </c>
      <c r="E18" s="309">
        <f>D18*10</f>
        <v>1510</v>
      </c>
    </row>
    <row r="19" spans="2:7" ht="20.100000000000001" customHeight="1">
      <c r="B19" s="324" t="s">
        <v>164</v>
      </c>
      <c r="C19" s="319" t="s">
        <v>16</v>
      </c>
      <c r="D19" s="308">
        <v>268</v>
      </c>
      <c r="E19" s="309">
        <f>D19*10</f>
        <v>2680</v>
      </c>
    </row>
    <row r="20" spans="2:7" ht="20.100000000000001" customHeight="1">
      <c r="B20" s="324" t="s">
        <v>12</v>
      </c>
      <c r="C20" s="319" t="s">
        <v>71</v>
      </c>
      <c r="D20" s="308">
        <v>58</v>
      </c>
      <c r="E20" s="309">
        <f t="shared" ref="E20:E22" si="1">D20*10</f>
        <v>580</v>
      </c>
    </row>
    <row r="21" spans="2:7" ht="20.100000000000001" customHeight="1">
      <c r="B21" s="325" t="s">
        <v>185</v>
      </c>
      <c r="C21" s="319" t="s">
        <v>26</v>
      </c>
      <c r="D21" s="308">
        <v>444</v>
      </c>
      <c r="E21" s="309">
        <f t="shared" si="1"/>
        <v>4440</v>
      </c>
    </row>
    <row r="22" spans="2:7" ht="20.100000000000001" customHeight="1">
      <c r="B22" s="324" t="s">
        <v>172</v>
      </c>
      <c r="C22" s="319" t="s">
        <v>26</v>
      </c>
      <c r="D22" s="308">
        <v>200</v>
      </c>
      <c r="E22" s="309">
        <f t="shared" si="1"/>
        <v>2000</v>
      </c>
    </row>
    <row r="23" spans="2:7" ht="20.100000000000001" customHeight="1">
      <c r="B23" s="1259" t="s">
        <v>24</v>
      </c>
      <c r="C23" s="1259"/>
      <c r="D23" s="308">
        <f>SUM(D18:D22)</f>
        <v>1121</v>
      </c>
      <c r="E23" s="309">
        <f>D23*10</f>
        <v>11210</v>
      </c>
    </row>
    <row r="24" spans="2:7">
      <c r="B24" s="272"/>
      <c r="C24" s="272"/>
      <c r="D24" s="273"/>
      <c r="E24" s="273"/>
    </row>
    <row r="25" spans="2:7" ht="19.5">
      <c r="B25" s="274" t="s">
        <v>28</v>
      </c>
      <c r="C25" s="1264" t="s">
        <v>29</v>
      </c>
      <c r="D25" s="1265"/>
      <c r="E25" s="1266"/>
    </row>
    <row r="26" spans="2:7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7">
      <c r="B27" s="1251"/>
      <c r="C27" s="1251"/>
      <c r="D27" s="1252"/>
      <c r="E27" s="1254"/>
    </row>
    <row r="28" spans="2:7">
      <c r="B28" s="349" t="s">
        <v>185</v>
      </c>
      <c r="C28" s="319" t="s">
        <v>26</v>
      </c>
      <c r="D28" s="330">
        <v>162</v>
      </c>
      <c r="E28" s="346">
        <f>D28*10</f>
        <v>1620</v>
      </c>
    </row>
    <row r="29" spans="2:7">
      <c r="B29" s="329" t="s">
        <v>172</v>
      </c>
      <c r="C29" s="319" t="s">
        <v>26</v>
      </c>
      <c r="D29" s="308">
        <v>155</v>
      </c>
      <c r="E29" s="309">
        <f t="shared" ref="E29" si="2">D29*10</f>
        <v>1550</v>
      </c>
    </row>
    <row r="30" spans="2:7" ht="20.100000000000001" customHeight="1">
      <c r="B30" s="1259" t="s">
        <v>24</v>
      </c>
      <c r="C30" s="1259"/>
      <c r="D30" s="308">
        <f>SUM(D28:D29)</f>
        <v>317</v>
      </c>
      <c r="E30" s="309">
        <f>D30*10</f>
        <v>3170</v>
      </c>
    </row>
    <row r="32" spans="2:7" ht="19.5">
      <c r="B32" s="267" t="s">
        <v>5</v>
      </c>
      <c r="C32" s="275"/>
      <c r="D32" s="1271" t="s">
        <v>32</v>
      </c>
      <c r="E32" s="1272"/>
      <c r="F32" s="1272"/>
      <c r="G32" s="1273"/>
    </row>
    <row r="33" spans="2:7">
      <c r="B33" s="276" t="s">
        <v>4</v>
      </c>
      <c r="C33" s="277"/>
      <c r="D33" s="278"/>
      <c r="E33" s="280" t="s">
        <v>34</v>
      </c>
      <c r="F33" s="280" t="s">
        <v>35</v>
      </c>
      <c r="G33" s="280" t="s">
        <v>37</v>
      </c>
    </row>
    <row r="34" spans="2:7">
      <c r="B34" s="276" t="s">
        <v>33</v>
      </c>
      <c r="C34" s="277"/>
      <c r="D34" s="281" t="s">
        <v>39</v>
      </c>
      <c r="E34" s="283">
        <f>D13</f>
        <v>902</v>
      </c>
      <c r="F34" s="284">
        <f>D23</f>
        <v>1121</v>
      </c>
      <c r="G34" s="284">
        <f>D30</f>
        <v>317</v>
      </c>
    </row>
    <row r="35" spans="2:7">
      <c r="B35" s="276" t="s">
        <v>25</v>
      </c>
      <c r="C35" s="277"/>
      <c r="D35" s="281" t="s">
        <v>36</v>
      </c>
      <c r="E35" s="279">
        <f>E34*10</f>
        <v>9020</v>
      </c>
      <c r="F35" s="279">
        <f>F34*10</f>
        <v>11210</v>
      </c>
      <c r="G35" s="279">
        <f>G34*10</f>
        <v>3170</v>
      </c>
    </row>
    <row r="36" spans="2:7" ht="19.5">
      <c r="D36" s="270" t="s">
        <v>38</v>
      </c>
      <c r="E36" s="1274">
        <f>SUM(E35:G35)</f>
        <v>23400</v>
      </c>
      <c r="F36" s="1275"/>
      <c r="G36" s="1276"/>
    </row>
  </sheetData>
  <sheetProtection algorithmName="SHA-512" hashValue="c7bUQCqcf6nZSx4vb2r/gL4NzZwYAIg3a1FrZIr4QO2N+xiX0Hb/m0S4GebVJtEdxcZCnD2jysfNwwmOQGG6yQ==" saltValue="tIfrR9tJDImMKrjroyyMrQ==" spinCount="100000" sheet="1" objects="1" scenarios="1"/>
  <mergeCells count="21">
    <mergeCell ref="B30:C30"/>
    <mergeCell ref="D32:G32"/>
    <mergeCell ref="E36:G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76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05A8-F54D-4169-8FE8-D7719A6428AD}">
  <sheetPr codeName="Sheet107">
    <pageSetUpPr fitToPage="1"/>
  </sheetPr>
  <dimension ref="B2:H36"/>
  <sheetViews>
    <sheetView workbookViewId="0"/>
  </sheetViews>
  <sheetFormatPr defaultColWidth="9.140625" defaultRowHeight="15"/>
  <cols>
    <col min="1" max="1" width="9.140625" style="262"/>
    <col min="2" max="2" width="21.5703125" style="262" customWidth="1"/>
    <col min="3" max="3" width="24.28515625" style="262" bestFit="1" customWidth="1"/>
    <col min="4" max="8" width="15.7109375" style="262" customWidth="1"/>
    <col min="9" max="16384" width="9.140625" style="262"/>
  </cols>
  <sheetData>
    <row r="2" spans="2:8" ht="19.5">
      <c r="B2" s="268" t="s">
        <v>13</v>
      </c>
      <c r="C2" s="264"/>
      <c r="E2" s="315"/>
      <c r="F2" s="271" t="s">
        <v>27</v>
      </c>
      <c r="G2" s="1247">
        <v>44497</v>
      </c>
      <c r="H2" s="1247"/>
    </row>
    <row r="3" spans="2:8">
      <c r="B3" s="264"/>
      <c r="C3" s="264"/>
    </row>
    <row r="4" spans="2:8">
      <c r="B4" s="264"/>
      <c r="C4" s="264"/>
    </row>
    <row r="5" spans="2:8">
      <c r="B5" s="264"/>
      <c r="C5" s="264"/>
    </row>
    <row r="6" spans="2:8" ht="19.5">
      <c r="B6" s="269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263" customFormat="1">
      <c r="B8" s="1251"/>
      <c r="C8" s="1251"/>
      <c r="D8" s="1252"/>
      <c r="E8" s="1254"/>
    </row>
    <row r="9" spans="2:8" ht="20.100000000000001" customHeight="1">
      <c r="B9" s="317" t="s">
        <v>53</v>
      </c>
      <c r="C9" s="313" t="s">
        <v>16</v>
      </c>
      <c r="D9" s="12">
        <v>252</v>
      </c>
      <c r="E9" s="309">
        <f>D9*10</f>
        <v>2520</v>
      </c>
    </row>
    <row r="10" spans="2:8" ht="20.100000000000001" customHeight="1">
      <c r="B10" s="317" t="s">
        <v>185</v>
      </c>
      <c r="C10" s="313" t="s">
        <v>16</v>
      </c>
      <c r="D10" s="308">
        <v>554</v>
      </c>
      <c r="E10" s="309">
        <f t="shared" ref="E10:E11" si="0">D10*10</f>
        <v>5540</v>
      </c>
    </row>
    <row r="11" spans="2:8" ht="20.100000000000001" customHeight="1">
      <c r="B11" s="317" t="s">
        <v>84</v>
      </c>
      <c r="C11" s="313" t="s">
        <v>26</v>
      </c>
      <c r="D11" s="308">
        <v>227</v>
      </c>
      <c r="E11" s="309">
        <f t="shared" si="0"/>
        <v>2270</v>
      </c>
    </row>
    <row r="12" spans="2:8" ht="20.100000000000001" customHeight="1">
      <c r="B12" s="317" t="s">
        <v>45</v>
      </c>
      <c r="C12" s="313" t="s">
        <v>26</v>
      </c>
      <c r="D12" s="308">
        <v>208</v>
      </c>
      <c r="E12" s="309">
        <f>D12*10</f>
        <v>2080</v>
      </c>
    </row>
    <row r="13" spans="2:8" ht="20.100000000000001" customHeight="1">
      <c r="B13" s="1259" t="s">
        <v>24</v>
      </c>
      <c r="C13" s="1259"/>
      <c r="D13" s="308">
        <f>SUM(D9:D12)</f>
        <v>1241</v>
      </c>
      <c r="E13" s="309">
        <f>D13*10</f>
        <v>12410</v>
      </c>
    </row>
    <row r="15" spans="2:8" ht="19.5">
      <c r="B15" s="270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7" s="263" customFormat="1">
      <c r="B17" s="1251"/>
      <c r="C17" s="1251"/>
      <c r="D17" s="1252"/>
      <c r="E17" s="1254"/>
    </row>
    <row r="18" spans="2:7" ht="20.100000000000001" customHeight="1">
      <c r="B18" s="318" t="s">
        <v>185</v>
      </c>
      <c r="C18" s="313" t="s">
        <v>16</v>
      </c>
      <c r="D18" s="308">
        <v>508</v>
      </c>
      <c r="E18" s="309">
        <f>D18*10</f>
        <v>5080</v>
      </c>
    </row>
    <row r="19" spans="2:7" ht="20.100000000000001" customHeight="1">
      <c r="B19" s="318" t="s">
        <v>12</v>
      </c>
      <c r="C19" s="313" t="s">
        <v>16</v>
      </c>
      <c r="D19" s="308">
        <v>222</v>
      </c>
      <c r="E19" s="309">
        <f>D19*10</f>
        <v>2220</v>
      </c>
    </row>
    <row r="20" spans="2:7" ht="20.100000000000001" customHeight="1">
      <c r="B20" s="318" t="s">
        <v>172</v>
      </c>
      <c r="C20" s="313" t="s">
        <v>71</v>
      </c>
      <c r="D20" s="308">
        <v>215</v>
      </c>
      <c r="E20" s="309">
        <f t="shared" ref="E20:E22" si="1">D20*10</f>
        <v>2150</v>
      </c>
    </row>
    <row r="21" spans="2:7" ht="20.100000000000001" customHeight="1">
      <c r="B21" s="318" t="s">
        <v>84</v>
      </c>
      <c r="C21" s="313" t="s">
        <v>26</v>
      </c>
      <c r="D21" s="308">
        <v>217</v>
      </c>
      <c r="E21" s="309">
        <f t="shared" si="1"/>
        <v>2170</v>
      </c>
    </row>
    <row r="22" spans="2:7" ht="20.100000000000001" customHeight="1">
      <c r="B22" s="318" t="s">
        <v>45</v>
      </c>
      <c r="C22" s="313" t="s">
        <v>26</v>
      </c>
      <c r="D22" s="308">
        <v>223</v>
      </c>
      <c r="E22" s="309">
        <f t="shared" si="1"/>
        <v>2230</v>
      </c>
    </row>
    <row r="23" spans="2:7" ht="20.100000000000001" customHeight="1">
      <c r="B23" s="1259" t="s">
        <v>24</v>
      </c>
      <c r="C23" s="1259"/>
      <c r="D23" s="308">
        <f>SUM(D18:D22)</f>
        <v>1385</v>
      </c>
      <c r="E23" s="309">
        <f>D23*10</f>
        <v>13850</v>
      </c>
    </row>
    <row r="24" spans="2:7">
      <c r="B24" s="272"/>
      <c r="C24" s="272"/>
      <c r="D24" s="273"/>
      <c r="E24" s="273"/>
    </row>
    <row r="25" spans="2:7" ht="19.5">
      <c r="B25" s="274" t="s">
        <v>28</v>
      </c>
      <c r="C25" s="1264" t="s">
        <v>29</v>
      </c>
      <c r="D25" s="1265"/>
      <c r="E25" s="1266"/>
    </row>
    <row r="26" spans="2:7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7">
      <c r="B27" s="1251"/>
      <c r="C27" s="1251"/>
      <c r="D27" s="1252"/>
      <c r="E27" s="1254"/>
    </row>
    <row r="28" spans="2:7">
      <c r="B28" s="319" t="s">
        <v>84</v>
      </c>
      <c r="C28" s="313" t="s">
        <v>26</v>
      </c>
      <c r="D28" s="320"/>
      <c r="E28" s="321">
        <f>D28*10</f>
        <v>0</v>
      </c>
    </row>
    <row r="29" spans="2:7">
      <c r="B29" s="319" t="s">
        <v>45</v>
      </c>
      <c r="C29" s="313" t="s">
        <v>26</v>
      </c>
      <c r="D29" s="308">
        <v>301</v>
      </c>
      <c r="E29" s="309">
        <f t="shared" ref="E29" si="2">D29*10</f>
        <v>3010</v>
      </c>
    </row>
    <row r="30" spans="2:7" ht="20.100000000000001" customHeight="1">
      <c r="B30" s="1259" t="s">
        <v>24</v>
      </c>
      <c r="C30" s="1259"/>
      <c r="D30" s="308">
        <f>SUM(D28:D29)</f>
        <v>301</v>
      </c>
      <c r="E30" s="309">
        <f>D30*10</f>
        <v>3010</v>
      </c>
    </row>
    <row r="32" spans="2:7" ht="19.5">
      <c r="B32" s="267" t="s">
        <v>5</v>
      </c>
      <c r="C32" s="275"/>
      <c r="D32" s="1271" t="s">
        <v>32</v>
      </c>
      <c r="E32" s="1272"/>
      <c r="F32" s="1272"/>
      <c r="G32" s="1273"/>
    </row>
    <row r="33" spans="2:7">
      <c r="B33" s="276" t="s">
        <v>4</v>
      </c>
      <c r="C33" s="277"/>
      <c r="D33" s="278"/>
      <c r="E33" s="280" t="s">
        <v>34</v>
      </c>
      <c r="F33" s="280" t="s">
        <v>35</v>
      </c>
      <c r="G33" s="280" t="s">
        <v>37</v>
      </c>
    </row>
    <row r="34" spans="2:7">
      <c r="B34" s="276" t="s">
        <v>33</v>
      </c>
      <c r="C34" s="277"/>
      <c r="D34" s="281" t="s">
        <v>39</v>
      </c>
      <c r="E34" s="283">
        <f>D13</f>
        <v>1241</v>
      </c>
      <c r="F34" s="284">
        <f>D23</f>
        <v>1385</v>
      </c>
      <c r="G34" s="284">
        <f>D30</f>
        <v>301</v>
      </c>
    </row>
    <row r="35" spans="2:7">
      <c r="B35" s="276" t="s">
        <v>25</v>
      </c>
      <c r="C35" s="277"/>
      <c r="D35" s="281" t="s">
        <v>36</v>
      </c>
      <c r="E35" s="279">
        <f>E34*10</f>
        <v>12410</v>
      </c>
      <c r="F35" s="279">
        <f>F34*10</f>
        <v>13850</v>
      </c>
      <c r="G35" s="279">
        <f>G34*10</f>
        <v>3010</v>
      </c>
    </row>
    <row r="36" spans="2:7" ht="19.5">
      <c r="D36" s="270" t="s">
        <v>38</v>
      </c>
      <c r="E36" s="1274">
        <f>SUM(E35:G35)</f>
        <v>29270</v>
      </c>
      <c r="F36" s="1275"/>
      <c r="G36" s="1276"/>
    </row>
  </sheetData>
  <sheetProtection algorithmName="SHA-512" hashValue="CEC/w2LTNGM+Er7lfR7jAAcTA0Xn1HadpaFgxcr40EuA3Xeg+5D1iX+Ax5ZE2xMGIgsgkae8RlbwKvW2ngU6Cg==" saltValue="YLRf7sygxZ9OzyDMywMmwQ==" spinCount="100000" sheet="1" objects="1" scenarios="1"/>
  <mergeCells count="21"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D32:G32"/>
    <mergeCell ref="E36:G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76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71E5-50DF-4437-8A88-4945D6EB25AD}">
  <sheetPr codeName="Sheet108">
    <pageSetUpPr fitToPage="1"/>
  </sheetPr>
  <dimension ref="B2:H36"/>
  <sheetViews>
    <sheetView workbookViewId="0"/>
  </sheetViews>
  <sheetFormatPr defaultColWidth="9.140625" defaultRowHeight="15"/>
  <cols>
    <col min="1" max="1" width="9.140625" style="262"/>
    <col min="2" max="2" width="21.5703125" style="262" customWidth="1"/>
    <col min="3" max="3" width="24.28515625" style="262" bestFit="1" customWidth="1"/>
    <col min="4" max="8" width="15.7109375" style="262" customWidth="1"/>
    <col min="9" max="16384" width="9.140625" style="262"/>
  </cols>
  <sheetData>
    <row r="2" spans="2:8" ht="19.5">
      <c r="B2" s="268" t="s">
        <v>13</v>
      </c>
      <c r="C2" s="264"/>
      <c r="E2" s="307"/>
      <c r="F2" s="271" t="s">
        <v>27</v>
      </c>
      <c r="G2" s="1247">
        <v>44496</v>
      </c>
      <c r="H2" s="1247"/>
    </row>
    <row r="3" spans="2:8">
      <c r="B3" s="264"/>
      <c r="C3" s="264"/>
    </row>
    <row r="4" spans="2:8">
      <c r="B4" s="264"/>
      <c r="C4" s="264"/>
    </row>
    <row r="5" spans="2:8">
      <c r="B5" s="264"/>
      <c r="C5" s="264"/>
    </row>
    <row r="6" spans="2:8" ht="19.5">
      <c r="B6" s="269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263" customFormat="1">
      <c r="B8" s="1251"/>
      <c r="C8" s="1251"/>
      <c r="D8" s="1252"/>
      <c r="E8" s="1254"/>
    </row>
    <row r="9" spans="2:8" ht="20.100000000000001" customHeight="1">
      <c r="B9" s="310" t="s">
        <v>143</v>
      </c>
      <c r="C9" s="303" t="s">
        <v>16</v>
      </c>
      <c r="D9" s="12">
        <v>248</v>
      </c>
      <c r="E9" s="282">
        <f>D9*10</f>
        <v>2480</v>
      </c>
    </row>
    <row r="10" spans="2:8" ht="20.100000000000001" customHeight="1">
      <c r="B10" s="310" t="s">
        <v>53</v>
      </c>
      <c r="C10" s="303" t="s">
        <v>16</v>
      </c>
      <c r="D10" s="266">
        <v>243</v>
      </c>
      <c r="E10" s="282">
        <f t="shared" ref="E10:E11" si="0">D10*10</f>
        <v>2430</v>
      </c>
    </row>
    <row r="11" spans="2:8" ht="20.100000000000001" customHeight="1">
      <c r="B11" s="310" t="s">
        <v>171</v>
      </c>
      <c r="C11" s="303" t="s">
        <v>26</v>
      </c>
      <c r="D11" s="266">
        <v>260</v>
      </c>
      <c r="E11" s="282">
        <f t="shared" si="0"/>
        <v>2600</v>
      </c>
    </row>
    <row r="12" spans="2:8" ht="20.100000000000001" customHeight="1">
      <c r="B12" s="310" t="s">
        <v>82</v>
      </c>
      <c r="C12" s="303" t="s">
        <v>26</v>
      </c>
      <c r="D12" s="266">
        <v>251</v>
      </c>
      <c r="E12" s="282">
        <f>D12*10</f>
        <v>2510</v>
      </c>
    </row>
    <row r="13" spans="2:8" ht="20.100000000000001" customHeight="1">
      <c r="B13" s="1259" t="s">
        <v>24</v>
      </c>
      <c r="C13" s="1259"/>
      <c r="D13" s="266">
        <f>SUM(D9:D12)</f>
        <v>1002</v>
      </c>
      <c r="E13" s="282">
        <f>D13*10</f>
        <v>10020</v>
      </c>
    </row>
    <row r="15" spans="2:8" ht="19.5">
      <c r="B15" s="270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7" s="263" customFormat="1">
      <c r="B17" s="1251"/>
      <c r="C17" s="1251"/>
      <c r="D17" s="1252"/>
      <c r="E17" s="1254"/>
    </row>
    <row r="18" spans="2:7" ht="20.100000000000001" customHeight="1">
      <c r="B18" s="311" t="s">
        <v>143</v>
      </c>
      <c r="C18" s="303" t="s">
        <v>16</v>
      </c>
      <c r="D18" s="266">
        <v>239</v>
      </c>
      <c r="E18" s="282">
        <f>D18*10</f>
        <v>2390</v>
      </c>
    </row>
    <row r="19" spans="2:7" ht="20.100000000000001" customHeight="1">
      <c r="B19" s="311" t="s">
        <v>189</v>
      </c>
      <c r="C19" s="303" t="s">
        <v>16</v>
      </c>
      <c r="D19" s="308">
        <v>290</v>
      </c>
      <c r="E19" s="309">
        <f>D19*10</f>
        <v>2900</v>
      </c>
    </row>
    <row r="20" spans="2:7" ht="20.100000000000001" customHeight="1">
      <c r="B20" s="311" t="s">
        <v>164</v>
      </c>
      <c r="C20" s="303" t="s">
        <v>71</v>
      </c>
      <c r="D20" s="266">
        <v>265</v>
      </c>
      <c r="E20" s="282">
        <f t="shared" ref="E20:E22" si="1">D20*10</f>
        <v>2650</v>
      </c>
    </row>
    <row r="21" spans="2:7" ht="20.100000000000001" customHeight="1">
      <c r="B21" s="312" t="s">
        <v>63</v>
      </c>
      <c r="C21" s="303" t="s">
        <v>26</v>
      </c>
      <c r="D21" s="266">
        <v>169</v>
      </c>
      <c r="E21" s="282">
        <f t="shared" si="1"/>
        <v>1690</v>
      </c>
    </row>
    <row r="22" spans="2:7" ht="20.100000000000001" customHeight="1">
      <c r="B22" s="311" t="s">
        <v>82</v>
      </c>
      <c r="C22" s="303" t="s">
        <v>26</v>
      </c>
      <c r="D22" s="266">
        <v>230</v>
      </c>
      <c r="E22" s="282">
        <f t="shared" si="1"/>
        <v>2300</v>
      </c>
    </row>
    <row r="23" spans="2:7" ht="20.100000000000001" customHeight="1">
      <c r="B23" s="1259" t="s">
        <v>24</v>
      </c>
      <c r="C23" s="1259"/>
      <c r="D23" s="266">
        <f>SUM(D18:D22)</f>
        <v>1193</v>
      </c>
      <c r="E23" s="282">
        <f>D23*10</f>
        <v>11930</v>
      </c>
    </row>
    <row r="24" spans="2:7">
      <c r="B24" s="272"/>
      <c r="C24" s="272"/>
      <c r="D24" s="273"/>
      <c r="E24" s="273"/>
    </row>
    <row r="25" spans="2:7" ht="19.5">
      <c r="B25" s="274" t="s">
        <v>28</v>
      </c>
      <c r="C25" s="1264" t="s">
        <v>29</v>
      </c>
      <c r="D25" s="1265"/>
      <c r="E25" s="1266"/>
    </row>
    <row r="26" spans="2:7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7">
      <c r="B27" s="1251"/>
      <c r="C27" s="1251"/>
      <c r="D27" s="1252"/>
      <c r="E27" s="1254"/>
    </row>
    <row r="28" spans="2:7">
      <c r="B28" s="314" t="s">
        <v>63</v>
      </c>
      <c r="C28" s="303" t="s">
        <v>26</v>
      </c>
      <c r="D28" s="266">
        <v>199</v>
      </c>
      <c r="E28" s="282">
        <f>D28*10</f>
        <v>1990</v>
      </c>
    </row>
    <row r="29" spans="2:7">
      <c r="B29" s="313" t="s">
        <v>82</v>
      </c>
      <c r="C29" s="303" t="s">
        <v>26</v>
      </c>
      <c r="D29" s="266">
        <v>222</v>
      </c>
      <c r="E29" s="282">
        <f t="shared" ref="E29" si="2">D29*10</f>
        <v>2220</v>
      </c>
    </row>
    <row r="30" spans="2:7" ht="20.100000000000001" customHeight="1">
      <c r="B30" s="1259" t="s">
        <v>24</v>
      </c>
      <c r="C30" s="1259"/>
      <c r="D30" s="266">
        <f>SUM(D28:D29)</f>
        <v>421</v>
      </c>
      <c r="E30" s="282">
        <f>D30*10</f>
        <v>4210</v>
      </c>
    </row>
    <row r="32" spans="2:7" ht="19.5">
      <c r="B32" s="267" t="s">
        <v>5</v>
      </c>
      <c r="C32" s="275"/>
      <c r="D32" s="1271" t="s">
        <v>32</v>
      </c>
      <c r="E32" s="1272"/>
      <c r="F32" s="1272"/>
      <c r="G32" s="1273"/>
    </row>
    <row r="33" spans="2:7">
      <c r="B33" s="276" t="s">
        <v>4</v>
      </c>
      <c r="C33" s="277"/>
      <c r="D33" s="278"/>
      <c r="E33" s="280" t="s">
        <v>34</v>
      </c>
      <c r="F33" s="280" t="s">
        <v>35</v>
      </c>
      <c r="G33" s="280" t="s">
        <v>37</v>
      </c>
    </row>
    <row r="34" spans="2:7">
      <c r="B34" s="276" t="s">
        <v>33</v>
      </c>
      <c r="C34" s="277"/>
      <c r="D34" s="281" t="s">
        <v>39</v>
      </c>
      <c r="E34" s="283">
        <f>D13</f>
        <v>1002</v>
      </c>
      <c r="F34" s="284">
        <f>D23</f>
        <v>1193</v>
      </c>
      <c r="G34" s="284">
        <f>D30</f>
        <v>421</v>
      </c>
    </row>
    <row r="35" spans="2:7">
      <c r="B35" s="276" t="s">
        <v>25</v>
      </c>
      <c r="C35" s="277"/>
      <c r="D35" s="281" t="s">
        <v>36</v>
      </c>
      <c r="E35" s="279">
        <f>E34*10</f>
        <v>10020</v>
      </c>
      <c r="F35" s="279">
        <f>F34*10</f>
        <v>11930</v>
      </c>
      <c r="G35" s="279">
        <f>G34*10</f>
        <v>4210</v>
      </c>
    </row>
    <row r="36" spans="2:7" ht="19.5">
      <c r="D36" s="270" t="s">
        <v>38</v>
      </c>
      <c r="E36" s="1274">
        <f>SUM(E35:G35)</f>
        <v>26160</v>
      </c>
      <c r="F36" s="1275"/>
      <c r="G36" s="1276"/>
    </row>
  </sheetData>
  <sheetProtection algorithmName="SHA-512" hashValue="I9x6e4TT/GjmyS9BNRFdUTSizeMxRTWNZ8uVdX8zJL582WQukuD+gzl3bcgQoW6sutYDu5i7cF7paMlGmMdtvg==" saltValue="lnr0b6xZ56Pl5GsRCad+Bw==" spinCount="100000" sheet="1" objects="1" scenarios="1"/>
  <mergeCells count="21"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D32:G32"/>
    <mergeCell ref="E36:G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76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85A9D-B605-4889-9451-45D492BE69AB}">
  <sheetPr codeName="Sheet109">
    <pageSetUpPr fitToPage="1"/>
  </sheetPr>
  <dimension ref="B2:H36"/>
  <sheetViews>
    <sheetView workbookViewId="0"/>
  </sheetViews>
  <sheetFormatPr defaultColWidth="9.140625" defaultRowHeight="15"/>
  <cols>
    <col min="1" max="1" width="9.140625" style="262"/>
    <col min="2" max="2" width="21.5703125" style="262" customWidth="1"/>
    <col min="3" max="3" width="24.28515625" style="262" bestFit="1" customWidth="1"/>
    <col min="4" max="8" width="15.7109375" style="262" customWidth="1"/>
    <col min="9" max="16384" width="9.140625" style="262"/>
  </cols>
  <sheetData>
    <row r="2" spans="2:8" ht="19.5">
      <c r="B2" s="268" t="s">
        <v>13</v>
      </c>
      <c r="C2" s="264"/>
      <c r="E2" s="299"/>
      <c r="F2" s="271" t="s">
        <v>27</v>
      </c>
      <c r="G2" s="1247">
        <v>44495</v>
      </c>
      <c r="H2" s="1247"/>
    </row>
    <row r="3" spans="2:8">
      <c r="B3" s="264"/>
      <c r="C3" s="264"/>
    </row>
    <row r="4" spans="2:8">
      <c r="B4" s="264"/>
      <c r="C4" s="264"/>
    </row>
    <row r="5" spans="2:8">
      <c r="B5" s="264"/>
      <c r="C5" s="264"/>
    </row>
    <row r="6" spans="2:8" ht="19.5">
      <c r="B6" s="269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263" customFormat="1">
      <c r="B8" s="1251"/>
      <c r="C8" s="1251"/>
      <c r="D8" s="1252"/>
      <c r="E8" s="1254"/>
    </row>
    <row r="9" spans="2:8" ht="20.100000000000001" customHeight="1">
      <c r="B9" s="300" t="s">
        <v>53</v>
      </c>
      <c r="C9" s="297" t="s">
        <v>16</v>
      </c>
      <c r="D9" s="12">
        <v>296</v>
      </c>
      <c r="E9" s="282">
        <f>D9*10</f>
        <v>2960</v>
      </c>
    </row>
    <row r="10" spans="2:8" ht="20.100000000000001" customHeight="1">
      <c r="B10" s="300" t="s">
        <v>82</v>
      </c>
      <c r="C10" s="297" t="s">
        <v>16</v>
      </c>
      <c r="D10" s="266">
        <v>309</v>
      </c>
      <c r="E10" s="282">
        <f t="shared" ref="E10:E11" si="0">D10*10</f>
        <v>3090</v>
      </c>
    </row>
    <row r="11" spans="2:8" ht="20.100000000000001" customHeight="1">
      <c r="B11" s="303" t="s">
        <v>63</v>
      </c>
      <c r="C11" s="297" t="s">
        <v>26</v>
      </c>
      <c r="D11" s="266">
        <v>161</v>
      </c>
      <c r="E11" s="282">
        <f t="shared" si="0"/>
        <v>1610</v>
      </c>
    </row>
    <row r="12" spans="2:8" ht="20.100000000000001" customHeight="1">
      <c r="B12" s="300" t="s">
        <v>184</v>
      </c>
      <c r="C12" s="297" t="s">
        <v>26</v>
      </c>
      <c r="D12" s="266">
        <v>171</v>
      </c>
      <c r="E12" s="282">
        <f>D12*10</f>
        <v>1710</v>
      </c>
    </row>
    <row r="13" spans="2:8" ht="20.100000000000001" customHeight="1">
      <c r="B13" s="1259" t="s">
        <v>24</v>
      </c>
      <c r="C13" s="1259"/>
      <c r="D13" s="266">
        <f>SUM(D9:D12)</f>
        <v>937</v>
      </c>
      <c r="E13" s="282">
        <f>D13*10</f>
        <v>9370</v>
      </c>
    </row>
    <row r="15" spans="2:8" ht="19.5">
      <c r="B15" s="270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7" s="263" customFormat="1">
      <c r="B17" s="1251"/>
      <c r="C17" s="1251"/>
      <c r="D17" s="1252"/>
      <c r="E17" s="1254"/>
    </row>
    <row r="18" spans="2:7" ht="20.100000000000001" customHeight="1">
      <c r="B18" s="303" t="s">
        <v>63</v>
      </c>
      <c r="C18" s="297" t="s">
        <v>16</v>
      </c>
      <c r="D18" s="266">
        <v>150</v>
      </c>
      <c r="E18" s="282">
        <f>D18*10</f>
        <v>1500</v>
      </c>
    </row>
    <row r="19" spans="2:7" ht="20.100000000000001" customHeight="1">
      <c r="B19" s="301" t="s">
        <v>82</v>
      </c>
      <c r="C19" s="297" t="s">
        <v>16</v>
      </c>
      <c r="D19" s="304"/>
      <c r="E19" s="305">
        <f t="shared" ref="E19:E22" si="1">D19*10</f>
        <v>0</v>
      </c>
    </row>
    <row r="20" spans="2:7" ht="20.100000000000001" customHeight="1">
      <c r="B20" s="301" t="s">
        <v>171</v>
      </c>
      <c r="C20" s="297" t="s">
        <v>71</v>
      </c>
      <c r="D20" s="266">
        <v>341</v>
      </c>
      <c r="E20" s="282">
        <f t="shared" si="1"/>
        <v>3410</v>
      </c>
    </row>
    <row r="21" spans="2:7" ht="20.100000000000001" customHeight="1">
      <c r="B21" s="302" t="s">
        <v>70</v>
      </c>
      <c r="C21" s="297" t="s">
        <v>26</v>
      </c>
      <c r="D21" s="266">
        <v>300</v>
      </c>
      <c r="E21" s="282">
        <f t="shared" si="1"/>
        <v>3000</v>
      </c>
    </row>
    <row r="22" spans="2:7" ht="20.100000000000001" customHeight="1">
      <c r="B22" s="301" t="s">
        <v>44</v>
      </c>
      <c r="C22" s="297" t="s">
        <v>26</v>
      </c>
      <c r="D22" s="266">
        <v>252</v>
      </c>
      <c r="E22" s="282">
        <f t="shared" si="1"/>
        <v>2520</v>
      </c>
    </row>
    <row r="23" spans="2:7" ht="20.100000000000001" customHeight="1">
      <c r="B23" s="1259" t="s">
        <v>24</v>
      </c>
      <c r="C23" s="1259"/>
      <c r="D23" s="266">
        <f>SUM(D18:D22)</f>
        <v>1043</v>
      </c>
      <c r="E23" s="282">
        <f>D23*10</f>
        <v>10430</v>
      </c>
    </row>
    <row r="24" spans="2:7">
      <c r="B24" s="272"/>
      <c r="C24" s="272"/>
      <c r="D24" s="273"/>
      <c r="E24" s="273"/>
    </row>
    <row r="25" spans="2:7" ht="19.5">
      <c r="B25" s="274" t="s">
        <v>28</v>
      </c>
      <c r="C25" s="1264" t="s">
        <v>29</v>
      </c>
      <c r="D25" s="1265"/>
      <c r="E25" s="1266"/>
    </row>
    <row r="26" spans="2:7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7">
      <c r="B27" s="1251"/>
      <c r="C27" s="1251"/>
      <c r="D27" s="1252"/>
      <c r="E27" s="1254"/>
    </row>
    <row r="28" spans="2:7">
      <c r="B28" s="306" t="s">
        <v>70</v>
      </c>
      <c r="C28" s="297" t="s">
        <v>26</v>
      </c>
      <c r="D28" s="266">
        <v>339</v>
      </c>
      <c r="E28" s="282">
        <f>D28*10</f>
        <v>3390</v>
      </c>
    </row>
    <row r="29" spans="2:7">
      <c r="B29" s="303" t="s">
        <v>44</v>
      </c>
      <c r="C29" s="297" t="s">
        <v>26</v>
      </c>
      <c r="D29" s="266">
        <v>241</v>
      </c>
      <c r="E29" s="282">
        <f t="shared" ref="E29" si="2">D29*10</f>
        <v>2410</v>
      </c>
    </row>
    <row r="30" spans="2:7" ht="20.100000000000001" customHeight="1">
      <c r="B30" s="1259" t="s">
        <v>24</v>
      </c>
      <c r="C30" s="1259"/>
      <c r="D30" s="266">
        <f>SUM(D28:D29)</f>
        <v>580</v>
      </c>
      <c r="E30" s="282">
        <f>D30*10</f>
        <v>5800</v>
      </c>
    </row>
    <row r="32" spans="2:7" ht="19.5">
      <c r="B32" s="267" t="s">
        <v>5</v>
      </c>
      <c r="C32" s="275"/>
      <c r="D32" s="1271" t="s">
        <v>32</v>
      </c>
      <c r="E32" s="1272"/>
      <c r="F32" s="1272"/>
      <c r="G32" s="1273"/>
    </row>
    <row r="33" spans="2:7">
      <c r="B33" s="276" t="s">
        <v>4</v>
      </c>
      <c r="C33" s="277"/>
      <c r="D33" s="278"/>
      <c r="E33" s="280" t="s">
        <v>34</v>
      </c>
      <c r="F33" s="280" t="s">
        <v>35</v>
      </c>
      <c r="G33" s="280" t="s">
        <v>37</v>
      </c>
    </row>
    <row r="34" spans="2:7">
      <c r="B34" s="276" t="s">
        <v>33</v>
      </c>
      <c r="C34" s="277"/>
      <c r="D34" s="281" t="s">
        <v>39</v>
      </c>
      <c r="E34" s="283">
        <f>D13</f>
        <v>937</v>
      </c>
      <c r="F34" s="284">
        <f>D23</f>
        <v>1043</v>
      </c>
      <c r="G34" s="284">
        <f>D30</f>
        <v>580</v>
      </c>
    </row>
    <row r="35" spans="2:7">
      <c r="B35" s="276" t="s">
        <v>25</v>
      </c>
      <c r="C35" s="277"/>
      <c r="D35" s="281" t="s">
        <v>36</v>
      </c>
      <c r="E35" s="279">
        <f>E34*10</f>
        <v>9370</v>
      </c>
      <c r="F35" s="279">
        <f>F34*10</f>
        <v>10430</v>
      </c>
      <c r="G35" s="279">
        <f>G34*10</f>
        <v>5800</v>
      </c>
    </row>
    <row r="36" spans="2:7" ht="19.5">
      <c r="D36" s="270" t="s">
        <v>38</v>
      </c>
      <c r="E36" s="1274">
        <f>SUM(E35:G35)</f>
        <v>25600</v>
      </c>
      <c r="F36" s="1275"/>
      <c r="G36" s="1276"/>
    </row>
  </sheetData>
  <sheetProtection algorithmName="SHA-512" hashValue="5j39HQuyTi1KRhCIBRId8pf8bGW4S4937R3K+qpMx9J2aIibhygN4+qsOritjN846BLOONLPLuLfxmiD501BMQ==" saltValue="vKf1hMSIGoqzROlfwwoMcA==" spinCount="100000" sheet="1" objects="1" scenarios="1"/>
  <mergeCells count="21">
    <mergeCell ref="B30:C30"/>
    <mergeCell ref="D32:G32"/>
    <mergeCell ref="E36:G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76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FF004-F094-49EA-A1A4-C6F671765BB3}">
  <sheetPr codeName="Sheet110">
    <pageSetUpPr fitToPage="1"/>
  </sheetPr>
  <dimension ref="B2:H36"/>
  <sheetViews>
    <sheetView workbookViewId="0"/>
  </sheetViews>
  <sheetFormatPr defaultColWidth="9.140625" defaultRowHeight="15"/>
  <cols>
    <col min="1" max="1" width="9.140625" style="262"/>
    <col min="2" max="2" width="21.5703125" style="262" customWidth="1"/>
    <col min="3" max="3" width="24.28515625" style="262" bestFit="1" customWidth="1"/>
    <col min="4" max="8" width="15.7109375" style="262" customWidth="1"/>
    <col min="9" max="16384" width="9.140625" style="262"/>
  </cols>
  <sheetData>
    <row r="2" spans="2:8" ht="19.5">
      <c r="B2" s="268" t="s">
        <v>13</v>
      </c>
      <c r="C2" s="264"/>
      <c r="E2" s="293"/>
      <c r="F2" s="271" t="s">
        <v>27</v>
      </c>
      <c r="G2" s="1247">
        <v>44494</v>
      </c>
      <c r="H2" s="1247"/>
    </row>
    <row r="3" spans="2:8">
      <c r="B3" s="264"/>
      <c r="C3" s="264"/>
    </row>
    <row r="4" spans="2:8">
      <c r="B4" s="264"/>
      <c r="C4" s="264"/>
    </row>
    <row r="5" spans="2:8">
      <c r="B5" s="264"/>
      <c r="C5" s="264"/>
    </row>
    <row r="6" spans="2:8" ht="19.5">
      <c r="B6" s="269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263" customFormat="1">
      <c r="B8" s="1251"/>
      <c r="C8" s="1251"/>
      <c r="D8" s="1252"/>
      <c r="E8" s="1254"/>
    </row>
    <row r="9" spans="2:8" ht="20.100000000000001" customHeight="1">
      <c r="B9" s="294" t="s">
        <v>143</v>
      </c>
      <c r="C9" s="292" t="s">
        <v>16</v>
      </c>
      <c r="D9" s="12">
        <v>185</v>
      </c>
      <c r="E9" s="282">
        <f>D9*10</f>
        <v>1850</v>
      </c>
    </row>
    <row r="10" spans="2:8" ht="20.100000000000001" customHeight="1">
      <c r="B10" s="294" t="s">
        <v>53</v>
      </c>
      <c r="C10" s="292" t="s">
        <v>16</v>
      </c>
      <c r="D10" s="266">
        <v>155</v>
      </c>
      <c r="E10" s="282">
        <f t="shared" ref="E10:E11" si="0">D10*10</f>
        <v>1550</v>
      </c>
    </row>
    <row r="11" spans="2:8" ht="20.100000000000001" customHeight="1">
      <c r="B11" s="294" t="s">
        <v>63</v>
      </c>
      <c r="C11" s="292" t="s">
        <v>26</v>
      </c>
      <c r="D11" s="266">
        <v>161</v>
      </c>
      <c r="E11" s="282">
        <f t="shared" si="0"/>
        <v>1610</v>
      </c>
    </row>
    <row r="12" spans="2:8" ht="20.100000000000001" customHeight="1">
      <c r="B12" s="294" t="s">
        <v>65</v>
      </c>
      <c r="C12" s="292" t="s">
        <v>26</v>
      </c>
      <c r="D12" s="266">
        <v>134</v>
      </c>
      <c r="E12" s="282">
        <f>D12*10</f>
        <v>1340</v>
      </c>
    </row>
    <row r="13" spans="2:8" ht="20.100000000000001" customHeight="1">
      <c r="B13" s="1259" t="s">
        <v>24</v>
      </c>
      <c r="C13" s="1259"/>
      <c r="D13" s="266">
        <f>SUM(D9:D12)</f>
        <v>635</v>
      </c>
      <c r="E13" s="282">
        <f>D13*10</f>
        <v>6350</v>
      </c>
    </row>
    <row r="15" spans="2:8" ht="19.5">
      <c r="B15" s="270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7" s="263" customFormat="1">
      <c r="B17" s="1251"/>
      <c r="C17" s="1251"/>
      <c r="D17" s="1252"/>
      <c r="E17" s="1254"/>
    </row>
    <row r="18" spans="2:7" ht="20.100000000000001" customHeight="1">
      <c r="B18" s="295" t="s">
        <v>143</v>
      </c>
      <c r="C18" s="292" t="s">
        <v>16</v>
      </c>
      <c r="D18" s="266">
        <v>217</v>
      </c>
      <c r="E18" s="282">
        <f>D18*10</f>
        <v>2170</v>
      </c>
    </row>
    <row r="19" spans="2:7" ht="20.100000000000001" customHeight="1">
      <c r="B19" s="295" t="s">
        <v>164</v>
      </c>
      <c r="C19" s="292" t="s">
        <v>16</v>
      </c>
      <c r="D19" s="266">
        <v>300</v>
      </c>
      <c r="E19" s="282">
        <f t="shared" ref="E19:E22" si="1">D19*10</f>
        <v>3000</v>
      </c>
    </row>
    <row r="20" spans="2:7" ht="20.100000000000001" customHeight="1">
      <c r="B20" s="295" t="s">
        <v>63</v>
      </c>
      <c r="C20" s="292" t="s">
        <v>71</v>
      </c>
      <c r="D20" s="266">
        <v>124</v>
      </c>
      <c r="E20" s="282">
        <f t="shared" si="1"/>
        <v>1240</v>
      </c>
    </row>
    <row r="21" spans="2:7" ht="20.100000000000001" customHeight="1">
      <c r="B21" s="296" t="s">
        <v>70</v>
      </c>
      <c r="C21" s="292" t="s">
        <v>26</v>
      </c>
      <c r="D21" s="266">
        <v>350</v>
      </c>
      <c r="E21" s="282">
        <f t="shared" si="1"/>
        <v>3500</v>
      </c>
    </row>
    <row r="22" spans="2:7" ht="20.100000000000001" customHeight="1">
      <c r="B22" s="295" t="s">
        <v>65</v>
      </c>
      <c r="C22" s="292" t="s">
        <v>26</v>
      </c>
      <c r="D22" s="266">
        <v>206</v>
      </c>
      <c r="E22" s="282">
        <f t="shared" si="1"/>
        <v>2060</v>
      </c>
    </row>
    <row r="23" spans="2:7" ht="20.100000000000001" customHeight="1">
      <c r="B23" s="1259" t="s">
        <v>24</v>
      </c>
      <c r="C23" s="1259"/>
      <c r="D23" s="266">
        <f>SUM(D18:D22)</f>
        <v>1197</v>
      </c>
      <c r="E23" s="282">
        <f>D23*10</f>
        <v>11970</v>
      </c>
    </row>
    <row r="24" spans="2:7">
      <c r="B24" s="272"/>
      <c r="C24" s="272"/>
      <c r="D24" s="273"/>
      <c r="E24" s="273"/>
    </row>
    <row r="25" spans="2:7" ht="19.5">
      <c r="B25" s="274" t="s">
        <v>28</v>
      </c>
      <c r="C25" s="1264" t="s">
        <v>29</v>
      </c>
      <c r="D25" s="1265"/>
      <c r="E25" s="1266"/>
    </row>
    <row r="26" spans="2:7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7">
      <c r="B27" s="1251"/>
      <c r="C27" s="1251"/>
      <c r="D27" s="1252"/>
      <c r="E27" s="1254"/>
    </row>
    <row r="28" spans="2:7">
      <c r="B28" s="298" t="s">
        <v>70</v>
      </c>
      <c r="C28" s="292" t="s">
        <v>26</v>
      </c>
      <c r="D28" s="266">
        <v>368</v>
      </c>
      <c r="E28" s="282">
        <f>D28*10</f>
        <v>3680</v>
      </c>
    </row>
    <row r="29" spans="2:7">
      <c r="B29" s="297" t="s">
        <v>65</v>
      </c>
      <c r="C29" s="292" t="s">
        <v>26</v>
      </c>
      <c r="D29" s="266">
        <v>169</v>
      </c>
      <c r="E29" s="282">
        <f t="shared" ref="E29" si="2">D29*10</f>
        <v>1690</v>
      </c>
    </row>
    <row r="30" spans="2:7" ht="20.100000000000001" customHeight="1">
      <c r="B30" s="1259" t="s">
        <v>24</v>
      </c>
      <c r="C30" s="1259"/>
      <c r="D30" s="266">
        <f>SUM(D28:D29)</f>
        <v>537</v>
      </c>
      <c r="E30" s="282">
        <f>D30*10</f>
        <v>5370</v>
      </c>
    </row>
    <row r="32" spans="2:7" ht="19.5">
      <c r="B32" s="267" t="s">
        <v>5</v>
      </c>
      <c r="C32" s="275"/>
      <c r="D32" s="1271" t="s">
        <v>32</v>
      </c>
      <c r="E32" s="1272"/>
      <c r="F32" s="1272"/>
      <c r="G32" s="1273"/>
    </row>
    <row r="33" spans="2:7">
      <c r="B33" s="276" t="s">
        <v>4</v>
      </c>
      <c r="C33" s="277"/>
      <c r="D33" s="278"/>
      <c r="E33" s="280" t="s">
        <v>34</v>
      </c>
      <c r="F33" s="280" t="s">
        <v>35</v>
      </c>
      <c r="G33" s="280" t="s">
        <v>37</v>
      </c>
    </row>
    <row r="34" spans="2:7">
      <c r="B34" s="276" t="s">
        <v>33</v>
      </c>
      <c r="C34" s="277"/>
      <c r="D34" s="281" t="s">
        <v>39</v>
      </c>
      <c r="E34" s="283">
        <f>D13</f>
        <v>635</v>
      </c>
      <c r="F34" s="284">
        <f>D23</f>
        <v>1197</v>
      </c>
      <c r="G34" s="284">
        <f>D30</f>
        <v>537</v>
      </c>
    </row>
    <row r="35" spans="2:7">
      <c r="B35" s="276" t="s">
        <v>25</v>
      </c>
      <c r="C35" s="277"/>
      <c r="D35" s="281" t="s">
        <v>36</v>
      </c>
      <c r="E35" s="279">
        <f>E34*10</f>
        <v>6350</v>
      </c>
      <c r="F35" s="279">
        <f>F34*10</f>
        <v>11970</v>
      </c>
      <c r="G35" s="279">
        <f>G34*10</f>
        <v>5370</v>
      </c>
    </row>
    <row r="36" spans="2:7" ht="19.5">
      <c r="D36" s="270" t="s">
        <v>38</v>
      </c>
      <c r="E36" s="1274">
        <f>SUM(E35:G35)</f>
        <v>23690</v>
      </c>
      <c r="F36" s="1275"/>
      <c r="G36" s="1276"/>
    </row>
  </sheetData>
  <sheetProtection algorithmName="SHA-512" hashValue="PbtrsmWg2gti/QQHqb65Oih0ShBdZe6Vs1h8klxOPkCD7kozaRTqH6KvgUUU39RW/o2xVfKqOlJgOeScJRTpAg==" saltValue="6J4tN/rPHR0JgGsNH+s0Dg==" spinCount="100000" sheet="1" objects="1" scenarios="1"/>
  <mergeCells count="21"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D32:G32"/>
    <mergeCell ref="E36:G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76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B8A5C-4548-448B-BD1E-732F7FB8F1FF}">
  <sheetPr codeName="Sheet111">
    <pageSetUpPr fitToPage="1"/>
  </sheetPr>
  <dimension ref="B2:H34"/>
  <sheetViews>
    <sheetView workbookViewId="0"/>
  </sheetViews>
  <sheetFormatPr defaultColWidth="9.140625" defaultRowHeight="15"/>
  <cols>
    <col min="1" max="1" width="9.140625" style="262"/>
    <col min="2" max="2" width="21.5703125" style="262" customWidth="1"/>
    <col min="3" max="3" width="24.28515625" style="262" bestFit="1" customWidth="1"/>
    <col min="4" max="7" width="15.7109375" style="262" customWidth="1"/>
    <col min="8" max="16384" width="9.140625" style="262"/>
  </cols>
  <sheetData>
    <row r="2" spans="2:8" ht="19.5">
      <c r="B2" s="268" t="s">
        <v>13</v>
      </c>
      <c r="C2" s="264"/>
      <c r="E2" s="286"/>
      <c r="F2" s="271" t="s">
        <v>27</v>
      </c>
      <c r="G2" s="1247">
        <v>44493</v>
      </c>
      <c r="H2" s="1247"/>
    </row>
    <row r="3" spans="2:8">
      <c r="B3" s="264"/>
      <c r="C3" s="264"/>
    </row>
    <row r="4" spans="2:8">
      <c r="B4" s="264"/>
      <c r="C4" s="264"/>
    </row>
    <row r="5" spans="2:8">
      <c r="B5" s="264"/>
      <c r="C5" s="264"/>
    </row>
    <row r="6" spans="2:8" ht="19.5">
      <c r="B6" s="269" t="s">
        <v>42</v>
      </c>
      <c r="C6" s="1248" t="s">
        <v>195</v>
      </c>
      <c r="D6" s="1249"/>
      <c r="E6" s="1250"/>
    </row>
    <row r="7" spans="2:8" ht="15" customHeight="1">
      <c r="B7" s="1277" t="s">
        <v>0</v>
      </c>
      <c r="C7" s="1277" t="s">
        <v>1</v>
      </c>
      <c r="D7" s="1253" t="s">
        <v>40</v>
      </c>
      <c r="E7" s="1253" t="s">
        <v>31</v>
      </c>
    </row>
    <row r="8" spans="2:8" s="263" customFormat="1">
      <c r="B8" s="1278"/>
      <c r="C8" s="1278"/>
      <c r="D8" s="1254"/>
      <c r="E8" s="1254"/>
    </row>
    <row r="9" spans="2:8">
      <c r="B9" s="290" t="s">
        <v>143</v>
      </c>
      <c r="C9" s="265" t="s">
        <v>26</v>
      </c>
      <c r="D9" s="266">
        <v>280</v>
      </c>
      <c r="E9" s="282">
        <f>D9*10</f>
        <v>2800</v>
      </c>
    </row>
    <row r="10" spans="2:8">
      <c r="B10" s="290" t="s">
        <v>63</v>
      </c>
      <c r="C10" s="265" t="s">
        <v>26</v>
      </c>
      <c r="D10" s="266">
        <v>165</v>
      </c>
      <c r="E10" s="282">
        <f t="shared" ref="E10:E12" si="0">D10*10</f>
        <v>1650</v>
      </c>
    </row>
    <row r="11" spans="2:8">
      <c r="B11" s="285"/>
      <c r="C11" s="265"/>
      <c r="D11" s="266"/>
      <c r="E11" s="282">
        <f t="shared" si="0"/>
        <v>0</v>
      </c>
    </row>
    <row r="12" spans="2:8" ht="20.100000000000001" customHeight="1">
      <c r="B12" s="1259" t="s">
        <v>24</v>
      </c>
      <c r="C12" s="1259"/>
      <c r="D12" s="266">
        <f>SUM(D9:D11)</f>
        <v>445</v>
      </c>
      <c r="E12" s="282">
        <f t="shared" si="0"/>
        <v>4450</v>
      </c>
    </row>
    <row r="14" spans="2:8" ht="19.5">
      <c r="B14" s="270" t="s">
        <v>21</v>
      </c>
      <c r="C14" s="1256" t="s">
        <v>182</v>
      </c>
      <c r="D14" s="1257"/>
      <c r="E14" s="1258"/>
    </row>
    <row r="15" spans="2:8" ht="15" customHeight="1">
      <c r="B15" s="1277" t="s">
        <v>0</v>
      </c>
      <c r="C15" s="1277" t="s">
        <v>1</v>
      </c>
      <c r="D15" s="1253" t="s">
        <v>40</v>
      </c>
      <c r="E15" s="1253" t="s">
        <v>31</v>
      </c>
    </row>
    <row r="16" spans="2:8" s="263" customFormat="1">
      <c r="B16" s="1278"/>
      <c r="C16" s="1278"/>
      <c r="D16" s="1254"/>
      <c r="E16" s="1254"/>
    </row>
    <row r="17" spans="2:7">
      <c r="B17" s="291" t="s">
        <v>143</v>
      </c>
      <c r="C17" s="265" t="s">
        <v>26</v>
      </c>
      <c r="D17" s="266">
        <v>231</v>
      </c>
      <c r="E17" s="282">
        <f>D17*10</f>
        <v>2310</v>
      </c>
    </row>
    <row r="18" spans="2:7">
      <c r="B18" s="291" t="s">
        <v>184</v>
      </c>
      <c r="C18" s="265" t="s">
        <v>26</v>
      </c>
      <c r="D18" s="266">
        <v>141</v>
      </c>
      <c r="E18" s="282">
        <f t="shared" ref="E18:E20" si="1">D18*10</f>
        <v>1410</v>
      </c>
    </row>
    <row r="19" spans="2:7">
      <c r="B19" s="285"/>
      <c r="C19" s="265"/>
      <c r="D19" s="266"/>
      <c r="E19" s="282">
        <f t="shared" si="1"/>
        <v>0</v>
      </c>
    </row>
    <row r="20" spans="2:7" ht="20.100000000000001" customHeight="1">
      <c r="B20" s="1259" t="s">
        <v>24</v>
      </c>
      <c r="C20" s="1259"/>
      <c r="D20" s="266">
        <f>SUM(D17:D19)</f>
        <v>372</v>
      </c>
      <c r="E20" s="282">
        <f t="shared" si="1"/>
        <v>3720</v>
      </c>
    </row>
    <row r="21" spans="2:7">
      <c r="B21" s="272"/>
      <c r="C21" s="272"/>
      <c r="D21" s="273"/>
      <c r="E21" s="273"/>
    </row>
    <row r="22" spans="2:7" ht="19.5">
      <c r="B22" s="274" t="s">
        <v>28</v>
      </c>
      <c r="C22" s="1264" t="s">
        <v>29</v>
      </c>
      <c r="D22" s="1265"/>
      <c r="E22" s="1266"/>
    </row>
    <row r="23" spans="2:7" ht="15" customHeight="1">
      <c r="B23" s="1251" t="s">
        <v>0</v>
      </c>
      <c r="C23" s="1251" t="s">
        <v>1</v>
      </c>
      <c r="D23" s="1252" t="s">
        <v>40</v>
      </c>
      <c r="E23" s="1253" t="s">
        <v>31</v>
      </c>
    </row>
    <row r="24" spans="2:7">
      <c r="B24" s="1251"/>
      <c r="C24" s="1251"/>
      <c r="D24" s="1252"/>
      <c r="E24" s="1254"/>
    </row>
    <row r="25" spans="2:7">
      <c r="B25" s="292" t="s">
        <v>143</v>
      </c>
      <c r="C25" s="265" t="s">
        <v>26</v>
      </c>
      <c r="D25" s="266">
        <v>210</v>
      </c>
      <c r="E25" s="282">
        <f>D25*10</f>
        <v>2100</v>
      </c>
    </row>
    <row r="26" spans="2:7">
      <c r="B26" s="292" t="s">
        <v>184</v>
      </c>
      <c r="C26" s="265" t="s">
        <v>26</v>
      </c>
      <c r="D26" s="266">
        <v>179</v>
      </c>
      <c r="E26" s="282">
        <f t="shared" ref="E26:E28" si="2">D26*10</f>
        <v>1790</v>
      </c>
    </row>
    <row r="27" spans="2:7">
      <c r="B27" s="285"/>
      <c r="C27" s="265"/>
      <c r="D27" s="266"/>
      <c r="E27" s="282">
        <f t="shared" si="2"/>
        <v>0</v>
      </c>
    </row>
    <row r="28" spans="2:7" ht="20.100000000000001" customHeight="1">
      <c r="B28" s="1259" t="s">
        <v>24</v>
      </c>
      <c r="C28" s="1259"/>
      <c r="D28" s="266">
        <f>SUM(D25:D27)</f>
        <v>389</v>
      </c>
      <c r="E28" s="282">
        <f t="shared" si="2"/>
        <v>3890</v>
      </c>
    </row>
    <row r="30" spans="2:7" ht="19.5">
      <c r="B30" s="267" t="s">
        <v>5</v>
      </c>
      <c r="C30" s="275"/>
      <c r="D30" s="1271" t="s">
        <v>32</v>
      </c>
      <c r="E30" s="1272"/>
      <c r="F30" s="1272"/>
      <c r="G30" s="1273"/>
    </row>
    <row r="31" spans="2:7">
      <c r="B31" s="276" t="s">
        <v>4</v>
      </c>
      <c r="C31" s="277"/>
      <c r="D31" s="278"/>
      <c r="E31" s="280" t="s">
        <v>34</v>
      </c>
      <c r="F31" s="280" t="s">
        <v>35</v>
      </c>
      <c r="G31" s="280" t="s">
        <v>37</v>
      </c>
    </row>
    <row r="32" spans="2:7">
      <c r="B32" s="276" t="s">
        <v>33</v>
      </c>
      <c r="C32" s="277"/>
      <c r="D32" s="281" t="s">
        <v>39</v>
      </c>
      <c r="E32" s="283">
        <f>D12</f>
        <v>445</v>
      </c>
      <c r="F32" s="284">
        <f>D20</f>
        <v>372</v>
      </c>
      <c r="G32" s="284">
        <f>D28</f>
        <v>389</v>
      </c>
    </row>
    <row r="33" spans="2:7">
      <c r="B33" s="276" t="s">
        <v>25</v>
      </c>
      <c r="C33" s="277"/>
      <c r="D33" s="281" t="s">
        <v>36</v>
      </c>
      <c r="E33" s="279">
        <f>E32*10</f>
        <v>4450</v>
      </c>
      <c r="F33" s="279">
        <f>F32*10</f>
        <v>3720</v>
      </c>
      <c r="G33" s="279">
        <f>G32*10</f>
        <v>3890</v>
      </c>
    </row>
    <row r="34" spans="2:7" ht="19.5">
      <c r="D34" s="270" t="s">
        <v>38</v>
      </c>
      <c r="E34" s="1274">
        <f>SUM(E33:G33)</f>
        <v>12060</v>
      </c>
      <c r="F34" s="1275"/>
      <c r="G34" s="1276"/>
    </row>
  </sheetData>
  <sheetProtection algorithmName="SHA-512" hashValue="K/ORiIAM0v1vXCYTConZRr3M+vSxwKEf6Ei6+jShSMtgUDjNl5pgLym7QTNwVyjLpWB4YKN2NfVD92kR9nTLQw==" saltValue="varjm+Pyby+cMZrn5UaGFA==" spinCount="100000" sheet="1" objects="1" scenarios="1"/>
  <mergeCells count="21">
    <mergeCell ref="B28:C28"/>
    <mergeCell ref="D30:G30"/>
    <mergeCell ref="E34:G34"/>
    <mergeCell ref="B20:C20"/>
    <mergeCell ref="C22:E22"/>
    <mergeCell ref="B23:B24"/>
    <mergeCell ref="C23:C24"/>
    <mergeCell ref="D23:D24"/>
    <mergeCell ref="E23:E24"/>
    <mergeCell ref="B12:C12"/>
    <mergeCell ref="C14:E14"/>
    <mergeCell ref="B15:B16"/>
    <mergeCell ref="C15:C16"/>
    <mergeCell ref="D15:D16"/>
    <mergeCell ref="E15:E16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76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8A228-0D0D-446A-9076-244DAAE4CEF5}">
  <sheetPr codeName="Sheet112">
    <pageSetUpPr fitToPage="1"/>
  </sheetPr>
  <dimension ref="B2:H34"/>
  <sheetViews>
    <sheetView workbookViewId="0"/>
  </sheetViews>
  <sheetFormatPr defaultColWidth="9.140625" defaultRowHeight="15"/>
  <cols>
    <col min="1" max="1" width="9.140625" style="262"/>
    <col min="2" max="2" width="21.5703125" style="262" customWidth="1"/>
    <col min="3" max="3" width="24.28515625" style="262" bestFit="1" customWidth="1"/>
    <col min="4" max="7" width="15.7109375" style="262" customWidth="1"/>
    <col min="8" max="16384" width="9.140625" style="262"/>
  </cols>
  <sheetData>
    <row r="2" spans="2:8" ht="19.5">
      <c r="B2" s="268" t="s">
        <v>13</v>
      </c>
      <c r="C2" s="264"/>
      <c r="E2" s="286"/>
      <c r="F2" s="271" t="s">
        <v>27</v>
      </c>
      <c r="G2" s="1247">
        <v>44492</v>
      </c>
      <c r="H2" s="1247"/>
    </row>
    <row r="3" spans="2:8">
      <c r="B3" s="264"/>
      <c r="C3" s="264"/>
    </row>
    <row r="4" spans="2:8">
      <c r="B4" s="264"/>
      <c r="C4" s="264"/>
    </row>
    <row r="5" spans="2:8">
      <c r="B5" s="264"/>
      <c r="C5" s="264"/>
    </row>
    <row r="6" spans="2:8" ht="19.5">
      <c r="B6" s="269" t="s">
        <v>42</v>
      </c>
      <c r="C6" s="1248" t="s">
        <v>195</v>
      </c>
      <c r="D6" s="1249"/>
      <c r="E6" s="1250"/>
    </row>
    <row r="7" spans="2:8" ht="15" customHeight="1">
      <c r="B7" s="1277" t="s">
        <v>0</v>
      </c>
      <c r="C7" s="1277" t="s">
        <v>1</v>
      </c>
      <c r="D7" s="1253" t="s">
        <v>40</v>
      </c>
      <c r="E7" s="1253" t="s">
        <v>31</v>
      </c>
    </row>
    <row r="8" spans="2:8" s="263" customFormat="1">
      <c r="B8" s="1278"/>
      <c r="C8" s="1278"/>
      <c r="D8" s="1254"/>
      <c r="E8" s="1254"/>
    </row>
    <row r="9" spans="2:8">
      <c r="B9" s="287" t="s">
        <v>196</v>
      </c>
      <c r="C9" s="265" t="s">
        <v>26</v>
      </c>
      <c r="D9" s="266">
        <v>101</v>
      </c>
      <c r="E9" s="282">
        <f>D9*10</f>
        <v>1010</v>
      </c>
    </row>
    <row r="10" spans="2:8">
      <c r="B10" s="287" t="s">
        <v>56</v>
      </c>
      <c r="C10" s="265" t="s">
        <v>26</v>
      </c>
      <c r="D10" s="266">
        <v>72</v>
      </c>
      <c r="E10" s="282">
        <f t="shared" ref="E10:E12" si="0">D10*10</f>
        <v>720</v>
      </c>
    </row>
    <row r="11" spans="2:8">
      <c r="B11" s="292" t="s">
        <v>78</v>
      </c>
      <c r="C11" s="265"/>
      <c r="D11" s="266">
        <v>137</v>
      </c>
      <c r="E11" s="282">
        <f t="shared" si="0"/>
        <v>1370</v>
      </c>
    </row>
    <row r="12" spans="2:8" ht="20.100000000000001" customHeight="1">
      <c r="B12" s="1259" t="s">
        <v>24</v>
      </c>
      <c r="C12" s="1259"/>
      <c r="D12" s="266">
        <f>SUM(D9:D11)</f>
        <v>310</v>
      </c>
      <c r="E12" s="282">
        <f t="shared" si="0"/>
        <v>3100</v>
      </c>
    </row>
    <row r="14" spans="2:8" ht="19.5">
      <c r="B14" s="270" t="s">
        <v>21</v>
      </c>
      <c r="C14" s="1256" t="s">
        <v>182</v>
      </c>
      <c r="D14" s="1257"/>
      <c r="E14" s="1258"/>
    </row>
    <row r="15" spans="2:8" ht="15" customHeight="1">
      <c r="B15" s="1277" t="s">
        <v>0</v>
      </c>
      <c r="C15" s="1277" t="s">
        <v>1</v>
      </c>
      <c r="D15" s="1253" t="s">
        <v>40</v>
      </c>
      <c r="E15" s="1253" t="s">
        <v>31</v>
      </c>
    </row>
    <row r="16" spans="2:8" s="263" customFormat="1">
      <c r="B16" s="1278"/>
      <c r="C16" s="1278"/>
      <c r="D16" s="1254"/>
      <c r="E16" s="1254"/>
    </row>
    <row r="17" spans="2:7">
      <c r="B17" s="288" t="s">
        <v>196</v>
      </c>
      <c r="C17" s="265" t="s">
        <v>26</v>
      </c>
      <c r="D17" s="266">
        <v>130</v>
      </c>
      <c r="E17" s="282">
        <f>D17*10</f>
        <v>1300</v>
      </c>
    </row>
    <row r="18" spans="2:7">
      <c r="B18" s="288" t="s">
        <v>56</v>
      </c>
      <c r="C18" s="265" t="s">
        <v>26</v>
      </c>
      <c r="D18" s="266">
        <v>139</v>
      </c>
      <c r="E18" s="282">
        <f t="shared" ref="E18:E20" si="1">D18*10</f>
        <v>1390</v>
      </c>
    </row>
    <row r="19" spans="2:7">
      <c r="B19" s="285"/>
      <c r="C19" s="265"/>
      <c r="D19" s="266"/>
      <c r="E19" s="282">
        <f t="shared" si="1"/>
        <v>0</v>
      </c>
    </row>
    <row r="20" spans="2:7" ht="20.100000000000001" customHeight="1">
      <c r="B20" s="1259" t="s">
        <v>24</v>
      </c>
      <c r="C20" s="1259"/>
      <c r="D20" s="266">
        <f>SUM(D17:D19)</f>
        <v>269</v>
      </c>
      <c r="E20" s="282">
        <f t="shared" si="1"/>
        <v>2690</v>
      </c>
    </row>
    <row r="21" spans="2:7">
      <c r="B21" s="272"/>
      <c r="C21" s="272"/>
      <c r="D21" s="273"/>
      <c r="E21" s="273"/>
    </row>
    <row r="22" spans="2:7" ht="19.5">
      <c r="B22" s="274" t="s">
        <v>28</v>
      </c>
      <c r="C22" s="1264" t="s">
        <v>29</v>
      </c>
      <c r="D22" s="1265"/>
      <c r="E22" s="1266"/>
    </row>
    <row r="23" spans="2:7" ht="15" customHeight="1">
      <c r="B23" s="1251" t="s">
        <v>0</v>
      </c>
      <c r="C23" s="1251" t="s">
        <v>1</v>
      </c>
      <c r="D23" s="1252" t="s">
        <v>40</v>
      </c>
      <c r="E23" s="1253" t="s">
        <v>31</v>
      </c>
    </row>
    <row r="24" spans="2:7">
      <c r="B24" s="1251"/>
      <c r="C24" s="1251"/>
      <c r="D24" s="1252"/>
      <c r="E24" s="1254"/>
    </row>
    <row r="25" spans="2:7">
      <c r="B25" s="289" t="s">
        <v>196</v>
      </c>
      <c r="C25" s="265" t="s">
        <v>26</v>
      </c>
      <c r="D25" s="266">
        <v>200</v>
      </c>
      <c r="E25" s="282">
        <f>D25*10</f>
        <v>2000</v>
      </c>
    </row>
    <row r="26" spans="2:7">
      <c r="B26" s="289" t="s">
        <v>56</v>
      </c>
      <c r="C26" s="265" t="s">
        <v>26</v>
      </c>
      <c r="D26" s="266">
        <v>127</v>
      </c>
      <c r="E26" s="282">
        <f t="shared" ref="E26:E28" si="2">D26*10</f>
        <v>1270</v>
      </c>
    </row>
    <row r="27" spans="2:7">
      <c r="B27" s="285"/>
      <c r="C27" s="265"/>
      <c r="D27" s="266"/>
      <c r="E27" s="282">
        <f t="shared" si="2"/>
        <v>0</v>
      </c>
    </row>
    <row r="28" spans="2:7" ht="20.100000000000001" customHeight="1">
      <c r="B28" s="1259" t="s">
        <v>24</v>
      </c>
      <c r="C28" s="1259"/>
      <c r="D28" s="266">
        <f>SUM(D25:D27)</f>
        <v>327</v>
      </c>
      <c r="E28" s="282">
        <f t="shared" si="2"/>
        <v>3270</v>
      </c>
    </row>
    <row r="30" spans="2:7" ht="19.5">
      <c r="B30" s="267" t="s">
        <v>5</v>
      </c>
      <c r="C30" s="275"/>
      <c r="D30" s="1271" t="s">
        <v>32</v>
      </c>
      <c r="E30" s="1272"/>
      <c r="F30" s="1272"/>
      <c r="G30" s="1273"/>
    </row>
    <row r="31" spans="2:7">
      <c r="B31" s="276" t="s">
        <v>4</v>
      </c>
      <c r="C31" s="277"/>
      <c r="D31" s="278"/>
      <c r="E31" s="280" t="s">
        <v>34</v>
      </c>
      <c r="F31" s="280" t="s">
        <v>35</v>
      </c>
      <c r="G31" s="280" t="s">
        <v>37</v>
      </c>
    </row>
    <row r="32" spans="2:7">
      <c r="B32" s="276" t="s">
        <v>33</v>
      </c>
      <c r="C32" s="277"/>
      <c r="D32" s="281" t="s">
        <v>39</v>
      </c>
      <c r="E32" s="283">
        <f>D12</f>
        <v>310</v>
      </c>
      <c r="F32" s="284">
        <f>D20</f>
        <v>269</v>
      </c>
      <c r="G32" s="284">
        <f>D28</f>
        <v>327</v>
      </c>
    </row>
    <row r="33" spans="2:7">
      <c r="B33" s="276" t="s">
        <v>25</v>
      </c>
      <c r="C33" s="277"/>
      <c r="D33" s="281" t="s">
        <v>36</v>
      </c>
      <c r="E33" s="279">
        <f>E32*10</f>
        <v>3100</v>
      </c>
      <c r="F33" s="279">
        <f>F32*10</f>
        <v>2690</v>
      </c>
      <c r="G33" s="279">
        <f>G32*10</f>
        <v>3270</v>
      </c>
    </row>
    <row r="34" spans="2:7" ht="19.5">
      <c r="D34" s="270" t="s">
        <v>38</v>
      </c>
      <c r="E34" s="1274">
        <f>SUM(E33:G33)</f>
        <v>9060</v>
      </c>
      <c r="F34" s="1275"/>
      <c r="G34" s="1276"/>
    </row>
  </sheetData>
  <sheetProtection algorithmName="SHA-512" hashValue="GYy7tfpF7JXky0niyoY4U0ROD8sSDqBH7ivArF95cKzqRZCvCQWBLMk53PwXoO8+V48wfZyIn09lvKkF0/f3/g==" saltValue="AM6nzgJxq/zi3b4tcNxAFw==" spinCount="100000" sheet="1" objects="1" scenarios="1"/>
  <mergeCells count="21">
    <mergeCell ref="D30:G30"/>
    <mergeCell ref="E34:G34"/>
    <mergeCell ref="G2:H2"/>
    <mergeCell ref="C22:E22"/>
    <mergeCell ref="B23:B24"/>
    <mergeCell ref="C23:C24"/>
    <mergeCell ref="D23:D24"/>
    <mergeCell ref="E23:E24"/>
    <mergeCell ref="B28:C28"/>
    <mergeCell ref="C14:E14"/>
    <mergeCell ref="B15:B16"/>
    <mergeCell ref="C15:C16"/>
    <mergeCell ref="D15:D16"/>
    <mergeCell ref="E15:E16"/>
    <mergeCell ref="B20:C20"/>
    <mergeCell ref="C6:E6"/>
    <mergeCell ref="B7:B8"/>
    <mergeCell ref="C7:C8"/>
    <mergeCell ref="D7:D8"/>
    <mergeCell ref="E7:E8"/>
    <mergeCell ref="B12:C12"/>
  </mergeCells>
  <pageMargins left="0.7" right="0.7" top="0.75" bottom="0.75" header="0.3" footer="0.3"/>
  <pageSetup scale="76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5779D-2719-4E1F-BC54-983595F93BC0}">
  <sheetPr codeName="Sheet113">
    <pageSetUpPr fitToPage="1"/>
  </sheetPr>
  <dimension ref="B2:H36"/>
  <sheetViews>
    <sheetView workbookViewId="0"/>
  </sheetViews>
  <sheetFormatPr defaultColWidth="9.140625" defaultRowHeight="15"/>
  <cols>
    <col min="1" max="1" width="9.140625" style="202"/>
    <col min="2" max="2" width="21.5703125" style="202" customWidth="1"/>
    <col min="3" max="3" width="24.28515625" style="202" bestFit="1" customWidth="1"/>
    <col min="4" max="8" width="15.7109375" style="202" customWidth="1"/>
    <col min="9" max="16384" width="9.140625" style="202"/>
  </cols>
  <sheetData>
    <row r="2" spans="2:8" ht="19.5">
      <c r="B2" s="208" t="s">
        <v>13</v>
      </c>
      <c r="C2" s="204"/>
      <c r="E2" s="256"/>
      <c r="F2" s="211" t="s">
        <v>27</v>
      </c>
      <c r="G2" s="1247">
        <v>44491</v>
      </c>
      <c r="H2" s="1247"/>
    </row>
    <row r="3" spans="2:8">
      <c r="B3" s="204"/>
      <c r="C3" s="204"/>
    </row>
    <row r="4" spans="2:8">
      <c r="B4" s="204"/>
      <c r="C4" s="204"/>
    </row>
    <row r="5" spans="2:8">
      <c r="B5" s="204"/>
      <c r="C5" s="204"/>
    </row>
    <row r="6" spans="2:8" ht="19.5">
      <c r="B6" s="209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203" customFormat="1">
      <c r="B8" s="1251"/>
      <c r="C8" s="1251"/>
      <c r="D8" s="1252"/>
      <c r="E8" s="1254"/>
    </row>
    <row r="9" spans="2:8" ht="20.100000000000001" customHeight="1">
      <c r="B9" s="257" t="s">
        <v>53</v>
      </c>
      <c r="C9" s="247" t="s">
        <v>16</v>
      </c>
      <c r="D9" s="12">
        <v>208</v>
      </c>
      <c r="E9" s="222">
        <f>D9*10</f>
        <v>2080</v>
      </c>
    </row>
    <row r="10" spans="2:8" ht="20.100000000000001" customHeight="1">
      <c r="B10" s="257" t="s">
        <v>193</v>
      </c>
      <c r="C10" s="247" t="s">
        <v>16</v>
      </c>
      <c r="D10" s="206">
        <v>225</v>
      </c>
      <c r="E10" s="222">
        <f t="shared" ref="E10:E11" si="0">D10*10</f>
        <v>2250</v>
      </c>
    </row>
    <row r="11" spans="2:8" ht="20.100000000000001" customHeight="1">
      <c r="B11" s="257" t="s">
        <v>82</v>
      </c>
      <c r="C11" s="247" t="s">
        <v>26</v>
      </c>
      <c r="D11" s="206">
        <v>219</v>
      </c>
      <c r="E11" s="222">
        <f t="shared" si="0"/>
        <v>2190</v>
      </c>
    </row>
    <row r="12" spans="2:8" ht="20.100000000000001" customHeight="1">
      <c r="B12" s="257" t="s">
        <v>143</v>
      </c>
      <c r="C12" s="247" t="s">
        <v>26</v>
      </c>
      <c r="D12" s="206">
        <v>195</v>
      </c>
      <c r="E12" s="222">
        <f>D12*10</f>
        <v>1950</v>
      </c>
    </row>
    <row r="13" spans="2:8" ht="20.100000000000001" customHeight="1">
      <c r="B13" s="1259" t="s">
        <v>24</v>
      </c>
      <c r="C13" s="1259"/>
      <c r="D13" s="206">
        <f>SUM(D9:D12)</f>
        <v>847</v>
      </c>
      <c r="E13" s="222">
        <f>D13*10</f>
        <v>8470</v>
      </c>
    </row>
    <row r="15" spans="2:8" ht="19.5">
      <c r="B15" s="210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7" s="203" customFormat="1">
      <c r="B17" s="1251"/>
      <c r="C17" s="1251"/>
      <c r="D17" s="1252"/>
      <c r="E17" s="1254"/>
    </row>
    <row r="18" spans="2:7" ht="20.100000000000001" customHeight="1">
      <c r="B18" s="258" t="s">
        <v>145</v>
      </c>
      <c r="C18" s="247" t="s">
        <v>16</v>
      </c>
      <c r="D18" s="206">
        <v>203</v>
      </c>
      <c r="E18" s="222">
        <f>D18*10</f>
        <v>2030</v>
      </c>
    </row>
    <row r="19" spans="2:7" ht="20.100000000000001" customHeight="1">
      <c r="B19" s="258" t="s">
        <v>193</v>
      </c>
      <c r="C19" s="247" t="s">
        <v>16</v>
      </c>
      <c r="D19" s="206">
        <v>85</v>
      </c>
      <c r="E19" s="222">
        <f t="shared" ref="E19:E22" si="1">D19*10</f>
        <v>850</v>
      </c>
    </row>
    <row r="20" spans="2:7" ht="20.100000000000001" customHeight="1">
      <c r="B20" s="303" t="s">
        <v>66</v>
      </c>
      <c r="C20" s="247" t="s">
        <v>71</v>
      </c>
      <c r="D20" s="206">
        <v>132</v>
      </c>
      <c r="E20" s="222">
        <f t="shared" si="1"/>
        <v>1320</v>
      </c>
    </row>
    <row r="21" spans="2:7" ht="20.100000000000001" customHeight="1">
      <c r="B21" s="259" t="s">
        <v>44</v>
      </c>
      <c r="C21" s="247" t="s">
        <v>26</v>
      </c>
      <c r="D21" s="206">
        <v>132</v>
      </c>
      <c r="E21" s="222">
        <f t="shared" si="1"/>
        <v>1320</v>
      </c>
    </row>
    <row r="22" spans="2:7" ht="20.100000000000001" customHeight="1">
      <c r="B22" s="258" t="s">
        <v>56</v>
      </c>
      <c r="C22" s="247" t="s">
        <v>26</v>
      </c>
      <c r="D22" s="206">
        <v>125</v>
      </c>
      <c r="E22" s="222">
        <f t="shared" si="1"/>
        <v>1250</v>
      </c>
    </row>
    <row r="23" spans="2:7" ht="20.100000000000001" customHeight="1">
      <c r="B23" s="1259" t="s">
        <v>24</v>
      </c>
      <c r="C23" s="1259"/>
      <c r="D23" s="206">
        <f>SUM(D18:D22)</f>
        <v>677</v>
      </c>
      <c r="E23" s="222">
        <f>D23*10</f>
        <v>6770</v>
      </c>
    </row>
    <row r="24" spans="2:7">
      <c r="B24" s="212"/>
      <c r="C24" s="212"/>
      <c r="D24" s="213"/>
      <c r="E24" s="213"/>
    </row>
    <row r="25" spans="2:7" ht="19.5">
      <c r="B25" s="214" t="s">
        <v>28</v>
      </c>
      <c r="C25" s="1264" t="s">
        <v>29</v>
      </c>
      <c r="D25" s="1265"/>
      <c r="E25" s="1266"/>
    </row>
    <row r="26" spans="2:7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7">
      <c r="B27" s="1251"/>
      <c r="C27" s="1251"/>
      <c r="D27" s="1252"/>
      <c r="E27" s="1254"/>
    </row>
    <row r="28" spans="2:7">
      <c r="B28" s="261" t="s">
        <v>44</v>
      </c>
      <c r="C28" s="247" t="s">
        <v>26</v>
      </c>
      <c r="D28" s="206">
        <v>114</v>
      </c>
      <c r="E28" s="222">
        <f>D28*10</f>
        <v>1140</v>
      </c>
    </row>
    <row r="29" spans="2:7">
      <c r="B29" s="260" t="s">
        <v>56</v>
      </c>
      <c r="C29" s="247" t="s">
        <v>26</v>
      </c>
      <c r="D29" s="206">
        <v>108</v>
      </c>
      <c r="E29" s="222">
        <f t="shared" ref="E29" si="2">D29*10</f>
        <v>1080</v>
      </c>
    </row>
    <row r="30" spans="2:7" ht="20.100000000000001" customHeight="1">
      <c r="B30" s="1259" t="s">
        <v>24</v>
      </c>
      <c r="C30" s="1259"/>
      <c r="D30" s="206">
        <f>SUM(D28:D29)</f>
        <v>222</v>
      </c>
      <c r="E30" s="222">
        <f>D30*10</f>
        <v>2220</v>
      </c>
    </row>
    <row r="32" spans="2:7" ht="19.5">
      <c r="B32" s="207" t="s">
        <v>5</v>
      </c>
      <c r="C32" s="215"/>
      <c r="D32" s="1271" t="s">
        <v>32</v>
      </c>
      <c r="E32" s="1272"/>
      <c r="F32" s="1272"/>
      <c r="G32" s="1273"/>
    </row>
    <row r="33" spans="2:7">
      <c r="B33" s="216" t="s">
        <v>4</v>
      </c>
      <c r="C33" s="217"/>
      <c r="D33" s="218"/>
      <c r="E33" s="220" t="s">
        <v>34</v>
      </c>
      <c r="F33" s="220" t="s">
        <v>35</v>
      </c>
      <c r="G33" s="220" t="s">
        <v>37</v>
      </c>
    </row>
    <row r="34" spans="2:7">
      <c r="B34" s="216" t="s">
        <v>33</v>
      </c>
      <c r="C34" s="217"/>
      <c r="D34" s="221" t="s">
        <v>39</v>
      </c>
      <c r="E34" s="223">
        <f>D13</f>
        <v>847</v>
      </c>
      <c r="F34" s="224">
        <f>D23</f>
        <v>677</v>
      </c>
      <c r="G34" s="224">
        <f>D30</f>
        <v>222</v>
      </c>
    </row>
    <row r="35" spans="2:7">
      <c r="B35" s="216" t="s">
        <v>25</v>
      </c>
      <c r="C35" s="217"/>
      <c r="D35" s="221" t="s">
        <v>36</v>
      </c>
      <c r="E35" s="219">
        <f>E34*10</f>
        <v>8470</v>
      </c>
      <c r="F35" s="219">
        <f>F34*10</f>
        <v>6770</v>
      </c>
      <c r="G35" s="219">
        <f>G34*10</f>
        <v>2220</v>
      </c>
    </row>
    <row r="36" spans="2:7" ht="19.5">
      <c r="D36" s="210" t="s">
        <v>38</v>
      </c>
      <c r="E36" s="1274">
        <f>SUM(E35:G35)</f>
        <v>17460</v>
      </c>
      <c r="F36" s="1275"/>
      <c r="G36" s="1276"/>
    </row>
  </sheetData>
  <sheetProtection algorithmName="SHA-512" hashValue="ca63kNPRre7GmyE5wAmHDbk5gXhQA/jC7UoduXdZ2Ur6j41xfRrb66FB+6h2Z9VOqIA01qcMfk92TtGFmw9y4A==" saltValue="26oxOHS9SMLupnleS2gwVw==" spinCount="100000" sheet="1" objects="1" scenarios="1"/>
  <mergeCells count="21">
    <mergeCell ref="B30:C30"/>
    <mergeCell ref="D32:G32"/>
    <mergeCell ref="E36:G36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G2:H2"/>
    <mergeCell ref="C6:E6"/>
    <mergeCell ref="B7:B8"/>
    <mergeCell ref="C7:C8"/>
    <mergeCell ref="D7:D8"/>
    <mergeCell ref="E7:E8"/>
  </mergeCells>
  <pageMargins left="0.7" right="0.7" top="0.75" bottom="0.75" header="0.3" footer="0.3"/>
  <pageSetup scale="76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CCD78-4A16-4D96-AA4C-26A99520969C}">
  <sheetPr codeName="Sheet114">
    <pageSetUpPr fitToPage="1"/>
  </sheetPr>
  <dimension ref="B2:H36"/>
  <sheetViews>
    <sheetView workbookViewId="0"/>
  </sheetViews>
  <sheetFormatPr defaultColWidth="9.140625" defaultRowHeight="15"/>
  <cols>
    <col min="1" max="1" width="9.140625" style="202"/>
    <col min="2" max="2" width="21.5703125" style="202" customWidth="1"/>
    <col min="3" max="3" width="24.28515625" style="202" bestFit="1" customWidth="1"/>
    <col min="4" max="8" width="15.7109375" style="202" customWidth="1"/>
    <col min="9" max="16384" width="9.140625" style="202"/>
  </cols>
  <sheetData>
    <row r="2" spans="2:8" ht="19.5">
      <c r="B2" s="208" t="s">
        <v>13</v>
      </c>
      <c r="C2" s="204"/>
      <c r="E2" s="254"/>
      <c r="F2" s="211" t="s">
        <v>27</v>
      </c>
      <c r="G2" s="1247">
        <v>44490</v>
      </c>
      <c r="H2" s="1247"/>
    </row>
    <row r="3" spans="2:8">
      <c r="B3" s="204"/>
      <c r="C3" s="204"/>
    </row>
    <row r="4" spans="2:8">
      <c r="B4" s="204"/>
      <c r="C4" s="204"/>
    </row>
    <row r="5" spans="2:8">
      <c r="B5" s="204"/>
      <c r="C5" s="204"/>
    </row>
    <row r="6" spans="2:8" ht="19.5">
      <c r="B6" s="209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203" customFormat="1">
      <c r="B8" s="1251"/>
      <c r="C8" s="1251"/>
      <c r="D8" s="1252"/>
      <c r="E8" s="1254"/>
    </row>
    <row r="9" spans="2:8" ht="20.100000000000001" customHeight="1">
      <c r="B9" s="247" t="s">
        <v>53</v>
      </c>
      <c r="C9" s="247" t="s">
        <v>16</v>
      </c>
      <c r="D9" s="12">
        <v>320</v>
      </c>
      <c r="E9" s="222">
        <f>D9*10</f>
        <v>3200</v>
      </c>
    </row>
    <row r="10" spans="2:8" ht="20.100000000000001" customHeight="1">
      <c r="B10" s="247" t="s">
        <v>143</v>
      </c>
      <c r="C10" s="247" t="s">
        <v>16</v>
      </c>
      <c r="D10" s="206">
        <v>333</v>
      </c>
      <c r="E10" s="222">
        <f t="shared" ref="E10:E11" si="0">D10*10</f>
        <v>3330</v>
      </c>
    </row>
    <row r="11" spans="2:8" ht="20.100000000000001" customHeight="1">
      <c r="B11" s="247" t="s">
        <v>65</v>
      </c>
      <c r="C11" s="247" t="s">
        <v>26</v>
      </c>
      <c r="D11" s="206">
        <v>242</v>
      </c>
      <c r="E11" s="222">
        <f t="shared" si="0"/>
        <v>2420</v>
      </c>
    </row>
    <row r="12" spans="2:8" ht="20.100000000000001" customHeight="1">
      <c r="B12" s="247" t="s">
        <v>82</v>
      </c>
      <c r="C12" s="247" t="s">
        <v>26</v>
      </c>
      <c r="D12" s="206">
        <v>250</v>
      </c>
      <c r="E12" s="222">
        <f>D12*10</f>
        <v>2500</v>
      </c>
    </row>
    <row r="13" spans="2:8" ht="20.100000000000001" customHeight="1">
      <c r="B13" s="1259" t="s">
        <v>24</v>
      </c>
      <c r="C13" s="1259"/>
      <c r="D13" s="206">
        <f>SUM(D9:D12)</f>
        <v>1145</v>
      </c>
      <c r="E13" s="222">
        <f>D13*10</f>
        <v>11450</v>
      </c>
    </row>
    <row r="15" spans="2:8" ht="19.5">
      <c r="B15" s="210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7" s="203" customFormat="1">
      <c r="B17" s="1251"/>
      <c r="C17" s="1251"/>
      <c r="D17" s="1252"/>
      <c r="E17" s="1254"/>
    </row>
    <row r="18" spans="2:7" ht="20.100000000000001" customHeight="1">
      <c r="B18" s="247" t="s">
        <v>172</v>
      </c>
      <c r="C18" s="247" t="s">
        <v>16</v>
      </c>
      <c r="D18" s="206">
        <v>128</v>
      </c>
      <c r="E18" s="222">
        <f>D18*10</f>
        <v>1280</v>
      </c>
    </row>
    <row r="19" spans="2:7" ht="20.100000000000001" customHeight="1">
      <c r="B19" s="247" t="s">
        <v>143</v>
      </c>
      <c r="C19" s="247" t="s">
        <v>16</v>
      </c>
      <c r="D19" s="206">
        <v>176</v>
      </c>
      <c r="E19" s="222">
        <f t="shared" ref="E19:E22" si="1">D19*10</f>
        <v>1760</v>
      </c>
    </row>
    <row r="20" spans="2:7" ht="20.100000000000001" customHeight="1">
      <c r="B20" s="247" t="s">
        <v>171</v>
      </c>
      <c r="C20" s="247" t="s">
        <v>71</v>
      </c>
      <c r="D20" s="206">
        <v>219</v>
      </c>
      <c r="E20" s="222">
        <f t="shared" si="1"/>
        <v>2190</v>
      </c>
    </row>
    <row r="21" spans="2:7" ht="20.100000000000001" customHeight="1">
      <c r="B21" s="247" t="s">
        <v>65</v>
      </c>
      <c r="C21" s="247" t="s">
        <v>26</v>
      </c>
      <c r="D21" s="206">
        <v>175</v>
      </c>
      <c r="E21" s="222">
        <f t="shared" si="1"/>
        <v>1750</v>
      </c>
    </row>
    <row r="22" spans="2:7" ht="20.100000000000001" customHeight="1">
      <c r="B22" s="247" t="s">
        <v>164</v>
      </c>
      <c r="C22" s="247" t="s">
        <v>26</v>
      </c>
      <c r="D22" s="206">
        <v>261</v>
      </c>
      <c r="E22" s="222">
        <f t="shared" si="1"/>
        <v>2610</v>
      </c>
    </row>
    <row r="23" spans="2:7" ht="20.100000000000001" customHeight="1">
      <c r="B23" s="1259" t="s">
        <v>24</v>
      </c>
      <c r="C23" s="1259"/>
      <c r="D23" s="206">
        <f>SUM(D18:D22)</f>
        <v>959</v>
      </c>
      <c r="E23" s="222">
        <f>D23*10</f>
        <v>9590</v>
      </c>
    </row>
    <row r="24" spans="2:7">
      <c r="B24" s="212"/>
      <c r="C24" s="212"/>
      <c r="D24" s="213"/>
      <c r="E24" s="213"/>
    </row>
    <row r="25" spans="2:7" ht="19.5">
      <c r="B25" s="214" t="s">
        <v>28</v>
      </c>
      <c r="C25" s="1264" t="s">
        <v>29</v>
      </c>
      <c r="D25" s="1265"/>
      <c r="E25" s="1266"/>
    </row>
    <row r="26" spans="2:7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7">
      <c r="B27" s="1251"/>
      <c r="C27" s="1251"/>
      <c r="D27" s="1252"/>
      <c r="E27" s="1254"/>
    </row>
    <row r="28" spans="2:7">
      <c r="B28" s="247" t="s">
        <v>65</v>
      </c>
      <c r="C28" s="247" t="s">
        <v>26</v>
      </c>
      <c r="D28" s="206">
        <v>106</v>
      </c>
      <c r="E28" s="222">
        <f>D28*10</f>
        <v>1060</v>
      </c>
    </row>
    <row r="29" spans="2:7">
      <c r="B29" s="247" t="s">
        <v>164</v>
      </c>
      <c r="C29" s="247" t="s">
        <v>26</v>
      </c>
      <c r="D29" s="206">
        <v>185</v>
      </c>
      <c r="E29" s="222">
        <f t="shared" ref="E29" si="2">D29*10</f>
        <v>1850</v>
      </c>
    </row>
    <row r="30" spans="2:7" ht="20.100000000000001" customHeight="1">
      <c r="B30" s="1259" t="s">
        <v>24</v>
      </c>
      <c r="C30" s="1259"/>
      <c r="D30" s="206">
        <f>SUM(D28:D29)</f>
        <v>291</v>
      </c>
      <c r="E30" s="222">
        <f>D30*10</f>
        <v>2910</v>
      </c>
    </row>
    <row r="32" spans="2:7" ht="19.5">
      <c r="B32" s="207" t="s">
        <v>5</v>
      </c>
      <c r="C32" s="215"/>
      <c r="D32" s="1271" t="s">
        <v>32</v>
      </c>
      <c r="E32" s="1272"/>
      <c r="F32" s="1272"/>
      <c r="G32" s="1273"/>
    </row>
    <row r="33" spans="2:7">
      <c r="B33" s="216" t="s">
        <v>4</v>
      </c>
      <c r="C33" s="217"/>
      <c r="D33" s="218"/>
      <c r="E33" s="220" t="s">
        <v>34</v>
      </c>
      <c r="F33" s="220" t="s">
        <v>35</v>
      </c>
      <c r="G33" s="220" t="s">
        <v>37</v>
      </c>
    </row>
    <row r="34" spans="2:7">
      <c r="B34" s="216" t="s">
        <v>33</v>
      </c>
      <c r="C34" s="217"/>
      <c r="D34" s="221" t="s">
        <v>39</v>
      </c>
      <c r="E34" s="223">
        <f>D13</f>
        <v>1145</v>
      </c>
      <c r="F34" s="224">
        <f>D23</f>
        <v>959</v>
      </c>
      <c r="G34" s="224">
        <f>D30</f>
        <v>291</v>
      </c>
    </row>
    <row r="35" spans="2:7">
      <c r="B35" s="216" t="s">
        <v>25</v>
      </c>
      <c r="C35" s="217"/>
      <c r="D35" s="221" t="s">
        <v>36</v>
      </c>
      <c r="E35" s="219">
        <f>E34*10</f>
        <v>11450</v>
      </c>
      <c r="F35" s="219">
        <f>F34*10</f>
        <v>9590</v>
      </c>
      <c r="G35" s="219">
        <f>G34*10</f>
        <v>2910</v>
      </c>
    </row>
    <row r="36" spans="2:7" ht="19.5">
      <c r="D36" s="210" t="s">
        <v>38</v>
      </c>
      <c r="E36" s="1274">
        <f>SUM(E35:G35)</f>
        <v>23950</v>
      </c>
      <c r="F36" s="1275"/>
      <c r="G36" s="1276"/>
    </row>
  </sheetData>
  <sheetProtection algorithmName="SHA-512" hashValue="xuSMAbUeJyqIrPB+S79XAx1qaAdilEOtswm/zuv7TuiBPlsTLnHwL3f4eMXvv37n2kbDNzzrwsrX1bswFvfhxQ==" saltValue="a5al7/M2DYGFsuKuDpGXxA==" spinCount="100000" sheet="1" objects="1" scenarios="1"/>
  <mergeCells count="21">
    <mergeCell ref="G2:H2"/>
    <mergeCell ref="C6:E6"/>
    <mergeCell ref="B7:B8"/>
    <mergeCell ref="C7:C8"/>
    <mergeCell ref="D7:D8"/>
    <mergeCell ref="E7:E8"/>
    <mergeCell ref="B13:C13"/>
    <mergeCell ref="C15:E15"/>
    <mergeCell ref="B16:B17"/>
    <mergeCell ref="C16:C17"/>
    <mergeCell ref="D16:D17"/>
    <mergeCell ref="E16:E17"/>
    <mergeCell ref="B30:C30"/>
    <mergeCell ref="D32:G32"/>
    <mergeCell ref="E36:G36"/>
    <mergeCell ref="B23:C23"/>
    <mergeCell ref="C25:E25"/>
    <mergeCell ref="B26:B27"/>
    <mergeCell ref="C26:C27"/>
    <mergeCell ref="D26:D27"/>
    <mergeCell ref="E26:E27"/>
  </mergeCells>
  <pageMargins left="0.7" right="0.7" top="0.75" bottom="0.75" header="0.3" footer="0.3"/>
  <pageSetup scale="76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75E7-DC79-4B38-88A4-FDA3A720E99C}">
  <sheetPr codeName="Sheet115">
    <pageSetUpPr fitToPage="1"/>
  </sheetPr>
  <dimension ref="B2:H36"/>
  <sheetViews>
    <sheetView workbookViewId="0"/>
  </sheetViews>
  <sheetFormatPr defaultColWidth="9.140625" defaultRowHeight="15"/>
  <cols>
    <col min="1" max="1" width="9.140625" style="202"/>
    <col min="2" max="2" width="21.5703125" style="202" customWidth="1"/>
    <col min="3" max="3" width="24.28515625" style="202" bestFit="1" customWidth="1"/>
    <col min="4" max="8" width="15.7109375" style="202" customWidth="1"/>
    <col min="9" max="16384" width="9.140625" style="202"/>
  </cols>
  <sheetData>
    <row r="2" spans="2:8" ht="19.5">
      <c r="B2" s="208" t="s">
        <v>13</v>
      </c>
      <c r="C2" s="204"/>
      <c r="E2" s="249"/>
      <c r="F2" s="211" t="s">
        <v>27</v>
      </c>
      <c r="G2" s="1247">
        <v>44489</v>
      </c>
      <c r="H2" s="1247"/>
    </row>
    <row r="3" spans="2:8">
      <c r="B3" s="204"/>
      <c r="C3" s="204"/>
    </row>
    <row r="4" spans="2:8">
      <c r="B4" s="204"/>
      <c r="C4" s="204"/>
    </row>
    <row r="5" spans="2:8">
      <c r="B5" s="204"/>
      <c r="C5" s="204"/>
    </row>
    <row r="6" spans="2:8" ht="19.5">
      <c r="B6" s="209" t="s">
        <v>42</v>
      </c>
      <c r="C6" s="1248" t="s">
        <v>74</v>
      </c>
      <c r="D6" s="1249"/>
      <c r="E6" s="1250"/>
    </row>
    <row r="7" spans="2:8">
      <c r="B7" s="1251" t="s">
        <v>0</v>
      </c>
      <c r="C7" s="1251" t="s">
        <v>1</v>
      </c>
      <c r="D7" s="1252" t="s">
        <v>40</v>
      </c>
      <c r="E7" s="1253" t="s">
        <v>31</v>
      </c>
    </row>
    <row r="8" spans="2:8" s="203" customFormat="1">
      <c r="B8" s="1251"/>
      <c r="C8" s="1251"/>
      <c r="D8" s="1252"/>
      <c r="E8" s="1254"/>
    </row>
    <row r="9" spans="2:8" ht="20.100000000000001" customHeight="1">
      <c r="B9" s="247" t="s">
        <v>53</v>
      </c>
      <c r="C9" s="247" t="s">
        <v>16</v>
      </c>
      <c r="D9" s="12">
        <v>277</v>
      </c>
      <c r="E9" s="222">
        <f>D9*10</f>
        <v>2770</v>
      </c>
    </row>
    <row r="10" spans="2:8" ht="20.100000000000001" customHeight="1">
      <c r="B10" s="247" t="s">
        <v>170</v>
      </c>
      <c r="C10" s="247" t="s">
        <v>16</v>
      </c>
      <c r="D10" s="206">
        <v>265</v>
      </c>
      <c r="E10" s="222">
        <f t="shared" ref="E10:E11" si="0">D10*10</f>
        <v>2650</v>
      </c>
    </row>
    <row r="11" spans="2:8" ht="20.100000000000001" customHeight="1">
      <c r="B11" s="247" t="s">
        <v>70</v>
      </c>
      <c r="C11" s="247" t="s">
        <v>26</v>
      </c>
      <c r="D11" s="206">
        <v>425</v>
      </c>
      <c r="E11" s="222">
        <f t="shared" si="0"/>
        <v>4250</v>
      </c>
    </row>
    <row r="12" spans="2:8" ht="20.100000000000001" customHeight="1">
      <c r="B12" s="247" t="s">
        <v>45</v>
      </c>
      <c r="C12" s="247" t="s">
        <v>26</v>
      </c>
      <c r="D12" s="206">
        <v>218</v>
      </c>
      <c r="E12" s="222">
        <f>D12*10</f>
        <v>2180</v>
      </c>
    </row>
    <row r="13" spans="2:8" ht="20.100000000000001" customHeight="1">
      <c r="B13" s="1259" t="s">
        <v>24</v>
      </c>
      <c r="C13" s="1259"/>
      <c r="D13" s="206">
        <f>SUM(D9:D12)</f>
        <v>1185</v>
      </c>
      <c r="E13" s="222">
        <f>D13*10</f>
        <v>11850</v>
      </c>
    </row>
    <row r="15" spans="2:8" ht="19.5">
      <c r="B15" s="210" t="s">
        <v>21</v>
      </c>
      <c r="C15" s="1256" t="s">
        <v>46</v>
      </c>
      <c r="D15" s="1257"/>
      <c r="E15" s="1258"/>
    </row>
    <row r="16" spans="2:8" ht="15" customHeight="1">
      <c r="B16" s="1251" t="s">
        <v>0</v>
      </c>
      <c r="C16" s="1251" t="s">
        <v>1</v>
      </c>
      <c r="D16" s="1252" t="s">
        <v>40</v>
      </c>
      <c r="E16" s="1253" t="s">
        <v>31</v>
      </c>
    </row>
    <row r="17" spans="2:7" s="203" customFormat="1">
      <c r="B17" s="1251"/>
      <c r="C17" s="1251"/>
      <c r="D17" s="1252"/>
      <c r="E17" s="1254"/>
    </row>
    <row r="18" spans="2:7" ht="20.100000000000001" customHeight="1">
      <c r="B18" s="247" t="s">
        <v>82</v>
      </c>
      <c r="C18" s="247" t="s">
        <v>16</v>
      </c>
      <c r="D18" s="206">
        <v>254</v>
      </c>
      <c r="E18" s="222">
        <f>D18*10</f>
        <v>2540</v>
      </c>
    </row>
    <row r="19" spans="2:7" ht="20.100000000000001" customHeight="1">
      <c r="B19" s="247" t="s">
        <v>170</v>
      </c>
      <c r="C19" s="247" t="s">
        <v>16</v>
      </c>
      <c r="D19" s="206">
        <v>140</v>
      </c>
      <c r="E19" s="222">
        <f t="shared" ref="E19:E22" si="1">D19*10</f>
        <v>1400</v>
      </c>
    </row>
    <row r="20" spans="2:7" ht="20.100000000000001" customHeight="1">
      <c r="B20" s="247" t="s">
        <v>145</v>
      </c>
      <c r="C20" s="247" t="s">
        <v>71</v>
      </c>
      <c r="D20" s="206">
        <v>214</v>
      </c>
      <c r="E20" s="222">
        <f t="shared" si="1"/>
        <v>2140</v>
      </c>
    </row>
    <row r="21" spans="2:7" ht="20.100000000000001" customHeight="1">
      <c r="B21" s="247" t="s">
        <v>70</v>
      </c>
      <c r="C21" s="247" t="s">
        <v>26</v>
      </c>
      <c r="D21" s="206">
        <v>250</v>
      </c>
      <c r="E21" s="222">
        <f t="shared" si="1"/>
        <v>2500</v>
      </c>
    </row>
    <row r="22" spans="2:7" ht="20.100000000000001" customHeight="1">
      <c r="B22" s="247" t="s">
        <v>45</v>
      </c>
      <c r="C22" s="247" t="s">
        <v>26</v>
      </c>
      <c r="D22" s="206">
        <v>275</v>
      </c>
      <c r="E22" s="222">
        <f t="shared" si="1"/>
        <v>2750</v>
      </c>
    </row>
    <row r="23" spans="2:7" ht="20.100000000000001" customHeight="1">
      <c r="B23" s="1259" t="s">
        <v>24</v>
      </c>
      <c r="C23" s="1259"/>
      <c r="D23" s="206">
        <f>SUM(D18:D22)</f>
        <v>1133</v>
      </c>
      <c r="E23" s="222">
        <f>D23*10</f>
        <v>11330</v>
      </c>
    </row>
    <row r="24" spans="2:7">
      <c r="B24" s="212"/>
      <c r="C24" s="212"/>
      <c r="D24" s="213"/>
      <c r="E24" s="213"/>
    </row>
    <row r="25" spans="2:7" ht="19.5">
      <c r="B25" s="214" t="s">
        <v>28</v>
      </c>
      <c r="C25" s="1264" t="s">
        <v>29</v>
      </c>
      <c r="D25" s="1265"/>
      <c r="E25" s="1266"/>
    </row>
    <row r="26" spans="2:7" ht="15" customHeight="1">
      <c r="B26" s="1251" t="s">
        <v>0</v>
      </c>
      <c r="C26" s="1251" t="s">
        <v>1</v>
      </c>
      <c r="D26" s="1252" t="s">
        <v>40</v>
      </c>
      <c r="E26" s="1253" t="s">
        <v>31</v>
      </c>
    </row>
    <row r="27" spans="2:7">
      <c r="B27" s="1251"/>
      <c r="C27" s="1251"/>
      <c r="D27" s="1252"/>
      <c r="E27" s="1254"/>
    </row>
    <row r="28" spans="2:7">
      <c r="B28" s="247" t="s">
        <v>70</v>
      </c>
      <c r="C28" s="247" t="s">
        <v>26</v>
      </c>
      <c r="D28" s="206">
        <v>496</v>
      </c>
      <c r="E28" s="222">
        <f>D28*10</f>
        <v>4960</v>
      </c>
    </row>
    <row r="29" spans="2:7">
      <c r="B29" s="247" t="s">
        <v>45</v>
      </c>
      <c r="C29" s="247" t="s">
        <v>26</v>
      </c>
      <c r="D29" s="206">
        <v>202</v>
      </c>
      <c r="E29" s="222">
        <f t="shared" ref="E29" si="2">D29*10</f>
        <v>2020</v>
      </c>
    </row>
    <row r="30" spans="2:7" ht="20.100000000000001" customHeight="1">
      <c r="B30" s="1259" t="s">
        <v>24</v>
      </c>
      <c r="C30" s="1259"/>
      <c r="D30" s="206">
        <f>SUM(D28:D29)</f>
        <v>698</v>
      </c>
      <c r="E30" s="222">
        <f>D30*10</f>
        <v>6980</v>
      </c>
    </row>
    <row r="32" spans="2:7" ht="19.5">
      <c r="B32" s="207" t="s">
        <v>5</v>
      </c>
      <c r="C32" s="215"/>
      <c r="D32" s="1271" t="s">
        <v>32</v>
      </c>
      <c r="E32" s="1272"/>
      <c r="F32" s="1272"/>
      <c r="G32" s="1273"/>
    </row>
    <row r="33" spans="2:7">
      <c r="B33" s="216" t="s">
        <v>4</v>
      </c>
      <c r="C33" s="217"/>
      <c r="D33" s="218"/>
      <c r="E33" s="220" t="s">
        <v>34</v>
      </c>
      <c r="F33" s="220" t="s">
        <v>35</v>
      </c>
      <c r="G33" s="220" t="s">
        <v>37</v>
      </c>
    </row>
    <row r="34" spans="2:7">
      <c r="B34" s="216" t="s">
        <v>33</v>
      </c>
      <c r="C34" s="217"/>
      <c r="D34" s="221" t="s">
        <v>39</v>
      </c>
      <c r="E34" s="223">
        <f>D13</f>
        <v>1185</v>
      </c>
      <c r="F34" s="224">
        <f>D23</f>
        <v>1133</v>
      </c>
      <c r="G34" s="224">
        <f>D30</f>
        <v>698</v>
      </c>
    </row>
    <row r="35" spans="2:7">
      <c r="B35" s="216" t="s">
        <v>25</v>
      </c>
      <c r="C35" s="217"/>
      <c r="D35" s="221" t="s">
        <v>36</v>
      </c>
      <c r="E35" s="219">
        <f>E34*10</f>
        <v>11850</v>
      </c>
      <c r="F35" s="219">
        <f>F34*10</f>
        <v>11330</v>
      </c>
      <c r="G35" s="219">
        <f>G34*10</f>
        <v>6980</v>
      </c>
    </row>
    <row r="36" spans="2:7" ht="19.5">
      <c r="D36" s="210" t="s">
        <v>38</v>
      </c>
      <c r="E36" s="1274">
        <f>SUM(E35:G35)</f>
        <v>30160</v>
      </c>
      <c r="F36" s="1275"/>
      <c r="G36" s="1276"/>
    </row>
  </sheetData>
  <sheetProtection algorithmName="SHA-512" hashValue="Cn41sHxYNJlfKtJNpZbSgm5uUvBjUqEdFk3otckYy6wZO1Tl+AlxvqIvShZ+gKfMdQYmAxa+ML4+InXfLCmexw==" saltValue="CGme9xZdNLp4s+JyUHhsKQ==" spinCount="100000" sheet="1" objects="1" scenarios="1"/>
  <mergeCells count="21">
    <mergeCell ref="B30:C30"/>
    <mergeCell ref="D32:G32"/>
    <mergeCell ref="E36:G36"/>
    <mergeCell ref="G2:H2"/>
    <mergeCell ref="B23:C23"/>
    <mergeCell ref="C25:E25"/>
    <mergeCell ref="B26:B27"/>
    <mergeCell ref="C26:C27"/>
    <mergeCell ref="D26:D27"/>
    <mergeCell ref="E26:E27"/>
    <mergeCell ref="B13:C13"/>
    <mergeCell ref="C15:E15"/>
    <mergeCell ref="B16:B17"/>
    <mergeCell ref="C16:C17"/>
    <mergeCell ref="D16:D17"/>
    <mergeCell ref="E16:E17"/>
    <mergeCell ref="C6:E6"/>
    <mergeCell ref="B7:B8"/>
    <mergeCell ref="C7:C8"/>
    <mergeCell ref="D7:D8"/>
    <mergeCell ref="E7:E8"/>
  </mergeCells>
  <pageMargins left="0.7" right="0.7" top="0.75" bottom="0.75" header="0.3" footer="0.3"/>
  <pageSetup scale="76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767B6-3552-4107-ADCB-C28CF9AB32AB}">
  <sheetPr codeName="Sheet116">
    <pageSetUpPr fitToPage="1"/>
  </sheetPr>
  <dimension ref="B2:H36"/>
  <sheetViews>
    <sheetView workbookViewId="0"/>
  </sheetViews>
  <sheetFormatPr defaultColWidth="9.140625" defaultRowHeight="15"/>
  <cols>
    <col min="1" max="1" width="9.140625" style="202"/>
    <col min="2" max="2" width="21.5703125" style="202" customWidth="1"/>
    <col min="3" max="3" width="24.28515625" style="202" bestFit="1" customWidth="1"/>
    <col min="4" max="8" width="15.7109375" style="202" customWidth="1"/>
    <col min="9" max="16384" width="9.140625" style="202"/>
  </cols>
  <sheetData>
    <row r="2" spans="2:8" ht="19.5">
      <c r="B2" s="208" t="s">
        <v>13</v>
      </c>
      <c r="C2" s="204"/>
      <c r="D2" s="204"/>
      <c r="F2" s="211" t="s">
        <v>27</v>
      </c>
      <c r="G2" s="1247">
        <v>44488</v>
      </c>
      <c r="H2" s="1247"/>
    </row>
    <row r="3" spans="2:8">
      <c r="B3" s="204"/>
      <c r="C3" s="204"/>
      <c r="D3" s="204"/>
    </row>
    <row r="4" spans="2:8">
      <c r="B4" s="204"/>
      <c r="C4" s="204"/>
      <c r="D4" s="204"/>
    </row>
    <row r="5" spans="2:8">
      <c r="B5" s="204"/>
      <c r="C5" s="204"/>
      <c r="D5" s="204"/>
    </row>
    <row r="6" spans="2:8" ht="19.5">
      <c r="B6" s="209" t="s">
        <v>42</v>
      </c>
      <c r="C6" s="1248" t="s">
        <v>74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203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244" t="s">
        <v>53</v>
      </c>
      <c r="C9" s="240" t="s">
        <v>16</v>
      </c>
      <c r="D9" s="240">
        <v>150</v>
      </c>
      <c r="E9" s="12">
        <v>257</v>
      </c>
      <c r="F9" s="12">
        <v>0</v>
      </c>
      <c r="G9" s="12">
        <v>257</v>
      </c>
      <c r="H9" s="222">
        <f t="shared" ref="H9:H11" si="0">G9*10</f>
        <v>2570</v>
      </c>
    </row>
    <row r="10" spans="2:8" ht="20.100000000000001" customHeight="1">
      <c r="B10" s="244" t="s">
        <v>63</v>
      </c>
      <c r="C10" s="240" t="s">
        <v>16</v>
      </c>
      <c r="D10" s="240">
        <v>150</v>
      </c>
      <c r="E10" s="206">
        <v>225</v>
      </c>
      <c r="F10" s="206">
        <v>0</v>
      </c>
      <c r="G10" s="206">
        <v>225</v>
      </c>
      <c r="H10" s="222">
        <f t="shared" si="0"/>
        <v>2250</v>
      </c>
    </row>
    <row r="11" spans="2:8" ht="20.100000000000001" customHeight="1">
      <c r="B11" s="244" t="s">
        <v>65</v>
      </c>
      <c r="C11" s="240" t="s">
        <v>26</v>
      </c>
      <c r="D11" s="240">
        <v>150</v>
      </c>
      <c r="E11" s="206">
        <v>212</v>
      </c>
      <c r="F11" s="206">
        <v>0</v>
      </c>
      <c r="G11" s="206">
        <v>212</v>
      </c>
      <c r="H11" s="222">
        <f t="shared" si="0"/>
        <v>2120</v>
      </c>
    </row>
    <row r="12" spans="2:8" ht="20.100000000000001" customHeight="1">
      <c r="B12" s="244" t="s">
        <v>184</v>
      </c>
      <c r="C12" s="240" t="s">
        <v>26</v>
      </c>
      <c r="D12" s="240">
        <v>150</v>
      </c>
      <c r="E12" s="206">
        <v>195</v>
      </c>
      <c r="F12" s="206">
        <v>0</v>
      </c>
      <c r="G12" s="206">
        <v>195</v>
      </c>
      <c r="H12" s="222">
        <f>G12*10</f>
        <v>1950</v>
      </c>
    </row>
    <row r="13" spans="2:8" ht="20.100000000000001" customHeight="1">
      <c r="B13" s="1259" t="s">
        <v>24</v>
      </c>
      <c r="C13" s="1259"/>
      <c r="D13" s="240">
        <f>SUM(D9:D12)</f>
        <v>600</v>
      </c>
      <c r="E13" s="206">
        <f>SUM(E9:E12)</f>
        <v>889</v>
      </c>
      <c r="F13" s="206">
        <f>SUM(F9:F12)</f>
        <v>0</v>
      </c>
      <c r="G13" s="17">
        <f>SUM(G9:G12)</f>
        <v>889</v>
      </c>
      <c r="H13" s="222">
        <f>G13*10</f>
        <v>8890</v>
      </c>
    </row>
    <row r="15" spans="2:8" ht="19.5">
      <c r="B15" s="210" t="s">
        <v>21</v>
      </c>
      <c r="C15" s="1256" t="s">
        <v>46</v>
      </c>
      <c r="D15" s="1257"/>
      <c r="E15" s="1257"/>
      <c r="F15" s="1257"/>
      <c r="G15" s="1257"/>
      <c r="H15" s="1258"/>
    </row>
    <row r="16" spans="2:8" ht="15" customHeight="1">
      <c r="B16" s="1251" t="s">
        <v>0</v>
      </c>
      <c r="C16" s="1251" t="s">
        <v>1</v>
      </c>
      <c r="D16" s="1253" t="s">
        <v>23</v>
      </c>
      <c r="E16" s="1252" t="s">
        <v>40</v>
      </c>
      <c r="F16" s="1253" t="s">
        <v>41</v>
      </c>
      <c r="G16" s="1253" t="s">
        <v>39</v>
      </c>
      <c r="H16" s="1253" t="s">
        <v>31</v>
      </c>
    </row>
    <row r="17" spans="2:8" s="203" customFormat="1">
      <c r="B17" s="1251"/>
      <c r="C17" s="1251"/>
      <c r="D17" s="1254"/>
      <c r="E17" s="1252"/>
      <c r="F17" s="1254"/>
      <c r="G17" s="1254"/>
      <c r="H17" s="1254"/>
    </row>
    <row r="18" spans="2:8" ht="20.100000000000001" customHeight="1">
      <c r="B18" s="245" t="s">
        <v>171</v>
      </c>
      <c r="C18" s="240" t="s">
        <v>16</v>
      </c>
      <c r="D18" s="240">
        <v>150</v>
      </c>
      <c r="E18" s="206">
        <v>314</v>
      </c>
      <c r="F18" s="206">
        <v>0</v>
      </c>
      <c r="G18" s="206">
        <v>314</v>
      </c>
      <c r="H18" s="222">
        <f t="shared" ref="H18:H22" si="1">G18*10</f>
        <v>3140</v>
      </c>
    </row>
    <row r="19" spans="2:8" ht="20.100000000000001" customHeight="1">
      <c r="B19" s="245" t="s">
        <v>63</v>
      </c>
      <c r="C19" s="240" t="s">
        <v>16</v>
      </c>
      <c r="D19" s="240">
        <v>150</v>
      </c>
      <c r="E19" s="206">
        <v>140</v>
      </c>
      <c r="F19" s="206">
        <v>10</v>
      </c>
      <c r="G19" s="206">
        <v>150</v>
      </c>
      <c r="H19" s="222">
        <f t="shared" si="1"/>
        <v>1500</v>
      </c>
    </row>
    <row r="20" spans="2:8" ht="20.100000000000001" customHeight="1">
      <c r="B20" s="245" t="s">
        <v>164</v>
      </c>
      <c r="C20" s="240" t="s">
        <v>71</v>
      </c>
      <c r="D20" s="240">
        <v>150</v>
      </c>
      <c r="E20" s="206">
        <v>242</v>
      </c>
      <c r="F20" s="206">
        <v>0</v>
      </c>
      <c r="G20" s="206">
        <v>242</v>
      </c>
      <c r="H20" s="222">
        <f>G20*10</f>
        <v>2420</v>
      </c>
    </row>
    <row r="21" spans="2:8" ht="20.100000000000001" customHeight="1">
      <c r="B21" s="245" t="s">
        <v>65</v>
      </c>
      <c r="C21" s="240" t="s">
        <v>26</v>
      </c>
      <c r="D21" s="240">
        <v>150</v>
      </c>
      <c r="E21" s="206">
        <v>212</v>
      </c>
      <c r="F21" s="206">
        <v>0</v>
      </c>
      <c r="G21" s="206">
        <v>212</v>
      </c>
      <c r="H21" s="222">
        <f t="shared" si="1"/>
        <v>2120</v>
      </c>
    </row>
    <row r="22" spans="2:8" ht="20.100000000000001" customHeight="1">
      <c r="B22" s="246" t="s">
        <v>44</v>
      </c>
      <c r="C22" s="240" t="s">
        <v>26</v>
      </c>
      <c r="D22" s="240">
        <v>150</v>
      </c>
      <c r="E22" s="206">
        <v>214</v>
      </c>
      <c r="F22" s="12">
        <v>0</v>
      </c>
      <c r="G22" s="206">
        <v>214</v>
      </c>
      <c r="H22" s="222">
        <f t="shared" si="1"/>
        <v>2140</v>
      </c>
    </row>
    <row r="23" spans="2:8" ht="20.100000000000001" customHeight="1">
      <c r="B23" s="1259" t="s">
        <v>24</v>
      </c>
      <c r="C23" s="1259"/>
      <c r="D23" s="240">
        <f>SUM(D18:D22)</f>
        <v>750</v>
      </c>
      <c r="E23" s="206">
        <f>SUM(E18:E22)</f>
        <v>1122</v>
      </c>
      <c r="F23" s="206">
        <f>SUM(F18:F22)</f>
        <v>10</v>
      </c>
      <c r="G23" s="206">
        <f>SUM(G18:G22)</f>
        <v>1132</v>
      </c>
      <c r="H23" s="222">
        <f>G23*10</f>
        <v>11320</v>
      </c>
    </row>
    <row r="24" spans="2:8">
      <c r="B24" s="212"/>
      <c r="C24" s="212"/>
      <c r="D24" s="213"/>
      <c r="E24" s="213"/>
      <c r="F24" s="213"/>
      <c r="G24" s="213"/>
      <c r="H24" s="213"/>
    </row>
    <row r="25" spans="2:8" ht="19.5">
      <c r="B25" s="214" t="s">
        <v>28</v>
      </c>
      <c r="C25" s="1264" t="s">
        <v>29</v>
      </c>
      <c r="D25" s="1265"/>
      <c r="E25" s="1265"/>
      <c r="F25" s="1265"/>
      <c r="G25" s="1265"/>
      <c r="H25" s="1266"/>
    </row>
    <row r="26" spans="2:8" ht="15" customHeight="1">
      <c r="B26" s="1251" t="s">
        <v>0</v>
      </c>
      <c r="C26" s="1251" t="s">
        <v>1</v>
      </c>
      <c r="D26" s="1253" t="s">
        <v>23</v>
      </c>
      <c r="E26" s="1252" t="s">
        <v>40</v>
      </c>
      <c r="F26" s="1253" t="s">
        <v>41</v>
      </c>
      <c r="G26" s="1253" t="s">
        <v>39</v>
      </c>
      <c r="H26" s="1253" t="s">
        <v>31</v>
      </c>
    </row>
    <row r="27" spans="2:8">
      <c r="B27" s="1251"/>
      <c r="C27" s="1251"/>
      <c r="D27" s="1254"/>
      <c r="E27" s="1252"/>
      <c r="F27" s="1254"/>
      <c r="G27" s="1254"/>
      <c r="H27" s="1254"/>
    </row>
    <row r="28" spans="2:8">
      <c r="B28" s="247" t="s">
        <v>65</v>
      </c>
      <c r="C28" s="240" t="s">
        <v>26</v>
      </c>
      <c r="D28" s="240">
        <v>100</v>
      </c>
      <c r="E28" s="206">
        <v>150</v>
      </c>
      <c r="F28" s="206">
        <v>0</v>
      </c>
      <c r="G28" s="206">
        <v>150</v>
      </c>
      <c r="H28" s="222">
        <f>G28*10</f>
        <v>1500</v>
      </c>
    </row>
    <row r="29" spans="2:8">
      <c r="B29" s="248" t="s">
        <v>44</v>
      </c>
      <c r="C29" s="240" t="s">
        <v>26</v>
      </c>
      <c r="D29" s="240">
        <v>100</v>
      </c>
      <c r="E29" s="206">
        <v>187</v>
      </c>
      <c r="F29" s="206">
        <v>0</v>
      </c>
      <c r="G29" s="206">
        <v>187</v>
      </c>
      <c r="H29" s="222">
        <f>G29*10</f>
        <v>1870</v>
      </c>
    </row>
    <row r="30" spans="2:8" ht="20.100000000000001" customHeight="1">
      <c r="B30" s="1259" t="s">
        <v>24</v>
      </c>
      <c r="C30" s="1259"/>
      <c r="D30" s="240">
        <f>SUM(D28:D29)</f>
        <v>200</v>
      </c>
      <c r="E30" s="206">
        <f>SUM(E28:E29)</f>
        <v>337</v>
      </c>
      <c r="F30" s="206">
        <f>SUM(F28:F29)</f>
        <v>0</v>
      </c>
      <c r="G30" s="206">
        <f>SUM(G28:G29)</f>
        <v>337</v>
      </c>
      <c r="H30" s="222">
        <f>G30*10</f>
        <v>3370</v>
      </c>
    </row>
    <row r="32" spans="2:8" ht="19.5">
      <c r="B32" s="207" t="s">
        <v>5</v>
      </c>
      <c r="C32" s="215"/>
      <c r="E32" s="1271" t="s">
        <v>32</v>
      </c>
      <c r="F32" s="1272"/>
      <c r="G32" s="1272"/>
      <c r="H32" s="1273"/>
    </row>
    <row r="33" spans="2:8">
      <c r="B33" s="216" t="s">
        <v>4</v>
      </c>
      <c r="C33" s="217"/>
      <c r="E33" s="218"/>
      <c r="F33" s="220" t="s">
        <v>34</v>
      </c>
      <c r="G33" s="220" t="s">
        <v>35</v>
      </c>
      <c r="H33" s="220" t="s">
        <v>37</v>
      </c>
    </row>
    <row r="34" spans="2:8">
      <c r="B34" s="216" t="s">
        <v>33</v>
      </c>
      <c r="C34" s="217"/>
      <c r="E34" s="221" t="s">
        <v>39</v>
      </c>
      <c r="F34" s="223">
        <f>G13</f>
        <v>889</v>
      </c>
      <c r="G34" s="224">
        <f>G23</f>
        <v>1132</v>
      </c>
      <c r="H34" s="224">
        <f>G30</f>
        <v>337</v>
      </c>
    </row>
    <row r="35" spans="2:8">
      <c r="B35" s="216" t="s">
        <v>25</v>
      </c>
      <c r="C35" s="217"/>
      <c r="E35" s="221" t="s">
        <v>36</v>
      </c>
      <c r="F35" s="219">
        <f>F34*10</f>
        <v>8890</v>
      </c>
      <c r="G35" s="219">
        <f>G34*10</f>
        <v>11320</v>
      </c>
      <c r="H35" s="219">
        <f>H34*10</f>
        <v>3370</v>
      </c>
    </row>
    <row r="36" spans="2:8" ht="19.5">
      <c r="E36" s="210" t="s">
        <v>38</v>
      </c>
      <c r="F36" s="1274">
        <f>SUM(F35:H35)</f>
        <v>23580</v>
      </c>
      <c r="G36" s="1275"/>
      <c r="H36" s="1276"/>
    </row>
  </sheetData>
  <sheetProtection algorithmName="SHA-512" hashValue="1yY/w5OHYePHq9k0th0dQ2xyPWadUM0jfgsCAKx4ppepfiNc6SsTTUSPfz7ZlCkwJrkYqdGZFcQKPrvsIcGm1A==" saltValue="FWdqeMezVHCmaj2Y8MfmMg==" spinCount="100000" sheet="1" objects="1" scenarios="1"/>
  <mergeCells count="30">
    <mergeCell ref="G2:H2"/>
    <mergeCell ref="C6:H6"/>
    <mergeCell ref="B7:B8"/>
    <mergeCell ref="C7:C8"/>
    <mergeCell ref="D7:D8"/>
    <mergeCell ref="E7:E8"/>
    <mergeCell ref="F7:F8"/>
    <mergeCell ref="G7:G8"/>
    <mergeCell ref="H7:H8"/>
    <mergeCell ref="B13:C13"/>
    <mergeCell ref="C15:H15"/>
    <mergeCell ref="B16:B17"/>
    <mergeCell ref="C16:C17"/>
    <mergeCell ref="D16:D17"/>
    <mergeCell ref="E16:E17"/>
    <mergeCell ref="F16:F17"/>
    <mergeCell ref="G16:G17"/>
    <mergeCell ref="H16:H17"/>
    <mergeCell ref="B30:C30"/>
    <mergeCell ref="E32:H32"/>
    <mergeCell ref="F36:H36"/>
    <mergeCell ref="B23:C23"/>
    <mergeCell ref="C25:H25"/>
    <mergeCell ref="B26:B27"/>
    <mergeCell ref="C26:C27"/>
    <mergeCell ref="D26:D27"/>
    <mergeCell ref="E26:E27"/>
    <mergeCell ref="F26:F27"/>
    <mergeCell ref="G26:G27"/>
    <mergeCell ref="H26:H27"/>
  </mergeCells>
  <pageMargins left="0.7" right="0.7" top="0.75" bottom="0.75" header="0.3" footer="0.3"/>
  <pageSetup scale="76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11329-F691-4B79-89C7-2B999CD9FA6A}">
  <sheetPr codeName="Sheet117">
    <pageSetUpPr fitToPage="1"/>
  </sheetPr>
  <dimension ref="B2:H36"/>
  <sheetViews>
    <sheetView workbookViewId="0"/>
  </sheetViews>
  <sheetFormatPr defaultColWidth="9.140625" defaultRowHeight="15"/>
  <cols>
    <col min="1" max="1" width="9.140625" style="202"/>
    <col min="2" max="2" width="21.5703125" style="202" customWidth="1"/>
    <col min="3" max="3" width="24.28515625" style="202" bestFit="1" customWidth="1"/>
    <col min="4" max="8" width="15.7109375" style="202" customWidth="1"/>
    <col min="9" max="16384" width="9.140625" style="202"/>
  </cols>
  <sheetData>
    <row r="2" spans="2:8" ht="19.5">
      <c r="B2" s="208" t="s">
        <v>13</v>
      </c>
      <c r="C2" s="204"/>
      <c r="D2" s="204"/>
      <c r="F2" s="211" t="s">
        <v>27</v>
      </c>
      <c r="G2" s="1247">
        <v>44487</v>
      </c>
      <c r="H2" s="1247"/>
    </row>
    <row r="3" spans="2:8">
      <c r="B3" s="204"/>
      <c r="C3" s="204"/>
      <c r="D3" s="204"/>
    </row>
    <row r="4" spans="2:8">
      <c r="B4" s="204"/>
      <c r="C4" s="204"/>
      <c r="D4" s="204"/>
    </row>
    <row r="5" spans="2:8">
      <c r="B5" s="204"/>
      <c r="C5" s="204"/>
      <c r="D5" s="204"/>
    </row>
    <row r="6" spans="2:8" ht="19.5">
      <c r="B6" s="209" t="s">
        <v>42</v>
      </c>
      <c r="C6" s="1248" t="s">
        <v>74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203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240" t="s">
        <v>53</v>
      </c>
      <c r="C9" s="240" t="s">
        <v>16</v>
      </c>
      <c r="D9" s="240">
        <v>150</v>
      </c>
      <c r="E9" s="12">
        <v>254</v>
      </c>
      <c r="F9" s="12">
        <v>0</v>
      </c>
      <c r="G9" s="12">
        <v>254</v>
      </c>
      <c r="H9" s="222">
        <f t="shared" ref="H9:H11" si="0">G9*10</f>
        <v>2540</v>
      </c>
    </row>
    <row r="10" spans="2:8" ht="20.100000000000001" customHeight="1">
      <c r="B10" s="31" t="s">
        <v>63</v>
      </c>
      <c r="C10" s="240" t="s">
        <v>16</v>
      </c>
      <c r="D10" s="240">
        <v>150</v>
      </c>
      <c r="E10" s="206">
        <v>213</v>
      </c>
      <c r="F10" s="206">
        <v>0</v>
      </c>
      <c r="G10" s="206">
        <v>213</v>
      </c>
      <c r="H10" s="222">
        <f t="shared" si="0"/>
        <v>2130</v>
      </c>
    </row>
    <row r="11" spans="2:8" ht="20.100000000000001" customHeight="1">
      <c r="B11" s="240" t="s">
        <v>70</v>
      </c>
      <c r="C11" s="240" t="s">
        <v>26</v>
      </c>
      <c r="D11" s="240">
        <v>150</v>
      </c>
      <c r="E11" s="206">
        <v>350</v>
      </c>
      <c r="F11" s="206">
        <v>0</v>
      </c>
      <c r="G11" s="206">
        <v>350</v>
      </c>
      <c r="H11" s="222">
        <f t="shared" si="0"/>
        <v>3500</v>
      </c>
    </row>
    <row r="12" spans="2:8" ht="20.100000000000001" customHeight="1">
      <c r="B12" s="240" t="s">
        <v>184</v>
      </c>
      <c r="C12" s="240" t="s">
        <v>26</v>
      </c>
      <c r="D12" s="240">
        <v>150</v>
      </c>
      <c r="E12" s="206">
        <v>205</v>
      </c>
      <c r="F12" s="206">
        <v>0</v>
      </c>
      <c r="G12" s="206">
        <v>205</v>
      </c>
      <c r="H12" s="222">
        <f>G12*10</f>
        <v>2050</v>
      </c>
    </row>
    <row r="13" spans="2:8" ht="20.100000000000001" customHeight="1">
      <c r="B13" s="1259" t="s">
        <v>24</v>
      </c>
      <c r="C13" s="1259"/>
      <c r="D13" s="240">
        <f>SUM(D9:D12)</f>
        <v>600</v>
      </c>
      <c r="E13" s="206">
        <f>SUM(E9:E12)</f>
        <v>1022</v>
      </c>
      <c r="F13" s="206">
        <f>SUM(F9:F12)</f>
        <v>0</v>
      </c>
      <c r="G13" s="17">
        <f>SUM(G9:G12)</f>
        <v>1022</v>
      </c>
      <c r="H13" s="222">
        <f>G13*10</f>
        <v>10220</v>
      </c>
    </row>
    <row r="15" spans="2:8" ht="19.5">
      <c r="B15" s="210" t="s">
        <v>21</v>
      </c>
      <c r="C15" s="1256" t="s">
        <v>46</v>
      </c>
      <c r="D15" s="1257"/>
      <c r="E15" s="1257"/>
      <c r="F15" s="1257"/>
      <c r="G15" s="1257"/>
      <c r="H15" s="1258"/>
    </row>
    <row r="16" spans="2:8" ht="15" customHeight="1">
      <c r="B16" s="1251" t="s">
        <v>0</v>
      </c>
      <c r="C16" s="1251" t="s">
        <v>1</v>
      </c>
      <c r="D16" s="1253" t="s">
        <v>23</v>
      </c>
      <c r="E16" s="1252" t="s">
        <v>40</v>
      </c>
      <c r="F16" s="1253" t="s">
        <v>41</v>
      </c>
      <c r="G16" s="1253" t="s">
        <v>39</v>
      </c>
      <c r="H16" s="1253" t="s">
        <v>31</v>
      </c>
    </row>
    <row r="17" spans="2:8" s="203" customFormat="1">
      <c r="B17" s="1251"/>
      <c r="C17" s="1251"/>
      <c r="D17" s="1254"/>
      <c r="E17" s="1252"/>
      <c r="F17" s="1254"/>
      <c r="G17" s="1254"/>
      <c r="H17" s="1254"/>
    </row>
    <row r="18" spans="2:8" ht="20.100000000000001" customHeight="1">
      <c r="B18" s="240" t="s">
        <v>184</v>
      </c>
      <c r="C18" s="240" t="s">
        <v>16</v>
      </c>
      <c r="D18" s="240">
        <v>150</v>
      </c>
      <c r="E18" s="206">
        <v>180</v>
      </c>
      <c r="F18" s="206">
        <v>0</v>
      </c>
      <c r="G18" s="206">
        <v>180</v>
      </c>
      <c r="H18" s="222">
        <f t="shared" ref="H18:H22" si="1">G18*10</f>
        <v>1800</v>
      </c>
    </row>
    <row r="19" spans="2:8" ht="20.100000000000001" customHeight="1">
      <c r="B19" s="31" t="s">
        <v>63</v>
      </c>
      <c r="C19" s="240" t="s">
        <v>16</v>
      </c>
      <c r="D19" s="240">
        <v>150</v>
      </c>
      <c r="E19" s="206">
        <v>143</v>
      </c>
      <c r="F19" s="206">
        <v>7</v>
      </c>
      <c r="G19" s="206">
        <v>150</v>
      </c>
      <c r="H19" s="222">
        <f t="shared" si="1"/>
        <v>1500</v>
      </c>
    </row>
    <row r="20" spans="2:8" ht="20.100000000000001" customHeight="1">
      <c r="B20" s="240" t="s">
        <v>12</v>
      </c>
      <c r="C20" s="240" t="s">
        <v>71</v>
      </c>
      <c r="D20" s="240">
        <v>150</v>
      </c>
      <c r="E20" s="206">
        <v>80</v>
      </c>
      <c r="F20" s="206">
        <v>0</v>
      </c>
      <c r="G20" s="206">
        <v>80</v>
      </c>
      <c r="H20" s="222">
        <f>G20*10</f>
        <v>800</v>
      </c>
    </row>
    <row r="21" spans="2:8" ht="20.100000000000001" customHeight="1">
      <c r="B21" s="240" t="s">
        <v>164</v>
      </c>
      <c r="C21" s="240" t="s">
        <v>26</v>
      </c>
      <c r="D21" s="240">
        <v>150</v>
      </c>
      <c r="E21" s="206">
        <v>253</v>
      </c>
      <c r="F21" s="206">
        <v>0</v>
      </c>
      <c r="G21" s="206">
        <v>253</v>
      </c>
      <c r="H21" s="222">
        <f t="shared" si="1"/>
        <v>2530</v>
      </c>
    </row>
    <row r="22" spans="2:8" ht="20.100000000000001" customHeight="1">
      <c r="B22" s="240" t="s">
        <v>70</v>
      </c>
      <c r="C22" s="240" t="s">
        <v>26</v>
      </c>
      <c r="D22" s="240">
        <v>150</v>
      </c>
      <c r="E22" s="206">
        <v>225</v>
      </c>
      <c r="F22" s="12">
        <v>0</v>
      </c>
      <c r="G22" s="206">
        <v>225</v>
      </c>
      <c r="H22" s="222">
        <f t="shared" si="1"/>
        <v>2250</v>
      </c>
    </row>
    <row r="23" spans="2:8" ht="20.100000000000001" customHeight="1">
      <c r="B23" s="1259" t="s">
        <v>24</v>
      </c>
      <c r="C23" s="1259"/>
      <c r="D23" s="240">
        <f>SUM(D18:D22)</f>
        <v>750</v>
      </c>
      <c r="E23" s="206">
        <f>SUM(E18:E22)</f>
        <v>881</v>
      </c>
      <c r="F23" s="206">
        <f>SUM(F18:F22)</f>
        <v>7</v>
      </c>
      <c r="G23" s="206">
        <f>SUM(G18:G22)</f>
        <v>888</v>
      </c>
      <c r="H23" s="222">
        <f>G23*10</f>
        <v>8880</v>
      </c>
    </row>
    <row r="24" spans="2:8">
      <c r="B24" s="212"/>
      <c r="C24" s="212"/>
      <c r="D24" s="213"/>
      <c r="E24" s="213"/>
      <c r="F24" s="213"/>
      <c r="G24" s="213"/>
      <c r="H24" s="213"/>
    </row>
    <row r="25" spans="2:8" ht="19.5">
      <c r="B25" s="214" t="s">
        <v>28</v>
      </c>
      <c r="C25" s="1264" t="s">
        <v>29</v>
      </c>
      <c r="D25" s="1265"/>
      <c r="E25" s="1265"/>
      <c r="F25" s="1265"/>
      <c r="G25" s="1265"/>
      <c r="H25" s="1266"/>
    </row>
    <row r="26" spans="2:8" ht="15" customHeight="1">
      <c r="B26" s="1251" t="s">
        <v>0</v>
      </c>
      <c r="C26" s="1251" t="s">
        <v>1</v>
      </c>
      <c r="D26" s="1253" t="s">
        <v>23</v>
      </c>
      <c r="E26" s="1252" t="s">
        <v>40</v>
      </c>
      <c r="F26" s="1253" t="s">
        <v>41</v>
      </c>
      <c r="G26" s="1253" t="s">
        <v>39</v>
      </c>
      <c r="H26" s="1253" t="s">
        <v>31</v>
      </c>
    </row>
    <row r="27" spans="2:8">
      <c r="B27" s="1251"/>
      <c r="C27" s="1251"/>
      <c r="D27" s="1254"/>
      <c r="E27" s="1252"/>
      <c r="F27" s="1254"/>
      <c r="G27" s="1254"/>
      <c r="H27" s="1254"/>
    </row>
    <row r="28" spans="2:8">
      <c r="B28" s="240" t="s">
        <v>164</v>
      </c>
      <c r="C28" s="240" t="s">
        <v>26</v>
      </c>
      <c r="D28" s="240">
        <v>100</v>
      </c>
      <c r="E28" s="206">
        <v>203</v>
      </c>
      <c r="F28" s="206">
        <v>0</v>
      </c>
      <c r="G28" s="206">
        <v>203</v>
      </c>
      <c r="H28" s="222">
        <f>G28*10</f>
        <v>2030</v>
      </c>
    </row>
    <row r="29" spans="2:8">
      <c r="B29" s="240" t="s">
        <v>70</v>
      </c>
      <c r="C29" s="240" t="s">
        <v>26</v>
      </c>
      <c r="D29" s="240">
        <v>100</v>
      </c>
      <c r="E29" s="206">
        <v>373</v>
      </c>
      <c r="F29" s="206">
        <v>0</v>
      </c>
      <c r="G29" s="206">
        <v>373</v>
      </c>
      <c r="H29" s="222">
        <f>G29*10</f>
        <v>3730</v>
      </c>
    </row>
    <row r="30" spans="2:8" ht="20.100000000000001" customHeight="1">
      <c r="B30" s="1259" t="s">
        <v>24</v>
      </c>
      <c r="C30" s="1259"/>
      <c r="D30" s="240">
        <f>SUM(D28:D29)</f>
        <v>200</v>
      </c>
      <c r="E30" s="206">
        <f>SUM(E28:E29)</f>
        <v>576</v>
      </c>
      <c r="F30" s="206">
        <f>SUM(F28:F29)</f>
        <v>0</v>
      </c>
      <c r="G30" s="206">
        <f>SUM(G28:G29)</f>
        <v>576</v>
      </c>
      <c r="H30" s="222">
        <f>G30*10</f>
        <v>5760</v>
      </c>
    </row>
    <row r="32" spans="2:8" ht="19.5">
      <c r="B32" s="207" t="s">
        <v>5</v>
      </c>
      <c r="C32" s="215"/>
      <c r="E32" s="1271" t="s">
        <v>32</v>
      </c>
      <c r="F32" s="1272"/>
      <c r="G32" s="1272"/>
      <c r="H32" s="1273"/>
    </row>
    <row r="33" spans="2:8">
      <c r="B33" s="216" t="s">
        <v>4</v>
      </c>
      <c r="C33" s="217"/>
      <c r="E33" s="218"/>
      <c r="F33" s="220" t="s">
        <v>34</v>
      </c>
      <c r="G33" s="220" t="s">
        <v>35</v>
      </c>
      <c r="H33" s="220" t="s">
        <v>37</v>
      </c>
    </row>
    <row r="34" spans="2:8">
      <c r="B34" s="216" t="s">
        <v>33</v>
      </c>
      <c r="C34" s="217"/>
      <c r="E34" s="221" t="s">
        <v>39</v>
      </c>
      <c r="F34" s="223">
        <f>G13</f>
        <v>1022</v>
      </c>
      <c r="G34" s="224">
        <f>G23</f>
        <v>888</v>
      </c>
      <c r="H34" s="224">
        <f>G30</f>
        <v>576</v>
      </c>
    </row>
    <row r="35" spans="2:8">
      <c r="B35" s="216" t="s">
        <v>25</v>
      </c>
      <c r="C35" s="217"/>
      <c r="E35" s="221" t="s">
        <v>36</v>
      </c>
      <c r="F35" s="219">
        <f>F34*10</f>
        <v>10220</v>
      </c>
      <c r="G35" s="219">
        <f>G34*10</f>
        <v>8880</v>
      </c>
      <c r="H35" s="219">
        <f>H34*10</f>
        <v>5760</v>
      </c>
    </row>
    <row r="36" spans="2:8" ht="19.5">
      <c r="E36" s="210" t="s">
        <v>38</v>
      </c>
      <c r="F36" s="1274">
        <f>SUM(F35:H35)</f>
        <v>24860</v>
      </c>
      <c r="G36" s="1275"/>
      <c r="H36" s="1276"/>
    </row>
  </sheetData>
  <sheetProtection algorithmName="SHA-512" hashValue="6xdZM2OLAfMLWfGX4BvPHRfMNPS9JNBaJvv9MdYgMtmtKlKtxrPpuRRH8dFXjAhZpXgUCUl0j/Z3BMRHwk2osw==" saltValue="Z34anY9q5B1CzNbvAihTIQ==" spinCount="100000" sheet="1" objects="1" scenarios="1"/>
  <mergeCells count="30">
    <mergeCell ref="B30:C30"/>
    <mergeCell ref="E32:H32"/>
    <mergeCell ref="F36:H36"/>
    <mergeCell ref="B23:C23"/>
    <mergeCell ref="C25:H25"/>
    <mergeCell ref="B26:B27"/>
    <mergeCell ref="C26:C27"/>
    <mergeCell ref="D26:D27"/>
    <mergeCell ref="E26:E27"/>
    <mergeCell ref="F26:F27"/>
    <mergeCell ref="G26:G27"/>
    <mergeCell ref="H26:H27"/>
    <mergeCell ref="B13:C13"/>
    <mergeCell ref="C15:H15"/>
    <mergeCell ref="B16:B17"/>
    <mergeCell ref="C16:C17"/>
    <mergeCell ref="D16:D17"/>
    <mergeCell ref="E16:E17"/>
    <mergeCell ref="F16:F17"/>
    <mergeCell ref="G16:G17"/>
    <mergeCell ref="H16:H17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76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71EED-BEEC-4EE8-BEF8-1DD9E744BAFF}">
  <sheetPr codeName="Sheet118">
    <pageSetUpPr fitToPage="1"/>
  </sheetPr>
  <dimension ref="B2:H35"/>
  <sheetViews>
    <sheetView workbookViewId="0"/>
  </sheetViews>
  <sheetFormatPr defaultColWidth="9.140625" defaultRowHeight="15"/>
  <cols>
    <col min="1" max="1" width="9.140625" style="202"/>
    <col min="2" max="2" width="21.5703125" style="202" customWidth="1"/>
    <col min="3" max="3" width="24.28515625" style="202" bestFit="1" customWidth="1"/>
    <col min="4" max="8" width="15.7109375" style="202" customWidth="1"/>
    <col min="9" max="16384" width="9.140625" style="202"/>
  </cols>
  <sheetData>
    <row r="2" spans="2:8" ht="19.5">
      <c r="B2" s="208" t="s">
        <v>13</v>
      </c>
      <c r="C2" s="204"/>
      <c r="D2" s="204"/>
      <c r="F2" s="211" t="s">
        <v>27</v>
      </c>
      <c r="G2" s="1247">
        <v>44486</v>
      </c>
      <c r="H2" s="1247"/>
    </row>
    <row r="3" spans="2:8">
      <c r="B3" s="204"/>
      <c r="C3" s="204"/>
      <c r="D3" s="204"/>
    </row>
    <row r="4" spans="2:8">
      <c r="B4" s="204"/>
      <c r="C4" s="204"/>
      <c r="D4" s="204"/>
    </row>
    <row r="5" spans="2:8">
      <c r="B5" s="204"/>
      <c r="C5" s="204"/>
      <c r="D5" s="204"/>
    </row>
    <row r="6" spans="2:8" ht="19.5">
      <c r="B6" s="209" t="s">
        <v>42</v>
      </c>
      <c r="C6" s="1248" t="s">
        <v>61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203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226"/>
      <c r="C9" s="226"/>
      <c r="D9" s="226">
        <v>150</v>
      </c>
      <c r="E9" s="227"/>
      <c r="F9" s="227"/>
      <c r="G9" s="227"/>
      <c r="H9" s="225">
        <f t="shared" ref="H9:H13" si="0">G9*10</f>
        <v>0</v>
      </c>
    </row>
    <row r="10" spans="2:8" ht="20.100000000000001" customHeight="1">
      <c r="B10" s="226"/>
      <c r="C10" s="226"/>
      <c r="D10" s="226">
        <v>150</v>
      </c>
      <c r="E10" s="227"/>
      <c r="F10" s="227"/>
      <c r="G10" s="227"/>
      <c r="H10" s="225">
        <f t="shared" si="0"/>
        <v>0</v>
      </c>
    </row>
    <row r="11" spans="2:8" ht="20.100000000000001" customHeight="1">
      <c r="B11" s="226"/>
      <c r="C11" s="226"/>
      <c r="D11" s="226">
        <v>150</v>
      </c>
      <c r="E11" s="227"/>
      <c r="F11" s="227"/>
      <c r="G11" s="227"/>
      <c r="H11" s="225">
        <f t="shared" si="0"/>
        <v>0</v>
      </c>
    </row>
    <row r="12" spans="2:8" ht="20.100000000000001" customHeight="1">
      <c r="B12" s="226"/>
      <c r="C12" s="226"/>
      <c r="D12" s="226">
        <v>150</v>
      </c>
      <c r="E12" s="227"/>
      <c r="F12" s="227"/>
      <c r="G12" s="227"/>
      <c r="H12" s="225">
        <f t="shared" si="0"/>
        <v>0</v>
      </c>
    </row>
    <row r="13" spans="2:8" ht="20.100000000000001" customHeight="1">
      <c r="B13" s="226"/>
      <c r="C13" s="226"/>
      <c r="D13" s="226">
        <v>150</v>
      </c>
      <c r="E13" s="227"/>
      <c r="F13" s="227"/>
      <c r="G13" s="227"/>
      <c r="H13" s="225">
        <f t="shared" si="0"/>
        <v>0</v>
      </c>
    </row>
    <row r="14" spans="2:8" ht="20.100000000000001" customHeight="1">
      <c r="B14" s="1279" t="s">
        <v>24</v>
      </c>
      <c r="C14" s="1279"/>
      <c r="D14" s="226">
        <f>SUM(D9:D13)</f>
        <v>750</v>
      </c>
      <c r="E14" s="227">
        <f>SUM(E9:E13)</f>
        <v>0</v>
      </c>
      <c r="F14" s="227">
        <f>SUM(F9:F13)</f>
        <v>0</v>
      </c>
      <c r="G14" s="228">
        <f>SUM(G9:G13)</f>
        <v>0</v>
      </c>
      <c r="H14" s="225">
        <f>G14*10</f>
        <v>0</v>
      </c>
    </row>
    <row r="16" spans="2:8" ht="19.5">
      <c r="B16" s="210" t="s">
        <v>21</v>
      </c>
      <c r="C16" s="1256" t="s">
        <v>182</v>
      </c>
      <c r="D16" s="1257"/>
      <c r="E16" s="1257"/>
      <c r="F16" s="1257"/>
      <c r="G16" s="1257"/>
      <c r="H16" s="1258"/>
    </row>
    <row r="17" spans="2:8" ht="15" customHeight="1">
      <c r="B17" s="1251" t="s">
        <v>0</v>
      </c>
      <c r="C17" s="1251" t="s">
        <v>1</v>
      </c>
      <c r="D17" s="1253" t="s">
        <v>23</v>
      </c>
      <c r="E17" s="1252" t="s">
        <v>40</v>
      </c>
      <c r="F17" s="1253" t="s">
        <v>41</v>
      </c>
      <c r="G17" s="1253" t="s">
        <v>39</v>
      </c>
      <c r="H17" s="1253" t="s">
        <v>31</v>
      </c>
    </row>
    <row r="18" spans="2:8" s="203" customFormat="1">
      <c r="B18" s="1251"/>
      <c r="C18" s="1251"/>
      <c r="D18" s="1254"/>
      <c r="E18" s="1252"/>
      <c r="F18" s="1254"/>
      <c r="G18" s="1254"/>
      <c r="H18" s="1254"/>
    </row>
    <row r="19" spans="2:8">
      <c r="B19" s="240" t="s">
        <v>63</v>
      </c>
      <c r="C19" s="240" t="s">
        <v>26</v>
      </c>
      <c r="D19" s="240">
        <v>150</v>
      </c>
      <c r="E19" s="206">
        <v>240</v>
      </c>
      <c r="F19" s="206">
        <v>0</v>
      </c>
      <c r="G19" s="206">
        <v>240</v>
      </c>
      <c r="H19" s="222">
        <f>G19*10</f>
        <v>2400</v>
      </c>
    </row>
    <row r="20" spans="2:8">
      <c r="B20" s="240" t="s">
        <v>159</v>
      </c>
      <c r="C20" s="240" t="s">
        <v>26</v>
      </c>
      <c r="D20" s="240">
        <v>150</v>
      </c>
      <c r="E20" s="206">
        <v>245</v>
      </c>
      <c r="F20" s="206">
        <v>0</v>
      </c>
      <c r="G20" s="206">
        <v>245</v>
      </c>
      <c r="H20" s="222">
        <f>G20*10</f>
        <v>2450</v>
      </c>
    </row>
    <row r="21" spans="2:8" ht="20.100000000000001" customHeight="1">
      <c r="B21" s="1259" t="s">
        <v>24</v>
      </c>
      <c r="C21" s="1259"/>
      <c r="D21" s="240">
        <f>SUM(D19:D20)</f>
        <v>300</v>
      </c>
      <c r="E21" s="206">
        <f>SUM(E19:E20)</f>
        <v>485</v>
      </c>
      <c r="F21" s="206">
        <f>SUM(F19:F20)</f>
        <v>0</v>
      </c>
      <c r="G21" s="206">
        <f>SUM(G19:G20)</f>
        <v>485</v>
      </c>
      <c r="H21" s="222">
        <f>G21*10</f>
        <v>4850</v>
      </c>
    </row>
    <row r="22" spans="2:8">
      <c r="B22" s="212"/>
      <c r="C22" s="212"/>
      <c r="D22" s="213"/>
      <c r="E22" s="213"/>
      <c r="F22" s="213"/>
      <c r="G22" s="213"/>
      <c r="H22" s="213"/>
    </row>
    <row r="23" spans="2:8" ht="19.5">
      <c r="B23" s="214" t="s">
        <v>28</v>
      </c>
      <c r="C23" s="1264" t="s">
        <v>29</v>
      </c>
      <c r="D23" s="1265"/>
      <c r="E23" s="1265"/>
      <c r="F23" s="1265"/>
      <c r="G23" s="1265"/>
      <c r="H23" s="1266"/>
    </row>
    <row r="24" spans="2:8" ht="15" customHeight="1">
      <c r="B24" s="1251" t="s">
        <v>0</v>
      </c>
      <c r="C24" s="1251" t="s">
        <v>1</v>
      </c>
      <c r="D24" s="1253" t="s">
        <v>23</v>
      </c>
      <c r="E24" s="1252" t="s">
        <v>40</v>
      </c>
      <c r="F24" s="1253" t="s">
        <v>41</v>
      </c>
      <c r="G24" s="1253" t="s">
        <v>39</v>
      </c>
      <c r="H24" s="1253" t="s">
        <v>31</v>
      </c>
    </row>
    <row r="25" spans="2:8">
      <c r="B25" s="1251"/>
      <c r="C25" s="1251"/>
      <c r="D25" s="1254"/>
      <c r="E25" s="1252"/>
      <c r="F25" s="1254"/>
      <c r="G25" s="1254"/>
      <c r="H25" s="1254"/>
    </row>
    <row r="26" spans="2:8">
      <c r="B26" s="240" t="s">
        <v>63</v>
      </c>
      <c r="C26" s="240" t="s">
        <v>26</v>
      </c>
      <c r="D26" s="240">
        <v>100</v>
      </c>
      <c r="E26" s="206">
        <v>196</v>
      </c>
      <c r="F26" s="206">
        <v>0</v>
      </c>
      <c r="G26" s="206">
        <v>196</v>
      </c>
      <c r="H26" s="222">
        <f>G26*10</f>
        <v>1960</v>
      </c>
    </row>
    <row r="27" spans="2:8">
      <c r="B27" s="240" t="s">
        <v>159</v>
      </c>
      <c r="C27" s="240" t="s">
        <v>26</v>
      </c>
      <c r="D27" s="240">
        <v>100</v>
      </c>
      <c r="E27" s="206">
        <v>191</v>
      </c>
      <c r="F27" s="206">
        <v>0</v>
      </c>
      <c r="G27" s="206">
        <v>191</v>
      </c>
      <c r="H27" s="222">
        <f>G27*10</f>
        <v>1910</v>
      </c>
    </row>
    <row r="28" spans="2:8">
      <c r="B28" s="232"/>
      <c r="C28" s="240"/>
      <c r="D28" s="240"/>
      <c r="E28" s="206"/>
      <c r="F28" s="206"/>
      <c r="G28" s="206"/>
      <c r="H28" s="222">
        <f>G28*10</f>
        <v>0</v>
      </c>
    </row>
    <row r="29" spans="2:8" ht="20.100000000000001" customHeight="1">
      <c r="B29" s="1259" t="s">
        <v>24</v>
      </c>
      <c r="C29" s="1259"/>
      <c r="D29" s="240">
        <f>SUM(D26:D28)</f>
        <v>200</v>
      </c>
      <c r="E29" s="206">
        <f>SUM(E26:E28)</f>
        <v>387</v>
      </c>
      <c r="F29" s="206">
        <f>SUM(F26:F28)</f>
        <v>0</v>
      </c>
      <c r="G29" s="206">
        <f>SUM(G26:G28)</f>
        <v>387</v>
      </c>
      <c r="H29" s="222">
        <f>G29*10</f>
        <v>3870</v>
      </c>
    </row>
    <row r="31" spans="2:8" ht="19.5">
      <c r="B31" s="207" t="s">
        <v>5</v>
      </c>
      <c r="C31" s="215"/>
      <c r="E31" s="1271" t="s">
        <v>32</v>
      </c>
      <c r="F31" s="1272"/>
      <c r="G31" s="1272"/>
      <c r="H31" s="1273"/>
    </row>
    <row r="32" spans="2:8">
      <c r="B32" s="216" t="s">
        <v>4</v>
      </c>
      <c r="C32" s="217"/>
      <c r="E32" s="218"/>
      <c r="F32" s="220" t="s">
        <v>34</v>
      </c>
      <c r="G32" s="220" t="s">
        <v>35</v>
      </c>
      <c r="H32" s="220" t="s">
        <v>37</v>
      </c>
    </row>
    <row r="33" spans="2:8">
      <c r="B33" s="216" t="s">
        <v>33</v>
      </c>
      <c r="C33" s="217"/>
      <c r="E33" s="221" t="s">
        <v>39</v>
      </c>
      <c r="F33" s="223">
        <f>G14</f>
        <v>0</v>
      </c>
      <c r="G33" s="224">
        <f>G21</f>
        <v>485</v>
      </c>
      <c r="H33" s="224">
        <f>G29</f>
        <v>387</v>
      </c>
    </row>
    <row r="34" spans="2:8">
      <c r="B34" s="216" t="s">
        <v>25</v>
      </c>
      <c r="C34" s="217"/>
      <c r="E34" s="221" t="s">
        <v>36</v>
      </c>
      <c r="F34" s="219">
        <f>F33*10</f>
        <v>0</v>
      </c>
      <c r="G34" s="219">
        <f>G33*10</f>
        <v>4850</v>
      </c>
      <c r="H34" s="219">
        <f>H33*10</f>
        <v>3870</v>
      </c>
    </row>
    <row r="35" spans="2:8" ht="19.5">
      <c r="E35" s="210" t="s">
        <v>38</v>
      </c>
      <c r="F35" s="1274">
        <f>SUM(F34:H34)</f>
        <v>8720</v>
      </c>
      <c r="G35" s="1275"/>
      <c r="H35" s="1276"/>
    </row>
  </sheetData>
  <sheetProtection algorithmName="SHA-512" hashValue="6lM82Evk5Dr5Mcw6HK5rXwWARcOgOedbP7aOpcM5rQraETsjzn6PAyBB8hcLR5QqQrczRkwbae3+pvRoTYkY9w==" saltValue="QDOoeyR8bm3BMgAB52Uqkw==" spinCount="100000" sheet="1" objects="1" scenarios="1"/>
  <mergeCells count="30">
    <mergeCell ref="B29:C29"/>
    <mergeCell ref="E31:H31"/>
    <mergeCell ref="F35:H35"/>
    <mergeCell ref="B21:C21"/>
    <mergeCell ref="C23:H23"/>
    <mergeCell ref="B24:B25"/>
    <mergeCell ref="C24:C25"/>
    <mergeCell ref="D24:D25"/>
    <mergeCell ref="E24:E25"/>
    <mergeCell ref="F24:F25"/>
    <mergeCell ref="G24:G25"/>
    <mergeCell ref="H24:H25"/>
    <mergeCell ref="B14:C14"/>
    <mergeCell ref="C16:H16"/>
    <mergeCell ref="B17:B18"/>
    <mergeCell ref="C17:C18"/>
    <mergeCell ref="D17:D18"/>
    <mergeCell ref="E17:E18"/>
    <mergeCell ref="F17:F18"/>
    <mergeCell ref="G17:G18"/>
    <mergeCell ref="H17:H18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76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FAFC1-7DB3-4495-9A52-BD89FC57F0CE}">
  <sheetPr codeName="Sheet119">
    <pageSetUpPr fitToPage="1"/>
  </sheetPr>
  <dimension ref="B2:H38"/>
  <sheetViews>
    <sheetView workbookViewId="0"/>
  </sheetViews>
  <sheetFormatPr defaultColWidth="9.140625" defaultRowHeight="15"/>
  <cols>
    <col min="1" max="1" width="9.140625" style="202"/>
    <col min="2" max="2" width="21.5703125" style="202" customWidth="1"/>
    <col min="3" max="3" width="24.28515625" style="202" bestFit="1" customWidth="1"/>
    <col min="4" max="8" width="15.7109375" style="202" customWidth="1"/>
    <col min="9" max="16384" width="9.140625" style="202"/>
  </cols>
  <sheetData>
    <row r="2" spans="2:8" ht="19.5">
      <c r="B2" s="208" t="s">
        <v>13</v>
      </c>
      <c r="C2" s="204"/>
      <c r="D2" s="204"/>
      <c r="F2" s="211" t="s">
        <v>27</v>
      </c>
      <c r="G2" s="1247">
        <v>44485</v>
      </c>
      <c r="H2" s="1247"/>
    </row>
    <row r="3" spans="2:8">
      <c r="B3" s="204"/>
      <c r="C3" s="204"/>
      <c r="D3" s="204"/>
    </row>
    <row r="4" spans="2:8">
      <c r="B4" s="204"/>
      <c r="C4" s="204"/>
      <c r="D4" s="204"/>
    </row>
    <row r="5" spans="2:8">
      <c r="B5" s="204"/>
      <c r="C5" s="204"/>
      <c r="D5" s="204"/>
    </row>
    <row r="6" spans="2:8" ht="19.5">
      <c r="B6" s="209" t="s">
        <v>42</v>
      </c>
      <c r="C6" s="1248" t="s">
        <v>61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203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226"/>
      <c r="C9" s="226"/>
      <c r="D9" s="226">
        <v>150</v>
      </c>
      <c r="E9" s="227"/>
      <c r="F9" s="227"/>
      <c r="G9" s="227"/>
      <c r="H9" s="225">
        <f t="shared" ref="H9:H13" si="0">G9*10</f>
        <v>0</v>
      </c>
    </row>
    <row r="10" spans="2:8" ht="20.100000000000001" customHeight="1">
      <c r="B10" s="226"/>
      <c r="C10" s="226"/>
      <c r="D10" s="226">
        <v>150</v>
      </c>
      <c r="E10" s="227"/>
      <c r="F10" s="227"/>
      <c r="G10" s="227"/>
      <c r="H10" s="225">
        <f t="shared" si="0"/>
        <v>0</v>
      </c>
    </row>
    <row r="11" spans="2:8" ht="20.100000000000001" customHeight="1">
      <c r="B11" s="226"/>
      <c r="C11" s="226"/>
      <c r="D11" s="226">
        <v>150</v>
      </c>
      <c r="E11" s="227"/>
      <c r="F11" s="227"/>
      <c r="G11" s="227"/>
      <c r="H11" s="225">
        <f t="shared" si="0"/>
        <v>0</v>
      </c>
    </row>
    <row r="12" spans="2:8" ht="20.100000000000001" customHeight="1">
      <c r="B12" s="226"/>
      <c r="C12" s="226"/>
      <c r="D12" s="226">
        <v>150</v>
      </c>
      <c r="E12" s="227"/>
      <c r="F12" s="227"/>
      <c r="G12" s="227"/>
      <c r="H12" s="225">
        <f t="shared" si="0"/>
        <v>0</v>
      </c>
    </row>
    <row r="13" spans="2:8" ht="20.100000000000001" customHeight="1">
      <c r="B13" s="226"/>
      <c r="C13" s="226"/>
      <c r="D13" s="226">
        <v>150</v>
      </c>
      <c r="E13" s="227"/>
      <c r="F13" s="227"/>
      <c r="G13" s="227"/>
      <c r="H13" s="225">
        <f t="shared" si="0"/>
        <v>0</v>
      </c>
    </row>
    <row r="14" spans="2:8" ht="20.100000000000001" customHeight="1">
      <c r="B14" s="1279" t="s">
        <v>24</v>
      </c>
      <c r="C14" s="1279"/>
      <c r="D14" s="226">
        <f>SUM(D9:D13)</f>
        <v>750</v>
      </c>
      <c r="E14" s="227">
        <f>SUM(E9:E13)</f>
        <v>0</v>
      </c>
      <c r="F14" s="227">
        <f>SUM(F9:F13)</f>
        <v>0</v>
      </c>
      <c r="G14" s="228">
        <f>SUM(G9:G13)</f>
        <v>0</v>
      </c>
      <c r="H14" s="225">
        <f>G14*10</f>
        <v>0</v>
      </c>
    </row>
    <row r="16" spans="2:8" ht="19.5">
      <c r="B16" s="210" t="s">
        <v>21</v>
      </c>
      <c r="C16" s="1256" t="s">
        <v>46</v>
      </c>
      <c r="D16" s="1257"/>
      <c r="E16" s="1257"/>
      <c r="F16" s="1257"/>
      <c r="G16" s="1257"/>
      <c r="H16" s="1258"/>
    </row>
    <row r="17" spans="2:8" ht="15" customHeight="1">
      <c r="B17" s="1251" t="s">
        <v>0</v>
      </c>
      <c r="C17" s="1251" t="s">
        <v>1</v>
      </c>
      <c r="D17" s="1253" t="s">
        <v>23</v>
      </c>
      <c r="E17" s="1252" t="s">
        <v>40</v>
      </c>
      <c r="F17" s="1253" t="s">
        <v>41</v>
      </c>
      <c r="G17" s="1253" t="s">
        <v>39</v>
      </c>
      <c r="H17" s="1253" t="s">
        <v>31</v>
      </c>
    </row>
    <row r="18" spans="2:8" s="203" customFormat="1">
      <c r="B18" s="1251"/>
      <c r="C18" s="1251"/>
      <c r="D18" s="1254"/>
      <c r="E18" s="1252"/>
      <c r="F18" s="1254"/>
      <c r="G18" s="1254"/>
      <c r="H18" s="1254"/>
    </row>
    <row r="19" spans="2:8" ht="20.100000000000001" customHeight="1">
      <c r="B19" s="226"/>
      <c r="C19" s="226"/>
      <c r="D19" s="226">
        <v>150</v>
      </c>
      <c r="E19" s="227"/>
      <c r="F19" s="227"/>
      <c r="G19" s="227"/>
      <c r="H19" s="225">
        <f t="shared" ref="H19:H23" si="1">G19*10</f>
        <v>0</v>
      </c>
    </row>
    <row r="20" spans="2:8" ht="20.100000000000001" customHeight="1">
      <c r="B20" s="226"/>
      <c r="C20" s="226"/>
      <c r="D20" s="226">
        <v>150</v>
      </c>
      <c r="E20" s="227"/>
      <c r="F20" s="227"/>
      <c r="G20" s="227"/>
      <c r="H20" s="225">
        <f t="shared" si="1"/>
        <v>0</v>
      </c>
    </row>
    <row r="21" spans="2:8" ht="20.100000000000001" customHeight="1">
      <c r="B21" s="226"/>
      <c r="C21" s="226"/>
      <c r="D21" s="226">
        <v>150</v>
      </c>
      <c r="E21" s="227"/>
      <c r="F21" s="227"/>
      <c r="G21" s="227"/>
      <c r="H21" s="225">
        <f t="shared" si="1"/>
        <v>0</v>
      </c>
    </row>
    <row r="22" spans="2:8" ht="20.100000000000001" customHeight="1">
      <c r="B22" s="226"/>
      <c r="C22" s="226"/>
      <c r="D22" s="226">
        <v>150</v>
      </c>
      <c r="E22" s="227"/>
      <c r="F22" s="227"/>
      <c r="G22" s="227"/>
      <c r="H22" s="225">
        <f t="shared" si="1"/>
        <v>0</v>
      </c>
    </row>
    <row r="23" spans="2:8" ht="20.100000000000001" customHeight="1">
      <c r="B23" s="226"/>
      <c r="C23" s="226"/>
      <c r="D23" s="226">
        <v>150</v>
      </c>
      <c r="E23" s="227"/>
      <c r="F23" s="227"/>
      <c r="G23" s="227"/>
      <c r="H23" s="225">
        <f t="shared" si="1"/>
        <v>0</v>
      </c>
    </row>
    <row r="24" spans="2:8" ht="20.100000000000001" customHeight="1">
      <c r="B24" s="1279" t="s">
        <v>24</v>
      </c>
      <c r="C24" s="1279"/>
      <c r="D24" s="226">
        <f>SUM(D19:D23)</f>
        <v>750</v>
      </c>
      <c r="E24" s="227">
        <f>SUM(E19:E23)</f>
        <v>0</v>
      </c>
      <c r="F24" s="227">
        <f>SUM(F19:F23)</f>
        <v>0</v>
      </c>
      <c r="G24" s="227">
        <f>SUM(G19:G23)</f>
        <v>0</v>
      </c>
      <c r="H24" s="225">
        <f>G24*10</f>
        <v>0</v>
      </c>
    </row>
    <row r="25" spans="2:8">
      <c r="B25" s="212"/>
      <c r="C25" s="212"/>
      <c r="D25" s="213"/>
      <c r="E25" s="213"/>
      <c r="F25" s="213"/>
      <c r="G25" s="213"/>
      <c r="H25" s="213"/>
    </row>
    <row r="26" spans="2:8" ht="19.5">
      <c r="B26" s="214" t="s">
        <v>28</v>
      </c>
      <c r="C26" s="1264" t="s">
        <v>29</v>
      </c>
      <c r="D26" s="1265"/>
      <c r="E26" s="1265"/>
      <c r="F26" s="1265"/>
      <c r="G26" s="1265"/>
      <c r="H26" s="1266"/>
    </row>
    <row r="27" spans="2:8" ht="15" customHeight="1">
      <c r="B27" s="1251" t="s">
        <v>0</v>
      </c>
      <c r="C27" s="1251" t="s">
        <v>1</v>
      </c>
      <c r="D27" s="1253" t="s">
        <v>23</v>
      </c>
      <c r="E27" s="1252" t="s">
        <v>40</v>
      </c>
      <c r="F27" s="1253" t="s">
        <v>41</v>
      </c>
      <c r="G27" s="1253" t="s">
        <v>39</v>
      </c>
      <c r="H27" s="1253" t="s">
        <v>31</v>
      </c>
    </row>
    <row r="28" spans="2:8">
      <c r="B28" s="1251"/>
      <c r="C28" s="1251"/>
      <c r="D28" s="1254"/>
      <c r="E28" s="1252"/>
      <c r="F28" s="1254"/>
      <c r="G28" s="1254"/>
      <c r="H28" s="1254"/>
    </row>
    <row r="29" spans="2:8">
      <c r="B29" s="240" t="s">
        <v>143</v>
      </c>
      <c r="C29" s="240" t="s">
        <v>26</v>
      </c>
      <c r="D29" s="240">
        <v>100</v>
      </c>
      <c r="E29" s="206">
        <v>209</v>
      </c>
      <c r="F29" s="206">
        <v>0</v>
      </c>
      <c r="G29" s="206">
        <v>209</v>
      </c>
      <c r="H29" s="222">
        <f>G29*10</f>
        <v>2090</v>
      </c>
    </row>
    <row r="30" spans="2:8">
      <c r="B30" s="240" t="s">
        <v>70</v>
      </c>
      <c r="C30" s="240" t="s">
        <v>26</v>
      </c>
      <c r="D30" s="240">
        <v>100</v>
      </c>
      <c r="E30" s="206">
        <v>395</v>
      </c>
      <c r="F30" s="206">
        <v>0</v>
      </c>
      <c r="G30" s="206">
        <v>395</v>
      </c>
      <c r="H30" s="222">
        <f>G30*10</f>
        <v>3950</v>
      </c>
    </row>
    <row r="31" spans="2:8">
      <c r="B31" s="232"/>
      <c r="C31" s="240"/>
      <c r="D31" s="240"/>
      <c r="E31" s="206"/>
      <c r="F31" s="206"/>
      <c r="G31" s="206"/>
      <c r="H31" s="222">
        <f>G31*10</f>
        <v>0</v>
      </c>
    </row>
    <row r="32" spans="2:8" ht="20.100000000000001" customHeight="1">
      <c r="B32" s="1259" t="s">
        <v>24</v>
      </c>
      <c r="C32" s="1259"/>
      <c r="D32" s="240">
        <f>SUM(D29:D31)</f>
        <v>200</v>
      </c>
      <c r="E32" s="206">
        <f>SUM(E29:E31)</f>
        <v>604</v>
      </c>
      <c r="F32" s="206">
        <f>SUM(F29:F31)</f>
        <v>0</v>
      </c>
      <c r="G32" s="206">
        <f>SUM(G29:G31)</f>
        <v>604</v>
      </c>
      <c r="H32" s="222">
        <f>G32*10</f>
        <v>6040</v>
      </c>
    </row>
    <row r="34" spans="2:8" ht="19.5">
      <c r="B34" s="207" t="s">
        <v>5</v>
      </c>
      <c r="C34" s="215"/>
      <c r="E34" s="1271" t="s">
        <v>32</v>
      </c>
      <c r="F34" s="1272"/>
      <c r="G34" s="1272"/>
      <c r="H34" s="1273"/>
    </row>
    <row r="35" spans="2:8">
      <c r="B35" s="216" t="s">
        <v>4</v>
      </c>
      <c r="C35" s="217"/>
      <c r="E35" s="218"/>
      <c r="F35" s="220" t="s">
        <v>34</v>
      </c>
      <c r="G35" s="220" t="s">
        <v>35</v>
      </c>
      <c r="H35" s="220" t="s">
        <v>37</v>
      </c>
    </row>
    <row r="36" spans="2:8">
      <c r="B36" s="216" t="s">
        <v>33</v>
      </c>
      <c r="C36" s="217"/>
      <c r="E36" s="221" t="s">
        <v>39</v>
      </c>
      <c r="F36" s="223">
        <f>G14</f>
        <v>0</v>
      </c>
      <c r="G36" s="224">
        <f>G24</f>
        <v>0</v>
      </c>
      <c r="H36" s="224">
        <f>G32</f>
        <v>604</v>
      </c>
    </row>
    <row r="37" spans="2:8">
      <c r="B37" s="216" t="s">
        <v>25</v>
      </c>
      <c r="C37" s="217"/>
      <c r="E37" s="221" t="s">
        <v>36</v>
      </c>
      <c r="F37" s="219">
        <f>F36*10</f>
        <v>0</v>
      </c>
      <c r="G37" s="219">
        <f>G36*10</f>
        <v>0</v>
      </c>
      <c r="H37" s="219">
        <f>H36*10</f>
        <v>6040</v>
      </c>
    </row>
    <row r="38" spans="2:8" ht="19.5">
      <c r="E38" s="210" t="s">
        <v>38</v>
      </c>
      <c r="F38" s="1274">
        <f>SUM(F37:H37)</f>
        <v>6040</v>
      </c>
      <c r="G38" s="1275"/>
      <c r="H38" s="1276"/>
    </row>
  </sheetData>
  <sheetProtection algorithmName="SHA-512" hashValue="v4DEjSa4ulVnJ4ik0V58Wqzq29RhUAGKHzNSfZq86DnpsM477UeYR90euYFiweuHeciDbZPiR6XkirNL3onepA==" saltValue="uBhLJ/AwqFOg4DWdJz+6EA==" spinCount="100000" sheet="1" objects="1" scenarios="1"/>
  <mergeCells count="30">
    <mergeCell ref="B32:C32"/>
    <mergeCell ref="E34:H34"/>
    <mergeCell ref="F38:H38"/>
    <mergeCell ref="B24:C24"/>
    <mergeCell ref="C26:H26"/>
    <mergeCell ref="B27:B28"/>
    <mergeCell ref="C27:C28"/>
    <mergeCell ref="D27:D28"/>
    <mergeCell ref="E27:E28"/>
    <mergeCell ref="F27:F28"/>
    <mergeCell ref="G27:G28"/>
    <mergeCell ref="H27:H28"/>
    <mergeCell ref="B14:C14"/>
    <mergeCell ref="C16:H16"/>
    <mergeCell ref="B17:B18"/>
    <mergeCell ref="C17:C18"/>
    <mergeCell ref="D17:D18"/>
    <mergeCell ref="E17:E18"/>
    <mergeCell ref="F17:F18"/>
    <mergeCell ref="G17:G18"/>
    <mergeCell ref="H17:H18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76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5A80D-AB32-4D26-A3F4-A97BBF355EE2}">
  <sheetPr codeName="Sheet120">
    <pageSetUpPr fitToPage="1"/>
  </sheetPr>
  <dimension ref="B2:H36"/>
  <sheetViews>
    <sheetView workbookViewId="0"/>
  </sheetViews>
  <sheetFormatPr defaultColWidth="9.140625" defaultRowHeight="15"/>
  <cols>
    <col min="1" max="1" width="9.140625" style="202"/>
    <col min="2" max="2" width="21.5703125" style="202" customWidth="1"/>
    <col min="3" max="3" width="24.28515625" style="202" bestFit="1" customWidth="1"/>
    <col min="4" max="8" width="15.7109375" style="202" customWidth="1"/>
    <col min="9" max="16384" width="9.140625" style="202"/>
  </cols>
  <sheetData>
    <row r="2" spans="2:8" ht="19.5">
      <c r="B2" s="208" t="s">
        <v>13</v>
      </c>
      <c r="C2" s="204"/>
      <c r="D2" s="204"/>
      <c r="F2" s="211" t="s">
        <v>27</v>
      </c>
      <c r="G2" s="1247">
        <v>44484</v>
      </c>
      <c r="H2" s="1247"/>
    </row>
    <row r="3" spans="2:8">
      <c r="B3" s="204"/>
      <c r="C3" s="204"/>
      <c r="D3" s="204"/>
    </row>
    <row r="4" spans="2:8">
      <c r="B4" s="204"/>
      <c r="C4" s="204"/>
      <c r="D4" s="204"/>
    </row>
    <row r="5" spans="2:8">
      <c r="B5" s="204"/>
      <c r="C5" s="204"/>
      <c r="D5" s="204"/>
    </row>
    <row r="6" spans="2:8" ht="19.5">
      <c r="B6" s="209" t="s">
        <v>42</v>
      </c>
      <c r="C6" s="1248" t="s">
        <v>74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203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240" t="s">
        <v>53</v>
      </c>
      <c r="C9" s="240" t="s">
        <v>16</v>
      </c>
      <c r="D9" s="240">
        <v>150</v>
      </c>
      <c r="E9" s="12">
        <v>218</v>
      </c>
      <c r="F9" s="12">
        <v>0</v>
      </c>
      <c r="G9" s="12">
        <v>218</v>
      </c>
      <c r="H9" s="222">
        <f t="shared" ref="H9:H11" si="0">G9*10</f>
        <v>2180</v>
      </c>
    </row>
    <row r="10" spans="2:8" ht="20.100000000000001" customHeight="1">
      <c r="B10" s="240" t="s">
        <v>65</v>
      </c>
      <c r="C10" s="240" t="s">
        <v>16</v>
      </c>
      <c r="D10" s="240">
        <v>150</v>
      </c>
      <c r="E10" s="206">
        <v>240</v>
      </c>
      <c r="F10" s="206">
        <v>0</v>
      </c>
      <c r="G10" s="206">
        <v>240</v>
      </c>
      <c r="H10" s="222">
        <f t="shared" si="0"/>
        <v>2400</v>
      </c>
    </row>
    <row r="11" spans="2:8" ht="20.100000000000001" customHeight="1">
      <c r="B11" s="240" t="s">
        <v>56</v>
      </c>
      <c r="C11" s="240" t="s">
        <v>26</v>
      </c>
      <c r="D11" s="240">
        <v>150</v>
      </c>
      <c r="E11" s="206">
        <v>175</v>
      </c>
      <c r="F11" s="206">
        <v>0</v>
      </c>
      <c r="G11" s="206">
        <v>175</v>
      </c>
      <c r="H11" s="222">
        <f t="shared" si="0"/>
        <v>1750</v>
      </c>
    </row>
    <row r="12" spans="2:8" ht="20.100000000000001" customHeight="1">
      <c r="B12" s="240" t="s">
        <v>189</v>
      </c>
      <c r="C12" s="240" t="s">
        <v>26</v>
      </c>
      <c r="D12" s="240">
        <v>150</v>
      </c>
      <c r="E12" s="206">
        <v>264</v>
      </c>
      <c r="F12" s="206">
        <v>0</v>
      </c>
      <c r="G12" s="206">
        <v>264</v>
      </c>
      <c r="H12" s="222">
        <f>G12*10</f>
        <v>2640</v>
      </c>
    </row>
    <row r="13" spans="2:8" ht="20.100000000000001" customHeight="1">
      <c r="B13" s="1259" t="s">
        <v>24</v>
      </c>
      <c r="C13" s="1259"/>
      <c r="D13" s="240">
        <f>SUM(D9:D12)</f>
        <v>600</v>
      </c>
      <c r="E13" s="206">
        <f>SUM(E9:E12)</f>
        <v>897</v>
      </c>
      <c r="F13" s="206">
        <f>SUM(F9:F12)</f>
        <v>0</v>
      </c>
      <c r="G13" s="17">
        <f>SUM(G9:G12)</f>
        <v>897</v>
      </c>
      <c r="H13" s="222">
        <f>G13*10</f>
        <v>8970</v>
      </c>
    </row>
    <row r="15" spans="2:8" ht="19.5">
      <c r="B15" s="210" t="s">
        <v>21</v>
      </c>
      <c r="C15" s="1256" t="s">
        <v>46</v>
      </c>
      <c r="D15" s="1257"/>
      <c r="E15" s="1257"/>
      <c r="F15" s="1257"/>
      <c r="G15" s="1257"/>
      <c r="H15" s="1258"/>
    </row>
    <row r="16" spans="2:8" ht="15" customHeight="1">
      <c r="B16" s="1251" t="s">
        <v>0</v>
      </c>
      <c r="C16" s="1251" t="s">
        <v>1</v>
      </c>
      <c r="D16" s="1253" t="s">
        <v>23</v>
      </c>
      <c r="E16" s="1252" t="s">
        <v>40</v>
      </c>
      <c r="F16" s="1253" t="s">
        <v>41</v>
      </c>
      <c r="G16" s="1253" t="s">
        <v>39</v>
      </c>
      <c r="H16" s="1253" t="s">
        <v>31</v>
      </c>
    </row>
    <row r="17" spans="2:8" s="203" customFormat="1">
      <c r="B17" s="1251"/>
      <c r="C17" s="1251"/>
      <c r="D17" s="1254"/>
      <c r="E17" s="1252"/>
      <c r="F17" s="1254"/>
      <c r="G17" s="1254"/>
      <c r="H17" s="1254"/>
    </row>
    <row r="18" spans="2:8" ht="20.100000000000001" customHeight="1">
      <c r="B18" s="240" t="s">
        <v>143</v>
      </c>
      <c r="C18" s="240" t="s">
        <v>16</v>
      </c>
      <c r="D18" s="240">
        <v>150</v>
      </c>
      <c r="E18" s="206">
        <v>222</v>
      </c>
      <c r="F18" s="206">
        <v>0</v>
      </c>
      <c r="G18" s="206">
        <v>222</v>
      </c>
      <c r="H18" s="222">
        <f t="shared" ref="H18:H22" si="1">G18*10</f>
        <v>2220</v>
      </c>
    </row>
    <row r="19" spans="2:8" ht="20.100000000000001" customHeight="1">
      <c r="B19" s="240" t="s">
        <v>66</v>
      </c>
      <c r="C19" s="240" t="s">
        <v>16</v>
      </c>
      <c r="D19" s="240">
        <v>150</v>
      </c>
      <c r="E19" s="206">
        <v>190</v>
      </c>
      <c r="F19" s="206">
        <v>0</v>
      </c>
      <c r="G19" s="206">
        <v>190</v>
      </c>
      <c r="H19" s="222">
        <f t="shared" si="1"/>
        <v>1900</v>
      </c>
    </row>
    <row r="20" spans="2:8" ht="20.100000000000001" customHeight="1">
      <c r="B20" s="240" t="s">
        <v>172</v>
      </c>
      <c r="C20" s="240" t="s">
        <v>71</v>
      </c>
      <c r="D20" s="240">
        <v>150</v>
      </c>
      <c r="E20" s="206">
        <v>127</v>
      </c>
      <c r="F20" s="206">
        <v>23</v>
      </c>
      <c r="G20" s="206">
        <v>150</v>
      </c>
      <c r="H20" s="222">
        <f>G20*10</f>
        <v>1500</v>
      </c>
    </row>
    <row r="21" spans="2:8" ht="20.100000000000001" customHeight="1">
      <c r="B21" s="240" t="s">
        <v>56</v>
      </c>
      <c r="C21" s="240" t="s">
        <v>26</v>
      </c>
      <c r="D21" s="240">
        <v>150</v>
      </c>
      <c r="E21" s="206">
        <v>119</v>
      </c>
      <c r="F21" s="206">
        <v>31</v>
      </c>
      <c r="G21" s="206">
        <v>150</v>
      </c>
      <c r="H21" s="222">
        <f t="shared" si="1"/>
        <v>1500</v>
      </c>
    </row>
    <row r="22" spans="2:8" ht="20.100000000000001" customHeight="1">
      <c r="B22" s="240" t="s">
        <v>171</v>
      </c>
      <c r="C22" s="240" t="s">
        <v>26</v>
      </c>
      <c r="D22" s="240">
        <v>150</v>
      </c>
      <c r="E22" s="206">
        <v>301</v>
      </c>
      <c r="F22" s="12">
        <v>0</v>
      </c>
      <c r="G22" s="206">
        <v>301</v>
      </c>
      <c r="H22" s="222">
        <f t="shared" si="1"/>
        <v>3010</v>
      </c>
    </row>
    <row r="23" spans="2:8" ht="20.100000000000001" customHeight="1">
      <c r="B23" s="1259" t="s">
        <v>24</v>
      </c>
      <c r="C23" s="1259"/>
      <c r="D23" s="240">
        <f>SUM(D18:D22)</f>
        <v>750</v>
      </c>
      <c r="E23" s="206">
        <f>SUM(E18:E22)</f>
        <v>959</v>
      </c>
      <c r="F23" s="206">
        <f>SUM(F18:F22)</f>
        <v>54</v>
      </c>
      <c r="G23" s="206">
        <f>SUM(G18:G22)</f>
        <v>1013</v>
      </c>
      <c r="H23" s="222">
        <f>G23*10</f>
        <v>10130</v>
      </c>
    </row>
    <row r="24" spans="2:8">
      <c r="B24" s="212"/>
      <c r="C24" s="212"/>
      <c r="D24" s="213"/>
      <c r="E24" s="213"/>
      <c r="F24" s="213"/>
      <c r="G24" s="213"/>
      <c r="H24" s="213"/>
    </row>
    <row r="25" spans="2:8" ht="19.5">
      <c r="B25" s="214" t="s">
        <v>28</v>
      </c>
      <c r="C25" s="1264" t="s">
        <v>29</v>
      </c>
      <c r="D25" s="1265"/>
      <c r="E25" s="1265"/>
      <c r="F25" s="1265"/>
      <c r="G25" s="1265"/>
      <c r="H25" s="1266"/>
    </row>
    <row r="26" spans="2:8" ht="15" customHeight="1">
      <c r="B26" s="1251" t="s">
        <v>0</v>
      </c>
      <c r="C26" s="1251" t="s">
        <v>1</v>
      </c>
      <c r="D26" s="1253" t="s">
        <v>23</v>
      </c>
      <c r="E26" s="1252" t="s">
        <v>40</v>
      </c>
      <c r="F26" s="1253" t="s">
        <v>41</v>
      </c>
      <c r="G26" s="1253" t="s">
        <v>39</v>
      </c>
      <c r="H26" s="1253" t="s">
        <v>31</v>
      </c>
    </row>
    <row r="27" spans="2:8">
      <c r="B27" s="1251"/>
      <c r="C27" s="1251"/>
      <c r="D27" s="1254"/>
      <c r="E27" s="1252"/>
      <c r="F27" s="1254"/>
      <c r="G27" s="1254"/>
      <c r="H27" s="1254"/>
    </row>
    <row r="28" spans="2:8">
      <c r="B28" s="240" t="s">
        <v>56</v>
      </c>
      <c r="C28" s="240" t="s">
        <v>26</v>
      </c>
      <c r="D28" s="240">
        <v>100</v>
      </c>
      <c r="E28" s="206">
        <v>166</v>
      </c>
      <c r="F28" s="206">
        <v>0</v>
      </c>
      <c r="G28" s="206">
        <v>166</v>
      </c>
      <c r="H28" s="222">
        <f>G28*10</f>
        <v>1660</v>
      </c>
    </row>
    <row r="29" spans="2:8">
      <c r="B29" s="240" t="s">
        <v>171</v>
      </c>
      <c r="C29" s="240" t="s">
        <v>26</v>
      </c>
      <c r="D29" s="240">
        <v>100</v>
      </c>
      <c r="E29" s="206">
        <v>115</v>
      </c>
      <c r="F29" s="206">
        <v>0</v>
      </c>
      <c r="G29" s="206">
        <v>115</v>
      </c>
      <c r="H29" s="222">
        <f>G29*10</f>
        <v>1150</v>
      </c>
    </row>
    <row r="30" spans="2:8" ht="20.100000000000001" customHeight="1">
      <c r="B30" s="1259" t="s">
        <v>24</v>
      </c>
      <c r="C30" s="1259"/>
      <c r="D30" s="240">
        <f>SUM(D28:D29)</f>
        <v>200</v>
      </c>
      <c r="E30" s="206">
        <f>SUM(E28:E29)</f>
        <v>281</v>
      </c>
      <c r="F30" s="206">
        <f>SUM(F28:F29)</f>
        <v>0</v>
      </c>
      <c r="G30" s="206">
        <f>SUM(G28:G29)</f>
        <v>281</v>
      </c>
      <c r="H30" s="222">
        <f>G30*10</f>
        <v>2810</v>
      </c>
    </row>
    <row r="32" spans="2:8" ht="19.5">
      <c r="B32" s="207" t="s">
        <v>5</v>
      </c>
      <c r="C32" s="215"/>
      <c r="E32" s="1271" t="s">
        <v>32</v>
      </c>
      <c r="F32" s="1272"/>
      <c r="G32" s="1272"/>
      <c r="H32" s="1273"/>
    </row>
    <row r="33" spans="2:8">
      <c r="B33" s="216" t="s">
        <v>4</v>
      </c>
      <c r="C33" s="217"/>
      <c r="E33" s="218"/>
      <c r="F33" s="220" t="s">
        <v>34</v>
      </c>
      <c r="G33" s="220" t="s">
        <v>35</v>
      </c>
      <c r="H33" s="220" t="s">
        <v>37</v>
      </c>
    </row>
    <row r="34" spans="2:8">
      <c r="B34" s="216" t="s">
        <v>33</v>
      </c>
      <c r="C34" s="217"/>
      <c r="E34" s="221" t="s">
        <v>39</v>
      </c>
      <c r="F34" s="223">
        <f>G13</f>
        <v>897</v>
      </c>
      <c r="G34" s="224">
        <f>G23</f>
        <v>1013</v>
      </c>
      <c r="H34" s="224">
        <f>G30</f>
        <v>281</v>
      </c>
    </row>
    <row r="35" spans="2:8">
      <c r="B35" s="216" t="s">
        <v>25</v>
      </c>
      <c r="C35" s="217"/>
      <c r="E35" s="221" t="s">
        <v>36</v>
      </c>
      <c r="F35" s="219">
        <f>F34*10</f>
        <v>8970</v>
      </c>
      <c r="G35" s="219">
        <f>G34*10</f>
        <v>10130</v>
      </c>
      <c r="H35" s="219">
        <f>H34*10</f>
        <v>2810</v>
      </c>
    </row>
    <row r="36" spans="2:8" ht="19.5">
      <c r="E36" s="210" t="s">
        <v>38</v>
      </c>
      <c r="F36" s="1274">
        <f>SUM(F35:H35)</f>
        <v>21910</v>
      </c>
      <c r="G36" s="1275"/>
      <c r="H36" s="1276"/>
    </row>
  </sheetData>
  <sheetProtection algorithmName="SHA-512" hashValue="6C4WHb3M6WIFgpAGBHqJjdWLXmt4t8Idsr3Xtm7FuQAXLocoVlWwPmGhqwtvpvtnl+gBWwu8PeLF0Y2zmEYgnw==" saltValue="GyHYZjJZIPXs0ySVoGGC5g==" spinCount="100000" sheet="1" objects="1" scenarios="1"/>
  <mergeCells count="30">
    <mergeCell ref="B30:C30"/>
    <mergeCell ref="E32:H32"/>
    <mergeCell ref="F36:H36"/>
    <mergeCell ref="B23:C23"/>
    <mergeCell ref="C25:H25"/>
    <mergeCell ref="B26:B27"/>
    <mergeCell ref="C26:C27"/>
    <mergeCell ref="D26:D27"/>
    <mergeCell ref="E26:E27"/>
    <mergeCell ref="F26:F27"/>
    <mergeCell ref="G26:G27"/>
    <mergeCell ref="H26:H27"/>
    <mergeCell ref="B13:C13"/>
    <mergeCell ref="C15:H15"/>
    <mergeCell ref="B16:B17"/>
    <mergeCell ref="C16:C17"/>
    <mergeCell ref="D16:D17"/>
    <mergeCell ref="E16:E17"/>
    <mergeCell ref="F16:F17"/>
    <mergeCell ref="G16:G17"/>
    <mergeCell ref="H16:H17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76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C5682-78B2-4B42-9905-61787D788B65}">
  <sheetPr codeName="Sheet121">
    <pageSetUpPr fitToPage="1"/>
  </sheetPr>
  <dimension ref="B2:H36"/>
  <sheetViews>
    <sheetView workbookViewId="0"/>
  </sheetViews>
  <sheetFormatPr defaultColWidth="9.140625" defaultRowHeight="15"/>
  <cols>
    <col min="1" max="1" width="9.140625" style="202"/>
    <col min="2" max="2" width="21.5703125" style="202" customWidth="1"/>
    <col min="3" max="3" width="24.28515625" style="202" bestFit="1" customWidth="1"/>
    <col min="4" max="8" width="15.7109375" style="202" customWidth="1"/>
    <col min="9" max="16384" width="9.140625" style="202"/>
  </cols>
  <sheetData>
    <row r="2" spans="2:8" ht="19.5">
      <c r="B2" s="208" t="s">
        <v>13</v>
      </c>
      <c r="C2" s="204"/>
      <c r="D2" s="204"/>
      <c r="F2" s="211" t="s">
        <v>27</v>
      </c>
      <c r="G2" s="1247">
        <v>44483</v>
      </c>
      <c r="H2" s="1247"/>
    </row>
    <row r="3" spans="2:8">
      <c r="B3" s="204"/>
      <c r="C3" s="204"/>
      <c r="D3" s="204"/>
    </row>
    <row r="4" spans="2:8">
      <c r="B4" s="204"/>
      <c r="C4" s="204"/>
      <c r="D4" s="204"/>
    </row>
    <row r="5" spans="2:8">
      <c r="B5" s="204"/>
      <c r="C5" s="204"/>
      <c r="D5" s="204"/>
    </row>
    <row r="6" spans="2:8" ht="19.5">
      <c r="B6" s="209" t="s">
        <v>42</v>
      </c>
      <c r="C6" s="1248" t="s">
        <v>74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203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240" t="s">
        <v>53</v>
      </c>
      <c r="C9" s="240" t="s">
        <v>16</v>
      </c>
      <c r="D9" s="240">
        <v>150</v>
      </c>
      <c r="E9" s="12">
        <v>279</v>
      </c>
      <c r="F9" s="12">
        <v>0</v>
      </c>
      <c r="G9" s="12">
        <v>279</v>
      </c>
      <c r="H9" s="222">
        <f t="shared" ref="H9:H11" si="0">G9*10</f>
        <v>2790</v>
      </c>
    </row>
    <row r="10" spans="2:8" ht="20.100000000000001" customHeight="1">
      <c r="B10" s="240" t="s">
        <v>66</v>
      </c>
      <c r="C10" s="240" t="s">
        <v>16</v>
      </c>
      <c r="D10" s="240">
        <v>150</v>
      </c>
      <c r="E10" s="206">
        <v>251</v>
      </c>
      <c r="F10" s="206">
        <v>0</v>
      </c>
      <c r="G10" s="206">
        <v>251</v>
      </c>
      <c r="H10" s="222">
        <f t="shared" si="0"/>
        <v>2510</v>
      </c>
    </row>
    <row r="11" spans="2:8" ht="20.100000000000001" customHeight="1">
      <c r="B11" s="240" t="s">
        <v>187</v>
      </c>
      <c r="C11" s="240" t="s">
        <v>26</v>
      </c>
      <c r="D11" s="240">
        <v>150</v>
      </c>
      <c r="E11" s="206">
        <v>160</v>
      </c>
      <c r="F11" s="206">
        <v>0</v>
      </c>
      <c r="G11" s="206">
        <v>160</v>
      </c>
      <c r="H11" s="222">
        <f t="shared" si="0"/>
        <v>1600</v>
      </c>
    </row>
    <row r="12" spans="2:8" ht="20.100000000000001" customHeight="1">
      <c r="B12" s="240" t="s">
        <v>70</v>
      </c>
      <c r="C12" s="240" t="s">
        <v>26</v>
      </c>
      <c r="D12" s="240">
        <v>150</v>
      </c>
      <c r="E12" s="206">
        <v>389</v>
      </c>
      <c r="F12" s="206">
        <v>0</v>
      </c>
      <c r="G12" s="206">
        <v>389</v>
      </c>
      <c r="H12" s="222">
        <f>G12*10</f>
        <v>3890</v>
      </c>
    </row>
    <row r="13" spans="2:8" ht="20.100000000000001" customHeight="1">
      <c r="B13" s="1259" t="s">
        <v>24</v>
      </c>
      <c r="C13" s="1259"/>
      <c r="D13" s="240">
        <f>SUM(D9:D12)</f>
        <v>600</v>
      </c>
      <c r="E13" s="206">
        <f>SUM(E9:E12)</f>
        <v>1079</v>
      </c>
      <c r="F13" s="206">
        <f>SUM(F9:F12)</f>
        <v>0</v>
      </c>
      <c r="G13" s="17">
        <f>SUM(G9:G12)</f>
        <v>1079</v>
      </c>
      <c r="H13" s="222">
        <f>G13*10</f>
        <v>10790</v>
      </c>
    </row>
    <row r="15" spans="2:8" ht="19.5">
      <c r="B15" s="210" t="s">
        <v>21</v>
      </c>
      <c r="C15" s="1256" t="s">
        <v>46</v>
      </c>
      <c r="D15" s="1257"/>
      <c r="E15" s="1257"/>
      <c r="F15" s="1257"/>
      <c r="G15" s="1257"/>
      <c r="H15" s="1258"/>
    </row>
    <row r="16" spans="2:8" ht="15" customHeight="1">
      <c r="B16" s="1251" t="s">
        <v>0</v>
      </c>
      <c r="C16" s="1251" t="s">
        <v>1</v>
      </c>
      <c r="D16" s="1253" t="s">
        <v>23</v>
      </c>
      <c r="E16" s="1252" t="s">
        <v>40</v>
      </c>
      <c r="F16" s="1253" t="s">
        <v>41</v>
      </c>
      <c r="G16" s="1253" t="s">
        <v>39</v>
      </c>
      <c r="H16" s="1253" t="s">
        <v>31</v>
      </c>
    </row>
    <row r="17" spans="2:8" s="203" customFormat="1">
      <c r="B17" s="1251"/>
      <c r="C17" s="1251"/>
      <c r="D17" s="1254"/>
      <c r="E17" s="1252"/>
      <c r="F17" s="1254"/>
      <c r="G17" s="1254"/>
      <c r="H17" s="1254"/>
    </row>
    <row r="18" spans="2:8" ht="20.100000000000001" customHeight="1">
      <c r="B18" s="240" t="s">
        <v>66</v>
      </c>
      <c r="C18" s="240" t="s">
        <v>16</v>
      </c>
      <c r="D18" s="240">
        <v>150</v>
      </c>
      <c r="E18" s="206">
        <v>195</v>
      </c>
      <c r="F18" s="206">
        <v>0</v>
      </c>
      <c r="G18" s="206">
        <v>195</v>
      </c>
      <c r="H18" s="222">
        <f t="shared" ref="H18:H22" si="1">G18*10</f>
        <v>1950</v>
      </c>
    </row>
    <row r="19" spans="2:8" ht="20.100000000000001" customHeight="1">
      <c r="B19" s="240" t="s">
        <v>185</v>
      </c>
      <c r="C19" s="240" t="s">
        <v>16</v>
      </c>
      <c r="D19" s="240">
        <v>150</v>
      </c>
      <c r="E19" s="206">
        <v>517</v>
      </c>
      <c r="F19" s="206">
        <v>0</v>
      </c>
      <c r="G19" s="206">
        <v>517</v>
      </c>
      <c r="H19" s="222">
        <f t="shared" si="1"/>
        <v>5170</v>
      </c>
    </row>
    <row r="20" spans="2:8" ht="20.100000000000001" customHeight="1">
      <c r="B20" s="240" t="s">
        <v>63</v>
      </c>
      <c r="C20" s="240" t="s">
        <v>71</v>
      </c>
      <c r="D20" s="240">
        <v>150</v>
      </c>
      <c r="E20" s="206">
        <v>142</v>
      </c>
      <c r="F20" s="206">
        <v>8</v>
      </c>
      <c r="G20" s="206">
        <v>150</v>
      </c>
      <c r="H20" s="222">
        <f>G20*10</f>
        <v>1500</v>
      </c>
    </row>
    <row r="21" spans="2:8" ht="20.100000000000001" customHeight="1">
      <c r="B21" s="240" t="s">
        <v>187</v>
      </c>
      <c r="C21" s="240" t="s">
        <v>26</v>
      </c>
      <c r="D21" s="240">
        <v>150</v>
      </c>
      <c r="E21" s="206">
        <v>146</v>
      </c>
      <c r="F21" s="206">
        <v>4</v>
      </c>
      <c r="G21" s="206">
        <v>150</v>
      </c>
      <c r="H21" s="222">
        <f t="shared" si="1"/>
        <v>1500</v>
      </c>
    </row>
    <row r="22" spans="2:8" ht="20.100000000000001" customHeight="1">
      <c r="B22" s="240" t="s">
        <v>70</v>
      </c>
      <c r="C22" s="240" t="s">
        <v>26</v>
      </c>
      <c r="D22" s="240">
        <v>150</v>
      </c>
      <c r="E22" s="206">
        <v>350</v>
      </c>
      <c r="F22" s="12">
        <v>0</v>
      </c>
      <c r="G22" s="206">
        <v>350</v>
      </c>
      <c r="H22" s="222">
        <f t="shared" si="1"/>
        <v>3500</v>
      </c>
    </row>
    <row r="23" spans="2:8" ht="20.100000000000001" customHeight="1">
      <c r="B23" s="1259" t="s">
        <v>24</v>
      </c>
      <c r="C23" s="1259"/>
      <c r="D23" s="240">
        <f>SUM(D18:D22)</f>
        <v>750</v>
      </c>
      <c r="E23" s="206">
        <f>SUM(E18:E22)</f>
        <v>1350</v>
      </c>
      <c r="F23" s="206">
        <f>SUM(F18:F22)</f>
        <v>12</v>
      </c>
      <c r="G23" s="206">
        <f>SUM(G18:G22)</f>
        <v>1362</v>
      </c>
      <c r="H23" s="222">
        <f>G23*10</f>
        <v>13620</v>
      </c>
    </row>
    <row r="24" spans="2:8">
      <c r="B24" s="212"/>
      <c r="C24" s="212"/>
      <c r="D24" s="213"/>
      <c r="E24" s="213"/>
      <c r="F24" s="213"/>
      <c r="G24" s="213"/>
      <c r="H24" s="213"/>
    </row>
    <row r="25" spans="2:8" ht="19.5">
      <c r="B25" s="214" t="s">
        <v>28</v>
      </c>
      <c r="C25" s="1264" t="s">
        <v>29</v>
      </c>
      <c r="D25" s="1265"/>
      <c r="E25" s="1265"/>
      <c r="F25" s="1265"/>
      <c r="G25" s="1265"/>
      <c r="H25" s="1266"/>
    </row>
    <row r="26" spans="2:8" ht="15" customHeight="1">
      <c r="B26" s="1251" t="s">
        <v>0</v>
      </c>
      <c r="C26" s="1251" t="s">
        <v>1</v>
      </c>
      <c r="D26" s="1253" t="s">
        <v>23</v>
      </c>
      <c r="E26" s="1252" t="s">
        <v>40</v>
      </c>
      <c r="F26" s="1253" t="s">
        <v>41</v>
      </c>
      <c r="G26" s="1253" t="s">
        <v>39</v>
      </c>
      <c r="H26" s="1253" t="s">
        <v>31</v>
      </c>
    </row>
    <row r="27" spans="2:8">
      <c r="B27" s="1251"/>
      <c r="C27" s="1251"/>
      <c r="D27" s="1254"/>
      <c r="E27" s="1252"/>
      <c r="F27" s="1254"/>
      <c r="G27" s="1254"/>
      <c r="H27" s="1254"/>
    </row>
    <row r="28" spans="2:8">
      <c r="B28" s="240" t="s">
        <v>187</v>
      </c>
      <c r="C28" s="240" t="s">
        <v>26</v>
      </c>
      <c r="D28" s="240">
        <v>100</v>
      </c>
      <c r="E28" s="206">
        <v>155</v>
      </c>
      <c r="F28" s="206">
        <v>0</v>
      </c>
      <c r="G28" s="206">
        <v>155</v>
      </c>
      <c r="H28" s="222">
        <f>G28*10</f>
        <v>1550</v>
      </c>
    </row>
    <row r="29" spans="2:8">
      <c r="B29" s="240" t="s">
        <v>70</v>
      </c>
      <c r="C29" s="240" t="s">
        <v>26</v>
      </c>
      <c r="D29" s="240">
        <v>100</v>
      </c>
      <c r="E29" s="206">
        <v>405</v>
      </c>
      <c r="F29" s="206">
        <v>0</v>
      </c>
      <c r="G29" s="206">
        <v>405</v>
      </c>
      <c r="H29" s="222">
        <f>G29*10</f>
        <v>4050</v>
      </c>
    </row>
    <row r="30" spans="2:8" ht="20.100000000000001" customHeight="1">
      <c r="B30" s="1259" t="s">
        <v>24</v>
      </c>
      <c r="C30" s="1259"/>
      <c r="D30" s="240">
        <f>SUM(D28:D29)</f>
        <v>200</v>
      </c>
      <c r="E30" s="206">
        <f>SUM(E28:E29)</f>
        <v>560</v>
      </c>
      <c r="F30" s="206">
        <f>SUM(F28:F29)</f>
        <v>0</v>
      </c>
      <c r="G30" s="206">
        <f>SUM(G28:G29)</f>
        <v>560</v>
      </c>
      <c r="H30" s="222">
        <f>G30*10</f>
        <v>5600</v>
      </c>
    </row>
    <row r="32" spans="2:8" ht="19.5">
      <c r="B32" s="207" t="s">
        <v>5</v>
      </c>
      <c r="C32" s="215"/>
      <c r="E32" s="1271" t="s">
        <v>32</v>
      </c>
      <c r="F32" s="1272"/>
      <c r="G32" s="1272"/>
      <c r="H32" s="1273"/>
    </row>
    <row r="33" spans="2:8">
      <c r="B33" s="216" t="s">
        <v>4</v>
      </c>
      <c r="C33" s="217"/>
      <c r="E33" s="218"/>
      <c r="F33" s="220" t="s">
        <v>34</v>
      </c>
      <c r="G33" s="220" t="s">
        <v>35</v>
      </c>
      <c r="H33" s="220" t="s">
        <v>37</v>
      </c>
    </row>
    <row r="34" spans="2:8">
      <c r="B34" s="216" t="s">
        <v>33</v>
      </c>
      <c r="C34" s="217"/>
      <c r="E34" s="221" t="s">
        <v>39</v>
      </c>
      <c r="F34" s="223">
        <f>G13</f>
        <v>1079</v>
      </c>
      <c r="G34" s="224">
        <f>G23</f>
        <v>1362</v>
      </c>
      <c r="H34" s="224">
        <f>G30</f>
        <v>560</v>
      </c>
    </row>
    <row r="35" spans="2:8">
      <c r="B35" s="216" t="s">
        <v>25</v>
      </c>
      <c r="C35" s="217"/>
      <c r="E35" s="221" t="s">
        <v>36</v>
      </c>
      <c r="F35" s="219">
        <f>F34*10</f>
        <v>10790</v>
      </c>
      <c r="G35" s="219">
        <f>G34*10</f>
        <v>13620</v>
      </c>
      <c r="H35" s="219">
        <f>H34*10</f>
        <v>5600</v>
      </c>
    </row>
    <row r="36" spans="2:8" ht="19.5">
      <c r="E36" s="210" t="s">
        <v>38</v>
      </c>
      <c r="F36" s="1274">
        <f>SUM(F35:H35)</f>
        <v>30010</v>
      </c>
      <c r="G36" s="1275"/>
      <c r="H36" s="1276"/>
    </row>
  </sheetData>
  <sheetProtection algorithmName="SHA-512" hashValue="0yCuzkwELtNGOoZRAAKlPv9PKtTMOAmRxjsydDIHlW3LoCLWHiLQypWUFSvIZBtosopCyfScKkk1MMTxtChdWA==" saltValue="NC/kBKEButI819MLGPG+eQ==" spinCount="100000" sheet="1" objects="1" scenarios="1"/>
  <mergeCells count="30">
    <mergeCell ref="B30:C30"/>
    <mergeCell ref="E32:H32"/>
    <mergeCell ref="F36:H36"/>
    <mergeCell ref="B23:C23"/>
    <mergeCell ref="C25:H25"/>
    <mergeCell ref="B26:B27"/>
    <mergeCell ref="C26:C27"/>
    <mergeCell ref="D26:D27"/>
    <mergeCell ref="E26:E27"/>
    <mergeCell ref="F26:F27"/>
    <mergeCell ref="G26:G27"/>
    <mergeCell ref="H26:H27"/>
    <mergeCell ref="B13:C13"/>
    <mergeCell ref="C15:H15"/>
    <mergeCell ref="B16:B17"/>
    <mergeCell ref="C16:C17"/>
    <mergeCell ref="D16:D17"/>
    <mergeCell ref="E16:E17"/>
    <mergeCell ref="F16:F17"/>
    <mergeCell ref="G16:G17"/>
    <mergeCell ref="H16:H17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76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070CA-1C93-4625-92E2-907BB822F42F}">
  <sheetPr codeName="Sheet122">
    <pageSetUpPr fitToPage="1"/>
  </sheetPr>
  <dimension ref="B2:H36"/>
  <sheetViews>
    <sheetView workbookViewId="0"/>
  </sheetViews>
  <sheetFormatPr defaultColWidth="9.140625" defaultRowHeight="15"/>
  <cols>
    <col min="1" max="1" width="9.140625" style="202"/>
    <col min="2" max="2" width="21.5703125" style="202" customWidth="1"/>
    <col min="3" max="3" width="24.28515625" style="202" bestFit="1" customWidth="1"/>
    <col min="4" max="8" width="15.7109375" style="202" customWidth="1"/>
    <col min="9" max="16384" width="9.140625" style="202"/>
  </cols>
  <sheetData>
    <row r="2" spans="2:8" ht="19.5">
      <c r="B2" s="208" t="s">
        <v>13</v>
      </c>
      <c r="C2" s="204"/>
      <c r="D2" s="204"/>
      <c r="F2" s="211" t="s">
        <v>27</v>
      </c>
      <c r="G2" s="1247">
        <v>44482</v>
      </c>
      <c r="H2" s="1247"/>
    </row>
    <row r="3" spans="2:8">
      <c r="B3" s="204"/>
      <c r="C3" s="204"/>
      <c r="D3" s="204"/>
    </row>
    <row r="4" spans="2:8">
      <c r="B4" s="204"/>
      <c r="C4" s="204"/>
      <c r="D4" s="204"/>
    </row>
    <row r="5" spans="2:8">
      <c r="B5" s="204"/>
      <c r="C5" s="204"/>
      <c r="D5" s="204"/>
    </row>
    <row r="6" spans="2:8" ht="19.5">
      <c r="B6" s="209" t="s">
        <v>42</v>
      </c>
      <c r="C6" s="1248" t="s">
        <v>74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203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238" t="s">
        <v>53</v>
      </c>
      <c r="C9" s="237" t="s">
        <v>16</v>
      </c>
      <c r="D9" s="237">
        <v>150</v>
      </c>
      <c r="E9" s="12">
        <v>292</v>
      </c>
      <c r="F9" s="12">
        <v>0</v>
      </c>
      <c r="G9" s="12">
        <v>292</v>
      </c>
      <c r="H9" s="222">
        <f t="shared" ref="H9:H11" si="0">G9*10</f>
        <v>2920</v>
      </c>
    </row>
    <row r="10" spans="2:8" ht="20.100000000000001" customHeight="1">
      <c r="B10" s="238" t="s">
        <v>51</v>
      </c>
      <c r="C10" s="237" t="s">
        <v>16</v>
      </c>
      <c r="D10" s="237">
        <v>150</v>
      </c>
      <c r="E10" s="206">
        <v>244</v>
      </c>
      <c r="F10" s="206">
        <v>0</v>
      </c>
      <c r="G10" s="206">
        <v>244</v>
      </c>
      <c r="H10" s="222">
        <f t="shared" si="0"/>
        <v>2440</v>
      </c>
    </row>
    <row r="11" spans="2:8" ht="20.100000000000001" customHeight="1">
      <c r="B11" s="238" t="s">
        <v>65</v>
      </c>
      <c r="C11" s="237" t="s">
        <v>26</v>
      </c>
      <c r="D11" s="237">
        <v>150</v>
      </c>
      <c r="E11" s="206">
        <v>278</v>
      </c>
      <c r="F11" s="206">
        <v>0</v>
      </c>
      <c r="G11" s="206">
        <v>278</v>
      </c>
      <c r="H11" s="222">
        <f t="shared" si="0"/>
        <v>2780</v>
      </c>
    </row>
    <row r="12" spans="2:8" ht="20.100000000000001" customHeight="1">
      <c r="B12" s="238" t="s">
        <v>45</v>
      </c>
      <c r="C12" s="237" t="s">
        <v>26</v>
      </c>
      <c r="D12" s="237">
        <v>150</v>
      </c>
      <c r="E12" s="206">
        <v>197</v>
      </c>
      <c r="F12" s="206">
        <v>0</v>
      </c>
      <c r="G12" s="206">
        <v>197</v>
      </c>
      <c r="H12" s="222">
        <f>G12*10</f>
        <v>1970</v>
      </c>
    </row>
    <row r="13" spans="2:8" ht="20.100000000000001" customHeight="1">
      <c r="B13" s="1259" t="s">
        <v>24</v>
      </c>
      <c r="C13" s="1259"/>
      <c r="D13" s="237">
        <f>SUM(D9:D12)</f>
        <v>600</v>
      </c>
      <c r="E13" s="206">
        <f>SUM(E9:E12)</f>
        <v>1011</v>
      </c>
      <c r="F13" s="206">
        <f>SUM(F9:F12)</f>
        <v>0</v>
      </c>
      <c r="G13" s="17">
        <f>SUM(G9:G12)</f>
        <v>1011</v>
      </c>
      <c r="H13" s="222">
        <f>G13*10</f>
        <v>10110</v>
      </c>
    </row>
    <row r="15" spans="2:8" ht="19.5">
      <c r="B15" s="210" t="s">
        <v>21</v>
      </c>
      <c r="C15" s="1256" t="s">
        <v>46</v>
      </c>
      <c r="D15" s="1257"/>
      <c r="E15" s="1257"/>
      <c r="F15" s="1257"/>
      <c r="G15" s="1257"/>
      <c r="H15" s="1258"/>
    </row>
    <row r="16" spans="2:8" ht="15" customHeight="1">
      <c r="B16" s="1251" t="s">
        <v>0</v>
      </c>
      <c r="C16" s="1251" t="s">
        <v>1</v>
      </c>
      <c r="D16" s="1253" t="s">
        <v>23</v>
      </c>
      <c r="E16" s="1252" t="s">
        <v>40</v>
      </c>
      <c r="F16" s="1253" t="s">
        <v>41</v>
      </c>
      <c r="G16" s="1253" t="s">
        <v>39</v>
      </c>
      <c r="H16" s="1253" t="s">
        <v>31</v>
      </c>
    </row>
    <row r="17" spans="2:8" s="203" customFormat="1">
      <c r="B17" s="1251"/>
      <c r="C17" s="1251"/>
      <c r="D17" s="1254"/>
      <c r="E17" s="1252"/>
      <c r="F17" s="1254"/>
      <c r="G17" s="1254"/>
      <c r="H17" s="1254"/>
    </row>
    <row r="18" spans="2:8" ht="20.100000000000001" customHeight="1">
      <c r="B18" s="239" t="s">
        <v>45</v>
      </c>
      <c r="C18" s="237" t="s">
        <v>16</v>
      </c>
      <c r="D18" s="237">
        <v>150</v>
      </c>
      <c r="E18" s="206">
        <v>175</v>
      </c>
      <c r="F18" s="206">
        <v>0</v>
      </c>
      <c r="G18" s="206">
        <v>175</v>
      </c>
      <c r="H18" s="222">
        <f t="shared" ref="H18:H22" si="1">G18*10</f>
        <v>1750</v>
      </c>
    </row>
    <row r="19" spans="2:8" ht="20.100000000000001" customHeight="1">
      <c r="B19" s="239" t="s">
        <v>75</v>
      </c>
      <c r="C19" s="237" t="s">
        <v>16</v>
      </c>
      <c r="D19" s="237">
        <v>150</v>
      </c>
      <c r="E19" s="206">
        <v>142</v>
      </c>
      <c r="F19" s="206">
        <v>8</v>
      </c>
      <c r="G19" s="206">
        <v>150</v>
      </c>
      <c r="H19" s="222">
        <f t="shared" si="1"/>
        <v>1500</v>
      </c>
    </row>
    <row r="20" spans="2:8" ht="20.100000000000001" customHeight="1">
      <c r="B20" s="239" t="s">
        <v>63</v>
      </c>
      <c r="C20" s="237" t="s">
        <v>71</v>
      </c>
      <c r="D20" s="237">
        <v>150</v>
      </c>
      <c r="E20" s="206">
        <v>198</v>
      </c>
      <c r="F20" s="206">
        <v>0</v>
      </c>
      <c r="G20" s="206">
        <v>198</v>
      </c>
      <c r="H20" s="222">
        <f>G20*10</f>
        <v>1980</v>
      </c>
    </row>
    <row r="21" spans="2:8" ht="20.100000000000001" customHeight="1">
      <c r="B21" s="239" t="s">
        <v>65</v>
      </c>
      <c r="C21" s="237" t="s">
        <v>26</v>
      </c>
      <c r="D21" s="237">
        <v>150</v>
      </c>
      <c r="E21" s="206">
        <v>225</v>
      </c>
      <c r="F21" s="206">
        <v>0</v>
      </c>
      <c r="G21" s="206">
        <v>225</v>
      </c>
      <c r="H21" s="222">
        <f t="shared" si="1"/>
        <v>2250</v>
      </c>
    </row>
    <row r="22" spans="2:8" ht="20.100000000000001" customHeight="1">
      <c r="B22" s="239" t="s">
        <v>164</v>
      </c>
      <c r="C22" s="237" t="s">
        <v>26</v>
      </c>
      <c r="D22" s="237">
        <v>150</v>
      </c>
      <c r="E22" s="206">
        <v>286</v>
      </c>
      <c r="F22" s="12">
        <v>0</v>
      </c>
      <c r="G22" s="206">
        <v>286</v>
      </c>
      <c r="H22" s="222">
        <f t="shared" si="1"/>
        <v>2860</v>
      </c>
    </row>
    <row r="23" spans="2:8" ht="20.100000000000001" customHeight="1">
      <c r="B23" s="1259" t="s">
        <v>24</v>
      </c>
      <c r="C23" s="1259"/>
      <c r="D23" s="237">
        <f>SUM(D18:D22)</f>
        <v>750</v>
      </c>
      <c r="E23" s="206">
        <f>SUM(E18:E22)</f>
        <v>1026</v>
      </c>
      <c r="F23" s="206">
        <f>SUM(F18:F22)</f>
        <v>8</v>
      </c>
      <c r="G23" s="206">
        <f>SUM(G18:G22)</f>
        <v>1034</v>
      </c>
      <c r="H23" s="222">
        <f>G23*10</f>
        <v>10340</v>
      </c>
    </row>
    <row r="24" spans="2:8">
      <c r="B24" s="212"/>
      <c r="C24" s="212"/>
      <c r="D24" s="213"/>
      <c r="E24" s="213"/>
      <c r="F24" s="213"/>
      <c r="G24" s="213"/>
      <c r="H24" s="213"/>
    </row>
    <row r="25" spans="2:8" ht="19.5">
      <c r="B25" s="214" t="s">
        <v>28</v>
      </c>
      <c r="C25" s="1264" t="s">
        <v>29</v>
      </c>
      <c r="D25" s="1265"/>
      <c r="E25" s="1265"/>
      <c r="F25" s="1265"/>
      <c r="G25" s="1265"/>
      <c r="H25" s="1266"/>
    </row>
    <row r="26" spans="2:8" ht="15" customHeight="1">
      <c r="B26" s="1251" t="s">
        <v>0</v>
      </c>
      <c r="C26" s="1251" t="s">
        <v>1</v>
      </c>
      <c r="D26" s="1253" t="s">
        <v>23</v>
      </c>
      <c r="E26" s="1252" t="s">
        <v>40</v>
      </c>
      <c r="F26" s="1253" t="s">
        <v>41</v>
      </c>
      <c r="G26" s="1253" t="s">
        <v>39</v>
      </c>
      <c r="H26" s="1253" t="s">
        <v>31</v>
      </c>
    </row>
    <row r="27" spans="2:8">
      <c r="B27" s="1251"/>
      <c r="C27" s="1251"/>
      <c r="D27" s="1254"/>
      <c r="E27" s="1252"/>
      <c r="F27" s="1254"/>
      <c r="G27" s="1254"/>
      <c r="H27" s="1254"/>
    </row>
    <row r="28" spans="2:8">
      <c r="B28" s="240" t="s">
        <v>65</v>
      </c>
      <c r="C28" s="237" t="s">
        <v>26</v>
      </c>
      <c r="D28" s="237">
        <v>100</v>
      </c>
      <c r="E28" s="206">
        <v>175</v>
      </c>
      <c r="F28" s="206">
        <v>0</v>
      </c>
      <c r="G28" s="206">
        <v>175</v>
      </c>
      <c r="H28" s="222">
        <f>G28*10</f>
        <v>1750</v>
      </c>
    </row>
    <row r="29" spans="2:8">
      <c r="B29" s="240" t="s">
        <v>164</v>
      </c>
      <c r="C29" s="237" t="s">
        <v>26</v>
      </c>
      <c r="D29" s="237">
        <v>100</v>
      </c>
      <c r="E29" s="206">
        <v>213</v>
      </c>
      <c r="F29" s="206">
        <v>0</v>
      </c>
      <c r="G29" s="206">
        <v>213</v>
      </c>
      <c r="H29" s="222">
        <f>G29*10</f>
        <v>2130</v>
      </c>
    </row>
    <row r="30" spans="2:8" ht="20.100000000000001" customHeight="1">
      <c r="B30" s="1259" t="s">
        <v>24</v>
      </c>
      <c r="C30" s="1259"/>
      <c r="D30" s="237">
        <f>SUM(D28:D29)</f>
        <v>200</v>
      </c>
      <c r="E30" s="206">
        <f>SUM(E28:E29)</f>
        <v>388</v>
      </c>
      <c r="F30" s="206">
        <f>SUM(F28:F29)</f>
        <v>0</v>
      </c>
      <c r="G30" s="206">
        <f>SUM(G28:G29)</f>
        <v>388</v>
      </c>
      <c r="H30" s="222">
        <f>G30*10</f>
        <v>3880</v>
      </c>
    </row>
    <row r="32" spans="2:8" ht="19.5">
      <c r="B32" s="207" t="s">
        <v>5</v>
      </c>
      <c r="C32" s="215"/>
      <c r="E32" s="1271" t="s">
        <v>32</v>
      </c>
      <c r="F32" s="1272"/>
      <c r="G32" s="1272"/>
      <c r="H32" s="1273"/>
    </row>
    <row r="33" spans="2:8">
      <c r="B33" s="216" t="s">
        <v>4</v>
      </c>
      <c r="C33" s="217"/>
      <c r="E33" s="218"/>
      <c r="F33" s="220" t="s">
        <v>34</v>
      </c>
      <c r="G33" s="220" t="s">
        <v>35</v>
      </c>
      <c r="H33" s="220" t="s">
        <v>37</v>
      </c>
    </row>
    <row r="34" spans="2:8">
      <c r="B34" s="216" t="s">
        <v>33</v>
      </c>
      <c r="C34" s="217"/>
      <c r="E34" s="221" t="s">
        <v>39</v>
      </c>
      <c r="F34" s="223">
        <f>G13</f>
        <v>1011</v>
      </c>
      <c r="G34" s="224">
        <f>G23</f>
        <v>1034</v>
      </c>
      <c r="H34" s="224">
        <f>G30</f>
        <v>388</v>
      </c>
    </row>
    <row r="35" spans="2:8">
      <c r="B35" s="216" t="s">
        <v>25</v>
      </c>
      <c r="C35" s="217"/>
      <c r="E35" s="221" t="s">
        <v>36</v>
      </c>
      <c r="F35" s="219">
        <f>F34*10</f>
        <v>10110</v>
      </c>
      <c r="G35" s="219">
        <f>G34*10</f>
        <v>10340</v>
      </c>
      <c r="H35" s="219">
        <f>H34*10</f>
        <v>3880</v>
      </c>
    </row>
    <row r="36" spans="2:8" ht="19.5">
      <c r="E36" s="210" t="s">
        <v>38</v>
      </c>
      <c r="F36" s="1274">
        <f>SUM(F35:H35)</f>
        <v>24330</v>
      </c>
      <c r="G36" s="1275"/>
      <c r="H36" s="1276"/>
    </row>
  </sheetData>
  <sheetProtection algorithmName="SHA-512" hashValue="LpZspdn8EBhYYlm8LdPzMFJPFKCPdR+0jHWS40BjqZyGaYJQZ76iZlA3H9tK3WuYnVqI8rB2yu4+yLzZ4rcrXg==" saltValue="u1CQ2gufQb4dGF1dRc/72Q==" spinCount="100000" sheet="1" objects="1" scenarios="1"/>
  <mergeCells count="30">
    <mergeCell ref="B30:C30"/>
    <mergeCell ref="E32:H32"/>
    <mergeCell ref="F36:H36"/>
    <mergeCell ref="B23:C23"/>
    <mergeCell ref="C25:H25"/>
    <mergeCell ref="B26:B27"/>
    <mergeCell ref="C26:C27"/>
    <mergeCell ref="D26:D27"/>
    <mergeCell ref="E26:E27"/>
    <mergeCell ref="F26:F27"/>
    <mergeCell ref="G26:G27"/>
    <mergeCell ref="H26:H27"/>
    <mergeCell ref="B13:C13"/>
    <mergeCell ref="C15:H15"/>
    <mergeCell ref="B16:B17"/>
    <mergeCell ref="C16:C17"/>
    <mergeCell ref="D16:D17"/>
    <mergeCell ref="E16:E17"/>
    <mergeCell ref="F16:F17"/>
    <mergeCell ref="G16:G17"/>
    <mergeCell ref="H16:H17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76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477DB-EECE-4C35-BE2C-90D36A09EA5B}">
  <sheetPr codeName="Sheet123">
    <pageSetUpPr fitToPage="1"/>
  </sheetPr>
  <dimension ref="B2:H36"/>
  <sheetViews>
    <sheetView workbookViewId="0"/>
  </sheetViews>
  <sheetFormatPr defaultColWidth="9.140625" defaultRowHeight="15"/>
  <cols>
    <col min="1" max="1" width="9.140625" style="202"/>
    <col min="2" max="2" width="21.5703125" style="202" customWidth="1"/>
    <col min="3" max="3" width="24.28515625" style="202" bestFit="1" customWidth="1"/>
    <col min="4" max="8" width="15.7109375" style="202" customWidth="1"/>
    <col min="9" max="16384" width="9.140625" style="202"/>
  </cols>
  <sheetData>
    <row r="2" spans="2:8" ht="19.5">
      <c r="B2" s="208" t="s">
        <v>13</v>
      </c>
      <c r="C2" s="204"/>
      <c r="D2" s="204"/>
      <c r="F2" s="211" t="s">
        <v>27</v>
      </c>
      <c r="G2" s="1247">
        <v>44481</v>
      </c>
      <c r="H2" s="1247"/>
    </row>
    <row r="3" spans="2:8">
      <c r="B3" s="204"/>
      <c r="C3" s="204"/>
      <c r="D3" s="204"/>
    </row>
    <row r="4" spans="2:8">
      <c r="B4" s="204"/>
      <c r="C4" s="204"/>
      <c r="D4" s="204"/>
    </row>
    <row r="5" spans="2:8">
      <c r="B5" s="204"/>
      <c r="C5" s="204"/>
      <c r="D5" s="204"/>
    </row>
    <row r="6" spans="2:8" ht="19.5">
      <c r="B6" s="209" t="s">
        <v>42</v>
      </c>
      <c r="C6" s="1248" t="s">
        <v>74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203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235" t="s">
        <v>53</v>
      </c>
      <c r="C9" s="205" t="s">
        <v>16</v>
      </c>
      <c r="D9" s="205">
        <v>150</v>
      </c>
      <c r="E9" s="12">
        <v>306</v>
      </c>
      <c r="F9" s="12">
        <v>0</v>
      </c>
      <c r="G9" s="12">
        <v>306</v>
      </c>
      <c r="H9" s="222">
        <f t="shared" ref="H9:H11" si="0">G9*10</f>
        <v>3060</v>
      </c>
    </row>
    <row r="10" spans="2:8" ht="20.100000000000001" customHeight="1">
      <c r="B10" s="235" t="s">
        <v>51</v>
      </c>
      <c r="C10" s="205" t="s">
        <v>16</v>
      </c>
      <c r="D10" s="205">
        <v>150</v>
      </c>
      <c r="E10" s="206">
        <v>247</v>
      </c>
      <c r="F10" s="206">
        <v>0</v>
      </c>
      <c r="G10" s="206">
        <v>247</v>
      </c>
      <c r="H10" s="222">
        <f t="shared" si="0"/>
        <v>2470</v>
      </c>
    </row>
    <row r="11" spans="2:8" ht="20.100000000000001" customHeight="1">
      <c r="B11" s="235" t="s">
        <v>70</v>
      </c>
      <c r="C11" s="205" t="s">
        <v>26</v>
      </c>
      <c r="D11" s="205">
        <v>150</v>
      </c>
      <c r="E11" s="206">
        <v>396</v>
      </c>
      <c r="F11" s="206">
        <v>0</v>
      </c>
      <c r="G11" s="206">
        <v>396</v>
      </c>
      <c r="H11" s="222">
        <f t="shared" si="0"/>
        <v>3960</v>
      </c>
    </row>
    <row r="12" spans="2:8" ht="20.100000000000001" customHeight="1">
      <c r="B12" s="235" t="s">
        <v>162</v>
      </c>
      <c r="C12" s="205" t="s">
        <v>26</v>
      </c>
      <c r="D12" s="205">
        <v>150</v>
      </c>
      <c r="E12" s="206">
        <v>209</v>
      </c>
      <c r="F12" s="206">
        <v>0</v>
      </c>
      <c r="G12" s="206">
        <v>209</v>
      </c>
      <c r="H12" s="222">
        <f>G12*10</f>
        <v>2090</v>
      </c>
    </row>
    <row r="13" spans="2:8" ht="20.100000000000001" customHeight="1">
      <c r="B13" s="1259" t="s">
        <v>24</v>
      </c>
      <c r="C13" s="1259"/>
      <c r="D13" s="205">
        <f>SUM(D9:D12)</f>
        <v>600</v>
      </c>
      <c r="E13" s="206">
        <f>SUM(E9:E12)</f>
        <v>1158</v>
      </c>
      <c r="F13" s="206">
        <f>SUM(F9:F12)</f>
        <v>0</v>
      </c>
      <c r="G13" s="17">
        <f>SUM(G9:G12)</f>
        <v>1158</v>
      </c>
      <c r="H13" s="222">
        <f>G13*10</f>
        <v>11580</v>
      </c>
    </row>
    <row r="15" spans="2:8" ht="19.5">
      <c r="B15" s="210" t="s">
        <v>21</v>
      </c>
      <c r="C15" s="1256" t="s">
        <v>46</v>
      </c>
      <c r="D15" s="1257"/>
      <c r="E15" s="1257"/>
      <c r="F15" s="1257"/>
      <c r="G15" s="1257"/>
      <c r="H15" s="1258"/>
    </row>
    <row r="16" spans="2:8" ht="15" customHeight="1">
      <c r="B16" s="1251" t="s">
        <v>0</v>
      </c>
      <c r="C16" s="1251" t="s">
        <v>1</v>
      </c>
      <c r="D16" s="1253" t="s">
        <v>23</v>
      </c>
      <c r="E16" s="1252" t="s">
        <v>40</v>
      </c>
      <c r="F16" s="1253" t="s">
        <v>41</v>
      </c>
      <c r="G16" s="1253" t="s">
        <v>39</v>
      </c>
      <c r="H16" s="1253" t="s">
        <v>31</v>
      </c>
    </row>
    <row r="17" spans="2:8" s="203" customFormat="1">
      <c r="B17" s="1251"/>
      <c r="C17" s="1251"/>
      <c r="D17" s="1254"/>
      <c r="E17" s="1252"/>
      <c r="F17" s="1254"/>
      <c r="G17" s="1254"/>
      <c r="H17" s="1254"/>
    </row>
    <row r="18" spans="2:8" ht="20.100000000000001" customHeight="1">
      <c r="B18" s="236" t="s">
        <v>185</v>
      </c>
      <c r="C18" s="205" t="s">
        <v>16</v>
      </c>
      <c r="D18" s="205">
        <v>150</v>
      </c>
      <c r="E18" s="206">
        <v>319</v>
      </c>
      <c r="F18" s="206">
        <v>0</v>
      </c>
      <c r="G18" s="206">
        <v>319</v>
      </c>
      <c r="H18" s="222">
        <f t="shared" ref="H18:H22" si="1">G18*10</f>
        <v>3190</v>
      </c>
    </row>
    <row r="19" spans="2:8" ht="20.100000000000001" customHeight="1">
      <c r="B19" s="236" t="s">
        <v>12</v>
      </c>
      <c r="C19" s="205" t="s">
        <v>16</v>
      </c>
      <c r="D19" s="205">
        <v>150</v>
      </c>
      <c r="E19" s="206">
        <v>175</v>
      </c>
      <c r="F19" s="206">
        <v>0</v>
      </c>
      <c r="G19" s="206">
        <v>175</v>
      </c>
      <c r="H19" s="222">
        <f t="shared" si="1"/>
        <v>1750</v>
      </c>
    </row>
    <row r="20" spans="2:8" ht="20.100000000000001" customHeight="1">
      <c r="B20" s="236" t="s">
        <v>186</v>
      </c>
      <c r="C20" s="205" t="s">
        <v>71</v>
      </c>
      <c r="D20" s="205">
        <v>150</v>
      </c>
      <c r="E20" s="206">
        <v>173</v>
      </c>
      <c r="F20" s="206">
        <v>0</v>
      </c>
      <c r="G20" s="206">
        <v>173</v>
      </c>
      <c r="H20" s="222">
        <f>G20*10</f>
        <v>1730</v>
      </c>
    </row>
    <row r="21" spans="2:8" ht="20.100000000000001" customHeight="1">
      <c r="B21" s="236" t="s">
        <v>70</v>
      </c>
      <c r="C21" s="205" t="s">
        <v>26</v>
      </c>
      <c r="D21" s="205">
        <v>150</v>
      </c>
      <c r="E21" s="206">
        <v>378</v>
      </c>
      <c r="F21" s="206">
        <v>0</v>
      </c>
      <c r="G21" s="206">
        <v>378</v>
      </c>
      <c r="H21" s="222">
        <f t="shared" si="1"/>
        <v>3780</v>
      </c>
    </row>
    <row r="22" spans="2:8" ht="20.100000000000001" customHeight="1">
      <c r="B22" s="236" t="s">
        <v>164</v>
      </c>
      <c r="C22" s="205" t="s">
        <v>26</v>
      </c>
      <c r="D22" s="205">
        <v>150</v>
      </c>
      <c r="E22" s="206">
        <v>227</v>
      </c>
      <c r="F22" s="12">
        <v>0</v>
      </c>
      <c r="G22" s="206">
        <v>227</v>
      </c>
      <c r="H22" s="222">
        <f t="shared" si="1"/>
        <v>2270</v>
      </c>
    </row>
    <row r="23" spans="2:8" ht="20.100000000000001" customHeight="1">
      <c r="B23" s="1259" t="s">
        <v>24</v>
      </c>
      <c r="C23" s="1259"/>
      <c r="D23" s="205">
        <f>SUM(D18:D22)</f>
        <v>750</v>
      </c>
      <c r="E23" s="206">
        <f>SUM(E18:E22)</f>
        <v>1272</v>
      </c>
      <c r="F23" s="206">
        <f>SUM(F18:F22)</f>
        <v>0</v>
      </c>
      <c r="G23" s="206">
        <f>SUM(G18:G22)</f>
        <v>1272</v>
      </c>
      <c r="H23" s="222">
        <f>G23*10</f>
        <v>12720</v>
      </c>
    </row>
    <row r="24" spans="2:8">
      <c r="B24" s="212"/>
      <c r="C24" s="212"/>
      <c r="D24" s="213"/>
      <c r="E24" s="213"/>
      <c r="F24" s="213"/>
      <c r="G24" s="213"/>
      <c r="H24" s="213"/>
    </row>
    <row r="25" spans="2:8" ht="19.5">
      <c r="B25" s="214" t="s">
        <v>28</v>
      </c>
      <c r="C25" s="1264" t="s">
        <v>29</v>
      </c>
      <c r="D25" s="1265"/>
      <c r="E25" s="1265"/>
      <c r="F25" s="1265"/>
      <c r="G25" s="1265"/>
      <c r="H25" s="1266"/>
    </row>
    <row r="26" spans="2:8" ht="15" customHeight="1">
      <c r="B26" s="1251" t="s">
        <v>0</v>
      </c>
      <c r="C26" s="1251" t="s">
        <v>1</v>
      </c>
      <c r="D26" s="1253" t="s">
        <v>23</v>
      </c>
      <c r="E26" s="1252" t="s">
        <v>40</v>
      </c>
      <c r="F26" s="1253" t="s">
        <v>41</v>
      </c>
      <c r="G26" s="1253" t="s">
        <v>39</v>
      </c>
      <c r="H26" s="1253" t="s">
        <v>31</v>
      </c>
    </row>
    <row r="27" spans="2:8">
      <c r="B27" s="1251"/>
      <c r="C27" s="1251"/>
      <c r="D27" s="1254"/>
      <c r="E27" s="1252"/>
      <c r="F27" s="1254"/>
      <c r="G27" s="1254"/>
      <c r="H27" s="1254"/>
    </row>
    <row r="28" spans="2:8">
      <c r="B28" s="237" t="s">
        <v>70</v>
      </c>
      <c r="C28" s="205" t="s">
        <v>26</v>
      </c>
      <c r="D28" s="205">
        <v>100</v>
      </c>
      <c r="E28" s="206">
        <v>395</v>
      </c>
      <c r="F28" s="206">
        <v>0</v>
      </c>
      <c r="G28" s="206">
        <v>395</v>
      </c>
      <c r="H28" s="222">
        <f>G28*10</f>
        <v>3950</v>
      </c>
    </row>
    <row r="29" spans="2:8">
      <c r="B29" s="237" t="s">
        <v>164</v>
      </c>
      <c r="C29" s="205" t="s">
        <v>26</v>
      </c>
      <c r="D29" s="205">
        <v>100</v>
      </c>
      <c r="E29" s="206">
        <v>167</v>
      </c>
      <c r="F29" s="206">
        <v>0</v>
      </c>
      <c r="G29" s="206">
        <v>167</v>
      </c>
      <c r="H29" s="222">
        <f>G29*10</f>
        <v>1670</v>
      </c>
    </row>
    <row r="30" spans="2:8" ht="20.100000000000001" customHeight="1">
      <c r="B30" s="1259" t="s">
        <v>24</v>
      </c>
      <c r="C30" s="1259"/>
      <c r="D30" s="205">
        <f>SUM(D28:D29)</f>
        <v>200</v>
      </c>
      <c r="E30" s="206">
        <f>SUM(E28:E29)</f>
        <v>562</v>
      </c>
      <c r="F30" s="206">
        <f>SUM(F28:F29)</f>
        <v>0</v>
      </c>
      <c r="G30" s="206">
        <f>SUM(G28:G29)</f>
        <v>562</v>
      </c>
      <c r="H30" s="222">
        <f>G30*10</f>
        <v>5620</v>
      </c>
    </row>
    <row r="32" spans="2:8" ht="19.5">
      <c r="B32" s="207" t="s">
        <v>5</v>
      </c>
      <c r="C32" s="215"/>
      <c r="E32" s="1271" t="s">
        <v>32</v>
      </c>
      <c r="F32" s="1272"/>
      <c r="G32" s="1272"/>
      <c r="H32" s="1273"/>
    </row>
    <row r="33" spans="2:8">
      <c r="B33" s="216" t="s">
        <v>4</v>
      </c>
      <c r="C33" s="217"/>
      <c r="E33" s="218"/>
      <c r="F33" s="220" t="s">
        <v>34</v>
      </c>
      <c r="G33" s="220" t="s">
        <v>35</v>
      </c>
      <c r="H33" s="220" t="s">
        <v>37</v>
      </c>
    </row>
    <row r="34" spans="2:8">
      <c r="B34" s="216" t="s">
        <v>33</v>
      </c>
      <c r="C34" s="217"/>
      <c r="E34" s="221" t="s">
        <v>39</v>
      </c>
      <c r="F34" s="223">
        <f>G13</f>
        <v>1158</v>
      </c>
      <c r="G34" s="224">
        <f>G23</f>
        <v>1272</v>
      </c>
      <c r="H34" s="224">
        <f>G30</f>
        <v>562</v>
      </c>
    </row>
    <row r="35" spans="2:8">
      <c r="B35" s="216" t="s">
        <v>25</v>
      </c>
      <c r="C35" s="217"/>
      <c r="E35" s="221" t="s">
        <v>36</v>
      </c>
      <c r="F35" s="219">
        <f>F34*10</f>
        <v>11580</v>
      </c>
      <c r="G35" s="219">
        <f>G34*10</f>
        <v>12720</v>
      </c>
      <c r="H35" s="219">
        <f>H34*10</f>
        <v>5620</v>
      </c>
    </row>
    <row r="36" spans="2:8" ht="19.5">
      <c r="E36" s="210" t="s">
        <v>38</v>
      </c>
      <c r="F36" s="1274">
        <f>SUM(F35:H35)</f>
        <v>29920</v>
      </c>
      <c r="G36" s="1275"/>
      <c r="H36" s="1276"/>
    </row>
  </sheetData>
  <sheetProtection algorithmName="SHA-512" hashValue="tAmYfCLSzNKU6ybNqIfW377x+M6EzXXImAZFMzxcWoQpnAya/oaSDy6bSG0TtKy5RdaKq2P3xBbu4+y1TPMeEA==" saltValue="ShSgiblJKzzkkg0xb3uUQA==" spinCount="100000" sheet="1" objects="1" scenarios="1"/>
  <mergeCells count="30">
    <mergeCell ref="G2:H2"/>
    <mergeCell ref="C6:H6"/>
    <mergeCell ref="B7:B8"/>
    <mergeCell ref="C7:C8"/>
    <mergeCell ref="D7:D8"/>
    <mergeCell ref="E7:E8"/>
    <mergeCell ref="F7:F8"/>
    <mergeCell ref="G7:G8"/>
    <mergeCell ref="H7:H8"/>
    <mergeCell ref="B13:C13"/>
    <mergeCell ref="C15:H15"/>
    <mergeCell ref="B16:B17"/>
    <mergeCell ref="C16:C17"/>
    <mergeCell ref="D16:D17"/>
    <mergeCell ref="E16:E17"/>
    <mergeCell ref="F16:F17"/>
    <mergeCell ref="G16:G17"/>
    <mergeCell ref="H16:H17"/>
    <mergeCell ref="B30:C30"/>
    <mergeCell ref="E32:H32"/>
    <mergeCell ref="F36:H36"/>
    <mergeCell ref="B23:C23"/>
    <mergeCell ref="C25:H25"/>
    <mergeCell ref="B26:B27"/>
    <mergeCell ref="C26:C27"/>
    <mergeCell ref="D26:D27"/>
    <mergeCell ref="E26:E27"/>
    <mergeCell ref="F26:F27"/>
    <mergeCell ref="G26:G27"/>
    <mergeCell ref="H26:H27"/>
  </mergeCells>
  <pageMargins left="0.7" right="0.7" top="0.75" bottom="0.75" header="0.3" footer="0.3"/>
  <pageSetup scale="76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4C845-C9EB-450F-94FC-C3F7057573AB}">
  <sheetPr codeName="Sheet124">
    <pageSetUpPr fitToPage="1"/>
  </sheetPr>
  <dimension ref="B2:H36"/>
  <sheetViews>
    <sheetView workbookViewId="0"/>
  </sheetViews>
  <sheetFormatPr defaultColWidth="9.140625" defaultRowHeight="15"/>
  <cols>
    <col min="1" max="1" width="9.140625" style="202"/>
    <col min="2" max="2" width="21.5703125" style="202" customWidth="1"/>
    <col min="3" max="3" width="24.28515625" style="202" bestFit="1" customWidth="1"/>
    <col min="4" max="8" width="15.7109375" style="202" customWidth="1"/>
    <col min="9" max="16384" width="9.140625" style="202"/>
  </cols>
  <sheetData>
    <row r="2" spans="2:8" ht="19.5">
      <c r="B2" s="208" t="s">
        <v>13</v>
      </c>
      <c r="C2" s="204"/>
      <c r="D2" s="204"/>
      <c r="F2" s="211" t="s">
        <v>27</v>
      </c>
      <c r="G2" s="1247">
        <v>44480</v>
      </c>
      <c r="H2" s="1247"/>
    </row>
    <row r="3" spans="2:8">
      <c r="B3" s="204"/>
      <c r="C3" s="204"/>
      <c r="D3" s="204"/>
    </row>
    <row r="4" spans="2:8">
      <c r="B4" s="204"/>
      <c r="C4" s="204"/>
      <c r="D4" s="204"/>
    </row>
    <row r="5" spans="2:8">
      <c r="B5" s="204"/>
      <c r="C5" s="204"/>
      <c r="D5" s="204"/>
    </row>
    <row r="6" spans="2:8" ht="19.5">
      <c r="B6" s="209" t="s">
        <v>42</v>
      </c>
      <c r="C6" s="1248" t="s">
        <v>74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203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205" t="s">
        <v>53</v>
      </c>
      <c r="C9" s="205" t="s">
        <v>16</v>
      </c>
      <c r="D9" s="205">
        <v>150</v>
      </c>
      <c r="E9" s="12">
        <v>270</v>
      </c>
      <c r="F9" s="12">
        <v>0</v>
      </c>
      <c r="G9" s="12">
        <v>270</v>
      </c>
      <c r="H9" s="222">
        <f t="shared" ref="H9:H11" si="0">G9*10</f>
        <v>2700</v>
      </c>
    </row>
    <row r="10" spans="2:8" ht="20.100000000000001" customHeight="1">
      <c r="B10" s="205" t="s">
        <v>63</v>
      </c>
      <c r="C10" s="205" t="s">
        <v>16</v>
      </c>
      <c r="D10" s="205">
        <v>150</v>
      </c>
      <c r="E10" s="206">
        <v>192</v>
      </c>
      <c r="F10" s="206">
        <v>0</v>
      </c>
      <c r="G10" s="206">
        <v>192</v>
      </c>
      <c r="H10" s="222">
        <f t="shared" si="0"/>
        <v>1920</v>
      </c>
    </row>
    <row r="11" spans="2:8" ht="20.100000000000001" customHeight="1">
      <c r="B11" s="205" t="s">
        <v>144</v>
      </c>
      <c r="C11" s="205" t="s">
        <v>26</v>
      </c>
      <c r="D11" s="205">
        <v>150</v>
      </c>
      <c r="E11" s="206">
        <v>135</v>
      </c>
      <c r="F11" s="206">
        <v>15</v>
      </c>
      <c r="G11" s="206">
        <v>150</v>
      </c>
      <c r="H11" s="222">
        <f t="shared" si="0"/>
        <v>1500</v>
      </c>
    </row>
    <row r="12" spans="2:8" ht="20.100000000000001" customHeight="1">
      <c r="B12" s="205" t="s">
        <v>70</v>
      </c>
      <c r="C12" s="205" t="s">
        <v>26</v>
      </c>
      <c r="D12" s="205">
        <v>150</v>
      </c>
      <c r="E12" s="206">
        <v>486</v>
      </c>
      <c r="F12" s="206">
        <v>0</v>
      </c>
      <c r="G12" s="206">
        <v>486</v>
      </c>
      <c r="H12" s="222">
        <f>G12*10</f>
        <v>4860</v>
      </c>
    </row>
    <row r="13" spans="2:8" ht="20.100000000000001" customHeight="1">
      <c r="B13" s="1259" t="s">
        <v>24</v>
      </c>
      <c r="C13" s="1259"/>
      <c r="D13" s="205">
        <f>SUM(D9:D12)</f>
        <v>600</v>
      </c>
      <c r="E13" s="206">
        <f>SUM(E9:E12)</f>
        <v>1083</v>
      </c>
      <c r="F13" s="206">
        <f>SUM(F9:F12)</f>
        <v>15</v>
      </c>
      <c r="G13" s="17">
        <f>SUM(G9:G12)</f>
        <v>1098</v>
      </c>
      <c r="H13" s="222">
        <f>G13*10</f>
        <v>10980</v>
      </c>
    </row>
    <row r="15" spans="2:8" ht="19.5">
      <c r="B15" s="210" t="s">
        <v>21</v>
      </c>
      <c r="C15" s="1256" t="s">
        <v>46</v>
      </c>
      <c r="D15" s="1257"/>
      <c r="E15" s="1257"/>
      <c r="F15" s="1257"/>
      <c r="G15" s="1257"/>
      <c r="H15" s="1258"/>
    </row>
    <row r="16" spans="2:8" ht="15" customHeight="1">
      <c r="B16" s="1251" t="s">
        <v>0</v>
      </c>
      <c r="C16" s="1251" t="s">
        <v>1</v>
      </c>
      <c r="D16" s="1253" t="s">
        <v>23</v>
      </c>
      <c r="E16" s="1252" t="s">
        <v>40</v>
      </c>
      <c r="F16" s="1253" t="s">
        <v>41</v>
      </c>
      <c r="G16" s="1253" t="s">
        <v>39</v>
      </c>
      <c r="H16" s="1253" t="s">
        <v>31</v>
      </c>
    </row>
    <row r="17" spans="2:8" s="203" customFormat="1">
      <c r="B17" s="1251"/>
      <c r="C17" s="1251"/>
      <c r="D17" s="1254"/>
      <c r="E17" s="1252"/>
      <c r="F17" s="1254"/>
      <c r="G17" s="1254"/>
      <c r="H17" s="1254"/>
    </row>
    <row r="18" spans="2:8" ht="20.100000000000001" customHeight="1">
      <c r="B18" s="205" t="s">
        <v>171</v>
      </c>
      <c r="C18" s="205" t="s">
        <v>16</v>
      </c>
      <c r="D18" s="205">
        <v>150</v>
      </c>
      <c r="E18" s="206">
        <v>296</v>
      </c>
      <c r="F18" s="206">
        <v>0</v>
      </c>
      <c r="G18" s="206">
        <v>296</v>
      </c>
      <c r="H18" s="222">
        <f t="shared" ref="H18:H22" si="1">G18*10</f>
        <v>2960</v>
      </c>
    </row>
    <row r="19" spans="2:8" ht="20.100000000000001" customHeight="1">
      <c r="B19" s="205" t="s">
        <v>63</v>
      </c>
      <c r="C19" s="205" t="s">
        <v>16</v>
      </c>
      <c r="D19" s="205">
        <v>150</v>
      </c>
      <c r="E19" s="206">
        <v>145</v>
      </c>
      <c r="F19" s="206">
        <v>5</v>
      </c>
      <c r="G19" s="206">
        <v>150</v>
      </c>
      <c r="H19" s="222">
        <f t="shared" si="1"/>
        <v>1500</v>
      </c>
    </row>
    <row r="20" spans="2:8" ht="20.100000000000001" customHeight="1">
      <c r="B20" s="205" t="s">
        <v>184</v>
      </c>
      <c r="C20" s="205" t="s">
        <v>71</v>
      </c>
      <c r="D20" s="205">
        <v>150</v>
      </c>
      <c r="E20" s="206">
        <v>96</v>
      </c>
      <c r="F20" s="206">
        <v>54</v>
      </c>
      <c r="G20" s="206">
        <v>150</v>
      </c>
      <c r="H20" s="222">
        <f>G20*10</f>
        <v>1500</v>
      </c>
    </row>
    <row r="21" spans="2:8" ht="20.100000000000001" customHeight="1">
      <c r="B21" s="205" t="s">
        <v>144</v>
      </c>
      <c r="C21" s="205" t="s">
        <v>26</v>
      </c>
      <c r="D21" s="205">
        <v>150</v>
      </c>
      <c r="E21" s="206">
        <v>150</v>
      </c>
      <c r="F21" s="206">
        <v>0</v>
      </c>
      <c r="G21" s="206">
        <v>150</v>
      </c>
      <c r="H21" s="222">
        <f t="shared" si="1"/>
        <v>1500</v>
      </c>
    </row>
    <row r="22" spans="2:8" ht="20.100000000000001" customHeight="1">
      <c r="B22" s="205" t="s">
        <v>70</v>
      </c>
      <c r="C22" s="205" t="s">
        <v>26</v>
      </c>
      <c r="D22" s="205">
        <v>150</v>
      </c>
      <c r="E22" s="206">
        <v>350</v>
      </c>
      <c r="F22" s="12">
        <v>0</v>
      </c>
      <c r="G22" s="206">
        <v>350</v>
      </c>
      <c r="H22" s="222">
        <f t="shared" si="1"/>
        <v>3500</v>
      </c>
    </row>
    <row r="23" spans="2:8" ht="20.100000000000001" customHeight="1">
      <c r="B23" s="1259" t="s">
        <v>24</v>
      </c>
      <c r="C23" s="1259"/>
      <c r="D23" s="205">
        <f>SUM(D18:D22)</f>
        <v>750</v>
      </c>
      <c r="E23" s="206">
        <f>SUM(E18:E22)</f>
        <v>1037</v>
      </c>
      <c r="F23" s="206">
        <f>SUM(F18:F22)</f>
        <v>59</v>
      </c>
      <c r="G23" s="206">
        <f>SUM(G18:G22)</f>
        <v>1096</v>
      </c>
      <c r="H23" s="222">
        <f>G23*10</f>
        <v>10960</v>
      </c>
    </row>
    <row r="24" spans="2:8">
      <c r="B24" s="212"/>
      <c r="C24" s="212"/>
      <c r="D24" s="213"/>
      <c r="E24" s="213"/>
      <c r="F24" s="213"/>
      <c r="G24" s="213"/>
      <c r="H24" s="213"/>
    </row>
    <row r="25" spans="2:8" ht="19.5">
      <c r="B25" s="214" t="s">
        <v>28</v>
      </c>
      <c r="C25" s="1264" t="s">
        <v>29</v>
      </c>
      <c r="D25" s="1265"/>
      <c r="E25" s="1265"/>
      <c r="F25" s="1265"/>
      <c r="G25" s="1265"/>
      <c r="H25" s="1266"/>
    </row>
    <row r="26" spans="2:8" ht="15" customHeight="1">
      <c r="B26" s="1251" t="s">
        <v>0</v>
      </c>
      <c r="C26" s="1251" t="s">
        <v>1</v>
      </c>
      <c r="D26" s="1253" t="s">
        <v>23</v>
      </c>
      <c r="E26" s="1252" t="s">
        <v>40</v>
      </c>
      <c r="F26" s="1253" t="s">
        <v>41</v>
      </c>
      <c r="G26" s="1253" t="s">
        <v>39</v>
      </c>
      <c r="H26" s="1253" t="s">
        <v>31</v>
      </c>
    </row>
    <row r="27" spans="2:8">
      <c r="B27" s="1251"/>
      <c r="C27" s="1251"/>
      <c r="D27" s="1254"/>
      <c r="E27" s="1252"/>
      <c r="F27" s="1254"/>
      <c r="G27" s="1254"/>
      <c r="H27" s="1254"/>
    </row>
    <row r="28" spans="2:8">
      <c r="B28" s="205" t="s">
        <v>144</v>
      </c>
      <c r="C28" s="205" t="s">
        <v>26</v>
      </c>
      <c r="D28" s="205">
        <v>100</v>
      </c>
      <c r="E28" s="206">
        <v>70</v>
      </c>
      <c r="F28" s="206">
        <v>30</v>
      </c>
      <c r="G28" s="206">
        <v>100</v>
      </c>
      <c r="H28" s="222">
        <f>G28*10</f>
        <v>1000</v>
      </c>
    </row>
    <row r="29" spans="2:8">
      <c r="B29" s="205" t="s">
        <v>70</v>
      </c>
      <c r="C29" s="205" t="s">
        <v>26</v>
      </c>
      <c r="D29" s="205">
        <v>100</v>
      </c>
      <c r="E29" s="206">
        <v>478</v>
      </c>
      <c r="F29" s="206">
        <v>0</v>
      </c>
      <c r="G29" s="206">
        <v>478</v>
      </c>
      <c r="H29" s="222">
        <f>G29*10</f>
        <v>4780</v>
      </c>
    </row>
    <row r="30" spans="2:8" ht="20.100000000000001" customHeight="1">
      <c r="B30" s="1259" t="s">
        <v>24</v>
      </c>
      <c r="C30" s="1259"/>
      <c r="D30" s="205">
        <f>SUM(D28:D29)</f>
        <v>200</v>
      </c>
      <c r="E30" s="206">
        <f>SUM(E28:E29)</f>
        <v>548</v>
      </c>
      <c r="F30" s="206">
        <f>SUM(F28:F29)</f>
        <v>30</v>
      </c>
      <c r="G30" s="206">
        <f>SUM(G28:G29)</f>
        <v>578</v>
      </c>
      <c r="H30" s="222">
        <f>G30*10</f>
        <v>5780</v>
      </c>
    </row>
    <row r="32" spans="2:8" ht="19.5">
      <c r="B32" s="207" t="s">
        <v>5</v>
      </c>
      <c r="C32" s="215"/>
      <c r="E32" s="1271" t="s">
        <v>32</v>
      </c>
      <c r="F32" s="1272"/>
      <c r="G32" s="1272"/>
      <c r="H32" s="1273"/>
    </row>
    <row r="33" spans="2:8">
      <c r="B33" s="216" t="s">
        <v>4</v>
      </c>
      <c r="C33" s="217"/>
      <c r="E33" s="218"/>
      <c r="F33" s="220" t="s">
        <v>34</v>
      </c>
      <c r="G33" s="220" t="s">
        <v>35</v>
      </c>
      <c r="H33" s="220" t="s">
        <v>37</v>
      </c>
    </row>
    <row r="34" spans="2:8">
      <c r="B34" s="216" t="s">
        <v>33</v>
      </c>
      <c r="C34" s="217"/>
      <c r="E34" s="221" t="s">
        <v>39</v>
      </c>
      <c r="F34" s="223">
        <f>G13</f>
        <v>1098</v>
      </c>
      <c r="G34" s="224">
        <f>G23</f>
        <v>1096</v>
      </c>
      <c r="H34" s="224">
        <f>G30</f>
        <v>578</v>
      </c>
    </row>
    <row r="35" spans="2:8">
      <c r="B35" s="216" t="s">
        <v>25</v>
      </c>
      <c r="C35" s="217"/>
      <c r="E35" s="221" t="s">
        <v>36</v>
      </c>
      <c r="F35" s="219">
        <f>F34*10</f>
        <v>10980</v>
      </c>
      <c r="G35" s="219">
        <f>G34*10</f>
        <v>10960</v>
      </c>
      <c r="H35" s="219">
        <f>H34*10</f>
        <v>5780</v>
      </c>
    </row>
    <row r="36" spans="2:8" ht="19.5">
      <c r="E36" s="210" t="s">
        <v>38</v>
      </c>
      <c r="F36" s="1274">
        <f>SUM(F35:H35)</f>
        <v>27720</v>
      </c>
      <c r="G36" s="1275"/>
      <c r="H36" s="1276"/>
    </row>
  </sheetData>
  <sheetProtection algorithmName="SHA-512" hashValue="74UcTvxNXaZxfpm0OsJi8QmKHyPmNt/6xTv5c2thg9aaxYQPEr220W2mIfbQqjUVVpnenER26Ypj2/sFwHehQg==" saltValue="aaCs9C/rqBk8pn51cDkEwA==" spinCount="100000" sheet="1" objects="1" scenarios="1"/>
  <mergeCells count="30">
    <mergeCell ref="G2:H2"/>
    <mergeCell ref="C6:H6"/>
    <mergeCell ref="B7:B8"/>
    <mergeCell ref="C7:C8"/>
    <mergeCell ref="D7:D8"/>
    <mergeCell ref="E7:E8"/>
    <mergeCell ref="F7:F8"/>
    <mergeCell ref="G7:G8"/>
    <mergeCell ref="H7:H8"/>
    <mergeCell ref="B13:C13"/>
    <mergeCell ref="C15:H15"/>
    <mergeCell ref="B16:B17"/>
    <mergeCell ref="C16:C17"/>
    <mergeCell ref="D16:D17"/>
    <mergeCell ref="E16:E17"/>
    <mergeCell ref="F16:F17"/>
    <mergeCell ref="G16:G17"/>
    <mergeCell ref="H16:H17"/>
    <mergeCell ref="B30:C30"/>
    <mergeCell ref="E32:H32"/>
    <mergeCell ref="F36:H36"/>
    <mergeCell ref="B23:C23"/>
    <mergeCell ref="C25:H25"/>
    <mergeCell ref="B26:B27"/>
    <mergeCell ref="C26:C27"/>
    <mergeCell ref="D26:D27"/>
    <mergeCell ref="E26:E27"/>
    <mergeCell ref="F26:F27"/>
    <mergeCell ref="G26:G27"/>
    <mergeCell ref="H26:H27"/>
  </mergeCells>
  <pageMargins left="0.7" right="0.7" top="0.75" bottom="0.75" header="0.3" footer="0.3"/>
  <pageSetup scale="76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5BCA1-942C-45BF-B1CC-CE66633838B2}">
  <sheetPr codeName="Sheet125">
    <pageSetUpPr fitToPage="1"/>
  </sheetPr>
  <dimension ref="B2:H35"/>
  <sheetViews>
    <sheetView workbookViewId="0"/>
  </sheetViews>
  <sheetFormatPr defaultColWidth="9.140625" defaultRowHeight="15"/>
  <cols>
    <col min="1" max="1" width="9.140625" style="202"/>
    <col min="2" max="2" width="21.5703125" style="202" customWidth="1"/>
    <col min="3" max="3" width="24.28515625" style="202" bestFit="1" customWidth="1"/>
    <col min="4" max="8" width="15.7109375" style="202" customWidth="1"/>
    <col min="9" max="16384" width="9.140625" style="202"/>
  </cols>
  <sheetData>
    <row r="2" spans="2:8" ht="19.5">
      <c r="B2" s="208" t="s">
        <v>13</v>
      </c>
      <c r="C2" s="204"/>
      <c r="D2" s="204"/>
      <c r="F2" s="211" t="s">
        <v>27</v>
      </c>
      <c r="G2" s="1247">
        <v>44479</v>
      </c>
      <c r="H2" s="1247"/>
    </row>
    <row r="3" spans="2:8">
      <c r="B3" s="204"/>
      <c r="C3" s="204"/>
      <c r="D3" s="204"/>
    </row>
    <row r="4" spans="2:8">
      <c r="B4" s="204"/>
      <c r="C4" s="204"/>
      <c r="D4" s="204"/>
    </row>
    <row r="5" spans="2:8">
      <c r="B5" s="204"/>
      <c r="C5" s="204"/>
      <c r="D5" s="204"/>
    </row>
    <row r="6" spans="2:8" ht="19.5">
      <c r="B6" s="209" t="s">
        <v>42</v>
      </c>
      <c r="C6" s="1248" t="s">
        <v>61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203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226"/>
      <c r="C9" s="226"/>
      <c r="D9" s="226">
        <v>150</v>
      </c>
      <c r="E9" s="227"/>
      <c r="F9" s="227"/>
      <c r="G9" s="227"/>
      <c r="H9" s="225">
        <f t="shared" ref="H9:H13" si="0">G9*10</f>
        <v>0</v>
      </c>
    </row>
    <row r="10" spans="2:8" ht="20.100000000000001" customHeight="1">
      <c r="B10" s="226"/>
      <c r="C10" s="226"/>
      <c r="D10" s="226">
        <v>150</v>
      </c>
      <c r="E10" s="227"/>
      <c r="F10" s="227"/>
      <c r="G10" s="227"/>
      <c r="H10" s="225">
        <f t="shared" si="0"/>
        <v>0</v>
      </c>
    </row>
    <row r="11" spans="2:8" ht="20.100000000000001" customHeight="1">
      <c r="B11" s="226"/>
      <c r="C11" s="226"/>
      <c r="D11" s="226">
        <v>150</v>
      </c>
      <c r="E11" s="227"/>
      <c r="F11" s="227"/>
      <c r="G11" s="227"/>
      <c r="H11" s="225">
        <f t="shared" si="0"/>
        <v>0</v>
      </c>
    </row>
    <row r="12" spans="2:8" ht="20.100000000000001" customHeight="1">
      <c r="B12" s="226"/>
      <c r="C12" s="226"/>
      <c r="D12" s="226">
        <v>150</v>
      </c>
      <c r="E12" s="227"/>
      <c r="F12" s="227"/>
      <c r="G12" s="227"/>
      <c r="H12" s="225">
        <f t="shared" si="0"/>
        <v>0</v>
      </c>
    </row>
    <row r="13" spans="2:8" ht="20.100000000000001" customHeight="1">
      <c r="B13" s="226"/>
      <c r="C13" s="226"/>
      <c r="D13" s="226">
        <v>150</v>
      </c>
      <c r="E13" s="227"/>
      <c r="F13" s="227"/>
      <c r="G13" s="227"/>
      <c r="H13" s="225">
        <f t="shared" si="0"/>
        <v>0</v>
      </c>
    </row>
    <row r="14" spans="2:8" ht="20.100000000000001" customHeight="1">
      <c r="B14" s="1279" t="s">
        <v>24</v>
      </c>
      <c r="C14" s="1279"/>
      <c r="D14" s="226">
        <f>SUM(D9:D13)</f>
        <v>750</v>
      </c>
      <c r="E14" s="227">
        <f>SUM(E9:E13)</f>
        <v>0</v>
      </c>
      <c r="F14" s="227">
        <f>SUM(F9:F13)</f>
        <v>0</v>
      </c>
      <c r="G14" s="228">
        <f>SUM(G9:G13)</f>
        <v>0</v>
      </c>
      <c r="H14" s="225">
        <f>G14*10</f>
        <v>0</v>
      </c>
    </row>
    <row r="16" spans="2:8" ht="19.5">
      <c r="B16" s="210" t="s">
        <v>21</v>
      </c>
      <c r="C16" s="1256" t="s">
        <v>182</v>
      </c>
      <c r="D16" s="1257"/>
      <c r="E16" s="1257"/>
      <c r="F16" s="1257"/>
      <c r="G16" s="1257"/>
      <c r="H16" s="1258"/>
    </row>
    <row r="17" spans="2:8" ht="15" customHeight="1">
      <c r="B17" s="1251" t="s">
        <v>0</v>
      </c>
      <c r="C17" s="1251" t="s">
        <v>1</v>
      </c>
      <c r="D17" s="1253" t="s">
        <v>23</v>
      </c>
      <c r="E17" s="1252" t="s">
        <v>40</v>
      </c>
      <c r="F17" s="1253" t="s">
        <v>41</v>
      </c>
      <c r="G17" s="1253" t="s">
        <v>39</v>
      </c>
      <c r="H17" s="1253" t="s">
        <v>31</v>
      </c>
    </row>
    <row r="18" spans="2:8" s="203" customFormat="1">
      <c r="B18" s="1251"/>
      <c r="C18" s="1251"/>
      <c r="D18" s="1254"/>
      <c r="E18" s="1252"/>
      <c r="F18" s="1254"/>
      <c r="G18" s="1254"/>
      <c r="H18" s="1254"/>
    </row>
    <row r="19" spans="2:8">
      <c r="B19" s="231" t="s">
        <v>63</v>
      </c>
      <c r="C19" s="205" t="s">
        <v>26</v>
      </c>
      <c r="D19" s="205">
        <v>150</v>
      </c>
      <c r="E19" s="206">
        <v>188</v>
      </c>
      <c r="F19" s="206">
        <v>0</v>
      </c>
      <c r="G19" s="206">
        <v>188</v>
      </c>
      <c r="H19" s="222">
        <f>G19*10</f>
        <v>1880</v>
      </c>
    </row>
    <row r="20" spans="2:8">
      <c r="B20" s="231" t="s">
        <v>183</v>
      </c>
      <c r="C20" s="205" t="s">
        <v>26</v>
      </c>
      <c r="D20" s="205">
        <v>150</v>
      </c>
      <c r="E20" s="206">
        <v>200</v>
      </c>
      <c r="F20" s="206">
        <v>0</v>
      </c>
      <c r="G20" s="206">
        <v>200</v>
      </c>
      <c r="H20" s="222">
        <f>G20*10</f>
        <v>2000</v>
      </c>
    </row>
    <row r="21" spans="2:8" ht="20.100000000000001" customHeight="1">
      <c r="B21" s="1259" t="s">
        <v>24</v>
      </c>
      <c r="C21" s="1259"/>
      <c r="D21" s="205">
        <f>SUM(D19:D20)</f>
        <v>300</v>
      </c>
      <c r="E21" s="206">
        <f>SUM(E19:E20)</f>
        <v>388</v>
      </c>
      <c r="F21" s="206">
        <f>SUM(F19:F20)</f>
        <v>0</v>
      </c>
      <c r="G21" s="206">
        <f>SUM(G19:G20)</f>
        <v>388</v>
      </c>
      <c r="H21" s="222">
        <f>G21*10</f>
        <v>3880</v>
      </c>
    </row>
    <row r="22" spans="2:8">
      <c r="B22" s="212"/>
      <c r="C22" s="212"/>
      <c r="D22" s="213"/>
      <c r="E22" s="213"/>
      <c r="F22" s="213"/>
      <c r="G22" s="213"/>
      <c r="H22" s="213"/>
    </row>
    <row r="23" spans="2:8" ht="19.5">
      <c r="B23" s="214" t="s">
        <v>28</v>
      </c>
      <c r="C23" s="1264" t="s">
        <v>29</v>
      </c>
      <c r="D23" s="1265"/>
      <c r="E23" s="1265"/>
      <c r="F23" s="1265"/>
      <c r="G23" s="1265"/>
      <c r="H23" s="1266"/>
    </row>
    <row r="24" spans="2:8" ht="15" customHeight="1">
      <c r="B24" s="1251" t="s">
        <v>0</v>
      </c>
      <c r="C24" s="1251" t="s">
        <v>1</v>
      </c>
      <c r="D24" s="1253" t="s">
        <v>23</v>
      </c>
      <c r="E24" s="1252" t="s">
        <v>40</v>
      </c>
      <c r="F24" s="1253" t="s">
        <v>41</v>
      </c>
      <c r="G24" s="1253" t="s">
        <v>39</v>
      </c>
      <c r="H24" s="1253" t="s">
        <v>31</v>
      </c>
    </row>
    <row r="25" spans="2:8">
      <c r="B25" s="1251"/>
      <c r="C25" s="1251"/>
      <c r="D25" s="1254"/>
      <c r="E25" s="1252"/>
      <c r="F25" s="1254"/>
      <c r="G25" s="1254"/>
      <c r="H25" s="1254"/>
    </row>
    <row r="26" spans="2:8">
      <c r="B26" s="232" t="s">
        <v>63</v>
      </c>
      <c r="C26" s="205" t="s">
        <v>26</v>
      </c>
      <c r="D26" s="205">
        <v>100</v>
      </c>
      <c r="E26" s="206">
        <v>162</v>
      </c>
      <c r="F26" s="206">
        <v>0</v>
      </c>
      <c r="G26" s="206">
        <v>162</v>
      </c>
      <c r="H26" s="222">
        <f>G26*10</f>
        <v>1620</v>
      </c>
    </row>
    <row r="27" spans="2:8">
      <c r="B27" s="232" t="s">
        <v>183</v>
      </c>
      <c r="C27" s="205" t="s">
        <v>26</v>
      </c>
      <c r="D27" s="205">
        <v>100</v>
      </c>
      <c r="E27" s="206">
        <v>236</v>
      </c>
      <c r="F27" s="206">
        <v>0</v>
      </c>
      <c r="G27" s="206">
        <v>236</v>
      </c>
      <c r="H27" s="222">
        <f>G27*10</f>
        <v>2360</v>
      </c>
    </row>
    <row r="28" spans="2:8">
      <c r="B28" s="229"/>
      <c r="C28" s="205"/>
      <c r="D28" s="205"/>
      <c r="E28" s="206"/>
      <c r="F28" s="206"/>
      <c r="G28" s="206"/>
      <c r="H28" s="222">
        <f>G28*10</f>
        <v>0</v>
      </c>
    </row>
    <row r="29" spans="2:8" ht="20.100000000000001" customHeight="1">
      <c r="B29" s="1259" t="s">
        <v>24</v>
      </c>
      <c r="C29" s="1259"/>
      <c r="D29" s="205">
        <f>SUM(D26:D28)</f>
        <v>200</v>
      </c>
      <c r="E29" s="206">
        <f>SUM(E26:E28)</f>
        <v>398</v>
      </c>
      <c r="F29" s="206">
        <f>SUM(F26:F28)</f>
        <v>0</v>
      </c>
      <c r="G29" s="206">
        <f>SUM(G26:G28)</f>
        <v>398</v>
      </c>
      <c r="H29" s="222">
        <f>G29*10</f>
        <v>3980</v>
      </c>
    </row>
    <row r="31" spans="2:8" ht="19.5">
      <c r="B31" s="207" t="s">
        <v>5</v>
      </c>
      <c r="C31" s="215"/>
      <c r="E31" s="1271" t="s">
        <v>32</v>
      </c>
      <c r="F31" s="1272"/>
      <c r="G31" s="1272"/>
      <c r="H31" s="1273"/>
    </row>
    <row r="32" spans="2:8">
      <c r="B32" s="216" t="s">
        <v>4</v>
      </c>
      <c r="C32" s="217"/>
      <c r="E32" s="218"/>
      <c r="F32" s="220" t="s">
        <v>34</v>
      </c>
      <c r="G32" s="220" t="s">
        <v>35</v>
      </c>
      <c r="H32" s="220" t="s">
        <v>37</v>
      </c>
    </row>
    <row r="33" spans="2:8">
      <c r="B33" s="216" t="s">
        <v>33</v>
      </c>
      <c r="C33" s="217"/>
      <c r="E33" s="221" t="s">
        <v>39</v>
      </c>
      <c r="F33" s="223">
        <f>G14</f>
        <v>0</v>
      </c>
      <c r="G33" s="224">
        <f>G21</f>
        <v>388</v>
      </c>
      <c r="H33" s="224">
        <f>G29</f>
        <v>398</v>
      </c>
    </row>
    <row r="34" spans="2:8">
      <c r="B34" s="216" t="s">
        <v>25</v>
      </c>
      <c r="C34" s="217"/>
      <c r="E34" s="221" t="s">
        <v>36</v>
      </c>
      <c r="F34" s="219">
        <f>F33*10</f>
        <v>0</v>
      </c>
      <c r="G34" s="219">
        <f>G33*10</f>
        <v>3880</v>
      </c>
      <c r="H34" s="219">
        <f>H33*10</f>
        <v>3980</v>
      </c>
    </row>
    <row r="35" spans="2:8" ht="19.5">
      <c r="E35" s="210" t="s">
        <v>38</v>
      </c>
      <c r="F35" s="1274">
        <f>SUM(F34:H34)</f>
        <v>7860</v>
      </c>
      <c r="G35" s="1275"/>
      <c r="H35" s="1276"/>
    </row>
  </sheetData>
  <sheetProtection algorithmName="SHA-512" hashValue="YhF5Fitu9wM8nP+UlI+IfIwvF6KH2Q/ved2tDRui2imyxF6Su/OvbYDz4vLXQIjGSnM9Ubwz8iF8n3+N/Wgmwg==" saltValue="QKjpy69Xwe6Ne49jSFeR+g==" spinCount="100000" sheet="1" objects="1" scenarios="1"/>
  <mergeCells count="30">
    <mergeCell ref="B29:C29"/>
    <mergeCell ref="E31:H31"/>
    <mergeCell ref="F35:H35"/>
    <mergeCell ref="B21:C21"/>
    <mergeCell ref="C23:H23"/>
    <mergeCell ref="B24:B25"/>
    <mergeCell ref="C24:C25"/>
    <mergeCell ref="D24:D25"/>
    <mergeCell ref="E24:E25"/>
    <mergeCell ref="F24:F25"/>
    <mergeCell ref="G24:G25"/>
    <mergeCell ref="H24:H25"/>
    <mergeCell ref="B14:C14"/>
    <mergeCell ref="C16:H16"/>
    <mergeCell ref="B17:B18"/>
    <mergeCell ref="C17:C18"/>
    <mergeCell ref="D17:D18"/>
    <mergeCell ref="E17:E18"/>
    <mergeCell ref="F17:F18"/>
    <mergeCell ref="G17:G18"/>
    <mergeCell ref="H17:H18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76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7797B-4C6D-46C4-9833-5E6F33D6BCCB}">
  <sheetPr codeName="Sheet126">
    <pageSetUpPr fitToPage="1"/>
  </sheetPr>
  <dimension ref="B2:H38"/>
  <sheetViews>
    <sheetView workbookViewId="0"/>
  </sheetViews>
  <sheetFormatPr defaultColWidth="9.140625" defaultRowHeight="15"/>
  <cols>
    <col min="1" max="1" width="9.140625" style="202"/>
    <col min="2" max="2" width="21.5703125" style="202" customWidth="1"/>
    <col min="3" max="3" width="24.28515625" style="202" bestFit="1" customWidth="1"/>
    <col min="4" max="8" width="15.7109375" style="202" customWidth="1"/>
    <col min="9" max="16384" width="9.140625" style="202"/>
  </cols>
  <sheetData>
    <row r="2" spans="2:8" ht="19.5">
      <c r="B2" s="208" t="s">
        <v>13</v>
      </c>
      <c r="C2" s="204"/>
      <c r="D2" s="204"/>
      <c r="F2" s="211" t="s">
        <v>27</v>
      </c>
      <c r="G2" s="1247">
        <v>44478</v>
      </c>
      <c r="H2" s="1247"/>
    </row>
    <row r="3" spans="2:8">
      <c r="B3" s="204"/>
      <c r="C3" s="204"/>
      <c r="D3" s="204"/>
    </row>
    <row r="4" spans="2:8">
      <c r="B4" s="204"/>
      <c r="C4" s="204"/>
      <c r="D4" s="204"/>
    </row>
    <row r="5" spans="2:8">
      <c r="B5" s="204"/>
      <c r="C5" s="204"/>
      <c r="D5" s="204"/>
    </row>
    <row r="6" spans="2:8" ht="19.5">
      <c r="B6" s="209" t="s">
        <v>42</v>
      </c>
      <c r="C6" s="1248" t="s">
        <v>61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203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226"/>
      <c r="C9" s="226"/>
      <c r="D9" s="226">
        <v>150</v>
      </c>
      <c r="E9" s="227"/>
      <c r="F9" s="227"/>
      <c r="G9" s="227"/>
      <c r="H9" s="225">
        <f t="shared" ref="H9:H13" si="0">G9*10</f>
        <v>0</v>
      </c>
    </row>
    <row r="10" spans="2:8" ht="20.100000000000001" customHeight="1">
      <c r="B10" s="226"/>
      <c r="C10" s="226"/>
      <c r="D10" s="226">
        <v>150</v>
      </c>
      <c r="E10" s="227"/>
      <c r="F10" s="227"/>
      <c r="G10" s="227"/>
      <c r="H10" s="225">
        <f t="shared" si="0"/>
        <v>0</v>
      </c>
    </row>
    <row r="11" spans="2:8" ht="20.100000000000001" customHeight="1">
      <c r="B11" s="226"/>
      <c r="C11" s="226"/>
      <c r="D11" s="226">
        <v>150</v>
      </c>
      <c r="E11" s="227"/>
      <c r="F11" s="227"/>
      <c r="G11" s="227"/>
      <c r="H11" s="225">
        <f t="shared" si="0"/>
        <v>0</v>
      </c>
    </row>
    <row r="12" spans="2:8" ht="20.100000000000001" customHeight="1">
      <c r="B12" s="226"/>
      <c r="C12" s="226"/>
      <c r="D12" s="226">
        <v>150</v>
      </c>
      <c r="E12" s="227"/>
      <c r="F12" s="227"/>
      <c r="G12" s="227"/>
      <c r="H12" s="225">
        <f t="shared" si="0"/>
        <v>0</v>
      </c>
    </row>
    <row r="13" spans="2:8" ht="20.100000000000001" customHeight="1">
      <c r="B13" s="226"/>
      <c r="C13" s="226"/>
      <c r="D13" s="226">
        <v>150</v>
      </c>
      <c r="E13" s="227"/>
      <c r="F13" s="227"/>
      <c r="G13" s="227"/>
      <c r="H13" s="225">
        <f t="shared" si="0"/>
        <v>0</v>
      </c>
    </row>
    <row r="14" spans="2:8" ht="20.100000000000001" customHeight="1">
      <c r="B14" s="1279" t="s">
        <v>24</v>
      </c>
      <c r="C14" s="1279"/>
      <c r="D14" s="226">
        <f>SUM(D9:D13)</f>
        <v>750</v>
      </c>
      <c r="E14" s="227">
        <f>SUM(E9:E13)</f>
        <v>0</v>
      </c>
      <c r="F14" s="227">
        <f>SUM(F9:F13)</f>
        <v>0</v>
      </c>
      <c r="G14" s="228">
        <f>SUM(G9:G13)</f>
        <v>0</v>
      </c>
      <c r="H14" s="225">
        <f>G14*10</f>
        <v>0</v>
      </c>
    </row>
    <row r="16" spans="2:8" ht="19.5">
      <c r="B16" s="210" t="s">
        <v>21</v>
      </c>
      <c r="C16" s="1256" t="s">
        <v>46</v>
      </c>
      <c r="D16" s="1257"/>
      <c r="E16" s="1257"/>
      <c r="F16" s="1257"/>
      <c r="G16" s="1257"/>
      <c r="H16" s="1258"/>
    </row>
    <row r="17" spans="2:8" ht="15" customHeight="1">
      <c r="B17" s="1251" t="s">
        <v>0</v>
      </c>
      <c r="C17" s="1251" t="s">
        <v>1</v>
      </c>
      <c r="D17" s="1253" t="s">
        <v>23</v>
      </c>
      <c r="E17" s="1252" t="s">
        <v>40</v>
      </c>
      <c r="F17" s="1253" t="s">
        <v>41</v>
      </c>
      <c r="G17" s="1253" t="s">
        <v>39</v>
      </c>
      <c r="H17" s="1253" t="s">
        <v>31</v>
      </c>
    </row>
    <row r="18" spans="2:8" s="203" customFormat="1">
      <c r="B18" s="1251"/>
      <c r="C18" s="1251"/>
      <c r="D18" s="1254"/>
      <c r="E18" s="1252"/>
      <c r="F18" s="1254"/>
      <c r="G18" s="1254"/>
      <c r="H18" s="1254"/>
    </row>
    <row r="19" spans="2:8" ht="20.100000000000001" customHeight="1">
      <c r="B19" s="226"/>
      <c r="C19" s="226"/>
      <c r="D19" s="226">
        <v>150</v>
      </c>
      <c r="E19" s="227"/>
      <c r="F19" s="227"/>
      <c r="G19" s="227"/>
      <c r="H19" s="225">
        <f t="shared" ref="H19:H23" si="1">G19*10</f>
        <v>0</v>
      </c>
    </row>
    <row r="20" spans="2:8" ht="20.100000000000001" customHeight="1">
      <c r="B20" s="226"/>
      <c r="C20" s="226"/>
      <c r="D20" s="226">
        <v>150</v>
      </c>
      <c r="E20" s="227"/>
      <c r="F20" s="227"/>
      <c r="G20" s="227"/>
      <c r="H20" s="225">
        <f t="shared" si="1"/>
        <v>0</v>
      </c>
    </row>
    <row r="21" spans="2:8" ht="20.100000000000001" customHeight="1">
      <c r="B21" s="226"/>
      <c r="C21" s="226"/>
      <c r="D21" s="226">
        <v>150</v>
      </c>
      <c r="E21" s="227"/>
      <c r="F21" s="227"/>
      <c r="G21" s="227"/>
      <c r="H21" s="225">
        <f t="shared" si="1"/>
        <v>0</v>
      </c>
    </row>
    <row r="22" spans="2:8" ht="20.100000000000001" customHeight="1">
      <c r="B22" s="226"/>
      <c r="C22" s="226"/>
      <c r="D22" s="226">
        <v>150</v>
      </c>
      <c r="E22" s="227"/>
      <c r="F22" s="227"/>
      <c r="G22" s="227"/>
      <c r="H22" s="225">
        <f t="shared" si="1"/>
        <v>0</v>
      </c>
    </row>
    <row r="23" spans="2:8" ht="20.100000000000001" customHeight="1">
      <c r="B23" s="226"/>
      <c r="C23" s="226"/>
      <c r="D23" s="226">
        <v>150</v>
      </c>
      <c r="E23" s="227"/>
      <c r="F23" s="227"/>
      <c r="G23" s="227"/>
      <c r="H23" s="225">
        <f t="shared" si="1"/>
        <v>0</v>
      </c>
    </row>
    <row r="24" spans="2:8" ht="20.100000000000001" customHeight="1">
      <c r="B24" s="1279" t="s">
        <v>24</v>
      </c>
      <c r="C24" s="1279"/>
      <c r="D24" s="226">
        <f>SUM(D19:D23)</f>
        <v>750</v>
      </c>
      <c r="E24" s="227">
        <f>SUM(E19:E23)</f>
        <v>0</v>
      </c>
      <c r="F24" s="227">
        <f>SUM(F19:F23)</f>
        <v>0</v>
      </c>
      <c r="G24" s="227">
        <f>SUM(G19:G23)</f>
        <v>0</v>
      </c>
      <c r="H24" s="225">
        <f>G24*10</f>
        <v>0</v>
      </c>
    </row>
    <row r="25" spans="2:8">
      <c r="B25" s="212"/>
      <c r="C25" s="212"/>
      <c r="D25" s="213"/>
      <c r="E25" s="213"/>
      <c r="F25" s="213"/>
      <c r="G25" s="213"/>
      <c r="H25" s="213"/>
    </row>
    <row r="26" spans="2:8" ht="19.5">
      <c r="B26" s="214" t="s">
        <v>28</v>
      </c>
      <c r="C26" s="1264" t="s">
        <v>29</v>
      </c>
      <c r="D26" s="1265"/>
      <c r="E26" s="1265"/>
      <c r="F26" s="1265"/>
      <c r="G26" s="1265"/>
      <c r="H26" s="1266"/>
    </row>
    <row r="27" spans="2:8" ht="15" customHeight="1">
      <c r="B27" s="1251" t="s">
        <v>0</v>
      </c>
      <c r="C27" s="1251" t="s">
        <v>1</v>
      </c>
      <c r="D27" s="1253" t="s">
        <v>23</v>
      </c>
      <c r="E27" s="1252" t="s">
        <v>40</v>
      </c>
      <c r="F27" s="1253" t="s">
        <v>41</v>
      </c>
      <c r="G27" s="1253" t="s">
        <v>39</v>
      </c>
      <c r="H27" s="1253" t="s">
        <v>31</v>
      </c>
    </row>
    <row r="28" spans="2:8">
      <c r="B28" s="1251"/>
      <c r="C28" s="1251"/>
      <c r="D28" s="1254"/>
      <c r="E28" s="1252"/>
      <c r="F28" s="1254"/>
      <c r="G28" s="1254"/>
      <c r="H28" s="1254"/>
    </row>
    <row r="29" spans="2:8">
      <c r="B29" s="230" t="s">
        <v>70</v>
      </c>
      <c r="C29" s="205" t="s">
        <v>26</v>
      </c>
      <c r="D29" s="205">
        <v>100</v>
      </c>
      <c r="E29" s="206">
        <v>365</v>
      </c>
      <c r="F29" s="206">
        <v>0</v>
      </c>
      <c r="G29" s="206">
        <v>365</v>
      </c>
      <c r="H29" s="222">
        <f>G29*10</f>
        <v>3650</v>
      </c>
    </row>
    <row r="30" spans="2:8">
      <c r="B30" s="230" t="s">
        <v>75</v>
      </c>
      <c r="C30" s="205" t="s">
        <v>26</v>
      </c>
      <c r="D30" s="205">
        <v>100</v>
      </c>
      <c r="E30" s="206">
        <v>169</v>
      </c>
      <c r="F30" s="206">
        <v>0</v>
      </c>
      <c r="G30" s="206">
        <v>169</v>
      </c>
      <c r="H30" s="222">
        <f>G30*10</f>
        <v>1690</v>
      </c>
    </row>
    <row r="31" spans="2:8">
      <c r="B31" s="229"/>
      <c r="C31" s="205"/>
      <c r="D31" s="205"/>
      <c r="E31" s="206"/>
      <c r="F31" s="206"/>
      <c r="G31" s="206"/>
      <c r="H31" s="222">
        <f>G31*10</f>
        <v>0</v>
      </c>
    </row>
    <row r="32" spans="2:8" ht="20.100000000000001" customHeight="1">
      <c r="B32" s="1259" t="s">
        <v>24</v>
      </c>
      <c r="C32" s="1259"/>
      <c r="D32" s="205">
        <f>SUM(D29:D31)</f>
        <v>200</v>
      </c>
      <c r="E32" s="206">
        <f>SUM(E29:E31)</f>
        <v>534</v>
      </c>
      <c r="F32" s="206">
        <f>SUM(F29:F31)</f>
        <v>0</v>
      </c>
      <c r="G32" s="206">
        <f>SUM(G29:G31)</f>
        <v>534</v>
      </c>
      <c r="H32" s="222">
        <f>G32*10</f>
        <v>5340</v>
      </c>
    </row>
    <row r="34" spans="2:8" ht="19.5">
      <c r="B34" s="207" t="s">
        <v>5</v>
      </c>
      <c r="C34" s="215"/>
      <c r="E34" s="1271" t="s">
        <v>32</v>
      </c>
      <c r="F34" s="1272"/>
      <c r="G34" s="1272"/>
      <c r="H34" s="1273"/>
    </row>
    <row r="35" spans="2:8">
      <c r="B35" s="216" t="s">
        <v>4</v>
      </c>
      <c r="C35" s="217"/>
      <c r="E35" s="218"/>
      <c r="F35" s="220" t="s">
        <v>34</v>
      </c>
      <c r="G35" s="220" t="s">
        <v>35</v>
      </c>
      <c r="H35" s="220" t="s">
        <v>37</v>
      </c>
    </row>
    <row r="36" spans="2:8">
      <c r="B36" s="216" t="s">
        <v>33</v>
      </c>
      <c r="C36" s="217"/>
      <c r="E36" s="221" t="s">
        <v>39</v>
      </c>
      <c r="F36" s="223">
        <f>G14</f>
        <v>0</v>
      </c>
      <c r="G36" s="224">
        <f>G24</f>
        <v>0</v>
      </c>
      <c r="H36" s="224">
        <f>G32</f>
        <v>534</v>
      </c>
    </row>
    <row r="37" spans="2:8">
      <c r="B37" s="216" t="s">
        <v>25</v>
      </c>
      <c r="C37" s="217"/>
      <c r="E37" s="221" t="s">
        <v>36</v>
      </c>
      <c r="F37" s="219">
        <f>F36*10</f>
        <v>0</v>
      </c>
      <c r="G37" s="219">
        <f>G36*10</f>
        <v>0</v>
      </c>
      <c r="H37" s="219">
        <f>H36*10</f>
        <v>5340</v>
      </c>
    </row>
    <row r="38" spans="2:8" ht="19.5">
      <c r="E38" s="210" t="s">
        <v>38</v>
      </c>
      <c r="F38" s="1274">
        <f>SUM(F37:H37)</f>
        <v>5340</v>
      </c>
      <c r="G38" s="1275"/>
      <c r="H38" s="1276"/>
    </row>
  </sheetData>
  <sheetProtection algorithmName="SHA-512" hashValue="9FILlIxx/GPogs/lMz491/XY6jj0Rbfr8znO5SjBVZM7YvNu/4/IGT8zn2bidmR0ed4MG9PAxHjJBc2Te1Nacw==" saltValue="fqLh+s4qUnoOl44wzCCQGA==" spinCount="100000" sheet="1" objects="1" scenarios="1"/>
  <mergeCells count="30">
    <mergeCell ref="B32:C32"/>
    <mergeCell ref="E34:H34"/>
    <mergeCell ref="F38:H38"/>
    <mergeCell ref="B24:C24"/>
    <mergeCell ref="C26:H26"/>
    <mergeCell ref="B27:B28"/>
    <mergeCell ref="C27:C28"/>
    <mergeCell ref="D27:D28"/>
    <mergeCell ref="E27:E28"/>
    <mergeCell ref="F27:F28"/>
    <mergeCell ref="G27:G28"/>
    <mergeCell ref="H27:H28"/>
    <mergeCell ref="B14:C14"/>
    <mergeCell ref="C16:H16"/>
    <mergeCell ref="B17:B18"/>
    <mergeCell ref="C17:C18"/>
    <mergeCell ref="D17:D18"/>
    <mergeCell ref="E17:E18"/>
    <mergeCell ref="F17:F18"/>
    <mergeCell ref="G17:G18"/>
    <mergeCell ref="H17:H18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76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77DD-C413-44DD-8F48-B91575B1F750}">
  <sheetPr codeName="Sheet127">
    <pageSetUpPr fitToPage="1"/>
  </sheetPr>
  <dimension ref="B2:H38"/>
  <sheetViews>
    <sheetView workbookViewId="0"/>
  </sheetViews>
  <sheetFormatPr defaultColWidth="9.140625" defaultRowHeight="15"/>
  <cols>
    <col min="1" max="1" width="9.140625" style="150"/>
    <col min="2" max="2" width="21.5703125" style="150" customWidth="1"/>
    <col min="3" max="3" width="24.28515625" style="150" bestFit="1" customWidth="1"/>
    <col min="4" max="8" width="15.7109375" style="150" customWidth="1"/>
    <col min="9" max="16384" width="9.140625" style="150"/>
  </cols>
  <sheetData>
    <row r="2" spans="2:8" ht="19.5">
      <c r="B2" s="156" t="s">
        <v>13</v>
      </c>
      <c r="C2" s="152"/>
      <c r="D2" s="152"/>
      <c r="F2" s="161" t="s">
        <v>27</v>
      </c>
      <c r="G2" s="1247">
        <v>44477</v>
      </c>
      <c r="H2" s="1247"/>
    </row>
    <row r="3" spans="2:8">
      <c r="B3" s="152"/>
      <c r="C3" s="152"/>
      <c r="D3" s="152"/>
    </row>
    <row r="4" spans="2:8">
      <c r="B4" s="152"/>
      <c r="C4" s="152"/>
      <c r="D4" s="152"/>
    </row>
    <row r="5" spans="2:8">
      <c r="B5" s="152"/>
      <c r="C5" s="152"/>
      <c r="D5" s="152"/>
    </row>
    <row r="6" spans="2:8" ht="19.5">
      <c r="B6" s="157" t="s">
        <v>42</v>
      </c>
      <c r="C6" s="1248" t="s">
        <v>61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5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200" t="s">
        <v>53</v>
      </c>
      <c r="C9" s="183" t="s">
        <v>16</v>
      </c>
      <c r="D9" s="183">
        <v>150</v>
      </c>
      <c r="E9" s="12">
        <v>232</v>
      </c>
      <c r="F9" s="12">
        <v>0</v>
      </c>
      <c r="G9" s="12">
        <v>232</v>
      </c>
      <c r="H9" s="185">
        <f t="shared" ref="H9:H12" si="0">G9*10</f>
        <v>2320</v>
      </c>
    </row>
    <row r="10" spans="2:8" ht="20.100000000000001" customHeight="1">
      <c r="B10" s="200" t="s">
        <v>44</v>
      </c>
      <c r="C10" s="183" t="s">
        <v>16</v>
      </c>
      <c r="D10" s="183">
        <v>150</v>
      </c>
      <c r="E10" s="184">
        <v>263</v>
      </c>
      <c r="F10" s="184">
        <v>0</v>
      </c>
      <c r="G10" s="184">
        <v>263</v>
      </c>
      <c r="H10" s="185">
        <f t="shared" si="0"/>
        <v>2630</v>
      </c>
    </row>
    <row r="11" spans="2:8" ht="20.100000000000001" customHeight="1">
      <c r="B11" s="200" t="s">
        <v>172</v>
      </c>
      <c r="C11" s="183" t="s">
        <v>18</v>
      </c>
      <c r="D11" s="183">
        <v>150</v>
      </c>
      <c r="E11" s="184">
        <v>83</v>
      </c>
      <c r="F11" s="184">
        <v>67</v>
      </c>
      <c r="G11" s="184">
        <v>150</v>
      </c>
      <c r="H11" s="185">
        <f t="shared" si="0"/>
        <v>1500</v>
      </c>
    </row>
    <row r="12" spans="2:8" ht="20.100000000000001" customHeight="1">
      <c r="B12" s="200" t="s">
        <v>161</v>
      </c>
      <c r="C12" s="183" t="s">
        <v>26</v>
      </c>
      <c r="D12" s="183">
        <v>150</v>
      </c>
      <c r="E12" s="184">
        <v>153</v>
      </c>
      <c r="F12" s="184">
        <v>0</v>
      </c>
      <c r="G12" s="184">
        <v>153</v>
      </c>
      <c r="H12" s="185">
        <f t="shared" si="0"/>
        <v>1530</v>
      </c>
    </row>
    <row r="13" spans="2:8" ht="20.100000000000001" customHeight="1">
      <c r="B13" s="200" t="s">
        <v>65</v>
      </c>
      <c r="C13" s="183" t="s">
        <v>26</v>
      </c>
      <c r="D13" s="183">
        <v>150</v>
      </c>
      <c r="E13" s="184">
        <v>145</v>
      </c>
      <c r="F13" s="184">
        <v>5</v>
      </c>
      <c r="G13" s="184">
        <v>150</v>
      </c>
      <c r="H13" s="185">
        <f>G13*10</f>
        <v>1500</v>
      </c>
    </row>
    <row r="14" spans="2:8" ht="20.100000000000001" customHeight="1">
      <c r="B14" s="1259" t="s">
        <v>24</v>
      </c>
      <c r="C14" s="1259"/>
      <c r="D14" s="183">
        <f>SUM(D9:D13)</f>
        <v>750</v>
      </c>
      <c r="E14" s="184">
        <f>SUM(E9:E13)</f>
        <v>876</v>
      </c>
      <c r="F14" s="184">
        <f>SUM(F9:F13)</f>
        <v>72</v>
      </c>
      <c r="G14" s="17">
        <f>SUM(G9:G13)</f>
        <v>948</v>
      </c>
      <c r="H14" s="185">
        <f>G14*10</f>
        <v>9480</v>
      </c>
    </row>
    <row r="16" spans="2:8" ht="19.5">
      <c r="B16" s="158" t="s">
        <v>21</v>
      </c>
      <c r="C16" s="1256" t="s">
        <v>46</v>
      </c>
      <c r="D16" s="1257"/>
      <c r="E16" s="1257"/>
      <c r="F16" s="1257"/>
      <c r="G16" s="1257"/>
      <c r="H16" s="1258"/>
    </row>
    <row r="17" spans="2:8" ht="15" customHeight="1">
      <c r="B17" s="1251" t="s">
        <v>0</v>
      </c>
      <c r="C17" s="1251" t="s">
        <v>1</v>
      </c>
      <c r="D17" s="1253" t="s">
        <v>23</v>
      </c>
      <c r="E17" s="1252" t="s">
        <v>40</v>
      </c>
      <c r="F17" s="1253" t="s">
        <v>41</v>
      </c>
      <c r="G17" s="1253" t="s">
        <v>39</v>
      </c>
      <c r="H17" s="1253" t="s">
        <v>31</v>
      </c>
    </row>
    <row r="18" spans="2:8" s="151" customFormat="1">
      <c r="B18" s="1251"/>
      <c r="C18" s="1251"/>
      <c r="D18" s="1254"/>
      <c r="E18" s="1252"/>
      <c r="F18" s="1254"/>
      <c r="G18" s="1254"/>
      <c r="H18" s="1254"/>
    </row>
    <row r="19" spans="2:8" ht="20.100000000000001" customHeight="1">
      <c r="B19" s="201" t="s">
        <v>171</v>
      </c>
      <c r="C19" s="183" t="s">
        <v>16</v>
      </c>
      <c r="D19" s="183">
        <v>150</v>
      </c>
      <c r="E19" s="184">
        <v>262</v>
      </c>
      <c r="F19" s="184">
        <v>0</v>
      </c>
      <c r="G19" s="184">
        <v>262</v>
      </c>
      <c r="H19" s="185">
        <f t="shared" ref="H19:H23" si="1">G19*10</f>
        <v>2620</v>
      </c>
    </row>
    <row r="20" spans="2:8" ht="20.100000000000001" customHeight="1">
      <c r="B20" s="201" t="s">
        <v>44</v>
      </c>
      <c r="C20" s="183" t="s">
        <v>16</v>
      </c>
      <c r="D20" s="183">
        <v>150</v>
      </c>
      <c r="E20" s="184">
        <v>157</v>
      </c>
      <c r="F20" s="184">
        <v>0</v>
      </c>
      <c r="G20" s="184">
        <v>157</v>
      </c>
      <c r="H20" s="185">
        <f t="shared" si="1"/>
        <v>1570</v>
      </c>
    </row>
    <row r="21" spans="2:8" ht="20.100000000000001" customHeight="1">
      <c r="B21" s="201" t="s">
        <v>70</v>
      </c>
      <c r="C21" s="183" t="s">
        <v>18</v>
      </c>
      <c r="D21" s="183">
        <v>150</v>
      </c>
      <c r="E21" s="184">
        <v>200</v>
      </c>
      <c r="F21" s="184">
        <v>0</v>
      </c>
      <c r="G21" s="184">
        <v>200</v>
      </c>
      <c r="H21" s="185">
        <f>G21*10</f>
        <v>2000</v>
      </c>
    </row>
    <row r="22" spans="2:8" ht="20.100000000000001" customHeight="1">
      <c r="B22" s="201" t="s">
        <v>161</v>
      </c>
      <c r="C22" s="183" t="s">
        <v>26</v>
      </c>
      <c r="D22" s="183">
        <v>150</v>
      </c>
      <c r="E22" s="184">
        <v>131</v>
      </c>
      <c r="F22" s="184">
        <v>19</v>
      </c>
      <c r="G22" s="184">
        <v>150</v>
      </c>
      <c r="H22" s="185">
        <f t="shared" si="1"/>
        <v>1500</v>
      </c>
    </row>
    <row r="23" spans="2:8" ht="20.100000000000001" customHeight="1">
      <c r="B23" s="201" t="s">
        <v>181</v>
      </c>
      <c r="C23" s="183" t="s">
        <v>26</v>
      </c>
      <c r="D23" s="183">
        <v>150</v>
      </c>
      <c r="E23" s="184">
        <v>221</v>
      </c>
      <c r="F23" s="12">
        <v>0</v>
      </c>
      <c r="G23" s="184">
        <v>221</v>
      </c>
      <c r="H23" s="185">
        <f t="shared" si="1"/>
        <v>2210</v>
      </c>
    </row>
    <row r="24" spans="2:8" ht="20.100000000000001" customHeight="1">
      <c r="B24" s="1259" t="s">
        <v>24</v>
      </c>
      <c r="C24" s="1259"/>
      <c r="D24" s="183">
        <f>SUM(D19:D23)</f>
        <v>750</v>
      </c>
      <c r="E24" s="184">
        <f>SUM(E19:E23)</f>
        <v>971</v>
      </c>
      <c r="F24" s="184">
        <f>SUM(F19:F23)</f>
        <v>19</v>
      </c>
      <c r="G24" s="184">
        <f>SUM(G19:G23)</f>
        <v>990</v>
      </c>
      <c r="H24" s="185">
        <f>G24*10</f>
        <v>9900</v>
      </c>
    </row>
    <row r="25" spans="2:8">
      <c r="B25" s="162"/>
      <c r="C25" s="162"/>
      <c r="D25" s="163"/>
      <c r="E25" s="163"/>
      <c r="F25" s="163"/>
      <c r="G25" s="163"/>
      <c r="H25" s="163"/>
    </row>
    <row r="26" spans="2:8" ht="19.5">
      <c r="B26" s="164" t="s">
        <v>28</v>
      </c>
      <c r="C26" s="1264" t="s">
        <v>165</v>
      </c>
      <c r="D26" s="1265"/>
      <c r="E26" s="1265"/>
      <c r="F26" s="1265"/>
      <c r="G26" s="1265"/>
      <c r="H26" s="1266"/>
    </row>
    <row r="27" spans="2:8" ht="15" customHeight="1">
      <c r="B27" s="1251" t="s">
        <v>0</v>
      </c>
      <c r="C27" s="1251" t="s">
        <v>1</v>
      </c>
      <c r="D27" s="1253" t="s">
        <v>23</v>
      </c>
      <c r="E27" s="1252" t="s">
        <v>40</v>
      </c>
      <c r="F27" s="1253" t="s">
        <v>41</v>
      </c>
      <c r="G27" s="1253" t="s">
        <v>39</v>
      </c>
      <c r="H27" s="1253" t="s">
        <v>31</v>
      </c>
    </row>
    <row r="28" spans="2:8">
      <c r="B28" s="1251"/>
      <c r="C28" s="1251"/>
      <c r="D28" s="1254"/>
      <c r="E28" s="1252"/>
      <c r="F28" s="1254"/>
      <c r="G28" s="1254"/>
      <c r="H28" s="1254"/>
    </row>
    <row r="29" spans="2:8">
      <c r="B29" s="205" t="s">
        <v>161</v>
      </c>
      <c r="C29" s="183" t="s">
        <v>26</v>
      </c>
      <c r="D29" s="183">
        <v>100</v>
      </c>
      <c r="E29" s="184">
        <v>108</v>
      </c>
      <c r="F29" s="184">
        <v>0</v>
      </c>
      <c r="G29" s="184">
        <v>108</v>
      </c>
      <c r="H29" s="185">
        <f>G29*10</f>
        <v>1080</v>
      </c>
    </row>
    <row r="30" spans="2:8">
      <c r="B30" s="205" t="s">
        <v>181</v>
      </c>
      <c r="C30" s="183" t="s">
        <v>26</v>
      </c>
      <c r="D30" s="183">
        <v>100</v>
      </c>
      <c r="E30" s="184">
        <v>76</v>
      </c>
      <c r="F30" s="184">
        <v>24</v>
      </c>
      <c r="G30" s="184">
        <v>100</v>
      </c>
      <c r="H30" s="185">
        <f>G30*10</f>
        <v>1000</v>
      </c>
    </row>
    <row r="31" spans="2:8">
      <c r="B31" s="205" t="s">
        <v>70</v>
      </c>
      <c r="C31" s="183" t="s">
        <v>18</v>
      </c>
      <c r="D31" s="183">
        <v>100</v>
      </c>
      <c r="E31" s="184">
        <v>161</v>
      </c>
      <c r="F31" s="184">
        <v>0</v>
      </c>
      <c r="G31" s="184">
        <v>161</v>
      </c>
      <c r="H31" s="185">
        <f>G31*10</f>
        <v>1610</v>
      </c>
    </row>
    <row r="32" spans="2:8" ht="20.100000000000001" customHeight="1">
      <c r="B32" s="1259" t="s">
        <v>24</v>
      </c>
      <c r="C32" s="1259"/>
      <c r="D32" s="183">
        <f>SUM(D29:D31)</f>
        <v>300</v>
      </c>
      <c r="E32" s="184">
        <f>SUM(E29:E31)</f>
        <v>345</v>
      </c>
      <c r="F32" s="184">
        <f>SUM(F29:F31)</f>
        <v>24</v>
      </c>
      <c r="G32" s="184">
        <f>SUM(G29:G31)</f>
        <v>369</v>
      </c>
      <c r="H32" s="185">
        <f>G32*10</f>
        <v>3690</v>
      </c>
    </row>
    <row r="34" spans="2:8" ht="19.5">
      <c r="B34" s="155" t="s">
        <v>5</v>
      </c>
      <c r="C34" s="165"/>
      <c r="E34" s="1271" t="s">
        <v>32</v>
      </c>
      <c r="F34" s="1272"/>
      <c r="G34" s="1272"/>
      <c r="H34" s="1273"/>
    </row>
    <row r="35" spans="2:8">
      <c r="B35" s="166" t="s">
        <v>4</v>
      </c>
      <c r="C35" s="167"/>
      <c r="E35" s="168"/>
      <c r="F35" s="170" t="s">
        <v>34</v>
      </c>
      <c r="G35" s="170" t="s">
        <v>35</v>
      </c>
      <c r="H35" s="170" t="s">
        <v>37</v>
      </c>
    </row>
    <row r="36" spans="2:8">
      <c r="B36" s="166" t="s">
        <v>33</v>
      </c>
      <c r="C36" s="167"/>
      <c r="E36" s="171" t="s">
        <v>39</v>
      </c>
      <c r="F36" s="174">
        <f>G14</f>
        <v>948</v>
      </c>
      <c r="G36" s="175">
        <f>G24</f>
        <v>990</v>
      </c>
      <c r="H36" s="175">
        <f>G32</f>
        <v>369</v>
      </c>
    </row>
    <row r="37" spans="2:8">
      <c r="B37" s="166" t="s">
        <v>25</v>
      </c>
      <c r="C37" s="167"/>
      <c r="E37" s="171" t="s">
        <v>36</v>
      </c>
      <c r="F37" s="169">
        <f>F36*10</f>
        <v>9480</v>
      </c>
      <c r="G37" s="169">
        <f>G36*10</f>
        <v>9900</v>
      </c>
      <c r="H37" s="169">
        <f>H36*10</f>
        <v>3690</v>
      </c>
    </row>
    <row r="38" spans="2:8" ht="19.5">
      <c r="E38" s="158" t="s">
        <v>38</v>
      </c>
      <c r="F38" s="1274">
        <f>SUM(F37:H37)</f>
        <v>23070</v>
      </c>
      <c r="G38" s="1275"/>
      <c r="H38" s="1276"/>
    </row>
  </sheetData>
  <sheetProtection algorithmName="SHA-512" hashValue="MF4V4R++Xy61Mz6UcZFazpPWqM0z2PsshdLn+4+lJpORFXkx8ctiy/NfSZpach2cuKDsLsvnkL+D2U3/s1MBow==" saltValue="gXO3sKoDROD/Qt8rtJ0CIg==" spinCount="100000" sheet="1" objects="1" scenarios="1"/>
  <mergeCells count="30">
    <mergeCell ref="B32:C32"/>
    <mergeCell ref="E34:H34"/>
    <mergeCell ref="F38:H38"/>
    <mergeCell ref="B24:C24"/>
    <mergeCell ref="C26:H26"/>
    <mergeCell ref="B27:B28"/>
    <mergeCell ref="C27:C28"/>
    <mergeCell ref="D27:D28"/>
    <mergeCell ref="E27:E28"/>
    <mergeCell ref="F27:F28"/>
    <mergeCell ref="G27:G28"/>
    <mergeCell ref="H27:H28"/>
    <mergeCell ref="B14:C14"/>
    <mergeCell ref="C16:H16"/>
    <mergeCell ref="B17:B18"/>
    <mergeCell ref="C17:C18"/>
    <mergeCell ref="D17:D18"/>
    <mergeCell ref="E17:E18"/>
    <mergeCell ref="F17:F18"/>
    <mergeCell ref="G17:G18"/>
    <mergeCell ref="H17:H18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76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39CE0-05B5-4B5C-903B-24D5C6B2A7E1}">
  <sheetPr codeName="Sheet128">
    <pageSetUpPr fitToPage="1"/>
  </sheetPr>
  <dimension ref="B2:H38"/>
  <sheetViews>
    <sheetView workbookViewId="0"/>
  </sheetViews>
  <sheetFormatPr defaultColWidth="9.140625" defaultRowHeight="15"/>
  <cols>
    <col min="1" max="1" width="9.140625" style="150"/>
    <col min="2" max="2" width="21.5703125" style="150" customWidth="1"/>
    <col min="3" max="3" width="24.28515625" style="150" bestFit="1" customWidth="1"/>
    <col min="4" max="8" width="15.7109375" style="150" customWidth="1"/>
    <col min="9" max="16384" width="9.140625" style="150"/>
  </cols>
  <sheetData>
    <row r="2" spans="2:8" ht="19.5">
      <c r="B2" s="156" t="s">
        <v>13</v>
      </c>
      <c r="C2" s="152"/>
      <c r="D2" s="152"/>
      <c r="F2" s="161" t="s">
        <v>27</v>
      </c>
      <c r="G2" s="1247">
        <v>44476</v>
      </c>
      <c r="H2" s="1247"/>
    </row>
    <row r="3" spans="2:8">
      <c r="B3" s="152"/>
      <c r="C3" s="152"/>
      <c r="D3" s="152"/>
    </row>
    <row r="4" spans="2:8">
      <c r="B4" s="152"/>
      <c r="C4" s="152"/>
      <c r="D4" s="152"/>
    </row>
    <row r="5" spans="2:8">
      <c r="B5" s="152"/>
      <c r="C5" s="152"/>
      <c r="D5" s="152"/>
    </row>
    <row r="6" spans="2:8" ht="19.5">
      <c r="B6" s="157" t="s">
        <v>42</v>
      </c>
      <c r="C6" s="1248" t="s">
        <v>61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5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183" t="s">
        <v>53</v>
      </c>
      <c r="C9" s="183" t="s">
        <v>16</v>
      </c>
      <c r="D9" s="183">
        <v>150</v>
      </c>
      <c r="E9" s="12">
        <v>259</v>
      </c>
      <c r="F9" s="12">
        <v>0</v>
      </c>
      <c r="G9" s="12">
        <v>259</v>
      </c>
      <c r="H9" s="185">
        <f t="shared" ref="H9:H12" si="0">G9*10</f>
        <v>2590</v>
      </c>
    </row>
    <row r="10" spans="2:8" ht="20.100000000000001" customHeight="1">
      <c r="B10" s="183" t="s">
        <v>70</v>
      </c>
      <c r="C10" s="183" t="s">
        <v>16</v>
      </c>
      <c r="D10" s="183">
        <v>150</v>
      </c>
      <c r="E10" s="184">
        <v>451</v>
      </c>
      <c r="F10" s="184">
        <v>0</v>
      </c>
      <c r="G10" s="184">
        <v>451</v>
      </c>
      <c r="H10" s="185">
        <f t="shared" si="0"/>
        <v>4510</v>
      </c>
    </row>
    <row r="11" spans="2:8" ht="20.100000000000001" customHeight="1">
      <c r="B11" s="240" t="s">
        <v>172</v>
      </c>
      <c r="C11" s="183" t="s">
        <v>18</v>
      </c>
      <c r="D11" s="183">
        <v>150</v>
      </c>
      <c r="E11" s="184">
        <v>88</v>
      </c>
      <c r="F11" s="184">
        <v>62</v>
      </c>
      <c r="G11" s="184">
        <v>150</v>
      </c>
      <c r="H11" s="185">
        <f t="shared" si="0"/>
        <v>1500</v>
      </c>
    </row>
    <row r="12" spans="2:8" ht="20.100000000000001" customHeight="1">
      <c r="B12" s="183" t="s">
        <v>143</v>
      </c>
      <c r="C12" s="183" t="s">
        <v>26</v>
      </c>
      <c r="D12" s="183">
        <v>150</v>
      </c>
      <c r="E12" s="184">
        <v>226</v>
      </c>
      <c r="F12" s="184">
        <v>0</v>
      </c>
      <c r="G12" s="184">
        <v>226</v>
      </c>
      <c r="H12" s="185">
        <f t="shared" si="0"/>
        <v>2260</v>
      </c>
    </row>
    <row r="13" spans="2:8" ht="20.100000000000001" customHeight="1">
      <c r="B13" s="183" t="s">
        <v>56</v>
      </c>
      <c r="C13" s="183" t="s">
        <v>26</v>
      </c>
      <c r="D13" s="183">
        <v>150</v>
      </c>
      <c r="E13" s="184">
        <v>151</v>
      </c>
      <c r="F13" s="184">
        <v>0</v>
      </c>
      <c r="G13" s="184">
        <v>151</v>
      </c>
      <c r="H13" s="185">
        <f>G13*10</f>
        <v>1510</v>
      </c>
    </row>
    <row r="14" spans="2:8" ht="20.100000000000001" customHeight="1">
      <c r="B14" s="1259" t="s">
        <v>24</v>
      </c>
      <c r="C14" s="1259"/>
      <c r="D14" s="183">
        <f>SUM(D9:D13)</f>
        <v>750</v>
      </c>
      <c r="E14" s="184">
        <f>SUM(E9:E13)</f>
        <v>1175</v>
      </c>
      <c r="F14" s="184">
        <f>SUM(F9:F13)</f>
        <v>62</v>
      </c>
      <c r="G14" s="17">
        <f>SUM(G9:G13)</f>
        <v>1237</v>
      </c>
      <c r="H14" s="185">
        <f>G14*10</f>
        <v>12370</v>
      </c>
    </row>
    <row r="16" spans="2:8" ht="19.5">
      <c r="B16" s="158" t="s">
        <v>21</v>
      </c>
      <c r="C16" s="1256" t="s">
        <v>46</v>
      </c>
      <c r="D16" s="1257"/>
      <c r="E16" s="1257"/>
      <c r="F16" s="1257"/>
      <c r="G16" s="1257"/>
      <c r="H16" s="1258"/>
    </row>
    <row r="17" spans="2:8" ht="15" customHeight="1">
      <c r="B17" s="1251" t="s">
        <v>0</v>
      </c>
      <c r="C17" s="1251" t="s">
        <v>1</v>
      </c>
      <c r="D17" s="1253" t="s">
        <v>23</v>
      </c>
      <c r="E17" s="1252" t="s">
        <v>40</v>
      </c>
      <c r="F17" s="1253" t="s">
        <v>41</v>
      </c>
      <c r="G17" s="1253" t="s">
        <v>39</v>
      </c>
      <c r="H17" s="1253" t="s">
        <v>31</v>
      </c>
    </row>
    <row r="18" spans="2:8" s="151" customFormat="1">
      <c r="B18" s="1251"/>
      <c r="C18" s="1251"/>
      <c r="D18" s="1254"/>
      <c r="E18" s="1252"/>
      <c r="F18" s="1254"/>
      <c r="G18" s="1254"/>
      <c r="H18" s="1254"/>
    </row>
    <row r="19" spans="2:8" ht="20.100000000000001" customHeight="1">
      <c r="B19" s="183" t="s">
        <v>65</v>
      </c>
      <c r="C19" s="183" t="s">
        <v>16</v>
      </c>
      <c r="D19" s="183">
        <v>150</v>
      </c>
      <c r="E19" s="184">
        <v>264</v>
      </c>
      <c r="F19" s="184">
        <v>0</v>
      </c>
      <c r="G19" s="184">
        <v>264</v>
      </c>
      <c r="H19" s="185">
        <f t="shared" ref="H19:H23" si="1">G19*10</f>
        <v>2640</v>
      </c>
    </row>
    <row r="20" spans="2:8" ht="20.100000000000001" customHeight="1">
      <c r="B20" s="183" t="s">
        <v>70</v>
      </c>
      <c r="C20" s="183" t="s">
        <v>16</v>
      </c>
      <c r="D20" s="183">
        <v>150</v>
      </c>
      <c r="E20" s="184">
        <v>305</v>
      </c>
      <c r="F20" s="184">
        <v>0</v>
      </c>
      <c r="G20" s="184">
        <v>305</v>
      </c>
      <c r="H20" s="185">
        <f t="shared" si="1"/>
        <v>3050</v>
      </c>
    </row>
    <row r="21" spans="2:8" ht="20.100000000000001" customHeight="1">
      <c r="B21" s="183" t="s">
        <v>44</v>
      </c>
      <c r="C21" s="183" t="s">
        <v>18</v>
      </c>
      <c r="D21" s="183">
        <v>150</v>
      </c>
      <c r="E21" s="184">
        <v>110</v>
      </c>
      <c r="F21" s="184">
        <v>40</v>
      </c>
      <c r="G21" s="184">
        <v>150</v>
      </c>
      <c r="H21" s="185">
        <f>G21*10</f>
        <v>1500</v>
      </c>
    </row>
    <row r="22" spans="2:8" ht="20.100000000000001" customHeight="1">
      <c r="B22" s="183" t="s">
        <v>143</v>
      </c>
      <c r="C22" s="183" t="s">
        <v>26</v>
      </c>
      <c r="D22" s="183">
        <v>150</v>
      </c>
      <c r="E22" s="184">
        <v>242</v>
      </c>
      <c r="F22" s="184">
        <v>0</v>
      </c>
      <c r="G22" s="184">
        <v>242</v>
      </c>
      <c r="H22" s="185">
        <f t="shared" si="1"/>
        <v>2420</v>
      </c>
    </row>
    <row r="23" spans="2:8" ht="20.100000000000001" customHeight="1">
      <c r="B23" s="183" t="s">
        <v>84</v>
      </c>
      <c r="C23" s="183" t="s">
        <v>26</v>
      </c>
      <c r="D23" s="183">
        <v>150</v>
      </c>
      <c r="E23" s="184">
        <v>95</v>
      </c>
      <c r="F23" s="12">
        <v>55</v>
      </c>
      <c r="G23" s="184">
        <v>150</v>
      </c>
      <c r="H23" s="185">
        <f t="shared" si="1"/>
        <v>1500</v>
      </c>
    </row>
    <row r="24" spans="2:8" ht="20.100000000000001" customHeight="1">
      <c r="B24" s="1259" t="s">
        <v>24</v>
      </c>
      <c r="C24" s="1259"/>
      <c r="D24" s="183">
        <f>SUM(D19:D23)</f>
        <v>750</v>
      </c>
      <c r="E24" s="184">
        <f>SUM(E19:E23)</f>
        <v>1016</v>
      </c>
      <c r="F24" s="184">
        <f>SUM(F19:F23)</f>
        <v>95</v>
      </c>
      <c r="G24" s="184">
        <f>SUM(G19:G23)</f>
        <v>1111</v>
      </c>
      <c r="H24" s="185">
        <f>G24*10</f>
        <v>11110</v>
      </c>
    </row>
    <row r="25" spans="2:8">
      <c r="B25" s="162"/>
      <c r="C25" s="162"/>
      <c r="D25" s="163"/>
      <c r="E25" s="163"/>
      <c r="F25" s="163"/>
      <c r="G25" s="163"/>
      <c r="H25" s="163"/>
    </row>
    <row r="26" spans="2:8" ht="19.5">
      <c r="B26" s="164" t="s">
        <v>28</v>
      </c>
      <c r="C26" s="1264" t="s">
        <v>165</v>
      </c>
      <c r="D26" s="1265"/>
      <c r="E26" s="1265"/>
      <c r="F26" s="1265"/>
      <c r="G26" s="1265"/>
      <c r="H26" s="1266"/>
    </row>
    <row r="27" spans="2:8" ht="15" customHeight="1">
      <c r="B27" s="1251" t="s">
        <v>0</v>
      </c>
      <c r="C27" s="1251" t="s">
        <v>1</v>
      </c>
      <c r="D27" s="1253" t="s">
        <v>23</v>
      </c>
      <c r="E27" s="1252" t="s">
        <v>40</v>
      </c>
      <c r="F27" s="1253" t="s">
        <v>41</v>
      </c>
      <c r="G27" s="1253" t="s">
        <v>39</v>
      </c>
      <c r="H27" s="1253" t="s">
        <v>31</v>
      </c>
    </row>
    <row r="28" spans="2:8">
      <c r="B28" s="1251"/>
      <c r="C28" s="1251"/>
      <c r="D28" s="1254"/>
      <c r="E28" s="1252"/>
      <c r="F28" s="1254"/>
      <c r="G28" s="1254"/>
      <c r="H28" s="1254"/>
    </row>
    <row r="29" spans="2:8">
      <c r="B29" s="183" t="s">
        <v>143</v>
      </c>
      <c r="C29" s="183" t="s">
        <v>26</v>
      </c>
      <c r="D29" s="183">
        <v>100</v>
      </c>
      <c r="E29" s="184">
        <v>191</v>
      </c>
      <c r="F29" s="184">
        <v>0</v>
      </c>
      <c r="G29" s="184">
        <v>191</v>
      </c>
      <c r="H29" s="185">
        <f>G29*10</f>
        <v>1910</v>
      </c>
    </row>
    <row r="30" spans="2:8">
      <c r="B30" s="183" t="s">
        <v>84</v>
      </c>
      <c r="C30" s="183" t="s">
        <v>26</v>
      </c>
      <c r="D30" s="183">
        <v>100</v>
      </c>
      <c r="E30" s="184">
        <v>179</v>
      </c>
      <c r="F30" s="184">
        <v>0</v>
      </c>
      <c r="G30" s="184">
        <v>179</v>
      </c>
      <c r="H30" s="185">
        <f>G30*10</f>
        <v>1790</v>
      </c>
    </row>
    <row r="31" spans="2:8">
      <c r="B31" s="183" t="s">
        <v>70</v>
      </c>
      <c r="C31" s="183" t="s">
        <v>18</v>
      </c>
      <c r="D31" s="183">
        <v>100</v>
      </c>
      <c r="E31" s="184">
        <v>220</v>
      </c>
      <c r="F31" s="184">
        <v>0</v>
      </c>
      <c r="G31" s="184">
        <v>220</v>
      </c>
      <c r="H31" s="185">
        <f>G31*10</f>
        <v>2200</v>
      </c>
    </row>
    <row r="32" spans="2:8" ht="20.100000000000001" customHeight="1">
      <c r="B32" s="1259" t="s">
        <v>24</v>
      </c>
      <c r="C32" s="1259"/>
      <c r="D32" s="183">
        <f>SUM(D29:D31)</f>
        <v>300</v>
      </c>
      <c r="E32" s="184">
        <f>SUM(E29:E31)</f>
        <v>590</v>
      </c>
      <c r="F32" s="184">
        <f>SUM(F29:F31)</f>
        <v>0</v>
      </c>
      <c r="G32" s="184">
        <f>SUM(G29:G31)</f>
        <v>590</v>
      </c>
      <c r="H32" s="185">
        <f>G32*10</f>
        <v>5900</v>
      </c>
    </row>
    <row r="34" spans="2:8" ht="19.5">
      <c r="B34" s="155" t="s">
        <v>5</v>
      </c>
      <c r="C34" s="165"/>
      <c r="E34" s="1271" t="s">
        <v>32</v>
      </c>
      <c r="F34" s="1272"/>
      <c r="G34" s="1272"/>
      <c r="H34" s="1273"/>
    </row>
    <row r="35" spans="2:8">
      <c r="B35" s="166" t="s">
        <v>4</v>
      </c>
      <c r="C35" s="167"/>
      <c r="E35" s="168"/>
      <c r="F35" s="170" t="s">
        <v>34</v>
      </c>
      <c r="G35" s="170" t="s">
        <v>35</v>
      </c>
      <c r="H35" s="170" t="s">
        <v>37</v>
      </c>
    </row>
    <row r="36" spans="2:8">
      <c r="B36" s="166" t="s">
        <v>33</v>
      </c>
      <c r="C36" s="167"/>
      <c r="E36" s="171" t="s">
        <v>39</v>
      </c>
      <c r="F36" s="174">
        <f>G14</f>
        <v>1237</v>
      </c>
      <c r="G36" s="175">
        <f>G24</f>
        <v>1111</v>
      </c>
      <c r="H36" s="175">
        <f>G32</f>
        <v>590</v>
      </c>
    </row>
    <row r="37" spans="2:8">
      <c r="B37" s="166" t="s">
        <v>25</v>
      </c>
      <c r="C37" s="167"/>
      <c r="E37" s="171" t="s">
        <v>36</v>
      </c>
      <c r="F37" s="169">
        <f>F36*10</f>
        <v>12370</v>
      </c>
      <c r="G37" s="169">
        <f>G36*10</f>
        <v>11110</v>
      </c>
      <c r="H37" s="169">
        <f>H36*10</f>
        <v>5900</v>
      </c>
    </row>
    <row r="38" spans="2:8" ht="19.5">
      <c r="E38" s="158" t="s">
        <v>38</v>
      </c>
      <c r="F38" s="1274">
        <f>SUM(F37:H37)</f>
        <v>29380</v>
      </c>
      <c r="G38" s="1275"/>
      <c r="H38" s="1276"/>
    </row>
  </sheetData>
  <sheetProtection algorithmName="SHA-512" hashValue="tld7FRMepNsmMI7ygSj6ckCuzKSBQaM/UQZJvVNIuXkvzn/d1eiXYS8xHifRVjbxW3VPTRUQOg+8EvQQK3O1Ig==" saltValue="Vdz0oLJWOilHWu5XxmnOvw==" spinCount="100000" sheet="1" objects="1" scenarios="1"/>
  <mergeCells count="30">
    <mergeCell ref="G2:H2"/>
    <mergeCell ref="C6:H6"/>
    <mergeCell ref="B7:B8"/>
    <mergeCell ref="C7:C8"/>
    <mergeCell ref="D7:D8"/>
    <mergeCell ref="E7:E8"/>
    <mergeCell ref="F7:F8"/>
    <mergeCell ref="G7:G8"/>
    <mergeCell ref="H7:H8"/>
    <mergeCell ref="B14:C14"/>
    <mergeCell ref="C16:H16"/>
    <mergeCell ref="B17:B18"/>
    <mergeCell ref="C17:C18"/>
    <mergeCell ref="D17:D18"/>
    <mergeCell ref="E17:E18"/>
    <mergeCell ref="F17:F18"/>
    <mergeCell ref="G17:G18"/>
    <mergeCell ref="H17:H18"/>
    <mergeCell ref="B32:C32"/>
    <mergeCell ref="E34:H34"/>
    <mergeCell ref="F38:H38"/>
    <mergeCell ref="B24:C24"/>
    <mergeCell ref="C26:H26"/>
    <mergeCell ref="B27:B28"/>
    <mergeCell ref="C27:C28"/>
    <mergeCell ref="D27:D28"/>
    <mergeCell ref="E27:E28"/>
    <mergeCell ref="F27:F28"/>
    <mergeCell ref="G27:G28"/>
    <mergeCell ref="H27:H28"/>
  </mergeCells>
  <pageMargins left="0.7" right="0.7" top="0.75" bottom="0.75" header="0.3" footer="0.3"/>
  <pageSetup scale="76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79680-CB5B-41CE-ADB6-B41377FC151A}">
  <sheetPr codeName="Sheet129">
    <pageSetUpPr fitToPage="1"/>
  </sheetPr>
  <dimension ref="B2:H38"/>
  <sheetViews>
    <sheetView workbookViewId="0"/>
  </sheetViews>
  <sheetFormatPr defaultColWidth="9.140625" defaultRowHeight="15"/>
  <cols>
    <col min="1" max="1" width="9.140625" style="150"/>
    <col min="2" max="2" width="21.5703125" style="150" customWidth="1"/>
    <col min="3" max="3" width="24.28515625" style="150" bestFit="1" customWidth="1"/>
    <col min="4" max="8" width="15.7109375" style="150" customWidth="1"/>
    <col min="9" max="16384" width="9.140625" style="150"/>
  </cols>
  <sheetData>
    <row r="2" spans="2:8" ht="19.5">
      <c r="B2" s="156" t="s">
        <v>13</v>
      </c>
      <c r="C2" s="152"/>
      <c r="D2" s="152"/>
      <c r="F2" s="161" t="s">
        <v>27</v>
      </c>
      <c r="G2" s="1247">
        <v>44475</v>
      </c>
      <c r="H2" s="1247"/>
    </row>
    <row r="3" spans="2:8">
      <c r="B3" s="152"/>
      <c r="C3" s="152"/>
      <c r="D3" s="152"/>
    </row>
    <row r="4" spans="2:8">
      <c r="B4" s="152"/>
      <c r="C4" s="152"/>
      <c r="D4" s="152"/>
    </row>
    <row r="5" spans="2:8">
      <c r="B5" s="152"/>
      <c r="C5" s="152"/>
      <c r="D5" s="152"/>
    </row>
    <row r="6" spans="2:8" ht="19.5">
      <c r="B6" s="157" t="s">
        <v>42</v>
      </c>
      <c r="C6" s="1248" t="s">
        <v>61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5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183" t="s">
        <v>53</v>
      </c>
      <c r="C9" s="183" t="s">
        <v>16</v>
      </c>
      <c r="D9" s="183">
        <v>150</v>
      </c>
      <c r="E9" s="12">
        <v>289</v>
      </c>
      <c r="F9" s="12">
        <v>0</v>
      </c>
      <c r="G9" s="12">
        <v>289</v>
      </c>
      <c r="H9" s="185">
        <f t="shared" ref="H9:H12" si="0">G9*10</f>
        <v>2890</v>
      </c>
    </row>
    <row r="10" spans="2:8" ht="20.100000000000001" customHeight="1">
      <c r="B10" s="183" t="s">
        <v>63</v>
      </c>
      <c r="C10" s="183" t="s">
        <v>16</v>
      </c>
      <c r="D10" s="183">
        <v>150</v>
      </c>
      <c r="E10" s="184">
        <v>213</v>
      </c>
      <c r="F10" s="184">
        <v>0</v>
      </c>
      <c r="G10" s="184">
        <v>213</v>
      </c>
      <c r="H10" s="185">
        <f t="shared" si="0"/>
        <v>2130</v>
      </c>
    </row>
    <row r="11" spans="2:8" ht="20.100000000000001" customHeight="1">
      <c r="B11" s="183" t="s">
        <v>172</v>
      </c>
      <c r="C11" s="183" t="s">
        <v>18</v>
      </c>
      <c r="D11" s="183">
        <v>150</v>
      </c>
      <c r="E11" s="184">
        <v>87</v>
      </c>
      <c r="F11" s="184">
        <v>63</v>
      </c>
      <c r="G11" s="184">
        <v>150</v>
      </c>
      <c r="H11" s="185">
        <f t="shared" si="0"/>
        <v>1500</v>
      </c>
    </row>
    <row r="12" spans="2:8" ht="20.100000000000001" customHeight="1">
      <c r="B12" s="183" t="s">
        <v>161</v>
      </c>
      <c r="C12" s="183" t="s">
        <v>26</v>
      </c>
      <c r="D12" s="183">
        <v>150</v>
      </c>
      <c r="E12" s="184">
        <v>116</v>
      </c>
      <c r="F12" s="184">
        <v>34</v>
      </c>
      <c r="G12" s="184">
        <v>150</v>
      </c>
      <c r="H12" s="185">
        <f t="shared" si="0"/>
        <v>1500</v>
      </c>
    </row>
    <row r="13" spans="2:8" ht="20.100000000000001" customHeight="1">
      <c r="B13" s="183" t="s">
        <v>170</v>
      </c>
      <c r="C13" s="183" t="s">
        <v>26</v>
      </c>
      <c r="D13" s="183">
        <v>150</v>
      </c>
      <c r="E13" s="184">
        <v>197</v>
      </c>
      <c r="F13" s="184">
        <v>0</v>
      </c>
      <c r="G13" s="184">
        <v>197</v>
      </c>
      <c r="H13" s="185">
        <f>G13*10</f>
        <v>1970</v>
      </c>
    </row>
    <row r="14" spans="2:8" ht="20.100000000000001" customHeight="1">
      <c r="B14" s="1259" t="s">
        <v>24</v>
      </c>
      <c r="C14" s="1259"/>
      <c r="D14" s="183">
        <f>SUM(D9:D13)</f>
        <v>750</v>
      </c>
      <c r="E14" s="184">
        <f>SUM(E9:E13)</f>
        <v>902</v>
      </c>
      <c r="F14" s="184">
        <f>SUM(F9:F13)</f>
        <v>97</v>
      </c>
      <c r="G14" s="17">
        <f>SUM(G9:G13)</f>
        <v>999</v>
      </c>
      <c r="H14" s="185">
        <f>G14*10</f>
        <v>9990</v>
      </c>
    </row>
    <row r="16" spans="2:8" ht="19.5">
      <c r="B16" s="158" t="s">
        <v>21</v>
      </c>
      <c r="C16" s="1256" t="s">
        <v>46</v>
      </c>
      <c r="D16" s="1257"/>
      <c r="E16" s="1257"/>
      <c r="F16" s="1257"/>
      <c r="G16" s="1257"/>
      <c r="H16" s="1258"/>
    </row>
    <row r="17" spans="2:8" ht="15" customHeight="1">
      <c r="B17" s="1251" t="s">
        <v>0</v>
      </c>
      <c r="C17" s="1251" t="s">
        <v>1</v>
      </c>
      <c r="D17" s="1253" t="s">
        <v>23</v>
      </c>
      <c r="E17" s="1252" t="s">
        <v>40</v>
      </c>
      <c r="F17" s="1253" t="s">
        <v>41</v>
      </c>
      <c r="G17" s="1253" t="s">
        <v>39</v>
      </c>
      <c r="H17" s="1253" t="s">
        <v>31</v>
      </c>
    </row>
    <row r="18" spans="2:8" s="151" customFormat="1">
      <c r="B18" s="1251"/>
      <c r="C18" s="1251"/>
      <c r="D18" s="1254"/>
      <c r="E18" s="1252"/>
      <c r="F18" s="1254"/>
      <c r="G18" s="1254"/>
      <c r="H18" s="1254"/>
    </row>
    <row r="19" spans="2:8" ht="20.100000000000001" customHeight="1">
      <c r="B19" s="183" t="s">
        <v>170</v>
      </c>
      <c r="C19" s="183" t="s">
        <v>16</v>
      </c>
      <c r="D19" s="183">
        <v>150</v>
      </c>
      <c r="E19" s="184">
        <v>120</v>
      </c>
      <c r="F19" s="184">
        <v>30</v>
      </c>
      <c r="G19" s="184">
        <v>150</v>
      </c>
      <c r="H19" s="185">
        <f t="shared" ref="H19:H23" si="1">G19*10</f>
        <v>1500</v>
      </c>
    </row>
    <row r="20" spans="2:8" ht="20.100000000000001" customHeight="1">
      <c r="B20" s="183" t="s">
        <v>63</v>
      </c>
      <c r="C20" s="183" t="s">
        <v>16</v>
      </c>
      <c r="D20" s="183">
        <v>150</v>
      </c>
      <c r="E20" s="184">
        <v>171</v>
      </c>
      <c r="F20" s="184">
        <v>0</v>
      </c>
      <c r="G20" s="184">
        <v>171</v>
      </c>
      <c r="H20" s="185">
        <f t="shared" si="1"/>
        <v>1710</v>
      </c>
    </row>
    <row r="21" spans="2:8" ht="20.100000000000001" customHeight="1">
      <c r="B21" s="183" t="s">
        <v>171</v>
      </c>
      <c r="C21" s="183" t="s">
        <v>18</v>
      </c>
      <c r="D21" s="183">
        <v>150</v>
      </c>
      <c r="E21" s="184">
        <v>144</v>
      </c>
      <c r="F21" s="184">
        <v>6</v>
      </c>
      <c r="G21" s="184">
        <v>150</v>
      </c>
      <c r="H21" s="185">
        <f>G21*10</f>
        <v>1500</v>
      </c>
    </row>
    <row r="22" spans="2:8" ht="20.100000000000001" customHeight="1">
      <c r="B22" s="183" t="s">
        <v>161</v>
      </c>
      <c r="C22" s="183" t="s">
        <v>26</v>
      </c>
      <c r="D22" s="183">
        <v>150</v>
      </c>
      <c r="E22" s="184">
        <v>186</v>
      </c>
      <c r="F22" s="184">
        <v>0</v>
      </c>
      <c r="G22" s="184">
        <v>186</v>
      </c>
      <c r="H22" s="185">
        <f t="shared" si="1"/>
        <v>1860</v>
      </c>
    </row>
    <row r="23" spans="2:8" ht="20.100000000000001" customHeight="1">
      <c r="B23" s="183" t="s">
        <v>70</v>
      </c>
      <c r="C23" s="183" t="s">
        <v>26</v>
      </c>
      <c r="D23" s="183">
        <v>150</v>
      </c>
      <c r="E23" s="184">
        <v>517</v>
      </c>
      <c r="F23" s="12">
        <v>0</v>
      </c>
      <c r="G23" s="184">
        <v>517</v>
      </c>
      <c r="H23" s="185">
        <f t="shared" si="1"/>
        <v>5170</v>
      </c>
    </row>
    <row r="24" spans="2:8" ht="20.100000000000001" customHeight="1">
      <c r="B24" s="1259" t="s">
        <v>24</v>
      </c>
      <c r="C24" s="1259"/>
      <c r="D24" s="183">
        <f>SUM(D19:D23)</f>
        <v>750</v>
      </c>
      <c r="E24" s="184">
        <f>SUM(E19:E23)</f>
        <v>1138</v>
      </c>
      <c r="F24" s="184">
        <f>SUM(F19:F23)</f>
        <v>36</v>
      </c>
      <c r="G24" s="184">
        <f>SUM(G19:G23)</f>
        <v>1174</v>
      </c>
      <c r="H24" s="185">
        <f>G24*10</f>
        <v>11740</v>
      </c>
    </row>
    <row r="25" spans="2:8">
      <c r="B25" s="162"/>
      <c r="C25" s="162"/>
      <c r="D25" s="163"/>
      <c r="E25" s="163"/>
      <c r="F25" s="163"/>
      <c r="G25" s="163"/>
      <c r="H25" s="163"/>
    </row>
    <row r="26" spans="2:8" ht="19.5">
      <c r="B26" s="164" t="s">
        <v>28</v>
      </c>
      <c r="C26" s="1264" t="s">
        <v>165</v>
      </c>
      <c r="D26" s="1265"/>
      <c r="E26" s="1265"/>
      <c r="F26" s="1265"/>
      <c r="G26" s="1265"/>
      <c r="H26" s="1266"/>
    </row>
    <row r="27" spans="2:8" ht="15" customHeight="1">
      <c r="B27" s="1251" t="s">
        <v>0</v>
      </c>
      <c r="C27" s="1251" t="s">
        <v>1</v>
      </c>
      <c r="D27" s="1253" t="s">
        <v>23</v>
      </c>
      <c r="E27" s="1252" t="s">
        <v>40</v>
      </c>
      <c r="F27" s="1253" t="s">
        <v>41</v>
      </c>
      <c r="G27" s="1253" t="s">
        <v>39</v>
      </c>
      <c r="H27" s="1253" t="s">
        <v>31</v>
      </c>
    </row>
    <row r="28" spans="2:8">
      <c r="B28" s="1251"/>
      <c r="C28" s="1251"/>
      <c r="D28" s="1254"/>
      <c r="E28" s="1252"/>
      <c r="F28" s="1254"/>
      <c r="G28" s="1254"/>
      <c r="H28" s="1254"/>
    </row>
    <row r="29" spans="2:8">
      <c r="B29" s="183" t="s">
        <v>161</v>
      </c>
      <c r="C29" s="183" t="s">
        <v>26</v>
      </c>
      <c r="D29" s="183">
        <v>100</v>
      </c>
      <c r="E29" s="184">
        <v>123</v>
      </c>
      <c r="F29" s="184">
        <v>0</v>
      </c>
      <c r="G29" s="184">
        <v>123</v>
      </c>
      <c r="H29" s="185">
        <f>G29*10</f>
        <v>1230</v>
      </c>
    </row>
    <row r="30" spans="2:8">
      <c r="B30" s="183" t="s">
        <v>70</v>
      </c>
      <c r="C30" s="183" t="s">
        <v>26</v>
      </c>
      <c r="D30" s="183">
        <v>100</v>
      </c>
      <c r="E30" s="184">
        <v>275</v>
      </c>
      <c r="F30" s="184">
        <v>0</v>
      </c>
      <c r="G30" s="184">
        <v>275</v>
      </c>
      <c r="H30" s="185">
        <f>G30*10</f>
        <v>2750</v>
      </c>
    </row>
    <row r="31" spans="2:8">
      <c r="B31" s="183" t="s">
        <v>171</v>
      </c>
      <c r="C31" s="183" t="s">
        <v>18</v>
      </c>
      <c r="D31" s="183">
        <v>100</v>
      </c>
      <c r="E31" s="184">
        <v>81</v>
      </c>
      <c r="F31" s="184">
        <v>19</v>
      </c>
      <c r="G31" s="184">
        <v>100</v>
      </c>
      <c r="H31" s="185">
        <f>G31*10</f>
        <v>1000</v>
      </c>
    </row>
    <row r="32" spans="2:8" ht="20.100000000000001" customHeight="1">
      <c r="B32" s="1259" t="s">
        <v>24</v>
      </c>
      <c r="C32" s="1259"/>
      <c r="D32" s="183">
        <f>SUM(D29:D31)</f>
        <v>300</v>
      </c>
      <c r="E32" s="184">
        <f>SUM(E29:E31)</f>
        <v>479</v>
      </c>
      <c r="F32" s="184">
        <f>SUM(F29:F31)</f>
        <v>19</v>
      </c>
      <c r="G32" s="184">
        <f>SUM(G29:G31)</f>
        <v>498</v>
      </c>
      <c r="H32" s="185">
        <f>G32*10</f>
        <v>4980</v>
      </c>
    </row>
    <row r="34" spans="2:8" ht="19.5">
      <c r="B34" s="155" t="s">
        <v>5</v>
      </c>
      <c r="C34" s="165"/>
      <c r="E34" s="1271" t="s">
        <v>32</v>
      </c>
      <c r="F34" s="1272"/>
      <c r="G34" s="1272"/>
      <c r="H34" s="1273"/>
    </row>
    <row r="35" spans="2:8">
      <c r="B35" s="166" t="s">
        <v>4</v>
      </c>
      <c r="C35" s="167"/>
      <c r="E35" s="168"/>
      <c r="F35" s="170" t="s">
        <v>34</v>
      </c>
      <c r="G35" s="170" t="s">
        <v>35</v>
      </c>
      <c r="H35" s="170" t="s">
        <v>37</v>
      </c>
    </row>
    <row r="36" spans="2:8">
      <c r="B36" s="166" t="s">
        <v>33</v>
      </c>
      <c r="C36" s="167"/>
      <c r="E36" s="171" t="s">
        <v>39</v>
      </c>
      <c r="F36" s="174">
        <f>G14</f>
        <v>999</v>
      </c>
      <c r="G36" s="175">
        <f>G24</f>
        <v>1174</v>
      </c>
      <c r="H36" s="175">
        <f>G32</f>
        <v>498</v>
      </c>
    </row>
    <row r="37" spans="2:8">
      <c r="B37" s="166" t="s">
        <v>25</v>
      </c>
      <c r="C37" s="167"/>
      <c r="E37" s="171" t="s">
        <v>36</v>
      </c>
      <c r="F37" s="169">
        <f>F36*10</f>
        <v>9990</v>
      </c>
      <c r="G37" s="169">
        <f>G36*10</f>
        <v>11740</v>
      </c>
      <c r="H37" s="169">
        <f>H36*10</f>
        <v>4980</v>
      </c>
    </row>
    <row r="38" spans="2:8" ht="19.5">
      <c r="E38" s="158" t="s">
        <v>38</v>
      </c>
      <c r="F38" s="1274">
        <f>SUM(F37:H37)</f>
        <v>26710</v>
      </c>
      <c r="G38" s="1275"/>
      <c r="H38" s="1276"/>
    </row>
  </sheetData>
  <sheetProtection algorithmName="SHA-512" hashValue="BR5Kvpv5hBXwppU0WhBxUb2r8v6ARW7ScOcgQnvbi5+cfTz6sPaiXUoDJbYqRVV52F4RXEYMnPCWdWt3EeXNaw==" saltValue="tdRoHlBeeJ0SdtORBsmJ/A==" spinCount="100000" sheet="1" objects="1" scenarios="1"/>
  <mergeCells count="30">
    <mergeCell ref="G2:H2"/>
    <mergeCell ref="C6:H6"/>
    <mergeCell ref="B7:B8"/>
    <mergeCell ref="C7:C8"/>
    <mergeCell ref="D7:D8"/>
    <mergeCell ref="E7:E8"/>
    <mergeCell ref="F7:F8"/>
    <mergeCell ref="G7:G8"/>
    <mergeCell ref="H7:H8"/>
    <mergeCell ref="B14:C14"/>
    <mergeCell ref="C16:H16"/>
    <mergeCell ref="B17:B18"/>
    <mergeCell ref="C17:C18"/>
    <mergeCell ref="D17:D18"/>
    <mergeCell ref="E17:E18"/>
    <mergeCell ref="F17:F18"/>
    <mergeCell ref="G17:G18"/>
    <mergeCell ref="H17:H18"/>
    <mergeCell ref="B32:C32"/>
    <mergeCell ref="E34:H34"/>
    <mergeCell ref="F38:H38"/>
    <mergeCell ref="B24:C24"/>
    <mergeCell ref="C26:H26"/>
    <mergeCell ref="B27:B28"/>
    <mergeCell ref="C27:C28"/>
    <mergeCell ref="D27:D28"/>
    <mergeCell ref="E27:E28"/>
    <mergeCell ref="F27:F28"/>
    <mergeCell ref="G27:G28"/>
    <mergeCell ref="H27:H28"/>
  </mergeCells>
  <pageMargins left="0.7" right="0.7" top="0.75" bottom="0.75" header="0.3" footer="0.3"/>
  <pageSetup scale="76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F0C33-9A41-45ED-965B-9575091B68DD}">
  <sheetPr codeName="Sheet130">
    <pageSetUpPr fitToPage="1"/>
  </sheetPr>
  <dimension ref="B2:H38"/>
  <sheetViews>
    <sheetView workbookViewId="0"/>
  </sheetViews>
  <sheetFormatPr defaultColWidth="9.140625" defaultRowHeight="15"/>
  <cols>
    <col min="1" max="1" width="9.140625" style="150"/>
    <col min="2" max="2" width="21.5703125" style="150" customWidth="1"/>
    <col min="3" max="3" width="24.28515625" style="150" bestFit="1" customWidth="1"/>
    <col min="4" max="8" width="15.7109375" style="150" customWidth="1"/>
    <col min="9" max="16384" width="9.140625" style="150"/>
  </cols>
  <sheetData>
    <row r="2" spans="2:8" ht="19.5">
      <c r="B2" s="156" t="s">
        <v>13</v>
      </c>
      <c r="C2" s="152"/>
      <c r="D2" s="152"/>
      <c r="F2" s="161" t="s">
        <v>27</v>
      </c>
      <c r="G2" s="1247">
        <v>44474</v>
      </c>
      <c r="H2" s="1247"/>
    </row>
    <row r="3" spans="2:8">
      <c r="B3" s="152"/>
      <c r="C3" s="152"/>
      <c r="D3" s="152"/>
    </row>
    <row r="4" spans="2:8">
      <c r="B4" s="152"/>
      <c r="C4" s="152"/>
      <c r="D4" s="152"/>
    </row>
    <row r="5" spans="2:8">
      <c r="B5" s="152"/>
      <c r="C5" s="152"/>
      <c r="D5" s="152"/>
    </row>
    <row r="6" spans="2:8" ht="19.5">
      <c r="B6" s="157" t="s">
        <v>42</v>
      </c>
      <c r="C6" s="1248" t="s">
        <v>61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5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183" t="s">
        <v>53</v>
      </c>
      <c r="C9" s="183" t="s">
        <v>16</v>
      </c>
      <c r="D9" s="183">
        <v>150</v>
      </c>
      <c r="E9" s="12">
        <v>259</v>
      </c>
      <c r="F9" s="12">
        <v>0</v>
      </c>
      <c r="G9" s="12">
        <v>259</v>
      </c>
      <c r="H9" s="185">
        <f t="shared" ref="H9:H12" si="0">G9*10</f>
        <v>2590</v>
      </c>
    </row>
    <row r="10" spans="2:8" ht="20.100000000000001" customHeight="1">
      <c r="B10" s="183" t="s">
        <v>56</v>
      </c>
      <c r="C10" s="183" t="s">
        <v>16</v>
      </c>
      <c r="D10" s="183">
        <v>150</v>
      </c>
      <c r="E10" s="184">
        <v>200</v>
      </c>
      <c r="F10" s="184">
        <v>0</v>
      </c>
      <c r="G10" s="184">
        <v>200</v>
      </c>
      <c r="H10" s="185">
        <f t="shared" si="0"/>
        <v>2000</v>
      </c>
    </row>
    <row r="11" spans="2:8" ht="20.100000000000001" customHeight="1">
      <c r="B11" s="31" t="s">
        <v>68</v>
      </c>
      <c r="C11" s="183" t="s">
        <v>18</v>
      </c>
      <c r="D11" s="183">
        <v>150</v>
      </c>
      <c r="E11" s="184">
        <v>52</v>
      </c>
      <c r="F11" s="184">
        <v>98</v>
      </c>
      <c r="G11" s="184">
        <v>150</v>
      </c>
      <c r="H11" s="185">
        <f t="shared" si="0"/>
        <v>1500</v>
      </c>
    </row>
    <row r="12" spans="2:8" ht="20.100000000000001" customHeight="1">
      <c r="B12" s="31" t="s">
        <v>63</v>
      </c>
      <c r="C12" s="183" t="s">
        <v>26</v>
      </c>
      <c r="D12" s="183">
        <v>150</v>
      </c>
      <c r="E12" s="184">
        <v>213</v>
      </c>
      <c r="F12" s="184">
        <v>0</v>
      </c>
      <c r="G12" s="184">
        <v>213</v>
      </c>
      <c r="H12" s="185">
        <f t="shared" si="0"/>
        <v>2130</v>
      </c>
    </row>
    <row r="13" spans="2:8" ht="20.100000000000001" customHeight="1">
      <c r="B13" s="183" t="s">
        <v>45</v>
      </c>
      <c r="C13" s="183" t="s">
        <v>26</v>
      </c>
      <c r="D13" s="183">
        <v>150</v>
      </c>
      <c r="E13" s="184">
        <v>163</v>
      </c>
      <c r="F13" s="184">
        <v>0</v>
      </c>
      <c r="G13" s="184">
        <v>163</v>
      </c>
      <c r="H13" s="185">
        <f>G13*10</f>
        <v>1630</v>
      </c>
    </row>
    <row r="14" spans="2:8" ht="20.100000000000001" customHeight="1">
      <c r="B14" s="1259" t="s">
        <v>24</v>
      </c>
      <c r="C14" s="1259"/>
      <c r="D14" s="183">
        <f>SUM(D9:D13)</f>
        <v>750</v>
      </c>
      <c r="E14" s="184">
        <f>SUM(E9:E13)</f>
        <v>887</v>
      </c>
      <c r="F14" s="184">
        <f>SUM(F9:F13)</f>
        <v>98</v>
      </c>
      <c r="G14" s="17">
        <f>SUM(G9:G13)</f>
        <v>985</v>
      </c>
      <c r="H14" s="185">
        <f>G14*10</f>
        <v>9850</v>
      </c>
    </row>
    <row r="16" spans="2:8" ht="19.5">
      <c r="B16" s="158" t="s">
        <v>21</v>
      </c>
      <c r="C16" s="1256" t="s">
        <v>46</v>
      </c>
      <c r="D16" s="1257"/>
      <c r="E16" s="1257"/>
      <c r="F16" s="1257"/>
      <c r="G16" s="1257"/>
      <c r="H16" s="1258"/>
    </row>
    <row r="17" spans="2:8" ht="15" customHeight="1">
      <c r="B17" s="1251" t="s">
        <v>0</v>
      </c>
      <c r="C17" s="1251" t="s">
        <v>1</v>
      </c>
      <c r="D17" s="1253" t="s">
        <v>23</v>
      </c>
      <c r="E17" s="1252" t="s">
        <v>40</v>
      </c>
      <c r="F17" s="1253" t="s">
        <v>41</v>
      </c>
      <c r="G17" s="1253" t="s">
        <v>39</v>
      </c>
      <c r="H17" s="1253" t="s">
        <v>31</v>
      </c>
    </row>
    <row r="18" spans="2:8" s="151" customFormat="1">
      <c r="B18" s="1251"/>
      <c r="C18" s="1251"/>
      <c r="D18" s="1254"/>
      <c r="E18" s="1252"/>
      <c r="F18" s="1254"/>
      <c r="G18" s="1254"/>
      <c r="H18" s="1254"/>
    </row>
    <row r="19" spans="2:8" ht="20.100000000000001" customHeight="1">
      <c r="B19" s="183" t="s">
        <v>169</v>
      </c>
      <c r="C19" s="183" t="s">
        <v>16</v>
      </c>
      <c r="D19" s="183">
        <v>150</v>
      </c>
      <c r="E19" s="184">
        <v>297</v>
      </c>
      <c r="F19" s="184">
        <v>0</v>
      </c>
      <c r="G19" s="184">
        <v>297</v>
      </c>
      <c r="H19" s="185">
        <f t="shared" ref="H19:H23" si="1">G19*10</f>
        <v>2970</v>
      </c>
    </row>
    <row r="20" spans="2:8" ht="20.100000000000001" customHeight="1">
      <c r="B20" s="183" t="s">
        <v>56</v>
      </c>
      <c r="C20" s="183" t="s">
        <v>16</v>
      </c>
      <c r="D20" s="183">
        <v>150</v>
      </c>
      <c r="E20" s="184">
        <v>106</v>
      </c>
      <c r="F20" s="184">
        <v>44</v>
      </c>
      <c r="G20" s="184">
        <v>150</v>
      </c>
      <c r="H20" s="185">
        <f t="shared" si="1"/>
        <v>1500</v>
      </c>
    </row>
    <row r="21" spans="2:8" ht="20.100000000000001" customHeight="1">
      <c r="B21" s="31" t="s">
        <v>68</v>
      </c>
      <c r="C21" s="183" t="s">
        <v>18</v>
      </c>
      <c r="D21" s="183">
        <v>150</v>
      </c>
      <c r="E21" s="184">
        <v>117</v>
      </c>
      <c r="F21" s="184">
        <v>33</v>
      </c>
      <c r="G21" s="184">
        <v>150</v>
      </c>
      <c r="H21" s="185">
        <f>G21*10</f>
        <v>1500</v>
      </c>
    </row>
    <row r="22" spans="2:8" ht="20.100000000000001" customHeight="1">
      <c r="B22" s="31" t="s">
        <v>63</v>
      </c>
      <c r="C22" s="183" t="s">
        <v>26</v>
      </c>
      <c r="D22" s="183">
        <v>150</v>
      </c>
      <c r="E22" s="184">
        <v>181</v>
      </c>
      <c r="F22" s="184">
        <v>0</v>
      </c>
      <c r="G22" s="184">
        <v>181</v>
      </c>
      <c r="H22" s="185">
        <f t="shared" si="1"/>
        <v>1810</v>
      </c>
    </row>
    <row r="23" spans="2:8" ht="20.100000000000001" customHeight="1">
      <c r="B23" s="183" t="s">
        <v>45</v>
      </c>
      <c r="C23" s="183" t="s">
        <v>26</v>
      </c>
      <c r="D23" s="183">
        <v>150</v>
      </c>
      <c r="E23" s="184">
        <v>252</v>
      </c>
      <c r="F23" s="12">
        <v>0</v>
      </c>
      <c r="G23" s="184">
        <v>252</v>
      </c>
      <c r="H23" s="185">
        <f t="shared" si="1"/>
        <v>2520</v>
      </c>
    </row>
    <row r="24" spans="2:8" ht="20.100000000000001" customHeight="1">
      <c r="B24" s="1259" t="s">
        <v>24</v>
      </c>
      <c r="C24" s="1259"/>
      <c r="D24" s="183">
        <f>SUM(D19:D23)</f>
        <v>750</v>
      </c>
      <c r="E24" s="184">
        <f>SUM(E19:E23)</f>
        <v>953</v>
      </c>
      <c r="F24" s="184">
        <f>SUM(F19:F23)</f>
        <v>77</v>
      </c>
      <c r="G24" s="184">
        <f>SUM(G19:G23)</f>
        <v>1030</v>
      </c>
      <c r="H24" s="185">
        <f>G24*10</f>
        <v>10300</v>
      </c>
    </row>
    <row r="25" spans="2:8">
      <c r="B25" s="162"/>
      <c r="C25" s="162"/>
      <c r="D25" s="163"/>
      <c r="E25" s="163"/>
      <c r="F25" s="163"/>
      <c r="G25" s="163"/>
      <c r="H25" s="163"/>
    </row>
    <row r="26" spans="2:8" ht="19.5">
      <c r="B26" s="164" t="s">
        <v>28</v>
      </c>
      <c r="C26" s="1264" t="s">
        <v>165</v>
      </c>
      <c r="D26" s="1265"/>
      <c r="E26" s="1265"/>
      <c r="F26" s="1265"/>
      <c r="G26" s="1265"/>
      <c r="H26" s="1266"/>
    </row>
    <row r="27" spans="2:8" ht="15" customHeight="1">
      <c r="B27" s="1251" t="s">
        <v>0</v>
      </c>
      <c r="C27" s="1251" t="s">
        <v>1</v>
      </c>
      <c r="D27" s="1253" t="s">
        <v>23</v>
      </c>
      <c r="E27" s="1252" t="s">
        <v>40</v>
      </c>
      <c r="F27" s="1253" t="s">
        <v>41</v>
      </c>
      <c r="G27" s="1253" t="s">
        <v>39</v>
      </c>
      <c r="H27" s="1253" t="s">
        <v>31</v>
      </c>
    </row>
    <row r="28" spans="2:8">
      <c r="B28" s="1251"/>
      <c r="C28" s="1251"/>
      <c r="D28" s="1254"/>
      <c r="E28" s="1252"/>
      <c r="F28" s="1254"/>
      <c r="G28" s="1254"/>
      <c r="H28" s="1254"/>
    </row>
    <row r="29" spans="2:8">
      <c r="B29" s="183" t="s">
        <v>56</v>
      </c>
      <c r="C29" s="183" t="s">
        <v>26</v>
      </c>
      <c r="D29" s="183">
        <v>100</v>
      </c>
      <c r="E29" s="184">
        <v>165</v>
      </c>
      <c r="F29" s="184">
        <v>0</v>
      </c>
      <c r="G29" s="184">
        <v>165</v>
      </c>
      <c r="H29" s="185">
        <f>G29*10</f>
        <v>1650</v>
      </c>
    </row>
    <row r="30" spans="2:8">
      <c r="B30" s="183" t="s">
        <v>45</v>
      </c>
      <c r="C30" s="183" t="s">
        <v>26</v>
      </c>
      <c r="D30" s="183">
        <v>100</v>
      </c>
      <c r="E30" s="184">
        <v>220</v>
      </c>
      <c r="F30" s="184">
        <v>0</v>
      </c>
      <c r="G30" s="184">
        <v>220</v>
      </c>
      <c r="H30" s="185">
        <f>G30*10</f>
        <v>2200</v>
      </c>
    </row>
    <row r="31" spans="2:8">
      <c r="B31" s="183" t="s">
        <v>144</v>
      </c>
      <c r="C31" s="183" t="s">
        <v>18</v>
      </c>
      <c r="D31" s="183">
        <v>100</v>
      </c>
      <c r="E31" s="184">
        <v>88</v>
      </c>
      <c r="F31" s="184">
        <v>12</v>
      </c>
      <c r="G31" s="184">
        <v>100</v>
      </c>
      <c r="H31" s="185">
        <f>G31*10</f>
        <v>1000</v>
      </c>
    </row>
    <row r="32" spans="2:8" ht="20.100000000000001" customHeight="1">
      <c r="B32" s="1259" t="s">
        <v>24</v>
      </c>
      <c r="C32" s="1259"/>
      <c r="D32" s="183">
        <f>SUM(D29:D31)</f>
        <v>300</v>
      </c>
      <c r="E32" s="184">
        <f>SUM(E29:E31)</f>
        <v>473</v>
      </c>
      <c r="F32" s="184">
        <f>SUM(F29:F31)</f>
        <v>12</v>
      </c>
      <c r="G32" s="184">
        <f>SUM(G29:G31)</f>
        <v>485</v>
      </c>
      <c r="H32" s="185">
        <f>G32*10</f>
        <v>4850</v>
      </c>
    </row>
    <row r="34" spans="2:8" ht="19.5">
      <c r="B34" s="155" t="s">
        <v>5</v>
      </c>
      <c r="C34" s="165"/>
      <c r="E34" s="1271" t="s">
        <v>32</v>
      </c>
      <c r="F34" s="1272"/>
      <c r="G34" s="1272"/>
      <c r="H34" s="1273"/>
    </row>
    <row r="35" spans="2:8">
      <c r="B35" s="166" t="s">
        <v>4</v>
      </c>
      <c r="C35" s="167"/>
      <c r="E35" s="168"/>
      <c r="F35" s="170" t="s">
        <v>34</v>
      </c>
      <c r="G35" s="170" t="s">
        <v>35</v>
      </c>
      <c r="H35" s="170" t="s">
        <v>37</v>
      </c>
    </row>
    <row r="36" spans="2:8">
      <c r="B36" s="166" t="s">
        <v>33</v>
      </c>
      <c r="C36" s="167"/>
      <c r="E36" s="171" t="s">
        <v>39</v>
      </c>
      <c r="F36" s="174">
        <f>G14</f>
        <v>985</v>
      </c>
      <c r="G36" s="175">
        <f>G24</f>
        <v>1030</v>
      </c>
      <c r="H36" s="175">
        <f>G32</f>
        <v>485</v>
      </c>
    </row>
    <row r="37" spans="2:8">
      <c r="B37" s="166" t="s">
        <v>25</v>
      </c>
      <c r="C37" s="167"/>
      <c r="E37" s="171" t="s">
        <v>36</v>
      </c>
      <c r="F37" s="169">
        <f>F36*10</f>
        <v>9850</v>
      </c>
      <c r="G37" s="169">
        <f>G36*10</f>
        <v>10300</v>
      </c>
      <c r="H37" s="169">
        <f>H36*10</f>
        <v>4850</v>
      </c>
    </row>
    <row r="38" spans="2:8" ht="19.5">
      <c r="E38" s="158" t="s">
        <v>38</v>
      </c>
      <c r="F38" s="1274">
        <f>SUM(F37:H37)</f>
        <v>25000</v>
      </c>
      <c r="G38" s="1275"/>
      <c r="H38" s="1276"/>
    </row>
  </sheetData>
  <sheetProtection algorithmName="SHA-512" hashValue="DeqEdgNQ2IGdt7SEcymn5rl0V3bpnm7XqubTlhd/XgS1JX+jC1NbcKyfluwIygkOutloTOpHAguD/4cpxXoLXA==" saltValue="W79Tygwld342q5k5pA2dlQ==" spinCount="100000" sheet="1" objects="1" scenarios="1"/>
  <mergeCells count="30">
    <mergeCell ref="G2:H2"/>
    <mergeCell ref="C6:H6"/>
    <mergeCell ref="B7:B8"/>
    <mergeCell ref="C7:C8"/>
    <mergeCell ref="D7:D8"/>
    <mergeCell ref="E7:E8"/>
    <mergeCell ref="F7:F8"/>
    <mergeCell ref="G7:G8"/>
    <mergeCell ref="H7:H8"/>
    <mergeCell ref="B14:C14"/>
    <mergeCell ref="C16:H16"/>
    <mergeCell ref="B17:B18"/>
    <mergeCell ref="C17:C18"/>
    <mergeCell ref="D17:D18"/>
    <mergeCell ref="E17:E18"/>
    <mergeCell ref="F17:F18"/>
    <mergeCell ref="G17:G18"/>
    <mergeCell ref="H17:H18"/>
    <mergeCell ref="B32:C32"/>
    <mergeCell ref="E34:H34"/>
    <mergeCell ref="F38:H38"/>
    <mergeCell ref="B24:C24"/>
    <mergeCell ref="C26:H26"/>
    <mergeCell ref="B27:B28"/>
    <mergeCell ref="C27:C28"/>
    <mergeCell ref="D27:D28"/>
    <mergeCell ref="E27:E28"/>
    <mergeCell ref="F27:F28"/>
    <mergeCell ref="G27:G28"/>
    <mergeCell ref="H27:H28"/>
  </mergeCells>
  <pageMargins left="0.7" right="0.7" top="0.75" bottom="0.75" header="0.3" footer="0.3"/>
  <pageSetup scale="76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1609-CD1F-43FA-8DD2-B69416E648D4}">
  <sheetPr codeName="Sheet131">
    <pageSetUpPr fitToPage="1"/>
  </sheetPr>
  <dimension ref="B2:H38"/>
  <sheetViews>
    <sheetView workbookViewId="0"/>
  </sheetViews>
  <sheetFormatPr defaultColWidth="9.140625" defaultRowHeight="15"/>
  <cols>
    <col min="1" max="1" width="9.140625" style="150"/>
    <col min="2" max="2" width="21.5703125" style="150" customWidth="1"/>
    <col min="3" max="3" width="24.28515625" style="150" bestFit="1" customWidth="1"/>
    <col min="4" max="8" width="15.7109375" style="150" customWidth="1"/>
    <col min="9" max="16384" width="9.140625" style="150"/>
  </cols>
  <sheetData>
    <row r="2" spans="2:8" ht="19.5">
      <c r="B2" s="156" t="s">
        <v>13</v>
      </c>
      <c r="C2" s="152"/>
      <c r="D2" s="152"/>
      <c r="F2" s="161" t="s">
        <v>27</v>
      </c>
      <c r="G2" s="1247">
        <v>44473</v>
      </c>
      <c r="H2" s="1247"/>
    </row>
    <row r="3" spans="2:8">
      <c r="B3" s="152"/>
      <c r="C3" s="152"/>
      <c r="D3" s="152"/>
    </row>
    <row r="4" spans="2:8">
      <c r="B4" s="152"/>
      <c r="C4" s="152"/>
      <c r="D4" s="152"/>
    </row>
    <row r="5" spans="2:8">
      <c r="B5" s="152"/>
      <c r="C5" s="152"/>
      <c r="D5" s="152"/>
    </row>
    <row r="6" spans="2:8" ht="19.5">
      <c r="B6" s="157" t="s">
        <v>42</v>
      </c>
      <c r="C6" s="1248" t="s">
        <v>61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5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183" t="s">
        <v>53</v>
      </c>
      <c r="C9" s="183" t="s">
        <v>16</v>
      </c>
      <c r="D9" s="183">
        <v>150</v>
      </c>
      <c r="E9" s="12">
        <v>256</v>
      </c>
      <c r="F9" s="12">
        <v>0</v>
      </c>
      <c r="G9" s="12">
        <v>256</v>
      </c>
      <c r="H9" s="185">
        <f t="shared" ref="H9:H12" si="0">G9*10</f>
        <v>2560</v>
      </c>
    </row>
    <row r="10" spans="2:8" ht="20.100000000000001" customHeight="1">
      <c r="B10" s="183" t="s">
        <v>63</v>
      </c>
      <c r="C10" s="183" t="s">
        <v>16</v>
      </c>
      <c r="D10" s="183">
        <v>150</v>
      </c>
      <c r="E10" s="184">
        <v>215</v>
      </c>
      <c r="F10" s="184">
        <v>0</v>
      </c>
      <c r="G10" s="184">
        <v>215</v>
      </c>
      <c r="H10" s="185">
        <f t="shared" si="0"/>
        <v>2150</v>
      </c>
    </row>
    <row r="11" spans="2:8" ht="20.100000000000001" customHeight="1">
      <c r="B11" s="31" t="s">
        <v>162</v>
      </c>
      <c r="C11" s="183" t="s">
        <v>18</v>
      </c>
      <c r="D11" s="183">
        <v>150</v>
      </c>
      <c r="E11" s="184">
        <v>52</v>
      </c>
      <c r="F11" s="184">
        <v>98</v>
      </c>
      <c r="G11" s="184">
        <v>150</v>
      </c>
      <c r="H11" s="185">
        <f t="shared" si="0"/>
        <v>1500</v>
      </c>
    </row>
    <row r="12" spans="2:8" ht="20.100000000000001" customHeight="1">
      <c r="B12" s="183" t="s">
        <v>65</v>
      </c>
      <c r="C12" s="183" t="s">
        <v>26</v>
      </c>
      <c r="D12" s="183">
        <v>150</v>
      </c>
      <c r="E12" s="184">
        <v>260</v>
      </c>
      <c r="F12" s="184">
        <v>0</v>
      </c>
      <c r="G12" s="184">
        <v>260</v>
      </c>
      <c r="H12" s="185">
        <f t="shared" si="0"/>
        <v>2600</v>
      </c>
    </row>
    <row r="13" spans="2:8" ht="20.100000000000001" customHeight="1">
      <c r="B13" s="183" t="s">
        <v>163</v>
      </c>
      <c r="C13" s="183" t="s">
        <v>26</v>
      </c>
      <c r="D13" s="183">
        <v>150</v>
      </c>
      <c r="E13" s="184">
        <v>142</v>
      </c>
      <c r="F13" s="184">
        <v>8</v>
      </c>
      <c r="G13" s="184">
        <v>150</v>
      </c>
      <c r="H13" s="185">
        <f>G13*10</f>
        <v>1500</v>
      </c>
    </row>
    <row r="14" spans="2:8" ht="20.100000000000001" customHeight="1">
      <c r="B14" s="1259" t="s">
        <v>24</v>
      </c>
      <c r="C14" s="1259"/>
      <c r="D14" s="183">
        <f>SUM(D9:D13)</f>
        <v>750</v>
      </c>
      <c r="E14" s="184">
        <f>SUM(E9:E13)</f>
        <v>925</v>
      </c>
      <c r="F14" s="184">
        <f>SUM(F9:F13)</f>
        <v>106</v>
      </c>
      <c r="G14" s="17">
        <f>SUM(G9:G13)</f>
        <v>1031</v>
      </c>
      <c r="H14" s="185">
        <f>G14*10</f>
        <v>10310</v>
      </c>
    </row>
    <row r="16" spans="2:8" ht="19.5">
      <c r="B16" s="158" t="s">
        <v>21</v>
      </c>
      <c r="C16" s="1256" t="s">
        <v>46</v>
      </c>
      <c r="D16" s="1257"/>
      <c r="E16" s="1257"/>
      <c r="F16" s="1257"/>
      <c r="G16" s="1257"/>
      <c r="H16" s="1258"/>
    </row>
    <row r="17" spans="2:8" ht="15" customHeight="1">
      <c r="B17" s="1251" t="s">
        <v>0</v>
      </c>
      <c r="C17" s="1251" t="s">
        <v>1</v>
      </c>
      <c r="D17" s="1253" t="s">
        <v>23</v>
      </c>
      <c r="E17" s="1252" t="s">
        <v>40</v>
      </c>
      <c r="F17" s="1253" t="s">
        <v>41</v>
      </c>
      <c r="G17" s="1253" t="s">
        <v>39</v>
      </c>
      <c r="H17" s="1253" t="s">
        <v>31</v>
      </c>
    </row>
    <row r="18" spans="2:8" s="151" customFormat="1">
      <c r="B18" s="1251"/>
      <c r="C18" s="1251"/>
      <c r="D18" s="1254"/>
      <c r="E18" s="1252"/>
      <c r="F18" s="1254"/>
      <c r="G18" s="1254"/>
      <c r="H18" s="1254"/>
    </row>
    <row r="19" spans="2:8" ht="20.100000000000001" customHeight="1">
      <c r="B19" s="183" t="s">
        <v>56</v>
      </c>
      <c r="C19" s="183" t="s">
        <v>16</v>
      </c>
      <c r="D19" s="183">
        <v>150</v>
      </c>
      <c r="E19" s="184">
        <v>200</v>
      </c>
      <c r="F19" s="184">
        <v>0</v>
      </c>
      <c r="G19" s="184">
        <v>200</v>
      </c>
      <c r="H19" s="185">
        <f t="shared" ref="H19:H23" si="1">G19*10</f>
        <v>2000</v>
      </c>
    </row>
    <row r="20" spans="2:8" ht="20.100000000000001" customHeight="1">
      <c r="B20" s="183" t="s">
        <v>63</v>
      </c>
      <c r="C20" s="183" t="s">
        <v>16</v>
      </c>
      <c r="D20" s="183">
        <v>150</v>
      </c>
      <c r="E20" s="184">
        <v>250</v>
      </c>
      <c r="F20" s="184">
        <v>0</v>
      </c>
      <c r="G20" s="184">
        <v>250</v>
      </c>
      <c r="H20" s="185">
        <f t="shared" si="1"/>
        <v>2500</v>
      </c>
    </row>
    <row r="21" spans="2:8" ht="20.100000000000001" customHeight="1">
      <c r="B21" s="183" t="s">
        <v>164</v>
      </c>
      <c r="C21" s="183" t="s">
        <v>18</v>
      </c>
      <c r="D21" s="183">
        <v>150</v>
      </c>
      <c r="E21" s="184">
        <v>77</v>
      </c>
      <c r="F21" s="184">
        <v>73</v>
      </c>
      <c r="G21" s="184">
        <v>150</v>
      </c>
      <c r="H21" s="185">
        <f>G21*10</f>
        <v>1500</v>
      </c>
    </row>
    <row r="22" spans="2:8" ht="20.100000000000001" customHeight="1">
      <c r="B22" s="183" t="s">
        <v>65</v>
      </c>
      <c r="C22" s="183" t="s">
        <v>26</v>
      </c>
      <c r="D22" s="183">
        <v>150</v>
      </c>
      <c r="E22" s="184">
        <v>253</v>
      </c>
      <c r="F22" s="184">
        <v>0</v>
      </c>
      <c r="G22" s="184">
        <v>253</v>
      </c>
      <c r="H22" s="185">
        <f t="shared" si="1"/>
        <v>2530</v>
      </c>
    </row>
    <row r="23" spans="2:8" ht="20.100000000000001" customHeight="1">
      <c r="B23" s="31" t="s">
        <v>44</v>
      </c>
      <c r="C23" s="183" t="s">
        <v>26</v>
      </c>
      <c r="D23" s="183">
        <v>150</v>
      </c>
      <c r="E23" s="184">
        <v>195</v>
      </c>
      <c r="F23" s="12">
        <v>0</v>
      </c>
      <c r="G23" s="184">
        <v>195</v>
      </c>
      <c r="H23" s="185">
        <f t="shared" si="1"/>
        <v>1950</v>
      </c>
    </row>
    <row r="24" spans="2:8" ht="20.100000000000001" customHeight="1">
      <c r="B24" s="1259" t="s">
        <v>24</v>
      </c>
      <c r="C24" s="1259"/>
      <c r="D24" s="183">
        <f>SUM(D19:D23)</f>
        <v>750</v>
      </c>
      <c r="E24" s="184">
        <f>SUM(E19:E23)</f>
        <v>975</v>
      </c>
      <c r="F24" s="184">
        <f>SUM(F19:F23)</f>
        <v>73</v>
      </c>
      <c r="G24" s="184">
        <f>SUM(G19:G23)</f>
        <v>1048</v>
      </c>
      <c r="H24" s="185">
        <f>G24*10</f>
        <v>10480</v>
      </c>
    </row>
    <row r="25" spans="2:8">
      <c r="B25" s="162"/>
      <c r="C25" s="162"/>
      <c r="D25" s="163"/>
      <c r="E25" s="163"/>
      <c r="F25" s="163"/>
      <c r="G25" s="163"/>
      <c r="H25" s="163"/>
    </row>
    <row r="26" spans="2:8" ht="19.5">
      <c r="B26" s="164" t="s">
        <v>28</v>
      </c>
      <c r="C26" s="1264" t="s">
        <v>165</v>
      </c>
      <c r="D26" s="1265"/>
      <c r="E26" s="1265"/>
      <c r="F26" s="1265"/>
      <c r="G26" s="1265"/>
      <c r="H26" s="1266"/>
    </row>
    <row r="27" spans="2:8" ht="15" customHeight="1">
      <c r="B27" s="1251" t="s">
        <v>0</v>
      </c>
      <c r="C27" s="1251" t="s">
        <v>1</v>
      </c>
      <c r="D27" s="1253" t="s">
        <v>23</v>
      </c>
      <c r="E27" s="1252" t="s">
        <v>40</v>
      </c>
      <c r="F27" s="1253" t="s">
        <v>41</v>
      </c>
      <c r="G27" s="1253" t="s">
        <v>39</v>
      </c>
      <c r="H27" s="1253" t="s">
        <v>31</v>
      </c>
    </row>
    <row r="28" spans="2:8">
      <c r="B28" s="1251"/>
      <c r="C28" s="1251"/>
      <c r="D28" s="1254"/>
      <c r="E28" s="1252"/>
      <c r="F28" s="1254"/>
      <c r="G28" s="1254"/>
      <c r="H28" s="1254"/>
    </row>
    <row r="29" spans="2:8">
      <c r="B29" s="183" t="s">
        <v>65</v>
      </c>
      <c r="C29" s="183" t="s">
        <v>26</v>
      </c>
      <c r="D29" s="183">
        <v>100</v>
      </c>
      <c r="E29" s="184">
        <v>148</v>
      </c>
      <c r="F29" s="184">
        <v>0</v>
      </c>
      <c r="G29" s="184">
        <v>148</v>
      </c>
      <c r="H29" s="185">
        <f>G29*10</f>
        <v>1480</v>
      </c>
    </row>
    <row r="30" spans="2:8">
      <c r="B30" s="183" t="s">
        <v>56</v>
      </c>
      <c r="C30" s="183" t="s">
        <v>26</v>
      </c>
      <c r="D30" s="183">
        <v>100</v>
      </c>
      <c r="E30" s="184">
        <v>173</v>
      </c>
      <c r="F30" s="184">
        <v>0</v>
      </c>
      <c r="G30" s="184">
        <v>173</v>
      </c>
      <c r="H30" s="185">
        <f>G30*10</f>
        <v>1730</v>
      </c>
    </row>
    <row r="31" spans="2:8">
      <c r="B31" s="183" t="s">
        <v>164</v>
      </c>
      <c r="C31" s="183" t="s">
        <v>18</v>
      </c>
      <c r="D31" s="183">
        <v>100</v>
      </c>
      <c r="E31" s="184">
        <v>34</v>
      </c>
      <c r="F31" s="184">
        <v>66</v>
      </c>
      <c r="G31" s="184">
        <v>100</v>
      </c>
      <c r="H31" s="185">
        <f>G31*10</f>
        <v>1000</v>
      </c>
    </row>
    <row r="32" spans="2:8" ht="20.100000000000001" customHeight="1">
      <c r="B32" s="1259" t="s">
        <v>24</v>
      </c>
      <c r="C32" s="1259"/>
      <c r="D32" s="183">
        <f>SUM(D29:D31)</f>
        <v>300</v>
      </c>
      <c r="E32" s="184">
        <f>SUM(E29:E31)</f>
        <v>355</v>
      </c>
      <c r="F32" s="184">
        <f>SUM(F29:F31)</f>
        <v>66</v>
      </c>
      <c r="G32" s="184">
        <f>SUM(G29:G31)</f>
        <v>421</v>
      </c>
      <c r="H32" s="185">
        <f>G32*10</f>
        <v>4210</v>
      </c>
    </row>
    <row r="34" spans="2:8" ht="19.5">
      <c r="B34" s="155" t="s">
        <v>5</v>
      </c>
      <c r="C34" s="165"/>
      <c r="E34" s="1271" t="s">
        <v>32</v>
      </c>
      <c r="F34" s="1272"/>
      <c r="G34" s="1272"/>
      <c r="H34" s="1273"/>
    </row>
    <row r="35" spans="2:8">
      <c r="B35" s="166" t="s">
        <v>4</v>
      </c>
      <c r="C35" s="167"/>
      <c r="E35" s="168"/>
      <c r="F35" s="170" t="s">
        <v>34</v>
      </c>
      <c r="G35" s="170" t="s">
        <v>35</v>
      </c>
      <c r="H35" s="170" t="s">
        <v>37</v>
      </c>
    </row>
    <row r="36" spans="2:8">
      <c r="B36" s="166" t="s">
        <v>33</v>
      </c>
      <c r="C36" s="167"/>
      <c r="E36" s="171" t="s">
        <v>39</v>
      </c>
      <c r="F36" s="174">
        <f>G14</f>
        <v>1031</v>
      </c>
      <c r="G36" s="175">
        <f>G24</f>
        <v>1048</v>
      </c>
      <c r="H36" s="175">
        <f>G32</f>
        <v>421</v>
      </c>
    </row>
    <row r="37" spans="2:8">
      <c r="B37" s="166" t="s">
        <v>25</v>
      </c>
      <c r="C37" s="167"/>
      <c r="E37" s="171" t="s">
        <v>36</v>
      </c>
      <c r="F37" s="169">
        <f>F36*10</f>
        <v>10310</v>
      </c>
      <c r="G37" s="169">
        <f>G36*10</f>
        <v>10480</v>
      </c>
      <c r="H37" s="169">
        <f>H36*10</f>
        <v>4210</v>
      </c>
    </row>
    <row r="38" spans="2:8" ht="19.5">
      <c r="E38" s="158" t="s">
        <v>38</v>
      </c>
      <c r="F38" s="1274">
        <f>SUM(F37:H37)</f>
        <v>25000</v>
      </c>
      <c r="G38" s="1275"/>
      <c r="H38" s="1276"/>
    </row>
  </sheetData>
  <sheetProtection algorithmName="SHA-512" hashValue="H+jnWYV2iRNRNwviVu38sOafCfhc5ke7mAHmfqyYmAbYCqUmy29aeekkSPgJYdQSvSCp/oXsdmIUn0VEOlv6VQ==" saltValue="EyNjYnZPP7ffUtV/kcYHVQ==" spinCount="100000" sheet="1" objects="1" scenarios="1"/>
  <mergeCells count="30">
    <mergeCell ref="B32:C32"/>
    <mergeCell ref="E34:H34"/>
    <mergeCell ref="F38:H38"/>
    <mergeCell ref="B24:C24"/>
    <mergeCell ref="C26:H26"/>
    <mergeCell ref="B27:B28"/>
    <mergeCell ref="C27:C28"/>
    <mergeCell ref="D27:D28"/>
    <mergeCell ref="E27:E28"/>
    <mergeCell ref="F27:F28"/>
    <mergeCell ref="G27:G28"/>
    <mergeCell ref="H27:H28"/>
    <mergeCell ref="B14:C14"/>
    <mergeCell ref="C16:H16"/>
    <mergeCell ref="B17:B18"/>
    <mergeCell ref="C17:C18"/>
    <mergeCell ref="D17:D18"/>
    <mergeCell ref="E17:E18"/>
    <mergeCell ref="F17:F18"/>
    <mergeCell ref="G17:G18"/>
    <mergeCell ref="H17:H18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76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3B05F-BD5E-4E46-9378-4B5C0377102B}">
  <sheetPr codeName="Sheet132">
    <pageSetUpPr fitToPage="1"/>
  </sheetPr>
  <dimension ref="B2:H38"/>
  <sheetViews>
    <sheetView workbookViewId="0"/>
  </sheetViews>
  <sheetFormatPr defaultColWidth="9.140625" defaultRowHeight="15"/>
  <cols>
    <col min="1" max="1" width="9.140625" style="150"/>
    <col min="2" max="2" width="21.5703125" style="150" customWidth="1"/>
    <col min="3" max="3" width="24.28515625" style="150" bestFit="1" customWidth="1"/>
    <col min="4" max="8" width="15.7109375" style="150" customWidth="1"/>
    <col min="9" max="16384" width="9.140625" style="150"/>
  </cols>
  <sheetData>
    <row r="2" spans="2:8" ht="19.5">
      <c r="B2" s="156" t="s">
        <v>13</v>
      </c>
      <c r="C2" s="152"/>
      <c r="D2" s="152"/>
      <c r="F2" s="161" t="s">
        <v>27</v>
      </c>
      <c r="G2" s="1247">
        <v>44472</v>
      </c>
      <c r="H2" s="1247"/>
    </row>
    <row r="3" spans="2:8">
      <c r="B3" s="152"/>
      <c r="C3" s="152"/>
      <c r="D3" s="152"/>
    </row>
    <row r="4" spans="2:8">
      <c r="B4" s="152"/>
      <c r="C4" s="152"/>
      <c r="D4" s="152"/>
    </row>
    <row r="5" spans="2:8">
      <c r="B5" s="152"/>
      <c r="C5" s="152"/>
      <c r="D5" s="152"/>
    </row>
    <row r="6" spans="2:8" ht="19.5">
      <c r="B6" s="157" t="s">
        <v>42</v>
      </c>
      <c r="C6" s="1248" t="s">
        <v>61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5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177"/>
      <c r="C9" s="177"/>
      <c r="D9" s="177">
        <v>150</v>
      </c>
      <c r="E9" s="178"/>
      <c r="F9" s="178"/>
      <c r="G9" s="178"/>
      <c r="H9" s="176">
        <f t="shared" ref="H9:H13" si="0">G9*10</f>
        <v>0</v>
      </c>
    </row>
    <row r="10" spans="2:8" ht="20.100000000000001" customHeight="1">
      <c r="B10" s="177"/>
      <c r="C10" s="177"/>
      <c r="D10" s="177">
        <v>150</v>
      </c>
      <c r="E10" s="178"/>
      <c r="F10" s="178"/>
      <c r="G10" s="178"/>
      <c r="H10" s="176">
        <f t="shared" si="0"/>
        <v>0</v>
      </c>
    </row>
    <row r="11" spans="2:8" ht="20.100000000000001" customHeight="1">
      <c r="B11" s="177"/>
      <c r="C11" s="177"/>
      <c r="D11" s="177">
        <v>150</v>
      </c>
      <c r="E11" s="178"/>
      <c r="F11" s="178"/>
      <c r="G11" s="178"/>
      <c r="H11" s="176">
        <f t="shared" si="0"/>
        <v>0</v>
      </c>
    </row>
    <row r="12" spans="2:8" ht="20.100000000000001" customHeight="1">
      <c r="B12" s="177"/>
      <c r="C12" s="177"/>
      <c r="D12" s="177">
        <v>150</v>
      </c>
      <c r="E12" s="178"/>
      <c r="F12" s="178"/>
      <c r="G12" s="178"/>
      <c r="H12" s="176">
        <f t="shared" si="0"/>
        <v>0</v>
      </c>
    </row>
    <row r="13" spans="2:8" ht="20.100000000000001" customHeight="1">
      <c r="B13" s="177"/>
      <c r="C13" s="177"/>
      <c r="D13" s="177">
        <v>150</v>
      </c>
      <c r="E13" s="178"/>
      <c r="F13" s="178"/>
      <c r="G13" s="178"/>
      <c r="H13" s="176">
        <f t="shared" si="0"/>
        <v>0</v>
      </c>
    </row>
    <row r="14" spans="2:8" ht="20.100000000000001" customHeight="1">
      <c r="B14" s="1279" t="s">
        <v>24</v>
      </c>
      <c r="C14" s="1279"/>
      <c r="D14" s="177">
        <f>SUM(D9:D13)</f>
        <v>750</v>
      </c>
      <c r="E14" s="178">
        <f>SUM(E9:E13)</f>
        <v>0</v>
      </c>
      <c r="F14" s="178">
        <f>SUM(F9:F13)</f>
        <v>0</v>
      </c>
      <c r="G14" s="179">
        <f>SUM(G9:G13)</f>
        <v>0</v>
      </c>
      <c r="H14" s="176">
        <f>G14*10</f>
        <v>0</v>
      </c>
    </row>
    <row r="16" spans="2:8" ht="19.5">
      <c r="B16" s="158" t="s">
        <v>21</v>
      </c>
      <c r="C16" s="1256" t="s">
        <v>46</v>
      </c>
      <c r="D16" s="1257"/>
      <c r="E16" s="1257"/>
      <c r="F16" s="1257"/>
      <c r="G16" s="1257"/>
      <c r="H16" s="1258"/>
    </row>
    <row r="17" spans="2:8" ht="15" customHeight="1">
      <c r="B17" s="1251" t="s">
        <v>0</v>
      </c>
      <c r="C17" s="1251" t="s">
        <v>1</v>
      </c>
      <c r="D17" s="1253" t="s">
        <v>23</v>
      </c>
      <c r="E17" s="1252" t="s">
        <v>40</v>
      </c>
      <c r="F17" s="1253" t="s">
        <v>41</v>
      </c>
      <c r="G17" s="1253" t="s">
        <v>39</v>
      </c>
      <c r="H17" s="1253" t="s">
        <v>31</v>
      </c>
    </row>
    <row r="18" spans="2:8" s="151" customFormat="1">
      <c r="B18" s="1251"/>
      <c r="C18" s="1251"/>
      <c r="D18" s="1254"/>
      <c r="E18" s="1252"/>
      <c r="F18" s="1254"/>
      <c r="G18" s="1254"/>
      <c r="H18" s="1254"/>
    </row>
    <row r="19" spans="2:8" ht="20.100000000000001" customHeight="1">
      <c r="B19" s="177"/>
      <c r="C19" s="177"/>
      <c r="D19" s="177">
        <v>150</v>
      </c>
      <c r="E19" s="178"/>
      <c r="F19" s="178"/>
      <c r="G19" s="178"/>
      <c r="H19" s="176">
        <f t="shared" ref="H19:H23" si="1">G19*10</f>
        <v>0</v>
      </c>
    </row>
    <row r="20" spans="2:8" ht="20.100000000000001" customHeight="1">
      <c r="B20" s="177"/>
      <c r="C20" s="177"/>
      <c r="D20" s="177">
        <v>150</v>
      </c>
      <c r="E20" s="178"/>
      <c r="F20" s="178"/>
      <c r="G20" s="178"/>
      <c r="H20" s="176">
        <f t="shared" si="1"/>
        <v>0</v>
      </c>
    </row>
    <row r="21" spans="2:8" ht="20.100000000000001" customHeight="1">
      <c r="B21" s="177"/>
      <c r="C21" s="177"/>
      <c r="D21" s="177">
        <v>150</v>
      </c>
      <c r="E21" s="178"/>
      <c r="F21" s="178"/>
      <c r="G21" s="178"/>
      <c r="H21" s="176">
        <f t="shared" si="1"/>
        <v>0</v>
      </c>
    </row>
    <row r="22" spans="2:8" ht="20.100000000000001" customHeight="1">
      <c r="B22" s="177"/>
      <c r="C22" s="177"/>
      <c r="D22" s="177">
        <v>150</v>
      </c>
      <c r="E22" s="178"/>
      <c r="F22" s="178"/>
      <c r="G22" s="178"/>
      <c r="H22" s="176">
        <f t="shared" si="1"/>
        <v>0</v>
      </c>
    </row>
    <row r="23" spans="2:8" ht="20.100000000000001" customHeight="1">
      <c r="B23" s="177"/>
      <c r="C23" s="177"/>
      <c r="D23" s="177">
        <v>150</v>
      </c>
      <c r="E23" s="178"/>
      <c r="F23" s="178"/>
      <c r="G23" s="178"/>
      <c r="H23" s="176">
        <f t="shared" si="1"/>
        <v>0</v>
      </c>
    </row>
    <row r="24" spans="2:8" ht="20.100000000000001" customHeight="1">
      <c r="B24" s="1279" t="s">
        <v>24</v>
      </c>
      <c r="C24" s="1279"/>
      <c r="D24" s="177">
        <f>SUM(D19:D23)</f>
        <v>750</v>
      </c>
      <c r="E24" s="178">
        <f>SUM(E19:E23)</f>
        <v>0</v>
      </c>
      <c r="F24" s="178">
        <f>SUM(F19:F23)</f>
        <v>0</v>
      </c>
      <c r="G24" s="178">
        <f>SUM(G19:G23)</f>
        <v>0</v>
      </c>
      <c r="H24" s="176">
        <f>G24*10</f>
        <v>0</v>
      </c>
    </row>
    <row r="25" spans="2:8">
      <c r="B25" s="162"/>
      <c r="C25" s="162"/>
      <c r="D25" s="163"/>
      <c r="E25" s="163"/>
      <c r="F25" s="163"/>
      <c r="G25" s="163"/>
      <c r="H25" s="163"/>
    </row>
    <row r="26" spans="2:8" ht="19.5">
      <c r="B26" s="164" t="s">
        <v>28</v>
      </c>
      <c r="C26" s="1264" t="s">
        <v>29</v>
      </c>
      <c r="D26" s="1265"/>
      <c r="E26" s="1265"/>
      <c r="F26" s="1265"/>
      <c r="G26" s="1265"/>
      <c r="H26" s="1266"/>
    </row>
    <row r="27" spans="2:8" ht="15" customHeight="1">
      <c r="B27" s="1251" t="s">
        <v>0</v>
      </c>
      <c r="C27" s="1251" t="s">
        <v>1</v>
      </c>
      <c r="D27" s="1253" t="s">
        <v>23</v>
      </c>
      <c r="E27" s="1252" t="s">
        <v>40</v>
      </c>
      <c r="F27" s="1253" t="s">
        <v>41</v>
      </c>
      <c r="G27" s="1253" t="s">
        <v>39</v>
      </c>
      <c r="H27" s="1253" t="s">
        <v>31</v>
      </c>
    </row>
    <row r="28" spans="2:8">
      <c r="B28" s="1251"/>
      <c r="C28" s="1251"/>
      <c r="D28" s="1254"/>
      <c r="E28" s="1252"/>
      <c r="F28" s="1254"/>
      <c r="G28" s="1254"/>
      <c r="H28" s="1254"/>
    </row>
    <row r="29" spans="2:8">
      <c r="B29" s="186" t="s">
        <v>67</v>
      </c>
      <c r="C29" s="153" t="s">
        <v>26</v>
      </c>
      <c r="D29" s="153">
        <v>100</v>
      </c>
      <c r="E29" s="154">
        <v>194</v>
      </c>
      <c r="F29" s="154">
        <v>0</v>
      </c>
      <c r="G29" s="154">
        <v>194</v>
      </c>
      <c r="H29" s="172">
        <f>G29*10</f>
        <v>1940</v>
      </c>
    </row>
    <row r="30" spans="2:8">
      <c r="B30" s="183" t="s">
        <v>161</v>
      </c>
      <c r="C30" s="183" t="s">
        <v>26</v>
      </c>
      <c r="D30" s="183">
        <v>100</v>
      </c>
      <c r="E30" s="184">
        <v>184</v>
      </c>
      <c r="F30" s="184">
        <v>0</v>
      </c>
      <c r="G30" s="184">
        <v>184</v>
      </c>
      <c r="H30" s="185">
        <f>G30*10</f>
        <v>1840</v>
      </c>
    </row>
    <row r="31" spans="2:8">
      <c r="B31" s="180"/>
      <c r="C31" s="153"/>
      <c r="D31" s="153"/>
      <c r="E31" s="154"/>
      <c r="F31" s="154"/>
      <c r="G31" s="154"/>
      <c r="H31" s="172">
        <f>G31*10</f>
        <v>0</v>
      </c>
    </row>
    <row r="32" spans="2:8" ht="20.100000000000001" customHeight="1">
      <c r="B32" s="1259" t="s">
        <v>24</v>
      </c>
      <c r="C32" s="1259"/>
      <c r="D32" s="153">
        <f>SUM(D29:D31)</f>
        <v>200</v>
      </c>
      <c r="E32" s="154">
        <f>SUM(E29:E31)</f>
        <v>378</v>
      </c>
      <c r="F32" s="154">
        <f>SUM(F29:F31)</f>
        <v>0</v>
      </c>
      <c r="G32" s="154">
        <f>SUM(G29:G31)</f>
        <v>378</v>
      </c>
      <c r="H32" s="172">
        <f>G32*10</f>
        <v>3780</v>
      </c>
    </row>
    <row r="34" spans="2:8" ht="19.5">
      <c r="B34" s="155" t="s">
        <v>5</v>
      </c>
      <c r="C34" s="165"/>
      <c r="E34" s="1271" t="s">
        <v>32</v>
      </c>
      <c r="F34" s="1272"/>
      <c r="G34" s="1272"/>
      <c r="H34" s="1273"/>
    </row>
    <row r="35" spans="2:8">
      <c r="B35" s="166" t="s">
        <v>4</v>
      </c>
      <c r="C35" s="167"/>
      <c r="E35" s="168"/>
      <c r="F35" s="170" t="s">
        <v>34</v>
      </c>
      <c r="G35" s="170" t="s">
        <v>35</v>
      </c>
      <c r="H35" s="170" t="s">
        <v>37</v>
      </c>
    </row>
    <row r="36" spans="2:8">
      <c r="B36" s="166" t="s">
        <v>33</v>
      </c>
      <c r="C36" s="167"/>
      <c r="E36" s="171" t="s">
        <v>39</v>
      </c>
      <c r="F36" s="174">
        <f>G14</f>
        <v>0</v>
      </c>
      <c r="G36" s="175">
        <f>G24</f>
        <v>0</v>
      </c>
      <c r="H36" s="175">
        <f>G32</f>
        <v>378</v>
      </c>
    </row>
    <row r="37" spans="2:8">
      <c r="B37" s="166" t="s">
        <v>25</v>
      </c>
      <c r="C37" s="167"/>
      <c r="E37" s="171" t="s">
        <v>36</v>
      </c>
      <c r="F37" s="169">
        <f>F36*10</f>
        <v>0</v>
      </c>
      <c r="G37" s="169">
        <f>G36*10</f>
        <v>0</v>
      </c>
      <c r="H37" s="169">
        <f>H36*10</f>
        <v>3780</v>
      </c>
    </row>
    <row r="38" spans="2:8" ht="19.5">
      <c r="E38" s="158" t="s">
        <v>38</v>
      </c>
      <c r="F38" s="1274">
        <f>SUM(F37:H37)</f>
        <v>3780</v>
      </c>
      <c r="G38" s="1275"/>
      <c r="H38" s="1276"/>
    </row>
  </sheetData>
  <sheetProtection algorithmName="SHA-512" hashValue="46OXIQlmD6bnOQLZn8V5BVqdxpC/SrNAfqD7mzjMy82AQUktP00JrsNViRwcVdUKmDOgMKXF3o5NMctKmGeXoA==" saltValue="XxfVzh0vQ22OX0t4waYiMQ==" spinCount="100000" sheet="1" objects="1" scenarios="1"/>
  <mergeCells count="30">
    <mergeCell ref="G2:H2"/>
    <mergeCell ref="C6:H6"/>
    <mergeCell ref="B7:B8"/>
    <mergeCell ref="C7:C8"/>
    <mergeCell ref="D7:D8"/>
    <mergeCell ref="E7:E8"/>
    <mergeCell ref="F7:F8"/>
    <mergeCell ref="G7:G8"/>
    <mergeCell ref="H7:H8"/>
    <mergeCell ref="B14:C14"/>
    <mergeCell ref="C16:H16"/>
    <mergeCell ref="B17:B18"/>
    <mergeCell ref="C17:C18"/>
    <mergeCell ref="D17:D18"/>
    <mergeCell ref="E17:E18"/>
    <mergeCell ref="F17:F18"/>
    <mergeCell ref="G17:G18"/>
    <mergeCell ref="H17:H18"/>
    <mergeCell ref="B32:C32"/>
    <mergeCell ref="E34:H34"/>
    <mergeCell ref="F38:H38"/>
    <mergeCell ref="B24:C24"/>
    <mergeCell ref="C26:H26"/>
    <mergeCell ref="B27:B28"/>
    <mergeCell ref="C27:C28"/>
    <mergeCell ref="D27:D28"/>
    <mergeCell ref="E27:E28"/>
    <mergeCell ref="F27:F28"/>
    <mergeCell ref="G27:G28"/>
    <mergeCell ref="H27:H28"/>
  </mergeCells>
  <pageMargins left="0.7" right="0.7" top="0.75" bottom="0.75" header="0.3" footer="0.3"/>
  <pageSetup scale="76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3566E-6E13-42C3-8186-2A01B7962980}">
  <sheetPr codeName="Sheet133">
    <pageSetUpPr fitToPage="1"/>
  </sheetPr>
  <dimension ref="B2:H38"/>
  <sheetViews>
    <sheetView workbookViewId="0"/>
  </sheetViews>
  <sheetFormatPr defaultColWidth="9.140625" defaultRowHeight="15"/>
  <cols>
    <col min="1" max="1" width="9.140625" style="122"/>
    <col min="2" max="2" width="21.5703125" style="122" customWidth="1"/>
    <col min="3" max="3" width="24.28515625" style="122" bestFit="1" customWidth="1"/>
    <col min="4" max="8" width="15.7109375" style="122" customWidth="1"/>
    <col min="9" max="16384" width="9.140625" style="122"/>
  </cols>
  <sheetData>
    <row r="2" spans="2:8" ht="19.5">
      <c r="B2" s="128" t="s">
        <v>13</v>
      </c>
      <c r="C2" s="124"/>
      <c r="D2" s="124"/>
      <c r="F2" s="131" t="s">
        <v>27</v>
      </c>
      <c r="G2" s="1247">
        <v>44471</v>
      </c>
      <c r="H2" s="1247"/>
    </row>
    <row r="3" spans="2:8">
      <c r="B3" s="124"/>
      <c r="C3" s="124"/>
      <c r="D3" s="124"/>
    </row>
    <row r="4" spans="2:8">
      <c r="B4" s="124"/>
      <c r="C4" s="124"/>
      <c r="D4" s="124"/>
    </row>
    <row r="5" spans="2:8">
      <c r="B5" s="124"/>
      <c r="C5" s="124"/>
      <c r="D5" s="124"/>
    </row>
    <row r="6" spans="2:8" ht="19.5">
      <c r="B6" s="129" t="s">
        <v>42</v>
      </c>
      <c r="C6" s="1248" t="s">
        <v>61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23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146"/>
      <c r="C9" s="146"/>
      <c r="D9" s="146">
        <v>150</v>
      </c>
      <c r="E9" s="147"/>
      <c r="F9" s="147"/>
      <c r="G9" s="147"/>
      <c r="H9" s="145">
        <f t="shared" ref="H9:H13" si="0">G9*10</f>
        <v>0</v>
      </c>
    </row>
    <row r="10" spans="2:8" ht="20.100000000000001" customHeight="1">
      <c r="B10" s="146"/>
      <c r="C10" s="146"/>
      <c r="D10" s="146">
        <v>150</v>
      </c>
      <c r="E10" s="147"/>
      <c r="F10" s="147"/>
      <c r="G10" s="147"/>
      <c r="H10" s="145">
        <f t="shared" si="0"/>
        <v>0</v>
      </c>
    </row>
    <row r="11" spans="2:8" ht="20.100000000000001" customHeight="1">
      <c r="B11" s="146"/>
      <c r="C11" s="146"/>
      <c r="D11" s="146">
        <v>150</v>
      </c>
      <c r="E11" s="147"/>
      <c r="F11" s="147"/>
      <c r="G11" s="147"/>
      <c r="H11" s="145">
        <f t="shared" si="0"/>
        <v>0</v>
      </c>
    </row>
    <row r="12" spans="2:8" ht="20.100000000000001" customHeight="1">
      <c r="B12" s="146"/>
      <c r="C12" s="146"/>
      <c r="D12" s="146">
        <v>150</v>
      </c>
      <c r="E12" s="147"/>
      <c r="F12" s="147"/>
      <c r="G12" s="147"/>
      <c r="H12" s="145">
        <f t="shared" si="0"/>
        <v>0</v>
      </c>
    </row>
    <row r="13" spans="2:8" ht="20.100000000000001" customHeight="1">
      <c r="B13" s="146"/>
      <c r="C13" s="146"/>
      <c r="D13" s="146">
        <v>150</v>
      </c>
      <c r="E13" s="147"/>
      <c r="F13" s="147"/>
      <c r="G13" s="147"/>
      <c r="H13" s="145">
        <f t="shared" si="0"/>
        <v>0</v>
      </c>
    </row>
    <row r="14" spans="2:8" ht="20.100000000000001" customHeight="1">
      <c r="B14" s="1279" t="s">
        <v>24</v>
      </c>
      <c r="C14" s="1279"/>
      <c r="D14" s="146">
        <f>SUM(D9:D13)</f>
        <v>750</v>
      </c>
      <c r="E14" s="147">
        <f>SUM(E9:E13)</f>
        <v>0</v>
      </c>
      <c r="F14" s="147">
        <f>SUM(F9:F13)</f>
        <v>0</v>
      </c>
      <c r="G14" s="148">
        <f>SUM(G9:G13)</f>
        <v>0</v>
      </c>
      <c r="H14" s="145">
        <f>G14*10</f>
        <v>0</v>
      </c>
    </row>
    <row r="16" spans="2:8" ht="19.5">
      <c r="B16" s="130" t="s">
        <v>21</v>
      </c>
      <c r="C16" s="1256" t="s">
        <v>46</v>
      </c>
      <c r="D16" s="1257"/>
      <c r="E16" s="1257"/>
      <c r="F16" s="1257"/>
      <c r="G16" s="1257"/>
      <c r="H16" s="1258"/>
    </row>
    <row r="17" spans="2:8" ht="15" customHeight="1">
      <c r="B17" s="1251" t="s">
        <v>0</v>
      </c>
      <c r="C17" s="1251" t="s">
        <v>1</v>
      </c>
      <c r="D17" s="1253" t="s">
        <v>23</v>
      </c>
      <c r="E17" s="1252" t="s">
        <v>40</v>
      </c>
      <c r="F17" s="1253" t="s">
        <v>41</v>
      </c>
      <c r="G17" s="1253" t="s">
        <v>39</v>
      </c>
      <c r="H17" s="1253" t="s">
        <v>31</v>
      </c>
    </row>
    <row r="18" spans="2:8" s="123" customFormat="1">
      <c r="B18" s="1251"/>
      <c r="C18" s="1251"/>
      <c r="D18" s="1254"/>
      <c r="E18" s="1252"/>
      <c r="F18" s="1254"/>
      <c r="G18" s="1254"/>
      <c r="H18" s="1254"/>
    </row>
    <row r="19" spans="2:8" ht="20.100000000000001" customHeight="1">
      <c r="B19" s="146"/>
      <c r="C19" s="146"/>
      <c r="D19" s="146">
        <v>150</v>
      </c>
      <c r="E19" s="147"/>
      <c r="F19" s="147"/>
      <c r="G19" s="147"/>
      <c r="H19" s="145">
        <f t="shared" ref="H19:H23" si="1">G19*10</f>
        <v>0</v>
      </c>
    </row>
    <row r="20" spans="2:8" ht="20.100000000000001" customHeight="1">
      <c r="B20" s="146"/>
      <c r="C20" s="146"/>
      <c r="D20" s="146">
        <v>150</v>
      </c>
      <c r="E20" s="147"/>
      <c r="F20" s="147"/>
      <c r="G20" s="147"/>
      <c r="H20" s="145">
        <f t="shared" si="1"/>
        <v>0</v>
      </c>
    </row>
    <row r="21" spans="2:8" ht="20.100000000000001" customHeight="1">
      <c r="B21" s="146"/>
      <c r="C21" s="146"/>
      <c r="D21" s="146">
        <v>150</v>
      </c>
      <c r="E21" s="147"/>
      <c r="F21" s="147"/>
      <c r="G21" s="147"/>
      <c r="H21" s="145">
        <f t="shared" si="1"/>
        <v>0</v>
      </c>
    </row>
    <row r="22" spans="2:8" ht="20.100000000000001" customHeight="1">
      <c r="B22" s="146"/>
      <c r="C22" s="146"/>
      <c r="D22" s="146">
        <v>150</v>
      </c>
      <c r="E22" s="147"/>
      <c r="F22" s="147"/>
      <c r="G22" s="147"/>
      <c r="H22" s="145">
        <f t="shared" si="1"/>
        <v>0</v>
      </c>
    </row>
    <row r="23" spans="2:8" ht="20.100000000000001" customHeight="1">
      <c r="B23" s="146"/>
      <c r="C23" s="146"/>
      <c r="D23" s="146">
        <v>150</v>
      </c>
      <c r="E23" s="147"/>
      <c r="F23" s="147"/>
      <c r="G23" s="147"/>
      <c r="H23" s="145">
        <f t="shared" si="1"/>
        <v>0</v>
      </c>
    </row>
    <row r="24" spans="2:8" ht="20.100000000000001" customHeight="1">
      <c r="B24" s="1279" t="s">
        <v>24</v>
      </c>
      <c r="C24" s="1279"/>
      <c r="D24" s="146">
        <f>SUM(D19:D23)</f>
        <v>750</v>
      </c>
      <c r="E24" s="147">
        <f>SUM(E19:E23)</f>
        <v>0</v>
      </c>
      <c r="F24" s="147">
        <f>SUM(F19:F23)</f>
        <v>0</v>
      </c>
      <c r="G24" s="147">
        <f>SUM(G19:G23)</f>
        <v>0</v>
      </c>
      <c r="H24" s="145">
        <f>G24*10</f>
        <v>0</v>
      </c>
    </row>
    <row r="25" spans="2:8">
      <c r="B25" s="132"/>
      <c r="C25" s="132"/>
      <c r="D25" s="133"/>
      <c r="E25" s="133"/>
      <c r="F25" s="133"/>
      <c r="G25" s="133"/>
      <c r="H25" s="133"/>
    </row>
    <row r="26" spans="2:8" ht="19.5">
      <c r="B26" s="134" t="s">
        <v>28</v>
      </c>
      <c r="C26" s="1264" t="s">
        <v>29</v>
      </c>
      <c r="D26" s="1265"/>
      <c r="E26" s="1265"/>
      <c r="F26" s="1265"/>
      <c r="G26" s="1265"/>
      <c r="H26" s="1266"/>
    </row>
    <row r="27" spans="2:8" ht="15" customHeight="1">
      <c r="B27" s="1251" t="s">
        <v>0</v>
      </c>
      <c r="C27" s="1251" t="s">
        <v>1</v>
      </c>
      <c r="D27" s="1253" t="s">
        <v>23</v>
      </c>
      <c r="E27" s="1252" t="s">
        <v>40</v>
      </c>
      <c r="F27" s="1253" t="s">
        <v>41</v>
      </c>
      <c r="G27" s="1253" t="s">
        <v>39</v>
      </c>
      <c r="H27" s="1253" t="s">
        <v>31</v>
      </c>
    </row>
    <row r="28" spans="2:8">
      <c r="B28" s="1251"/>
      <c r="C28" s="1251"/>
      <c r="D28" s="1254"/>
      <c r="E28" s="1252"/>
      <c r="F28" s="1254"/>
      <c r="G28" s="1254"/>
      <c r="H28" s="1254"/>
    </row>
    <row r="29" spans="2:8">
      <c r="B29" s="180" t="s">
        <v>69</v>
      </c>
      <c r="C29" s="153" t="s">
        <v>26</v>
      </c>
      <c r="D29" s="125">
        <v>100</v>
      </c>
      <c r="E29" s="126">
        <v>177</v>
      </c>
      <c r="F29" s="126">
        <v>0</v>
      </c>
      <c r="G29" s="126">
        <v>177</v>
      </c>
      <c r="H29" s="142">
        <f>G29*10</f>
        <v>1770</v>
      </c>
    </row>
    <row r="30" spans="2:8" ht="30">
      <c r="B30" s="181" t="s">
        <v>160</v>
      </c>
      <c r="C30" s="182" t="s">
        <v>26</v>
      </c>
      <c r="D30" s="160"/>
      <c r="E30" s="159"/>
      <c r="F30" s="159"/>
      <c r="G30" s="159"/>
      <c r="H30" s="173">
        <f>G30*10</f>
        <v>0</v>
      </c>
    </row>
    <row r="31" spans="2:8">
      <c r="B31" s="149"/>
      <c r="C31" s="125"/>
      <c r="D31" s="125"/>
      <c r="E31" s="126"/>
      <c r="F31" s="126"/>
      <c r="G31" s="126"/>
      <c r="H31" s="142">
        <f>G31*10</f>
        <v>0</v>
      </c>
    </row>
    <row r="32" spans="2:8" ht="20.100000000000001" customHeight="1">
      <c r="B32" s="1259" t="s">
        <v>24</v>
      </c>
      <c r="C32" s="1259"/>
      <c r="D32" s="125">
        <f>SUM(D29:D31)</f>
        <v>100</v>
      </c>
      <c r="E32" s="126">
        <f>SUM(E29:E31)</f>
        <v>177</v>
      </c>
      <c r="F32" s="126">
        <f>SUM(F29:F31)</f>
        <v>0</v>
      </c>
      <c r="G32" s="126">
        <f>SUM(G29:G31)</f>
        <v>177</v>
      </c>
      <c r="H32" s="142">
        <f>G32*10</f>
        <v>1770</v>
      </c>
    </row>
    <row r="34" spans="2:8" ht="19.5">
      <c r="B34" s="127" t="s">
        <v>5</v>
      </c>
      <c r="C34" s="135"/>
      <c r="E34" s="1271" t="s">
        <v>32</v>
      </c>
      <c r="F34" s="1272"/>
      <c r="G34" s="1272"/>
      <c r="H34" s="1273"/>
    </row>
    <row r="35" spans="2:8">
      <c r="B35" s="136" t="s">
        <v>4</v>
      </c>
      <c r="C35" s="137"/>
      <c r="E35" s="138"/>
      <c r="F35" s="140" t="s">
        <v>34</v>
      </c>
      <c r="G35" s="140" t="s">
        <v>35</v>
      </c>
      <c r="H35" s="140" t="s">
        <v>37</v>
      </c>
    </row>
    <row r="36" spans="2:8">
      <c r="B36" s="136" t="s">
        <v>33</v>
      </c>
      <c r="C36" s="137"/>
      <c r="E36" s="141" t="s">
        <v>39</v>
      </c>
      <c r="F36" s="143">
        <f>G14</f>
        <v>0</v>
      </c>
      <c r="G36" s="144">
        <f>G24</f>
        <v>0</v>
      </c>
      <c r="H36" s="144">
        <f>G32</f>
        <v>177</v>
      </c>
    </row>
    <row r="37" spans="2:8">
      <c r="B37" s="136" t="s">
        <v>25</v>
      </c>
      <c r="C37" s="137"/>
      <c r="E37" s="141" t="s">
        <v>36</v>
      </c>
      <c r="F37" s="139">
        <f>F36*10</f>
        <v>0</v>
      </c>
      <c r="G37" s="139">
        <f>G36*10</f>
        <v>0</v>
      </c>
      <c r="H37" s="139">
        <f>H36*10</f>
        <v>1770</v>
      </c>
    </row>
    <row r="38" spans="2:8" ht="19.5">
      <c r="E38" s="130" t="s">
        <v>38</v>
      </c>
      <c r="F38" s="1274">
        <f>SUM(F37:H37)</f>
        <v>1770</v>
      </c>
      <c r="G38" s="1275"/>
      <c r="H38" s="1276"/>
    </row>
  </sheetData>
  <sheetProtection algorithmName="SHA-512" hashValue="MP6FPd2/UzUt01WmzeAjDz7SEeqVqUuFJjrq4QjTSAFY91hplqJO4x8duOGRGMJ3nDOVTjlaRWdXZRlEUGwZUA==" saltValue="oe1lBrSS+AtkzC1x3fXa4A==" spinCount="100000" sheet="1" objects="1" scenarios="1"/>
  <mergeCells count="30">
    <mergeCell ref="G2:H2"/>
    <mergeCell ref="C6:H6"/>
    <mergeCell ref="B7:B8"/>
    <mergeCell ref="C7:C8"/>
    <mergeCell ref="D7:D8"/>
    <mergeCell ref="E7:E8"/>
    <mergeCell ref="F7:F8"/>
    <mergeCell ref="G7:G8"/>
    <mergeCell ref="H7:H8"/>
    <mergeCell ref="B14:C14"/>
    <mergeCell ref="C16:H16"/>
    <mergeCell ref="B17:B18"/>
    <mergeCell ref="C17:C18"/>
    <mergeCell ref="D17:D18"/>
    <mergeCell ref="E17:E18"/>
    <mergeCell ref="F17:F18"/>
    <mergeCell ref="G17:G18"/>
    <mergeCell ref="H17:H18"/>
    <mergeCell ref="B32:C32"/>
    <mergeCell ref="E34:H34"/>
    <mergeCell ref="F38:H38"/>
    <mergeCell ref="B24:C24"/>
    <mergeCell ref="C26:H26"/>
    <mergeCell ref="B27:B28"/>
    <mergeCell ref="C27:C28"/>
    <mergeCell ref="D27:D28"/>
    <mergeCell ref="E27:E28"/>
    <mergeCell ref="F27:F28"/>
    <mergeCell ref="G27:G28"/>
    <mergeCell ref="H27:H28"/>
  </mergeCells>
  <pageMargins left="0.7" right="0.7" top="0.75" bottom="0.75" header="0.3" footer="0.3"/>
  <pageSetup scale="76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6C2E2-2994-4D94-AF37-79D3D045B613}">
  <sheetPr codeName="Sheet134">
    <pageSetUpPr fitToPage="1"/>
  </sheetPr>
  <dimension ref="B2:H35"/>
  <sheetViews>
    <sheetView workbookViewId="0"/>
  </sheetViews>
  <sheetFormatPr defaultRowHeight="15"/>
  <cols>
    <col min="2" max="2" width="21.5703125" customWidth="1"/>
    <col min="3" max="3" width="24.28515625" bestFit="1" customWidth="1"/>
    <col min="4" max="8" width="15.7109375" customWidth="1"/>
  </cols>
  <sheetData>
    <row r="2" spans="2:8" ht="19.5">
      <c r="B2" s="6" t="s">
        <v>13</v>
      </c>
      <c r="C2" s="2"/>
      <c r="D2" s="2"/>
      <c r="F2" s="11" t="s">
        <v>27</v>
      </c>
      <c r="G2" s="1247">
        <v>44470</v>
      </c>
      <c r="H2" s="1247"/>
    </row>
    <row r="3" spans="2:8">
      <c r="B3" s="2"/>
      <c r="C3" s="2"/>
      <c r="D3" s="2"/>
    </row>
    <row r="4" spans="2:8">
      <c r="B4" s="2"/>
      <c r="C4" s="2"/>
      <c r="D4" s="2"/>
    </row>
    <row r="5" spans="2:8">
      <c r="B5" s="2"/>
      <c r="C5" s="2"/>
      <c r="D5" s="2"/>
    </row>
    <row r="6" spans="2:8" ht="19.5">
      <c r="B6" s="7" t="s">
        <v>42</v>
      </c>
      <c r="C6" s="1248" t="s">
        <v>74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120" t="s">
        <v>62</v>
      </c>
      <c r="C9" s="106" t="s">
        <v>16</v>
      </c>
      <c r="D9" s="106">
        <v>150</v>
      </c>
      <c r="E9" s="12">
        <v>146</v>
      </c>
      <c r="F9" s="12">
        <v>4</v>
      </c>
      <c r="G9" s="12">
        <v>150</v>
      </c>
      <c r="H9" s="25">
        <f t="shared" ref="H9:H12" si="0">G9*10</f>
        <v>1500</v>
      </c>
    </row>
    <row r="10" spans="2:8" ht="20.100000000000001" customHeight="1">
      <c r="B10" s="120" t="s">
        <v>63</v>
      </c>
      <c r="C10" s="106" t="s">
        <v>16</v>
      </c>
      <c r="D10" s="106">
        <v>150</v>
      </c>
      <c r="E10" s="4">
        <v>250</v>
      </c>
      <c r="F10" s="4">
        <v>0</v>
      </c>
      <c r="G10" s="4">
        <v>250</v>
      </c>
      <c r="H10" s="25">
        <f t="shared" si="0"/>
        <v>2500</v>
      </c>
    </row>
    <row r="11" spans="2:8" ht="20.100000000000001" customHeight="1">
      <c r="B11" s="120" t="s">
        <v>82</v>
      </c>
      <c r="C11" s="106" t="s">
        <v>26</v>
      </c>
      <c r="D11" s="106">
        <v>150</v>
      </c>
      <c r="E11" s="4">
        <v>305</v>
      </c>
      <c r="F11" s="4">
        <v>0</v>
      </c>
      <c r="G11" s="4">
        <v>305</v>
      </c>
      <c r="H11" s="25">
        <f t="shared" si="0"/>
        <v>3050</v>
      </c>
    </row>
    <row r="12" spans="2:8" ht="20.100000000000001" customHeight="1">
      <c r="B12" s="120" t="s">
        <v>53</v>
      </c>
      <c r="C12" s="106" t="s">
        <v>26</v>
      </c>
      <c r="D12" s="106">
        <v>150</v>
      </c>
      <c r="E12" s="4">
        <v>254</v>
      </c>
      <c r="F12" s="4">
        <v>0</v>
      </c>
      <c r="G12" s="4">
        <v>254</v>
      </c>
      <c r="H12" s="25">
        <f t="shared" si="0"/>
        <v>2540</v>
      </c>
    </row>
    <row r="13" spans="2:8" ht="20.100000000000001" customHeight="1">
      <c r="B13" s="1259" t="s">
        <v>24</v>
      </c>
      <c r="C13" s="1259"/>
      <c r="D13" s="106">
        <f>SUM(D9:D12)</f>
        <v>600</v>
      </c>
      <c r="E13" s="4">
        <f>SUM(E9:E12)</f>
        <v>955</v>
      </c>
      <c r="F13" s="4">
        <f>SUM(F9:F12)</f>
        <v>4</v>
      </c>
      <c r="G13" s="17">
        <f>SUM(G9:G12)</f>
        <v>959</v>
      </c>
      <c r="H13" s="25">
        <f>G13*10</f>
        <v>9590</v>
      </c>
    </row>
    <row r="15" spans="2:8" ht="19.5">
      <c r="B15" s="8" t="s">
        <v>21</v>
      </c>
      <c r="C15" s="1256" t="s">
        <v>73</v>
      </c>
      <c r="D15" s="1257"/>
      <c r="E15" s="1257"/>
      <c r="F15" s="1257"/>
      <c r="G15" s="1257"/>
      <c r="H15" s="1258"/>
    </row>
    <row r="16" spans="2:8" ht="15" customHeight="1">
      <c r="B16" s="1251" t="s">
        <v>0</v>
      </c>
      <c r="C16" s="1251" t="s">
        <v>1</v>
      </c>
      <c r="D16" s="1253" t="s">
        <v>23</v>
      </c>
      <c r="E16" s="1252" t="s">
        <v>40</v>
      </c>
      <c r="F16" s="1253" t="s">
        <v>41</v>
      </c>
      <c r="G16" s="1253" t="s">
        <v>39</v>
      </c>
      <c r="H16" s="1253" t="s">
        <v>31</v>
      </c>
    </row>
    <row r="17" spans="2:8" s="1" customFormat="1">
      <c r="B17" s="1251"/>
      <c r="C17" s="1251"/>
      <c r="D17" s="1254"/>
      <c r="E17" s="1252"/>
      <c r="F17" s="1254"/>
      <c r="G17" s="1254"/>
      <c r="H17" s="1254"/>
    </row>
    <row r="18" spans="2:8" ht="20.100000000000001" customHeight="1">
      <c r="B18" s="121" t="s">
        <v>62</v>
      </c>
      <c r="C18" s="106" t="s">
        <v>16</v>
      </c>
      <c r="D18" s="106">
        <v>150</v>
      </c>
      <c r="E18" s="4">
        <v>113</v>
      </c>
      <c r="F18" s="4">
        <v>37</v>
      </c>
      <c r="G18" s="4">
        <v>150</v>
      </c>
      <c r="H18" s="25">
        <f t="shared" ref="H18:H21" si="1">G18*10</f>
        <v>1500</v>
      </c>
    </row>
    <row r="19" spans="2:8" ht="20.100000000000001" customHeight="1">
      <c r="B19" s="121" t="s">
        <v>63</v>
      </c>
      <c r="C19" s="106" t="s">
        <v>16</v>
      </c>
      <c r="D19" s="106">
        <v>150</v>
      </c>
      <c r="E19" s="4">
        <v>227</v>
      </c>
      <c r="F19" s="4">
        <v>0</v>
      </c>
      <c r="G19" s="4">
        <v>227</v>
      </c>
      <c r="H19" s="25">
        <f t="shared" si="1"/>
        <v>2270</v>
      </c>
    </row>
    <row r="20" spans="2:8" ht="20.100000000000001" customHeight="1">
      <c r="B20" s="121" t="s">
        <v>82</v>
      </c>
      <c r="C20" s="106" t="s">
        <v>26</v>
      </c>
      <c r="D20" s="106">
        <v>150</v>
      </c>
      <c r="E20" s="4">
        <v>218</v>
      </c>
      <c r="F20" s="4">
        <v>0</v>
      </c>
      <c r="G20" s="4">
        <v>218</v>
      </c>
      <c r="H20" s="25">
        <f t="shared" si="1"/>
        <v>2180</v>
      </c>
    </row>
    <row r="21" spans="2:8" ht="20.100000000000001" customHeight="1">
      <c r="B21" s="121" t="s">
        <v>159</v>
      </c>
      <c r="C21" s="106" t="s">
        <v>26</v>
      </c>
      <c r="D21" s="106">
        <v>150</v>
      </c>
      <c r="E21" s="4">
        <v>183</v>
      </c>
      <c r="F21" s="12">
        <v>0</v>
      </c>
      <c r="G21" s="4">
        <v>183</v>
      </c>
      <c r="H21" s="25">
        <f t="shared" si="1"/>
        <v>1830</v>
      </c>
    </row>
    <row r="22" spans="2:8" ht="20.100000000000001" customHeight="1">
      <c r="B22" s="1259" t="s">
        <v>24</v>
      </c>
      <c r="C22" s="1259"/>
      <c r="D22" s="106">
        <f>SUM(D18:D21)</f>
        <v>600</v>
      </c>
      <c r="E22" s="4">
        <f>SUM(E18:E21)</f>
        <v>741</v>
      </c>
      <c r="F22" s="4">
        <f>SUM(F18:F21)</f>
        <v>37</v>
      </c>
      <c r="G22" s="4">
        <f>SUM(G18:G21)</f>
        <v>778</v>
      </c>
      <c r="H22" s="25">
        <f>G22*10</f>
        <v>7780</v>
      </c>
    </row>
    <row r="23" spans="2:8">
      <c r="B23" s="13"/>
      <c r="C23" s="13"/>
      <c r="D23" s="14"/>
      <c r="E23" s="14"/>
      <c r="F23" s="14"/>
      <c r="G23" s="14"/>
      <c r="H23" s="14"/>
    </row>
    <row r="24" spans="2:8" ht="19.5">
      <c r="B24" s="15" t="s">
        <v>28</v>
      </c>
      <c r="C24" s="1264" t="s">
        <v>29</v>
      </c>
      <c r="D24" s="1265"/>
      <c r="E24" s="1265"/>
      <c r="F24" s="1265"/>
      <c r="G24" s="1265"/>
      <c r="H24" s="1266"/>
    </row>
    <row r="25" spans="2:8" ht="15" customHeight="1">
      <c r="B25" s="1251" t="s">
        <v>0</v>
      </c>
      <c r="C25" s="1251" t="s">
        <v>1</v>
      </c>
      <c r="D25" s="1253" t="s">
        <v>23</v>
      </c>
      <c r="E25" s="1252" t="s">
        <v>40</v>
      </c>
      <c r="F25" s="1253" t="s">
        <v>41</v>
      </c>
      <c r="G25" s="1253" t="s">
        <v>39</v>
      </c>
      <c r="H25" s="1253" t="s">
        <v>31</v>
      </c>
    </row>
    <row r="26" spans="2:8">
      <c r="B26" s="1251"/>
      <c r="C26" s="1251"/>
      <c r="D26" s="1254"/>
      <c r="E26" s="1252"/>
      <c r="F26" s="1254"/>
      <c r="G26" s="1254"/>
      <c r="H26" s="1254"/>
    </row>
    <row r="27" spans="2:8">
      <c r="B27" s="125" t="s">
        <v>82</v>
      </c>
      <c r="C27" s="106" t="s">
        <v>26</v>
      </c>
      <c r="D27" s="106">
        <v>100</v>
      </c>
      <c r="E27" s="4">
        <v>181</v>
      </c>
      <c r="F27" s="4">
        <v>0</v>
      </c>
      <c r="G27" s="4">
        <v>181</v>
      </c>
      <c r="H27" s="25">
        <f>G27*10</f>
        <v>1810</v>
      </c>
    </row>
    <row r="28" spans="2:8">
      <c r="B28" s="125" t="s">
        <v>159</v>
      </c>
      <c r="C28" s="106" t="s">
        <v>26</v>
      </c>
      <c r="D28" s="106">
        <v>100</v>
      </c>
      <c r="E28" s="4">
        <v>113</v>
      </c>
      <c r="F28" s="4">
        <v>0</v>
      </c>
      <c r="G28" s="4">
        <v>113</v>
      </c>
      <c r="H28" s="25">
        <f>G28*10</f>
        <v>1130</v>
      </c>
    </row>
    <row r="29" spans="2:8" ht="20.100000000000001" customHeight="1">
      <c r="B29" s="1259" t="s">
        <v>24</v>
      </c>
      <c r="C29" s="1259"/>
      <c r="D29" s="106">
        <f>SUM(D27:D28)</f>
        <v>200</v>
      </c>
      <c r="E29" s="4">
        <f>SUM(E27:E28)</f>
        <v>294</v>
      </c>
      <c r="F29" s="4">
        <f>SUM(F27:F28)</f>
        <v>0</v>
      </c>
      <c r="G29" s="4">
        <f>SUM(G27:G28)</f>
        <v>294</v>
      </c>
      <c r="H29" s="25">
        <f>G29*10</f>
        <v>2940</v>
      </c>
    </row>
    <row r="31" spans="2:8" ht="19.5">
      <c r="B31" s="5" t="s">
        <v>5</v>
      </c>
      <c r="C31" s="18"/>
      <c r="E31" s="1271" t="s">
        <v>32</v>
      </c>
      <c r="F31" s="1272"/>
      <c r="G31" s="1272"/>
      <c r="H31" s="1273"/>
    </row>
    <row r="32" spans="2:8">
      <c r="B32" s="19" t="s">
        <v>4</v>
      </c>
      <c r="C32" s="20"/>
      <c r="E32" s="21"/>
      <c r="F32" s="23" t="s">
        <v>34</v>
      </c>
      <c r="G32" s="23" t="s">
        <v>35</v>
      </c>
      <c r="H32" s="23" t="s">
        <v>37</v>
      </c>
    </row>
    <row r="33" spans="2:8">
      <c r="B33" s="19" t="s">
        <v>33</v>
      </c>
      <c r="C33" s="20"/>
      <c r="E33" s="24" t="s">
        <v>39</v>
      </c>
      <c r="F33" s="27">
        <f>G13</f>
        <v>959</v>
      </c>
      <c r="G33" s="28">
        <f>G22</f>
        <v>778</v>
      </c>
      <c r="H33" s="28">
        <f>G29</f>
        <v>294</v>
      </c>
    </row>
    <row r="34" spans="2:8">
      <c r="B34" s="19" t="s">
        <v>25</v>
      </c>
      <c r="C34" s="20"/>
      <c r="E34" s="24" t="s">
        <v>36</v>
      </c>
      <c r="F34" s="22">
        <f>F33*10</f>
        <v>9590</v>
      </c>
      <c r="G34" s="22">
        <f>G33*10</f>
        <v>7780</v>
      </c>
      <c r="H34" s="22">
        <f>H33*10</f>
        <v>2940</v>
      </c>
    </row>
    <row r="35" spans="2:8" ht="19.5">
      <c r="E35" s="8" t="s">
        <v>38</v>
      </c>
      <c r="F35" s="1274">
        <f>SUM(F34:H34)</f>
        <v>20310</v>
      </c>
      <c r="G35" s="1275"/>
      <c r="H35" s="1276"/>
    </row>
  </sheetData>
  <sheetProtection algorithmName="SHA-512" hashValue="By9PtROqCGx5RN/xReGzv1x/58K/Z+lbgmWyeAtpy30oOx9es7+otJ+o5IDt1WX0x2LfaQqnRvN+FsnvdQh3+w==" saltValue="h7eHH4dr7IXmz/4eKEeQ3Q==" spinCount="100000" sheet="1" objects="1" scenarios="1"/>
  <mergeCells count="30">
    <mergeCell ref="G2:H2"/>
    <mergeCell ref="C6:H6"/>
    <mergeCell ref="B7:B8"/>
    <mergeCell ref="C7:C8"/>
    <mergeCell ref="D7:D8"/>
    <mergeCell ref="E7:E8"/>
    <mergeCell ref="F7:F8"/>
    <mergeCell ref="G7:G8"/>
    <mergeCell ref="H7:H8"/>
    <mergeCell ref="B13:C13"/>
    <mergeCell ref="C15:H15"/>
    <mergeCell ref="B16:B17"/>
    <mergeCell ref="C16:C17"/>
    <mergeCell ref="D16:D17"/>
    <mergeCell ref="E16:E17"/>
    <mergeCell ref="F16:F17"/>
    <mergeCell ref="G16:G17"/>
    <mergeCell ref="H16:H17"/>
    <mergeCell ref="B29:C29"/>
    <mergeCell ref="E31:H31"/>
    <mergeCell ref="F35:H35"/>
    <mergeCell ref="B22:C22"/>
    <mergeCell ref="C24:H24"/>
    <mergeCell ref="B25:B26"/>
    <mergeCell ref="C25:C26"/>
    <mergeCell ref="D25:D26"/>
    <mergeCell ref="E25:E26"/>
    <mergeCell ref="F25:F26"/>
    <mergeCell ref="G25:G26"/>
    <mergeCell ref="H25:H26"/>
  </mergeCells>
  <pageMargins left="0.7" right="0.7" top="0.75" bottom="0.75" header="0.3" footer="0.3"/>
  <pageSetup scale="85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6AFDC-DFE4-4342-9805-4850F092F814}">
  <sheetPr codeName="Sheet135">
    <pageSetUpPr fitToPage="1"/>
  </sheetPr>
  <dimension ref="B2:H35"/>
  <sheetViews>
    <sheetView workbookViewId="0"/>
  </sheetViews>
  <sheetFormatPr defaultRowHeight="15"/>
  <cols>
    <col min="2" max="2" width="21.5703125" customWidth="1"/>
    <col min="3" max="3" width="24.28515625" bestFit="1" customWidth="1"/>
    <col min="4" max="8" width="15.7109375" customWidth="1"/>
  </cols>
  <sheetData>
    <row r="2" spans="2:8" ht="19.5">
      <c r="B2" s="6" t="s">
        <v>13</v>
      </c>
      <c r="C2" s="2"/>
      <c r="D2" s="2"/>
      <c r="F2" s="11" t="s">
        <v>27</v>
      </c>
      <c r="G2" s="1247">
        <v>44469</v>
      </c>
      <c r="H2" s="1247"/>
    </row>
    <row r="3" spans="2:8">
      <c r="B3" s="2"/>
      <c r="C3" s="2"/>
      <c r="D3" s="2"/>
    </row>
    <row r="4" spans="2:8">
      <c r="B4" s="2"/>
      <c r="C4" s="2"/>
      <c r="D4" s="2"/>
    </row>
    <row r="5" spans="2:8">
      <c r="B5" s="2"/>
      <c r="C5" s="2"/>
      <c r="D5" s="2"/>
    </row>
    <row r="6" spans="2:8" ht="19.5">
      <c r="B6" s="7" t="s">
        <v>42</v>
      </c>
      <c r="C6" s="1248" t="s">
        <v>74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104" t="s">
        <v>51</v>
      </c>
      <c r="C9" s="93" t="s">
        <v>16</v>
      </c>
      <c r="D9" s="93">
        <v>150</v>
      </c>
      <c r="E9" s="12">
        <v>215</v>
      </c>
      <c r="F9" s="12">
        <v>0</v>
      </c>
      <c r="G9" s="12">
        <v>215</v>
      </c>
      <c r="H9" s="25">
        <f t="shared" ref="H9:H12" si="0">G9*10</f>
        <v>2150</v>
      </c>
    </row>
    <row r="10" spans="2:8" ht="20.100000000000001" customHeight="1">
      <c r="B10" s="104" t="s">
        <v>53</v>
      </c>
      <c r="C10" s="93" t="s">
        <v>16</v>
      </c>
      <c r="D10" s="93">
        <v>150</v>
      </c>
      <c r="E10" s="4">
        <v>332</v>
      </c>
      <c r="F10" s="4">
        <v>0</v>
      </c>
      <c r="G10" s="4">
        <v>332</v>
      </c>
      <c r="H10" s="25">
        <f t="shared" si="0"/>
        <v>3320</v>
      </c>
    </row>
    <row r="11" spans="2:8" ht="20.100000000000001" customHeight="1">
      <c r="B11" s="104" t="s">
        <v>143</v>
      </c>
      <c r="C11" s="93" t="s">
        <v>26</v>
      </c>
      <c r="D11" s="93">
        <v>150</v>
      </c>
      <c r="E11" s="4">
        <v>228</v>
      </c>
      <c r="F11" s="4">
        <v>0</v>
      </c>
      <c r="G11" s="4">
        <v>228</v>
      </c>
      <c r="H11" s="25">
        <f t="shared" si="0"/>
        <v>2280</v>
      </c>
    </row>
    <row r="12" spans="2:8" ht="20.100000000000001" customHeight="1">
      <c r="B12" s="104" t="s">
        <v>63</v>
      </c>
      <c r="C12" s="93" t="s">
        <v>26</v>
      </c>
      <c r="D12" s="93">
        <v>150</v>
      </c>
      <c r="E12" s="4">
        <v>261</v>
      </c>
      <c r="F12" s="4">
        <v>0</v>
      </c>
      <c r="G12" s="4">
        <v>261</v>
      </c>
      <c r="H12" s="25">
        <f t="shared" si="0"/>
        <v>2610</v>
      </c>
    </row>
    <row r="13" spans="2:8" ht="20.100000000000001" customHeight="1">
      <c r="B13" s="1259" t="s">
        <v>24</v>
      </c>
      <c r="C13" s="1259"/>
      <c r="D13" s="93">
        <f>SUM(D9:D12)</f>
        <v>600</v>
      </c>
      <c r="E13" s="4">
        <f>SUM(E9:E12)</f>
        <v>1036</v>
      </c>
      <c r="F13" s="4">
        <f>SUM(F9:F12)</f>
        <v>0</v>
      </c>
      <c r="G13" s="17">
        <f>SUM(G9:G12)</f>
        <v>1036</v>
      </c>
      <c r="H13" s="25">
        <f>G13*10</f>
        <v>10360</v>
      </c>
    </row>
    <row r="15" spans="2:8" ht="19.5">
      <c r="B15" s="8" t="s">
        <v>21</v>
      </c>
      <c r="C15" s="1256" t="s">
        <v>73</v>
      </c>
      <c r="D15" s="1257"/>
      <c r="E15" s="1257"/>
      <c r="F15" s="1257"/>
      <c r="G15" s="1257"/>
      <c r="H15" s="1258"/>
    </row>
    <row r="16" spans="2:8" ht="15" customHeight="1">
      <c r="B16" s="1251" t="s">
        <v>0</v>
      </c>
      <c r="C16" s="1251" t="s">
        <v>1</v>
      </c>
      <c r="D16" s="1253" t="s">
        <v>23</v>
      </c>
      <c r="E16" s="1252" t="s">
        <v>40</v>
      </c>
      <c r="F16" s="1253" t="s">
        <v>41</v>
      </c>
      <c r="G16" s="1253" t="s">
        <v>39</v>
      </c>
      <c r="H16" s="1253" t="s">
        <v>31</v>
      </c>
    </row>
    <row r="17" spans="2:8" s="1" customFormat="1">
      <c r="B17" s="1251"/>
      <c r="C17" s="1251"/>
      <c r="D17" s="1254"/>
      <c r="E17" s="1252"/>
      <c r="F17" s="1254"/>
      <c r="G17" s="1254"/>
      <c r="H17" s="1254"/>
    </row>
    <row r="18" spans="2:8" ht="20.100000000000001" customHeight="1">
      <c r="B18" s="105" t="s">
        <v>51</v>
      </c>
      <c r="C18" s="93" t="s">
        <v>16</v>
      </c>
      <c r="D18" s="93">
        <v>150</v>
      </c>
      <c r="E18" s="4">
        <v>204</v>
      </c>
      <c r="F18" s="4">
        <v>0</v>
      </c>
      <c r="G18" s="4">
        <v>204</v>
      </c>
      <c r="H18" s="25">
        <f t="shared" ref="H18:H21" si="1">G18*10</f>
        <v>2040</v>
      </c>
    </row>
    <row r="19" spans="2:8" ht="20.100000000000001" customHeight="1">
      <c r="B19" s="105" t="s">
        <v>144</v>
      </c>
      <c r="C19" s="93" t="s">
        <v>16</v>
      </c>
      <c r="D19" s="93">
        <v>150</v>
      </c>
      <c r="E19" s="4">
        <v>235</v>
      </c>
      <c r="F19" s="4">
        <v>0</v>
      </c>
      <c r="G19" s="4">
        <v>235</v>
      </c>
      <c r="H19" s="25">
        <f t="shared" si="1"/>
        <v>2350</v>
      </c>
    </row>
    <row r="20" spans="2:8" ht="20.100000000000001" customHeight="1">
      <c r="B20" s="105" t="s">
        <v>143</v>
      </c>
      <c r="C20" s="93" t="s">
        <v>26</v>
      </c>
      <c r="D20" s="93">
        <v>150</v>
      </c>
      <c r="E20" s="4">
        <v>250</v>
      </c>
      <c r="F20" s="4">
        <v>0</v>
      </c>
      <c r="G20" s="4">
        <v>250</v>
      </c>
      <c r="H20" s="25">
        <f t="shared" si="1"/>
        <v>2500</v>
      </c>
    </row>
    <row r="21" spans="2:8" ht="20.100000000000001" customHeight="1">
      <c r="B21" s="105" t="s">
        <v>145</v>
      </c>
      <c r="C21" s="93" t="s">
        <v>26</v>
      </c>
      <c r="D21" s="93">
        <v>150</v>
      </c>
      <c r="E21" s="4">
        <v>283</v>
      </c>
      <c r="F21" s="12">
        <v>0</v>
      </c>
      <c r="G21" s="4">
        <v>283</v>
      </c>
      <c r="H21" s="25">
        <f t="shared" si="1"/>
        <v>2830</v>
      </c>
    </row>
    <row r="22" spans="2:8" ht="20.100000000000001" customHeight="1">
      <c r="B22" s="1259" t="s">
        <v>24</v>
      </c>
      <c r="C22" s="1259"/>
      <c r="D22" s="93">
        <f>SUM(D18:D21)</f>
        <v>600</v>
      </c>
      <c r="E22" s="4">
        <f>SUM(E18:E21)</f>
        <v>972</v>
      </c>
      <c r="F22" s="4">
        <f>SUM(F18:F21)</f>
        <v>0</v>
      </c>
      <c r="G22" s="4">
        <f>SUM(G18:G21)</f>
        <v>972</v>
      </c>
      <c r="H22" s="25">
        <f>G22*10</f>
        <v>9720</v>
      </c>
    </row>
    <row r="23" spans="2:8">
      <c r="B23" s="13"/>
      <c r="C23" s="13"/>
      <c r="D23" s="14"/>
      <c r="E23" s="14"/>
      <c r="F23" s="14"/>
      <c r="G23" s="14"/>
      <c r="H23" s="14"/>
    </row>
    <row r="24" spans="2:8" ht="19.5">
      <c r="B24" s="15" t="s">
        <v>28</v>
      </c>
      <c r="C24" s="1264" t="s">
        <v>29</v>
      </c>
      <c r="D24" s="1265"/>
      <c r="E24" s="1265"/>
      <c r="F24" s="1265"/>
      <c r="G24" s="1265"/>
      <c r="H24" s="1266"/>
    </row>
    <row r="25" spans="2:8" ht="15" customHeight="1">
      <c r="B25" s="1251" t="s">
        <v>0</v>
      </c>
      <c r="C25" s="1251" t="s">
        <v>1</v>
      </c>
      <c r="D25" s="1253" t="s">
        <v>23</v>
      </c>
      <c r="E25" s="1252" t="s">
        <v>40</v>
      </c>
      <c r="F25" s="1253" t="s">
        <v>41</v>
      </c>
      <c r="G25" s="1253" t="s">
        <v>39</v>
      </c>
      <c r="H25" s="1253" t="s">
        <v>31</v>
      </c>
    </row>
    <row r="26" spans="2:8">
      <c r="B26" s="1251"/>
      <c r="C26" s="1251"/>
      <c r="D26" s="1254"/>
      <c r="E26" s="1252"/>
      <c r="F26" s="1254"/>
      <c r="G26" s="1254"/>
      <c r="H26" s="1254"/>
    </row>
    <row r="27" spans="2:8">
      <c r="B27" s="106" t="s">
        <v>143</v>
      </c>
      <c r="C27" s="93" t="s">
        <v>26</v>
      </c>
      <c r="D27" s="93">
        <v>100</v>
      </c>
      <c r="E27" s="4">
        <v>152</v>
      </c>
      <c r="F27" s="4">
        <v>0</v>
      </c>
      <c r="G27" s="4">
        <v>152</v>
      </c>
      <c r="H27" s="25">
        <f>G27*10</f>
        <v>1520</v>
      </c>
    </row>
    <row r="28" spans="2:8">
      <c r="B28" s="106" t="s">
        <v>145</v>
      </c>
      <c r="C28" s="93" t="s">
        <v>26</v>
      </c>
      <c r="D28" s="93">
        <v>100</v>
      </c>
      <c r="E28" s="4">
        <v>196</v>
      </c>
      <c r="F28" s="4">
        <v>0</v>
      </c>
      <c r="G28" s="4">
        <v>196</v>
      </c>
      <c r="H28" s="25">
        <f>G28*10</f>
        <v>1960</v>
      </c>
    </row>
    <row r="29" spans="2:8" ht="20.100000000000001" customHeight="1">
      <c r="B29" s="1259" t="s">
        <v>24</v>
      </c>
      <c r="C29" s="1259"/>
      <c r="D29" s="93">
        <f>SUM(D27:D28)</f>
        <v>200</v>
      </c>
      <c r="E29" s="4">
        <f>SUM(E27:E28)</f>
        <v>348</v>
      </c>
      <c r="F29" s="4">
        <f>SUM(F27:F28)</f>
        <v>0</v>
      </c>
      <c r="G29" s="4">
        <f>SUM(G27:G28)</f>
        <v>348</v>
      </c>
      <c r="H29" s="25">
        <f>G29*10</f>
        <v>3480</v>
      </c>
    </row>
    <row r="31" spans="2:8" ht="19.5">
      <c r="B31" s="5" t="s">
        <v>5</v>
      </c>
      <c r="C31" s="18"/>
      <c r="E31" s="1271" t="s">
        <v>32</v>
      </c>
      <c r="F31" s="1272"/>
      <c r="G31" s="1272"/>
      <c r="H31" s="1273"/>
    </row>
    <row r="32" spans="2:8">
      <c r="B32" s="19" t="s">
        <v>4</v>
      </c>
      <c r="C32" s="20"/>
      <c r="E32" s="21"/>
      <c r="F32" s="23" t="s">
        <v>34</v>
      </c>
      <c r="G32" s="23" t="s">
        <v>35</v>
      </c>
      <c r="H32" s="23" t="s">
        <v>37</v>
      </c>
    </row>
    <row r="33" spans="2:8">
      <c r="B33" s="19" t="s">
        <v>33</v>
      </c>
      <c r="C33" s="20"/>
      <c r="E33" s="24" t="s">
        <v>39</v>
      </c>
      <c r="F33" s="27">
        <f>G13</f>
        <v>1036</v>
      </c>
      <c r="G33" s="28">
        <f>G22</f>
        <v>972</v>
      </c>
      <c r="H33" s="28">
        <f>G29</f>
        <v>348</v>
      </c>
    </row>
    <row r="34" spans="2:8">
      <c r="B34" s="19" t="s">
        <v>25</v>
      </c>
      <c r="C34" s="20"/>
      <c r="E34" s="24" t="s">
        <v>36</v>
      </c>
      <c r="F34" s="22">
        <f>F33*10</f>
        <v>10360</v>
      </c>
      <c r="G34" s="22">
        <f>G33*10</f>
        <v>9720</v>
      </c>
      <c r="H34" s="22">
        <f>H33*10</f>
        <v>3480</v>
      </c>
    </row>
    <row r="35" spans="2:8" ht="19.5">
      <c r="E35" s="8" t="s">
        <v>38</v>
      </c>
      <c r="F35" s="1274">
        <f>SUM(F34:H34)</f>
        <v>23560</v>
      </c>
      <c r="G35" s="1275"/>
      <c r="H35" s="1276"/>
    </row>
  </sheetData>
  <sheetProtection algorithmName="SHA-512" hashValue="x+HH3KhJ2y0zldwPsKI+P6Zdhn0iexDm+on9iiA+c1AuOnnjVEYtSrwG/bfc8nePXGrOcJ5AXdTHTcFg7hFbNA==" saltValue="I42ZatOBuUnfbHPzi+5VxA==" spinCount="100000" sheet="1" objects="1" scenarios="1"/>
  <mergeCells count="30">
    <mergeCell ref="B29:C29"/>
    <mergeCell ref="E31:H31"/>
    <mergeCell ref="F35:H35"/>
    <mergeCell ref="B22:C22"/>
    <mergeCell ref="C24:H24"/>
    <mergeCell ref="B25:B26"/>
    <mergeCell ref="C25:C26"/>
    <mergeCell ref="D25:D26"/>
    <mergeCell ref="E25:E26"/>
    <mergeCell ref="F25:F26"/>
    <mergeCell ref="G25:G26"/>
    <mergeCell ref="H25:H26"/>
    <mergeCell ref="B13:C13"/>
    <mergeCell ref="C15:H15"/>
    <mergeCell ref="B16:B17"/>
    <mergeCell ref="C16:C17"/>
    <mergeCell ref="D16:D17"/>
    <mergeCell ref="E16:E17"/>
    <mergeCell ref="F16:F17"/>
    <mergeCell ref="G16:G17"/>
    <mergeCell ref="H16:H17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85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2DD7E-DECB-4B8B-B735-6E5E6EF0B2F7}">
  <sheetPr codeName="Sheet136">
    <pageSetUpPr fitToPage="1"/>
  </sheetPr>
  <dimension ref="B2:H35"/>
  <sheetViews>
    <sheetView workbookViewId="0"/>
  </sheetViews>
  <sheetFormatPr defaultRowHeight="15"/>
  <cols>
    <col min="2" max="2" width="21.5703125" customWidth="1"/>
    <col min="3" max="3" width="24.28515625" bestFit="1" customWidth="1"/>
    <col min="4" max="8" width="15.7109375" customWidth="1"/>
  </cols>
  <sheetData>
    <row r="2" spans="2:8" ht="19.5">
      <c r="B2" s="6" t="s">
        <v>13</v>
      </c>
      <c r="C2" s="2"/>
      <c r="D2" s="2"/>
      <c r="F2" s="11" t="s">
        <v>27</v>
      </c>
      <c r="G2" s="1247">
        <v>44468</v>
      </c>
      <c r="H2" s="1247"/>
    </row>
    <row r="3" spans="2:8">
      <c r="B3" s="2"/>
      <c r="C3" s="2"/>
      <c r="D3" s="2"/>
    </row>
    <row r="4" spans="2:8">
      <c r="B4" s="2"/>
      <c r="C4" s="2"/>
      <c r="D4" s="2"/>
    </row>
    <row r="5" spans="2:8">
      <c r="B5" s="2"/>
      <c r="C5" s="2"/>
      <c r="D5" s="2"/>
    </row>
    <row r="6" spans="2:8" ht="19.5">
      <c r="B6" s="7" t="s">
        <v>42</v>
      </c>
      <c r="C6" s="1248" t="s">
        <v>74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91" t="s">
        <v>53</v>
      </c>
      <c r="C9" s="45" t="s">
        <v>16</v>
      </c>
      <c r="D9" s="45">
        <v>150</v>
      </c>
      <c r="E9" s="12">
        <v>312</v>
      </c>
      <c r="F9" s="12">
        <v>0</v>
      </c>
      <c r="G9" s="12">
        <v>312</v>
      </c>
      <c r="H9" s="25">
        <f t="shared" ref="H9:H12" si="0">G9*10</f>
        <v>3120</v>
      </c>
    </row>
    <row r="10" spans="2:8" ht="20.100000000000001" customHeight="1">
      <c r="B10" s="91" t="s">
        <v>56</v>
      </c>
      <c r="C10" s="45" t="s">
        <v>16</v>
      </c>
      <c r="D10" s="45">
        <v>150</v>
      </c>
      <c r="E10" s="4">
        <v>200</v>
      </c>
      <c r="F10" s="4">
        <v>0</v>
      </c>
      <c r="G10" s="4">
        <v>200</v>
      </c>
      <c r="H10" s="25">
        <f t="shared" si="0"/>
        <v>2000</v>
      </c>
    </row>
    <row r="11" spans="2:8" ht="20.100000000000001" customHeight="1">
      <c r="B11" s="91" t="s">
        <v>70</v>
      </c>
      <c r="C11" s="45" t="s">
        <v>26</v>
      </c>
      <c r="D11" s="45">
        <v>150</v>
      </c>
      <c r="E11" s="4">
        <v>437</v>
      </c>
      <c r="F11" s="4">
        <v>0</v>
      </c>
      <c r="G11" s="4">
        <v>437</v>
      </c>
      <c r="H11" s="25">
        <f t="shared" si="0"/>
        <v>4370</v>
      </c>
    </row>
    <row r="12" spans="2:8" ht="20.100000000000001" customHeight="1">
      <c r="B12" s="91" t="s">
        <v>66</v>
      </c>
      <c r="C12" s="45" t="s">
        <v>26</v>
      </c>
      <c r="D12" s="45">
        <v>150</v>
      </c>
      <c r="E12" s="4">
        <v>253</v>
      </c>
      <c r="F12" s="4">
        <v>0</v>
      </c>
      <c r="G12" s="4">
        <v>253</v>
      </c>
      <c r="H12" s="25">
        <f t="shared" si="0"/>
        <v>2530</v>
      </c>
    </row>
    <row r="13" spans="2:8" ht="20.100000000000001" customHeight="1">
      <c r="B13" s="1259" t="s">
        <v>24</v>
      </c>
      <c r="C13" s="1259"/>
      <c r="D13" s="45">
        <f>SUM(D9:D12)</f>
        <v>600</v>
      </c>
      <c r="E13" s="4">
        <f>SUM(E9:E12)</f>
        <v>1202</v>
      </c>
      <c r="F13" s="4">
        <f>SUM(F9:F12)</f>
        <v>0</v>
      </c>
      <c r="G13" s="17">
        <f>SUM(G9:G12)</f>
        <v>1202</v>
      </c>
      <c r="H13" s="25">
        <f>G13*10</f>
        <v>12020</v>
      </c>
    </row>
    <row r="15" spans="2:8" ht="19.5">
      <c r="B15" s="8" t="s">
        <v>21</v>
      </c>
      <c r="C15" s="1256" t="s">
        <v>73</v>
      </c>
      <c r="D15" s="1257"/>
      <c r="E15" s="1257"/>
      <c r="F15" s="1257"/>
      <c r="G15" s="1257"/>
      <c r="H15" s="1258"/>
    </row>
    <row r="16" spans="2:8" ht="15" customHeight="1">
      <c r="B16" s="1251" t="s">
        <v>0</v>
      </c>
      <c r="C16" s="1251" t="s">
        <v>1</v>
      </c>
      <c r="D16" s="1253" t="s">
        <v>23</v>
      </c>
      <c r="E16" s="1252" t="s">
        <v>40</v>
      </c>
      <c r="F16" s="1253" t="s">
        <v>41</v>
      </c>
      <c r="G16" s="1253" t="s">
        <v>39</v>
      </c>
      <c r="H16" s="1253" t="s">
        <v>31</v>
      </c>
    </row>
    <row r="17" spans="2:8" s="1" customFormat="1">
      <c r="B17" s="1251"/>
      <c r="C17" s="1251"/>
      <c r="D17" s="1254"/>
      <c r="E17" s="1252"/>
      <c r="F17" s="1254"/>
      <c r="G17" s="1254"/>
      <c r="H17" s="1254"/>
    </row>
    <row r="18" spans="2:8" ht="20.100000000000001" customHeight="1">
      <c r="B18" s="92" t="s">
        <v>76</v>
      </c>
      <c r="C18" s="45" t="s">
        <v>16</v>
      </c>
      <c r="D18" s="45">
        <v>150</v>
      </c>
      <c r="E18" s="4">
        <v>379</v>
      </c>
      <c r="F18" s="4">
        <v>0</v>
      </c>
      <c r="G18" s="4">
        <v>379</v>
      </c>
      <c r="H18" s="25">
        <f t="shared" ref="H18:H21" si="1">G18*10</f>
        <v>3790</v>
      </c>
    </row>
    <row r="19" spans="2:8" ht="20.100000000000001" customHeight="1">
      <c r="B19" s="92" t="s">
        <v>56</v>
      </c>
      <c r="C19" s="45" t="s">
        <v>16</v>
      </c>
      <c r="D19" s="45">
        <v>150</v>
      </c>
      <c r="E19" s="4">
        <v>245</v>
      </c>
      <c r="F19" s="4">
        <v>0</v>
      </c>
      <c r="G19" s="4">
        <v>245</v>
      </c>
      <c r="H19" s="25">
        <f t="shared" si="1"/>
        <v>2450</v>
      </c>
    </row>
    <row r="20" spans="2:8" ht="20.100000000000001" customHeight="1">
      <c r="B20" s="92" t="s">
        <v>70</v>
      </c>
      <c r="C20" s="45" t="s">
        <v>26</v>
      </c>
      <c r="D20" s="45">
        <v>150</v>
      </c>
      <c r="E20" s="4">
        <v>425</v>
      </c>
      <c r="F20" s="4">
        <v>0</v>
      </c>
      <c r="G20" s="4">
        <v>425</v>
      </c>
      <c r="H20" s="25">
        <f t="shared" si="1"/>
        <v>4250</v>
      </c>
    </row>
    <row r="21" spans="2:8" ht="20.100000000000001" customHeight="1">
      <c r="B21" s="92" t="s">
        <v>66</v>
      </c>
      <c r="C21" s="45" t="s">
        <v>26</v>
      </c>
      <c r="D21" s="45">
        <v>150</v>
      </c>
      <c r="E21" s="4">
        <v>200</v>
      </c>
      <c r="F21" s="12">
        <v>0</v>
      </c>
      <c r="G21" s="4">
        <v>200</v>
      </c>
      <c r="H21" s="25">
        <f t="shared" si="1"/>
        <v>2000</v>
      </c>
    </row>
    <row r="22" spans="2:8" ht="20.100000000000001" customHeight="1">
      <c r="B22" s="1259" t="s">
        <v>24</v>
      </c>
      <c r="C22" s="1259"/>
      <c r="D22" s="45">
        <f>SUM(D18:D21)</f>
        <v>600</v>
      </c>
      <c r="E22" s="4">
        <f>SUM(E18:E21)</f>
        <v>1249</v>
      </c>
      <c r="F22" s="4">
        <f>SUM(F18:F21)</f>
        <v>0</v>
      </c>
      <c r="G22" s="4">
        <f>SUM(G18:G21)</f>
        <v>1249</v>
      </c>
      <c r="H22" s="25">
        <f>G22*10</f>
        <v>12490</v>
      </c>
    </row>
    <row r="23" spans="2:8">
      <c r="B23" s="13"/>
      <c r="C23" s="13"/>
      <c r="D23" s="14"/>
      <c r="E23" s="14"/>
      <c r="F23" s="14"/>
      <c r="G23" s="14"/>
      <c r="H23" s="14"/>
    </row>
    <row r="24" spans="2:8" ht="19.5">
      <c r="B24" s="15" t="s">
        <v>28</v>
      </c>
      <c r="C24" s="1264" t="s">
        <v>29</v>
      </c>
      <c r="D24" s="1265"/>
      <c r="E24" s="1265"/>
      <c r="F24" s="1265"/>
      <c r="G24" s="1265"/>
      <c r="H24" s="1266"/>
    </row>
    <row r="25" spans="2:8" ht="15" customHeight="1">
      <c r="B25" s="1251" t="s">
        <v>0</v>
      </c>
      <c r="C25" s="1251" t="s">
        <v>1</v>
      </c>
      <c r="D25" s="1253" t="s">
        <v>23</v>
      </c>
      <c r="E25" s="1252" t="s">
        <v>40</v>
      </c>
      <c r="F25" s="1253" t="s">
        <v>41</v>
      </c>
      <c r="G25" s="1253" t="s">
        <v>39</v>
      </c>
      <c r="H25" s="1253" t="s">
        <v>31</v>
      </c>
    </row>
    <row r="26" spans="2:8">
      <c r="B26" s="1251"/>
      <c r="C26" s="1251"/>
      <c r="D26" s="1254"/>
      <c r="E26" s="1252"/>
      <c r="F26" s="1254"/>
      <c r="G26" s="1254"/>
      <c r="H26" s="1254"/>
    </row>
    <row r="27" spans="2:8">
      <c r="B27" s="93" t="s">
        <v>70</v>
      </c>
      <c r="C27" s="45" t="s">
        <v>26</v>
      </c>
      <c r="D27" s="45">
        <v>100</v>
      </c>
      <c r="E27" s="4">
        <v>180</v>
      </c>
      <c r="F27" s="4">
        <v>0</v>
      </c>
      <c r="G27" s="4">
        <v>180</v>
      </c>
      <c r="H27" s="25">
        <f>G27*10</f>
        <v>1800</v>
      </c>
    </row>
    <row r="28" spans="2:8">
      <c r="B28" s="93" t="s">
        <v>66</v>
      </c>
      <c r="C28" s="45" t="s">
        <v>26</v>
      </c>
      <c r="D28" s="45">
        <v>100</v>
      </c>
      <c r="E28" s="4">
        <v>197</v>
      </c>
      <c r="F28" s="4">
        <v>0</v>
      </c>
      <c r="G28" s="4">
        <v>197</v>
      </c>
      <c r="H28" s="25">
        <f>G28*10</f>
        <v>1970</v>
      </c>
    </row>
    <row r="29" spans="2:8" ht="20.100000000000001" customHeight="1">
      <c r="B29" s="1259" t="s">
        <v>24</v>
      </c>
      <c r="C29" s="1259"/>
      <c r="D29" s="45">
        <f>SUM(D27:D28)</f>
        <v>200</v>
      </c>
      <c r="E29" s="4">
        <f>SUM(E27:E28)</f>
        <v>377</v>
      </c>
      <c r="F29" s="4">
        <f>SUM(F27:F28)</f>
        <v>0</v>
      </c>
      <c r="G29" s="4">
        <f>SUM(G27:G28)</f>
        <v>377</v>
      </c>
      <c r="H29" s="25">
        <f>G29*10</f>
        <v>3770</v>
      </c>
    </row>
    <row r="31" spans="2:8" ht="19.5">
      <c r="B31" s="5" t="s">
        <v>5</v>
      </c>
      <c r="C31" s="18"/>
      <c r="E31" s="1271" t="s">
        <v>32</v>
      </c>
      <c r="F31" s="1272"/>
      <c r="G31" s="1272"/>
      <c r="H31" s="1273"/>
    </row>
    <row r="32" spans="2:8">
      <c r="B32" s="19" t="s">
        <v>4</v>
      </c>
      <c r="C32" s="20"/>
      <c r="E32" s="21"/>
      <c r="F32" s="23" t="s">
        <v>34</v>
      </c>
      <c r="G32" s="23" t="s">
        <v>35</v>
      </c>
      <c r="H32" s="23" t="s">
        <v>37</v>
      </c>
    </row>
    <row r="33" spans="2:8">
      <c r="B33" s="19" t="s">
        <v>33</v>
      </c>
      <c r="C33" s="20"/>
      <c r="E33" s="24" t="s">
        <v>39</v>
      </c>
      <c r="F33" s="27">
        <f>G13</f>
        <v>1202</v>
      </c>
      <c r="G33" s="28">
        <f>G22</f>
        <v>1249</v>
      </c>
      <c r="H33" s="28">
        <f>G29</f>
        <v>377</v>
      </c>
    </row>
    <row r="34" spans="2:8">
      <c r="B34" s="19" t="s">
        <v>25</v>
      </c>
      <c r="C34" s="20"/>
      <c r="E34" s="24" t="s">
        <v>36</v>
      </c>
      <c r="F34" s="22">
        <f>F33*10</f>
        <v>12020</v>
      </c>
      <c r="G34" s="22">
        <f>G33*10</f>
        <v>12490</v>
      </c>
      <c r="H34" s="22">
        <f>H33*10</f>
        <v>3770</v>
      </c>
    </row>
    <row r="35" spans="2:8" ht="19.5">
      <c r="E35" s="8" t="s">
        <v>38</v>
      </c>
      <c r="F35" s="1274">
        <f>SUM(F34:H34)</f>
        <v>28280</v>
      </c>
      <c r="G35" s="1275"/>
      <c r="H35" s="1276"/>
    </row>
  </sheetData>
  <sheetProtection algorithmName="SHA-512" hashValue="jkalRFgzWLb78x4fCleuW0yAKILNwnnVosBSydI1eLPvz41Jf0cbIRNECHmBq38+fMJD+mdK/qPDrX3DG4zUUw==" saltValue="vYafozN3GU2UItIbQ2ni1A==" spinCount="100000" sheet="1" objects="1" scenarios="1"/>
  <mergeCells count="30">
    <mergeCell ref="B29:C29"/>
    <mergeCell ref="E31:H31"/>
    <mergeCell ref="F35:H35"/>
    <mergeCell ref="B22:C22"/>
    <mergeCell ref="C24:H24"/>
    <mergeCell ref="B25:B26"/>
    <mergeCell ref="C25:C26"/>
    <mergeCell ref="D25:D26"/>
    <mergeCell ref="E25:E26"/>
    <mergeCell ref="F25:F26"/>
    <mergeCell ref="G25:G26"/>
    <mergeCell ref="H25:H26"/>
    <mergeCell ref="B13:C13"/>
    <mergeCell ref="C15:H15"/>
    <mergeCell ref="B16:B17"/>
    <mergeCell ref="C16:C17"/>
    <mergeCell ref="D16:D17"/>
    <mergeCell ref="E16:E17"/>
    <mergeCell ref="F16:F17"/>
    <mergeCell ref="G16:G17"/>
    <mergeCell ref="H16:H17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85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A07BB-E964-4B08-B418-02B0CE69B843}">
  <sheetPr codeName="Sheet137">
    <pageSetUpPr fitToPage="1"/>
  </sheetPr>
  <dimension ref="B2:H35"/>
  <sheetViews>
    <sheetView workbookViewId="0"/>
  </sheetViews>
  <sheetFormatPr defaultRowHeight="15"/>
  <cols>
    <col min="2" max="2" width="21.5703125" customWidth="1"/>
    <col min="3" max="3" width="24.28515625" bestFit="1" customWidth="1"/>
    <col min="4" max="8" width="15.7109375" customWidth="1"/>
  </cols>
  <sheetData>
    <row r="2" spans="2:8" ht="19.5">
      <c r="B2" s="6" t="s">
        <v>13</v>
      </c>
      <c r="C2" s="2"/>
      <c r="D2" s="2"/>
      <c r="F2" s="11" t="s">
        <v>27</v>
      </c>
      <c r="G2" s="1247">
        <v>44467</v>
      </c>
      <c r="H2" s="1247"/>
    </row>
    <row r="3" spans="2:8">
      <c r="B3" s="2"/>
      <c r="C3" s="2"/>
      <c r="D3" s="2"/>
    </row>
    <row r="4" spans="2:8">
      <c r="B4" s="2"/>
      <c r="C4" s="2"/>
      <c r="D4" s="2"/>
    </row>
    <row r="5" spans="2:8">
      <c r="B5" s="2"/>
      <c r="C5" s="2"/>
      <c r="D5" s="2"/>
    </row>
    <row r="6" spans="2:8" ht="19.5">
      <c r="B6" s="7" t="s">
        <v>42</v>
      </c>
      <c r="C6" s="1248" t="s">
        <v>74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45" t="s">
        <v>66</v>
      </c>
      <c r="C9" s="45" t="s">
        <v>16</v>
      </c>
      <c r="D9" s="45">
        <v>150</v>
      </c>
      <c r="E9" s="12">
        <v>172</v>
      </c>
      <c r="F9" s="12">
        <v>0</v>
      </c>
      <c r="G9" s="12">
        <v>172</v>
      </c>
      <c r="H9" s="25">
        <f t="shared" ref="H9:H12" si="0">G9*10</f>
        <v>1720</v>
      </c>
    </row>
    <row r="10" spans="2:8" ht="20.100000000000001" customHeight="1">
      <c r="B10" s="45" t="s">
        <v>75</v>
      </c>
      <c r="C10" s="45" t="s">
        <v>16</v>
      </c>
      <c r="D10" s="45">
        <v>150</v>
      </c>
      <c r="E10" s="4">
        <v>147</v>
      </c>
      <c r="F10" s="4">
        <v>3</v>
      </c>
      <c r="G10" s="4">
        <v>150</v>
      </c>
      <c r="H10" s="25">
        <f t="shared" si="0"/>
        <v>1500</v>
      </c>
    </row>
    <row r="11" spans="2:8" ht="20.100000000000001" customHeight="1">
      <c r="B11" s="45" t="s">
        <v>53</v>
      </c>
      <c r="C11" s="45" t="s">
        <v>26</v>
      </c>
      <c r="D11" s="45">
        <v>150</v>
      </c>
      <c r="E11" s="4">
        <v>326</v>
      </c>
      <c r="F11" s="4">
        <v>0</v>
      </c>
      <c r="G11" s="4">
        <v>326</v>
      </c>
      <c r="H11" s="25">
        <f t="shared" si="0"/>
        <v>3260</v>
      </c>
    </row>
    <row r="12" spans="2:8" ht="20.100000000000001" customHeight="1">
      <c r="B12" s="45" t="s">
        <v>65</v>
      </c>
      <c r="C12" s="45" t="s">
        <v>26</v>
      </c>
      <c r="D12" s="45">
        <v>150</v>
      </c>
      <c r="E12" s="4">
        <v>240</v>
      </c>
      <c r="F12" s="4">
        <v>0</v>
      </c>
      <c r="G12" s="4">
        <v>240</v>
      </c>
      <c r="H12" s="25">
        <f t="shared" si="0"/>
        <v>2400</v>
      </c>
    </row>
    <row r="13" spans="2:8" ht="20.100000000000001" customHeight="1">
      <c r="B13" s="1259" t="s">
        <v>24</v>
      </c>
      <c r="C13" s="1259"/>
      <c r="D13" s="45">
        <f>SUM(D9:D12)</f>
        <v>600</v>
      </c>
      <c r="E13" s="4">
        <f>SUM(E9:E12)</f>
        <v>885</v>
      </c>
      <c r="F13" s="4">
        <f>SUM(F9:F12)</f>
        <v>3</v>
      </c>
      <c r="G13" s="17">
        <f>SUM(G9:G12)</f>
        <v>888</v>
      </c>
      <c r="H13" s="25">
        <f>G13*10</f>
        <v>8880</v>
      </c>
    </row>
    <row r="15" spans="2:8" ht="19.5">
      <c r="B15" s="8" t="s">
        <v>21</v>
      </c>
      <c r="C15" s="1256" t="s">
        <v>73</v>
      </c>
      <c r="D15" s="1257"/>
      <c r="E15" s="1257"/>
      <c r="F15" s="1257"/>
      <c r="G15" s="1257"/>
      <c r="H15" s="1258"/>
    </row>
    <row r="16" spans="2:8" ht="15" customHeight="1">
      <c r="B16" s="1251" t="s">
        <v>0</v>
      </c>
      <c r="C16" s="1251" t="s">
        <v>1</v>
      </c>
      <c r="D16" s="1253" t="s">
        <v>23</v>
      </c>
      <c r="E16" s="1252" t="s">
        <v>40</v>
      </c>
      <c r="F16" s="1253" t="s">
        <v>41</v>
      </c>
      <c r="G16" s="1253" t="s">
        <v>39</v>
      </c>
      <c r="H16" s="1253" t="s">
        <v>31</v>
      </c>
    </row>
    <row r="17" spans="2:8" s="1" customFormat="1">
      <c r="B17" s="1251"/>
      <c r="C17" s="1251"/>
      <c r="D17" s="1254"/>
      <c r="E17" s="1252"/>
      <c r="F17" s="1254"/>
      <c r="G17" s="1254"/>
      <c r="H17" s="1254"/>
    </row>
    <row r="18" spans="2:8" ht="20.100000000000001" customHeight="1">
      <c r="B18" s="45" t="s">
        <v>66</v>
      </c>
      <c r="C18" s="45" t="s">
        <v>16</v>
      </c>
      <c r="D18" s="45">
        <v>150</v>
      </c>
      <c r="E18" s="4">
        <v>238</v>
      </c>
      <c r="F18" s="4">
        <v>0</v>
      </c>
      <c r="G18" s="4">
        <v>238</v>
      </c>
      <c r="H18" s="25">
        <f t="shared" ref="H18:H21" si="1">G18*10</f>
        <v>2380</v>
      </c>
    </row>
    <row r="19" spans="2:8" ht="20.100000000000001" customHeight="1">
      <c r="B19" s="45" t="s">
        <v>76</v>
      </c>
      <c r="C19" s="45" t="s">
        <v>16</v>
      </c>
      <c r="D19" s="45">
        <v>150</v>
      </c>
      <c r="E19" s="4">
        <v>217</v>
      </c>
      <c r="F19" s="4">
        <v>0</v>
      </c>
      <c r="G19" s="4">
        <v>217</v>
      </c>
      <c r="H19" s="25">
        <f t="shared" si="1"/>
        <v>2170</v>
      </c>
    </row>
    <row r="20" spans="2:8" ht="20.100000000000001" customHeight="1">
      <c r="B20" s="45" t="s">
        <v>45</v>
      </c>
      <c r="C20" s="45" t="s">
        <v>26</v>
      </c>
      <c r="D20" s="45">
        <v>150</v>
      </c>
      <c r="E20" s="4">
        <v>245</v>
      </c>
      <c r="F20" s="4">
        <v>0</v>
      </c>
      <c r="G20" s="4">
        <v>245</v>
      </c>
      <c r="H20" s="25">
        <f t="shared" si="1"/>
        <v>2450</v>
      </c>
    </row>
    <row r="21" spans="2:8" ht="20.100000000000001" customHeight="1">
      <c r="B21" s="45" t="s">
        <v>65</v>
      </c>
      <c r="C21" s="45" t="s">
        <v>26</v>
      </c>
      <c r="D21" s="45">
        <v>150</v>
      </c>
      <c r="E21" s="4">
        <v>225</v>
      </c>
      <c r="F21" s="12">
        <v>0</v>
      </c>
      <c r="G21" s="4">
        <v>225</v>
      </c>
      <c r="H21" s="25">
        <f t="shared" si="1"/>
        <v>2250</v>
      </c>
    </row>
    <row r="22" spans="2:8" ht="20.100000000000001" customHeight="1">
      <c r="B22" s="1259" t="s">
        <v>24</v>
      </c>
      <c r="C22" s="1259"/>
      <c r="D22" s="45">
        <f>SUM(D18:D21)</f>
        <v>600</v>
      </c>
      <c r="E22" s="4">
        <f>SUM(E18:E21)</f>
        <v>925</v>
      </c>
      <c r="F22" s="4">
        <f>SUM(F18:F21)</f>
        <v>0</v>
      </c>
      <c r="G22" s="4">
        <f>SUM(G18:G21)</f>
        <v>925</v>
      </c>
      <c r="H22" s="25">
        <f>G22*10</f>
        <v>9250</v>
      </c>
    </row>
    <row r="23" spans="2:8">
      <c r="B23" s="13"/>
      <c r="C23" s="13"/>
      <c r="D23" s="14"/>
      <c r="E23" s="14"/>
      <c r="F23" s="14"/>
      <c r="G23" s="14"/>
      <c r="H23" s="14"/>
    </row>
    <row r="24" spans="2:8" ht="19.5">
      <c r="B24" s="15" t="s">
        <v>28</v>
      </c>
      <c r="C24" s="1264" t="s">
        <v>29</v>
      </c>
      <c r="D24" s="1265"/>
      <c r="E24" s="1265"/>
      <c r="F24" s="1265"/>
      <c r="G24" s="1265"/>
      <c r="H24" s="1266"/>
    </row>
    <row r="25" spans="2:8" ht="15" customHeight="1">
      <c r="B25" s="1251" t="s">
        <v>0</v>
      </c>
      <c r="C25" s="1251" t="s">
        <v>1</v>
      </c>
      <c r="D25" s="1253" t="s">
        <v>23</v>
      </c>
      <c r="E25" s="1252" t="s">
        <v>40</v>
      </c>
      <c r="F25" s="1253" t="s">
        <v>41</v>
      </c>
      <c r="G25" s="1253" t="s">
        <v>39</v>
      </c>
      <c r="H25" s="1253" t="s">
        <v>31</v>
      </c>
    </row>
    <row r="26" spans="2:8">
      <c r="B26" s="1251"/>
      <c r="C26" s="1251"/>
      <c r="D26" s="1254"/>
      <c r="E26" s="1252"/>
      <c r="F26" s="1254"/>
      <c r="G26" s="1254"/>
      <c r="H26" s="1254"/>
    </row>
    <row r="27" spans="2:8">
      <c r="B27" s="45" t="s">
        <v>45</v>
      </c>
      <c r="C27" s="45" t="s">
        <v>26</v>
      </c>
      <c r="D27" s="45">
        <v>100</v>
      </c>
      <c r="E27" s="4">
        <v>214</v>
      </c>
      <c r="F27" s="4">
        <v>0</v>
      </c>
      <c r="G27" s="4">
        <v>214</v>
      </c>
      <c r="H27" s="25">
        <f>G27*10</f>
        <v>2140</v>
      </c>
    </row>
    <row r="28" spans="2:8">
      <c r="B28" s="45" t="s">
        <v>65</v>
      </c>
      <c r="C28" s="45" t="s">
        <v>26</v>
      </c>
      <c r="D28" s="45">
        <v>100</v>
      </c>
      <c r="E28" s="4">
        <v>154</v>
      </c>
      <c r="F28" s="4">
        <v>0</v>
      </c>
      <c r="G28" s="4">
        <v>154</v>
      </c>
      <c r="H28" s="25">
        <f>G28*10</f>
        <v>1540</v>
      </c>
    </row>
    <row r="29" spans="2:8" ht="20.100000000000001" customHeight="1">
      <c r="B29" s="1259" t="s">
        <v>24</v>
      </c>
      <c r="C29" s="1259"/>
      <c r="D29" s="45">
        <f>SUM(D27:D28)</f>
        <v>200</v>
      </c>
      <c r="E29" s="4">
        <f>SUM(E27:E28)</f>
        <v>368</v>
      </c>
      <c r="F29" s="4">
        <f>SUM(F27:F28)</f>
        <v>0</v>
      </c>
      <c r="G29" s="4">
        <f>SUM(G27:G28)</f>
        <v>368</v>
      </c>
      <c r="H29" s="25">
        <f>G29*10</f>
        <v>3680</v>
      </c>
    </row>
    <row r="31" spans="2:8" ht="19.5">
      <c r="B31" s="5" t="s">
        <v>5</v>
      </c>
      <c r="C31" s="18"/>
      <c r="E31" s="1271" t="s">
        <v>32</v>
      </c>
      <c r="F31" s="1272"/>
      <c r="G31" s="1272"/>
      <c r="H31" s="1273"/>
    </row>
    <row r="32" spans="2:8">
      <c r="B32" s="19" t="s">
        <v>4</v>
      </c>
      <c r="C32" s="20"/>
      <c r="E32" s="21"/>
      <c r="F32" s="23" t="s">
        <v>34</v>
      </c>
      <c r="G32" s="23" t="s">
        <v>35</v>
      </c>
      <c r="H32" s="23" t="s">
        <v>37</v>
      </c>
    </row>
    <row r="33" spans="2:8">
      <c r="B33" s="19" t="s">
        <v>33</v>
      </c>
      <c r="C33" s="20"/>
      <c r="E33" s="24" t="s">
        <v>39</v>
      </c>
      <c r="F33" s="27">
        <f>G13</f>
        <v>888</v>
      </c>
      <c r="G33" s="28">
        <f>G22</f>
        <v>925</v>
      </c>
      <c r="H33" s="28">
        <f>G29</f>
        <v>368</v>
      </c>
    </row>
    <row r="34" spans="2:8">
      <c r="B34" s="19" t="s">
        <v>25</v>
      </c>
      <c r="C34" s="20"/>
      <c r="E34" s="24" t="s">
        <v>36</v>
      </c>
      <c r="F34" s="22">
        <f>F33*10</f>
        <v>8880</v>
      </c>
      <c r="G34" s="22">
        <f>G33*10</f>
        <v>9250</v>
      </c>
      <c r="H34" s="22">
        <f>H33*10</f>
        <v>3680</v>
      </c>
    </row>
    <row r="35" spans="2:8" ht="19.5">
      <c r="E35" s="8" t="s">
        <v>38</v>
      </c>
      <c r="F35" s="1274">
        <f>SUM(F34:H34)</f>
        <v>21810</v>
      </c>
      <c r="G35" s="1275"/>
      <c r="H35" s="1276"/>
    </row>
  </sheetData>
  <sheetProtection algorithmName="SHA-512" hashValue="YkVHZaMz4k8SsG3c0upQuSjoe7RdIQ/g+hNAMudDXmL3MUGZ6Is9Jv+UUTYlvX7jT/ISZ8KuWJxYvS79UpIXhg==" saltValue="xAMgl5T6VOfWB8b1uSkYdw==" spinCount="100000" sheet="1" objects="1" scenarios="1"/>
  <mergeCells count="30">
    <mergeCell ref="G2:H2"/>
    <mergeCell ref="C6:H6"/>
    <mergeCell ref="B7:B8"/>
    <mergeCell ref="C7:C8"/>
    <mergeCell ref="D7:D8"/>
    <mergeCell ref="E7:E8"/>
    <mergeCell ref="F7:F8"/>
    <mergeCell ref="G7:G8"/>
    <mergeCell ref="H7:H8"/>
    <mergeCell ref="B13:C13"/>
    <mergeCell ref="C15:H15"/>
    <mergeCell ref="B16:B17"/>
    <mergeCell ref="C16:C17"/>
    <mergeCell ref="D16:D17"/>
    <mergeCell ref="E16:E17"/>
    <mergeCell ref="F16:F17"/>
    <mergeCell ref="G16:G17"/>
    <mergeCell ref="H16:H17"/>
    <mergeCell ref="B29:C29"/>
    <mergeCell ref="E31:H31"/>
    <mergeCell ref="F35:H35"/>
    <mergeCell ref="B22:C22"/>
    <mergeCell ref="C24:H24"/>
    <mergeCell ref="B25:B26"/>
    <mergeCell ref="C25:C26"/>
    <mergeCell ref="D25:D26"/>
    <mergeCell ref="E25:E26"/>
    <mergeCell ref="F25:F26"/>
    <mergeCell ref="G25:G26"/>
    <mergeCell ref="H25:H26"/>
  </mergeCells>
  <pageMargins left="0.7" right="0.7" top="0.75" bottom="0.75" header="0.3" footer="0.3"/>
  <pageSetup scale="83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586B-42F9-49C9-8364-95C0D45C349A}">
  <sheetPr codeName="Sheet138">
    <pageSetUpPr fitToPage="1"/>
  </sheetPr>
  <dimension ref="B2:H35"/>
  <sheetViews>
    <sheetView workbookViewId="0"/>
  </sheetViews>
  <sheetFormatPr defaultRowHeight="15"/>
  <cols>
    <col min="2" max="2" width="21.5703125" customWidth="1"/>
    <col min="3" max="3" width="24.28515625" bestFit="1" customWidth="1"/>
    <col min="4" max="8" width="15.7109375" customWidth="1"/>
  </cols>
  <sheetData>
    <row r="2" spans="2:8" ht="19.5">
      <c r="B2" s="6" t="s">
        <v>13</v>
      </c>
      <c r="C2" s="2"/>
      <c r="D2" s="2"/>
      <c r="F2" s="11" t="s">
        <v>27</v>
      </c>
      <c r="G2" s="1247">
        <v>44466</v>
      </c>
      <c r="H2" s="1247"/>
    </row>
    <row r="3" spans="2:8">
      <c r="B3" s="2"/>
      <c r="C3" s="2"/>
      <c r="D3" s="2"/>
    </row>
    <row r="4" spans="2:8">
      <c r="B4" s="2"/>
      <c r="C4" s="2"/>
      <c r="D4" s="2"/>
    </row>
    <row r="5" spans="2:8">
      <c r="B5" s="2"/>
      <c r="C5" s="2"/>
      <c r="D5" s="2"/>
    </row>
    <row r="6" spans="2:8" ht="19.5">
      <c r="B6" s="7" t="s">
        <v>42</v>
      </c>
      <c r="C6" s="1248" t="s">
        <v>74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44" t="s">
        <v>53</v>
      </c>
      <c r="C9" s="44" t="s">
        <v>16</v>
      </c>
      <c r="D9" s="3">
        <v>150</v>
      </c>
      <c r="E9" s="12">
        <v>247</v>
      </c>
      <c r="F9" s="12">
        <v>0</v>
      </c>
      <c r="G9" s="12">
        <v>247</v>
      </c>
      <c r="H9" s="25">
        <f t="shared" ref="H9:H12" si="0">G9*10</f>
        <v>2470</v>
      </c>
    </row>
    <row r="10" spans="2:8" ht="20.100000000000001" customHeight="1">
      <c r="B10" s="45" t="s">
        <v>63</v>
      </c>
      <c r="C10" s="44" t="s">
        <v>16</v>
      </c>
      <c r="D10" s="3">
        <v>150</v>
      </c>
      <c r="E10" s="12">
        <v>243</v>
      </c>
      <c r="F10" s="4">
        <v>0</v>
      </c>
      <c r="G10" s="4">
        <v>243</v>
      </c>
      <c r="H10" s="25">
        <f t="shared" si="0"/>
        <v>2430</v>
      </c>
    </row>
    <row r="11" spans="2:8" ht="20.100000000000001" customHeight="1">
      <c r="B11" s="44" t="s">
        <v>69</v>
      </c>
      <c r="C11" s="44" t="s">
        <v>26</v>
      </c>
      <c r="D11" s="3">
        <v>150</v>
      </c>
      <c r="E11" s="4">
        <v>235</v>
      </c>
      <c r="F11" s="4">
        <v>0</v>
      </c>
      <c r="G11" s="4">
        <v>235</v>
      </c>
      <c r="H11" s="25">
        <f t="shared" si="0"/>
        <v>2350</v>
      </c>
    </row>
    <row r="12" spans="2:8" ht="20.100000000000001" customHeight="1">
      <c r="B12" s="44" t="s">
        <v>64</v>
      </c>
      <c r="C12" s="44" t="s">
        <v>26</v>
      </c>
      <c r="D12" s="3">
        <v>150</v>
      </c>
      <c r="E12" s="4">
        <v>156</v>
      </c>
      <c r="F12" s="4">
        <v>0</v>
      </c>
      <c r="G12" s="4">
        <v>156</v>
      </c>
      <c r="H12" s="25">
        <f t="shared" si="0"/>
        <v>1560</v>
      </c>
    </row>
    <row r="13" spans="2:8" ht="20.100000000000001" customHeight="1">
      <c r="B13" s="1259" t="s">
        <v>24</v>
      </c>
      <c r="C13" s="1259"/>
      <c r="D13" s="3">
        <f>SUM(D9:D12)</f>
        <v>600</v>
      </c>
      <c r="E13" s="4">
        <f>SUM(E9:E12)</f>
        <v>881</v>
      </c>
      <c r="F13" s="4">
        <f>SUM(F9:F12)</f>
        <v>0</v>
      </c>
      <c r="G13" s="17">
        <f>SUM(G9:G12)</f>
        <v>881</v>
      </c>
      <c r="H13" s="25">
        <f>G13*10</f>
        <v>8810</v>
      </c>
    </row>
    <row r="15" spans="2:8" ht="19.5">
      <c r="B15" s="8" t="s">
        <v>21</v>
      </c>
      <c r="C15" s="1256" t="s">
        <v>73</v>
      </c>
      <c r="D15" s="1257"/>
      <c r="E15" s="1257"/>
      <c r="F15" s="1257"/>
      <c r="G15" s="1257"/>
      <c r="H15" s="1258"/>
    </row>
    <row r="16" spans="2:8" ht="15" customHeight="1">
      <c r="B16" s="1251" t="s">
        <v>0</v>
      </c>
      <c r="C16" s="1251" t="s">
        <v>1</v>
      </c>
      <c r="D16" s="1253" t="s">
        <v>23</v>
      </c>
      <c r="E16" s="1252" t="s">
        <v>40</v>
      </c>
      <c r="F16" s="1253" t="s">
        <v>41</v>
      </c>
      <c r="G16" s="1253" t="s">
        <v>39</v>
      </c>
      <c r="H16" s="1253" t="s">
        <v>31</v>
      </c>
    </row>
    <row r="17" spans="2:8" s="1" customFormat="1">
      <c r="B17" s="1251"/>
      <c r="C17" s="1251"/>
      <c r="D17" s="1254"/>
      <c r="E17" s="1252"/>
      <c r="F17" s="1254"/>
      <c r="G17" s="1254"/>
      <c r="H17" s="1254"/>
    </row>
    <row r="18" spans="2:8" ht="20.100000000000001" customHeight="1">
      <c r="B18" s="45" t="s">
        <v>64</v>
      </c>
      <c r="C18" s="44" t="s">
        <v>16</v>
      </c>
      <c r="D18" s="3">
        <v>150</v>
      </c>
      <c r="E18" s="12">
        <v>196</v>
      </c>
      <c r="F18" s="4">
        <v>0</v>
      </c>
      <c r="G18" s="4">
        <v>196</v>
      </c>
      <c r="H18" s="25">
        <f t="shared" ref="H18:H21" si="1">G18*10</f>
        <v>1960</v>
      </c>
    </row>
    <row r="19" spans="2:8" ht="20.100000000000001" customHeight="1">
      <c r="B19" s="45" t="s">
        <v>63</v>
      </c>
      <c r="C19" s="45" t="s">
        <v>16</v>
      </c>
      <c r="D19" s="3">
        <v>150</v>
      </c>
      <c r="E19" s="12">
        <v>218</v>
      </c>
      <c r="F19" s="4">
        <v>0</v>
      </c>
      <c r="G19" s="4">
        <v>218</v>
      </c>
      <c r="H19" s="25">
        <f t="shared" si="1"/>
        <v>2180</v>
      </c>
    </row>
    <row r="20" spans="2:8" ht="20.100000000000001" customHeight="1">
      <c r="B20" s="45" t="s">
        <v>70</v>
      </c>
      <c r="C20" s="45" t="s">
        <v>26</v>
      </c>
      <c r="D20" s="3">
        <v>150</v>
      </c>
      <c r="E20" s="12">
        <v>375</v>
      </c>
      <c r="F20" s="4">
        <v>0</v>
      </c>
      <c r="G20" s="4">
        <v>375</v>
      </c>
      <c r="H20" s="25">
        <f t="shared" si="1"/>
        <v>3750</v>
      </c>
    </row>
    <row r="21" spans="2:8" ht="20.100000000000001" customHeight="1">
      <c r="B21" s="45" t="s">
        <v>51</v>
      </c>
      <c r="C21" s="45" t="s">
        <v>26</v>
      </c>
      <c r="D21" s="3">
        <v>150</v>
      </c>
      <c r="E21" s="12">
        <v>205</v>
      </c>
      <c r="F21" s="12">
        <v>0</v>
      </c>
      <c r="G21" s="4">
        <v>205</v>
      </c>
      <c r="H21" s="25">
        <f t="shared" si="1"/>
        <v>2050</v>
      </c>
    </row>
    <row r="22" spans="2:8" ht="20.100000000000001" customHeight="1">
      <c r="B22" s="1259" t="s">
        <v>24</v>
      </c>
      <c r="C22" s="1259"/>
      <c r="D22" s="3">
        <f>SUM(D18:D21)</f>
        <v>600</v>
      </c>
      <c r="E22" s="4">
        <f>SUM(E18:E21)</f>
        <v>994</v>
      </c>
      <c r="F22" s="4">
        <f>SUM(F18:F21)</f>
        <v>0</v>
      </c>
      <c r="G22" s="4">
        <f>SUM(G18:G21)</f>
        <v>994</v>
      </c>
      <c r="H22" s="25">
        <f>G22*10</f>
        <v>9940</v>
      </c>
    </row>
    <row r="23" spans="2:8">
      <c r="B23" s="13"/>
      <c r="C23" s="13"/>
      <c r="D23" s="14"/>
      <c r="E23" s="14"/>
      <c r="F23" s="14"/>
      <c r="G23" s="14"/>
      <c r="H23" s="14"/>
    </row>
    <row r="24" spans="2:8" ht="19.5">
      <c r="B24" s="15" t="s">
        <v>28</v>
      </c>
      <c r="C24" s="1264" t="s">
        <v>29</v>
      </c>
      <c r="D24" s="1265"/>
      <c r="E24" s="1265"/>
      <c r="F24" s="1265"/>
      <c r="G24" s="1265"/>
      <c r="H24" s="1266"/>
    </row>
    <row r="25" spans="2:8" ht="15" customHeight="1">
      <c r="B25" s="1251" t="s">
        <v>0</v>
      </c>
      <c r="C25" s="1251" t="s">
        <v>1</v>
      </c>
      <c r="D25" s="1253" t="s">
        <v>23</v>
      </c>
      <c r="E25" s="1252" t="s">
        <v>40</v>
      </c>
      <c r="F25" s="1253" t="s">
        <v>41</v>
      </c>
      <c r="G25" s="1253" t="s">
        <v>39</v>
      </c>
      <c r="H25" s="1253" t="s">
        <v>31</v>
      </c>
    </row>
    <row r="26" spans="2:8">
      <c r="B26" s="1251"/>
      <c r="C26" s="1251"/>
      <c r="D26" s="1254"/>
      <c r="E26" s="1252"/>
      <c r="F26" s="1254"/>
      <c r="G26" s="1254"/>
      <c r="H26" s="1254"/>
    </row>
    <row r="27" spans="2:8">
      <c r="B27" s="45" t="s">
        <v>64</v>
      </c>
      <c r="C27" s="45" t="s">
        <v>26</v>
      </c>
      <c r="D27" s="3">
        <v>100</v>
      </c>
      <c r="E27" s="12">
        <v>175</v>
      </c>
      <c r="F27" s="4">
        <v>0</v>
      </c>
      <c r="G27" s="4">
        <v>175</v>
      </c>
      <c r="H27" s="25">
        <f>G27*10</f>
        <v>1750</v>
      </c>
    </row>
    <row r="28" spans="2:8">
      <c r="B28" s="45" t="s">
        <v>70</v>
      </c>
      <c r="C28" s="45" t="s">
        <v>26</v>
      </c>
      <c r="D28" s="3">
        <v>100</v>
      </c>
      <c r="E28" s="12">
        <v>317</v>
      </c>
      <c r="F28" s="4">
        <v>0</v>
      </c>
      <c r="G28" s="4">
        <v>317</v>
      </c>
      <c r="H28" s="25">
        <f>G28*10</f>
        <v>3170</v>
      </c>
    </row>
    <row r="29" spans="2:8" ht="20.100000000000001" customHeight="1">
      <c r="B29" s="1259" t="s">
        <v>24</v>
      </c>
      <c r="C29" s="1259"/>
      <c r="D29" s="3">
        <f>SUM(D27:D28)</f>
        <v>200</v>
      </c>
      <c r="E29" s="4">
        <f>SUM(E27:E28)</f>
        <v>492</v>
      </c>
      <c r="F29" s="4">
        <f>SUM(F27:F28)</f>
        <v>0</v>
      </c>
      <c r="G29" s="4">
        <f>SUM(G27:G28)</f>
        <v>492</v>
      </c>
      <c r="H29" s="25">
        <f>G29*10</f>
        <v>4920</v>
      </c>
    </row>
    <row r="31" spans="2:8" ht="19.5">
      <c r="B31" s="5" t="s">
        <v>5</v>
      </c>
      <c r="C31" s="18"/>
      <c r="E31" s="1271" t="s">
        <v>32</v>
      </c>
      <c r="F31" s="1272"/>
      <c r="G31" s="1272"/>
      <c r="H31" s="1273"/>
    </row>
    <row r="32" spans="2:8">
      <c r="B32" s="19" t="s">
        <v>4</v>
      </c>
      <c r="C32" s="20"/>
      <c r="E32" s="21"/>
      <c r="F32" s="23" t="s">
        <v>34</v>
      </c>
      <c r="G32" s="23" t="s">
        <v>35</v>
      </c>
      <c r="H32" s="23" t="s">
        <v>37</v>
      </c>
    </row>
    <row r="33" spans="2:8">
      <c r="B33" s="19" t="s">
        <v>33</v>
      </c>
      <c r="C33" s="20"/>
      <c r="E33" s="24" t="s">
        <v>39</v>
      </c>
      <c r="F33" s="27">
        <f>G13</f>
        <v>881</v>
      </c>
      <c r="G33" s="28">
        <f>G22</f>
        <v>994</v>
      </c>
      <c r="H33" s="28">
        <f>G29</f>
        <v>492</v>
      </c>
    </row>
    <row r="34" spans="2:8">
      <c r="B34" s="19" t="s">
        <v>25</v>
      </c>
      <c r="C34" s="20"/>
      <c r="E34" s="24" t="s">
        <v>36</v>
      </c>
      <c r="F34" s="22">
        <f>F33*10</f>
        <v>8810</v>
      </c>
      <c r="G34" s="22">
        <f>G33*10</f>
        <v>9940</v>
      </c>
      <c r="H34" s="22">
        <f>H33*10</f>
        <v>4920</v>
      </c>
    </row>
    <row r="35" spans="2:8" ht="19.5">
      <c r="E35" s="8" t="s">
        <v>38</v>
      </c>
      <c r="F35" s="1274">
        <f>SUM(F34:H34)</f>
        <v>23670</v>
      </c>
      <c r="G35" s="1275"/>
      <c r="H35" s="1276"/>
    </row>
  </sheetData>
  <sheetProtection algorithmName="SHA-512" hashValue="h40FYsPyQ5aniN58tjFNlZAj1idOdXxN46HTBGK/zbhYQtwbELKr4Gj5aQLScyWHKVcM0pwGySHqlwKRljsUfg==" saltValue="uVaZumQhUzXPbzDwNywacw==" spinCount="100000" sheet="1" objects="1" scenarios="1"/>
  <mergeCells count="30">
    <mergeCell ref="B29:C29"/>
    <mergeCell ref="E31:H31"/>
    <mergeCell ref="F35:H35"/>
    <mergeCell ref="B22:C22"/>
    <mergeCell ref="C24:H24"/>
    <mergeCell ref="B25:B26"/>
    <mergeCell ref="C25:C26"/>
    <mergeCell ref="D25:D26"/>
    <mergeCell ref="E25:E26"/>
    <mergeCell ref="F25:F26"/>
    <mergeCell ref="G25:G26"/>
    <mergeCell ref="H25:H26"/>
    <mergeCell ref="B13:C13"/>
    <mergeCell ref="C15:H15"/>
    <mergeCell ref="B16:B17"/>
    <mergeCell ref="C16:C17"/>
    <mergeCell ref="D16:D17"/>
    <mergeCell ref="E16:E17"/>
    <mergeCell ref="F16:F17"/>
    <mergeCell ref="G16:G17"/>
    <mergeCell ref="H16:H17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83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C840F-6E4B-4AB7-AF31-96324F5D1FDB}">
  <sheetPr codeName="Sheet139">
    <pageSetUpPr fitToPage="1"/>
  </sheetPr>
  <dimension ref="B2:H37"/>
  <sheetViews>
    <sheetView workbookViewId="0"/>
  </sheetViews>
  <sheetFormatPr defaultRowHeight="15"/>
  <cols>
    <col min="2" max="2" width="21.5703125" customWidth="1"/>
    <col min="3" max="3" width="24.28515625" bestFit="1" customWidth="1"/>
    <col min="4" max="8" width="15.7109375" customWidth="1"/>
  </cols>
  <sheetData>
    <row r="2" spans="2:8" ht="19.5">
      <c r="B2" s="6" t="s">
        <v>13</v>
      </c>
      <c r="C2" s="2"/>
      <c r="D2" s="2"/>
      <c r="F2" s="11" t="s">
        <v>27</v>
      </c>
      <c r="G2" s="1247">
        <v>44465</v>
      </c>
      <c r="H2" s="1247"/>
    </row>
    <row r="3" spans="2:8">
      <c r="B3" s="2"/>
      <c r="C3" s="2"/>
      <c r="D3" s="2"/>
    </row>
    <row r="4" spans="2:8">
      <c r="B4" s="2"/>
      <c r="C4" s="2"/>
      <c r="D4" s="2"/>
    </row>
    <row r="5" spans="2:8">
      <c r="B5" s="2"/>
      <c r="C5" s="2"/>
      <c r="D5" s="2"/>
    </row>
    <row r="6" spans="2:8" ht="19.5">
      <c r="B6" s="7" t="s">
        <v>42</v>
      </c>
      <c r="C6" s="1248" t="s">
        <v>61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33"/>
      <c r="C9" s="33"/>
      <c r="D9" s="33">
        <v>150</v>
      </c>
      <c r="E9" s="36"/>
      <c r="F9" s="36"/>
      <c r="G9" s="36"/>
      <c r="H9" s="32">
        <f t="shared" ref="H9:H13" si="0">G9*10</f>
        <v>0</v>
      </c>
    </row>
    <row r="10" spans="2:8" ht="20.100000000000001" customHeight="1">
      <c r="B10" s="33"/>
      <c r="C10" s="33"/>
      <c r="D10" s="33">
        <v>150</v>
      </c>
      <c r="E10" s="36"/>
      <c r="F10" s="36"/>
      <c r="G10" s="36"/>
      <c r="H10" s="32">
        <f t="shared" si="0"/>
        <v>0</v>
      </c>
    </row>
    <row r="11" spans="2:8" ht="20.100000000000001" customHeight="1">
      <c r="B11" s="33"/>
      <c r="C11" s="33"/>
      <c r="D11" s="33">
        <v>150</v>
      </c>
      <c r="E11" s="36"/>
      <c r="F11" s="36"/>
      <c r="G11" s="36"/>
      <c r="H11" s="32">
        <f t="shared" si="0"/>
        <v>0</v>
      </c>
    </row>
    <row r="12" spans="2:8" ht="20.100000000000001" customHeight="1">
      <c r="B12" s="33"/>
      <c r="C12" s="33"/>
      <c r="D12" s="33">
        <v>150</v>
      </c>
      <c r="E12" s="36"/>
      <c r="F12" s="36"/>
      <c r="G12" s="36"/>
      <c r="H12" s="32">
        <f t="shared" si="0"/>
        <v>0</v>
      </c>
    </row>
    <row r="13" spans="2:8" ht="20.100000000000001" customHeight="1">
      <c r="B13" s="33"/>
      <c r="C13" s="33"/>
      <c r="D13" s="33">
        <v>150</v>
      </c>
      <c r="E13" s="36"/>
      <c r="F13" s="36"/>
      <c r="G13" s="36"/>
      <c r="H13" s="32">
        <f t="shared" si="0"/>
        <v>0</v>
      </c>
    </row>
    <row r="14" spans="2:8" ht="20.100000000000001" customHeight="1">
      <c r="B14" s="1279" t="s">
        <v>24</v>
      </c>
      <c r="C14" s="1279"/>
      <c r="D14" s="33">
        <f>SUM(D9:D13)</f>
        <v>750</v>
      </c>
      <c r="E14" s="36">
        <f>SUM(E9:E13)</f>
        <v>0</v>
      </c>
      <c r="F14" s="36">
        <f>SUM(F9:F13)</f>
        <v>0</v>
      </c>
      <c r="G14" s="37">
        <f>SUM(G9:G13)</f>
        <v>0</v>
      </c>
      <c r="H14" s="32">
        <f>G14*10</f>
        <v>0</v>
      </c>
    </row>
    <row r="16" spans="2:8" ht="19.5">
      <c r="B16" s="8" t="s">
        <v>21</v>
      </c>
      <c r="C16" s="1256" t="s">
        <v>46</v>
      </c>
      <c r="D16" s="1257"/>
      <c r="E16" s="1257"/>
      <c r="F16" s="1257"/>
      <c r="G16" s="1257"/>
      <c r="H16" s="1258"/>
    </row>
    <row r="17" spans="2:8" ht="15" customHeight="1">
      <c r="B17" s="1251" t="s">
        <v>0</v>
      </c>
      <c r="C17" s="1251" t="s">
        <v>1</v>
      </c>
      <c r="D17" s="1253" t="s">
        <v>23</v>
      </c>
      <c r="E17" s="1252" t="s">
        <v>40</v>
      </c>
      <c r="F17" s="1253" t="s">
        <v>41</v>
      </c>
      <c r="G17" s="1253" t="s">
        <v>39</v>
      </c>
      <c r="H17" s="1253" t="s">
        <v>31</v>
      </c>
    </row>
    <row r="18" spans="2:8" s="1" customFormat="1">
      <c r="B18" s="1251"/>
      <c r="C18" s="1251"/>
      <c r="D18" s="1254"/>
      <c r="E18" s="1252"/>
      <c r="F18" s="1254"/>
      <c r="G18" s="1254"/>
      <c r="H18" s="1254"/>
    </row>
    <row r="19" spans="2:8" ht="20.100000000000001" customHeight="1">
      <c r="B19" s="33"/>
      <c r="C19" s="33"/>
      <c r="D19" s="33">
        <v>150</v>
      </c>
      <c r="E19" s="36"/>
      <c r="F19" s="36"/>
      <c r="G19" s="36"/>
      <c r="H19" s="32">
        <f t="shared" ref="H19:H23" si="1">G19*10</f>
        <v>0</v>
      </c>
    </row>
    <row r="20" spans="2:8" ht="20.100000000000001" customHeight="1">
      <c r="B20" s="33"/>
      <c r="C20" s="33"/>
      <c r="D20" s="33">
        <v>150</v>
      </c>
      <c r="E20" s="36"/>
      <c r="F20" s="36"/>
      <c r="G20" s="36"/>
      <c r="H20" s="32">
        <f t="shared" si="1"/>
        <v>0</v>
      </c>
    </row>
    <row r="21" spans="2:8" ht="20.100000000000001" customHeight="1">
      <c r="B21" s="33"/>
      <c r="C21" s="33"/>
      <c r="D21" s="33">
        <v>150</v>
      </c>
      <c r="E21" s="36"/>
      <c r="F21" s="36"/>
      <c r="G21" s="36"/>
      <c r="H21" s="32">
        <f t="shared" si="1"/>
        <v>0</v>
      </c>
    </row>
    <row r="22" spans="2:8" ht="20.100000000000001" customHeight="1">
      <c r="B22" s="33"/>
      <c r="C22" s="33"/>
      <c r="D22" s="33">
        <v>150</v>
      </c>
      <c r="E22" s="36"/>
      <c r="F22" s="36"/>
      <c r="G22" s="36"/>
      <c r="H22" s="32">
        <f t="shared" si="1"/>
        <v>0</v>
      </c>
    </row>
    <row r="23" spans="2:8" ht="20.100000000000001" customHeight="1">
      <c r="B23" s="33"/>
      <c r="C23" s="33"/>
      <c r="D23" s="33">
        <v>150</v>
      </c>
      <c r="E23" s="36"/>
      <c r="F23" s="36"/>
      <c r="G23" s="36"/>
      <c r="H23" s="32">
        <f t="shared" si="1"/>
        <v>0</v>
      </c>
    </row>
    <row r="24" spans="2:8" ht="20.100000000000001" customHeight="1">
      <c r="B24" s="1279" t="s">
        <v>24</v>
      </c>
      <c r="C24" s="1279"/>
      <c r="D24" s="33">
        <f>SUM(D19:D23)</f>
        <v>750</v>
      </c>
      <c r="E24" s="36">
        <f>SUM(E19:E23)</f>
        <v>0</v>
      </c>
      <c r="F24" s="36">
        <f>SUM(F19:F23)</f>
        <v>0</v>
      </c>
      <c r="G24" s="36">
        <f>SUM(G19:G23)</f>
        <v>0</v>
      </c>
      <c r="H24" s="32">
        <f>G24*10</f>
        <v>0</v>
      </c>
    </row>
    <row r="25" spans="2:8">
      <c r="B25" s="13"/>
      <c r="C25" s="13"/>
      <c r="D25" s="14"/>
      <c r="E25" s="14"/>
      <c r="F25" s="14"/>
      <c r="G25" s="14"/>
      <c r="H25" s="14"/>
    </row>
    <row r="26" spans="2:8" ht="19.5">
      <c r="B26" s="15" t="s">
        <v>28</v>
      </c>
      <c r="C26" s="1264" t="s">
        <v>72</v>
      </c>
      <c r="D26" s="1265"/>
      <c r="E26" s="1265"/>
      <c r="F26" s="1265"/>
      <c r="G26" s="1265"/>
      <c r="H26" s="1266"/>
    </row>
    <row r="27" spans="2:8" ht="15" customHeight="1">
      <c r="B27" s="1251" t="s">
        <v>0</v>
      </c>
      <c r="C27" s="1251" t="s">
        <v>1</v>
      </c>
      <c r="D27" s="1253" t="s">
        <v>23</v>
      </c>
      <c r="E27" s="1252" t="s">
        <v>40</v>
      </c>
      <c r="F27" s="1253" t="s">
        <v>41</v>
      </c>
      <c r="G27" s="1253" t="s">
        <v>39</v>
      </c>
      <c r="H27" s="1253" t="s">
        <v>31</v>
      </c>
    </row>
    <row r="28" spans="2:8">
      <c r="B28" s="1251"/>
      <c r="C28" s="1251"/>
      <c r="D28" s="1254"/>
      <c r="E28" s="1252"/>
      <c r="F28" s="1254"/>
      <c r="G28" s="1254"/>
      <c r="H28" s="1254"/>
    </row>
    <row r="29" spans="2:8">
      <c r="B29" s="43" t="s">
        <v>67</v>
      </c>
      <c r="C29" s="45" t="s">
        <v>26</v>
      </c>
      <c r="D29" s="3">
        <v>100</v>
      </c>
      <c r="E29" s="4">
        <v>200</v>
      </c>
      <c r="F29" s="4">
        <v>0</v>
      </c>
      <c r="G29" s="4">
        <v>200</v>
      </c>
      <c r="H29" s="25">
        <f>G29*10</f>
        <v>2000</v>
      </c>
    </row>
    <row r="30" spans="2:8">
      <c r="B30" s="45" t="s">
        <v>68</v>
      </c>
      <c r="C30" s="45" t="s">
        <v>26</v>
      </c>
      <c r="D30" s="3">
        <v>100</v>
      </c>
      <c r="E30" s="4">
        <v>184</v>
      </c>
      <c r="F30" s="4">
        <v>0</v>
      </c>
      <c r="G30" s="4">
        <v>184</v>
      </c>
      <c r="H30" s="25">
        <f>G30*10</f>
        <v>1840</v>
      </c>
    </row>
    <row r="31" spans="2:8" ht="20.100000000000001" customHeight="1">
      <c r="B31" s="1259" t="s">
        <v>24</v>
      </c>
      <c r="C31" s="1259"/>
      <c r="D31" s="3">
        <f>SUM(D29:D30)</f>
        <v>200</v>
      </c>
      <c r="E31" s="4">
        <f>SUM(E29:E30)</f>
        <v>384</v>
      </c>
      <c r="F31" s="4">
        <f>SUM(F29:F30)</f>
        <v>0</v>
      </c>
      <c r="G31" s="4">
        <f>SUM(G29:G30)</f>
        <v>384</v>
      </c>
      <c r="H31" s="25">
        <f>G31*10</f>
        <v>3840</v>
      </c>
    </row>
    <row r="33" spans="2:8" ht="19.5">
      <c r="B33" s="5" t="s">
        <v>5</v>
      </c>
      <c r="C33" s="18"/>
      <c r="E33" s="1271" t="s">
        <v>32</v>
      </c>
      <c r="F33" s="1272"/>
      <c r="G33" s="1272"/>
      <c r="H33" s="1273"/>
    </row>
    <row r="34" spans="2:8">
      <c r="B34" s="19" t="s">
        <v>4</v>
      </c>
      <c r="C34" s="20"/>
      <c r="E34" s="21"/>
      <c r="F34" s="23" t="s">
        <v>34</v>
      </c>
      <c r="G34" s="23" t="s">
        <v>35</v>
      </c>
      <c r="H34" s="23" t="s">
        <v>37</v>
      </c>
    </row>
    <row r="35" spans="2:8">
      <c r="B35" s="19" t="s">
        <v>33</v>
      </c>
      <c r="C35" s="20"/>
      <c r="E35" s="24" t="s">
        <v>39</v>
      </c>
      <c r="F35" s="27">
        <f>G14</f>
        <v>0</v>
      </c>
      <c r="G35" s="28">
        <f>G24</f>
        <v>0</v>
      </c>
      <c r="H35" s="28">
        <f>G31</f>
        <v>384</v>
      </c>
    </row>
    <row r="36" spans="2:8">
      <c r="B36" s="19" t="s">
        <v>25</v>
      </c>
      <c r="C36" s="20"/>
      <c r="E36" s="24" t="s">
        <v>36</v>
      </c>
      <c r="F36" s="22">
        <f>F35*10</f>
        <v>0</v>
      </c>
      <c r="G36" s="22">
        <f>G35*10</f>
        <v>0</v>
      </c>
      <c r="H36" s="22">
        <f>H35*10</f>
        <v>3840</v>
      </c>
    </row>
    <row r="37" spans="2:8" ht="19.5">
      <c r="E37" s="8" t="s">
        <v>38</v>
      </c>
      <c r="F37" s="1274">
        <f>SUM(F36:H36)</f>
        <v>3840</v>
      </c>
      <c r="G37" s="1275"/>
      <c r="H37" s="1276"/>
    </row>
  </sheetData>
  <sheetProtection algorithmName="SHA-512" hashValue="b26VHjOpvuCeH+1e0GxZV4z1vuzyBNF+KVbZ2Gm/F77CYGZHzhXY5dw71cFSkN44s6S7+W7eF6UmUmZ+vEJHEQ==" saltValue="RqBodJYsxmBCkjTUvGGJDQ==" spinCount="100000" sheet="1" objects="1" scenarios="1"/>
  <mergeCells count="30">
    <mergeCell ref="B31:C31"/>
    <mergeCell ref="E33:H33"/>
    <mergeCell ref="F37:H37"/>
    <mergeCell ref="B24:C24"/>
    <mergeCell ref="C26:H26"/>
    <mergeCell ref="B27:B28"/>
    <mergeCell ref="C27:C28"/>
    <mergeCell ref="D27:D28"/>
    <mergeCell ref="E27:E28"/>
    <mergeCell ref="F27:F28"/>
    <mergeCell ref="G27:G28"/>
    <mergeCell ref="H27:H28"/>
    <mergeCell ref="B14:C14"/>
    <mergeCell ref="C16:H16"/>
    <mergeCell ref="B17:B18"/>
    <mergeCell ref="C17:C18"/>
    <mergeCell ref="D17:D18"/>
    <mergeCell ref="E17:E18"/>
    <mergeCell ref="F17:F18"/>
    <mergeCell ref="G17:G18"/>
    <mergeCell ref="H17:H18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78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D9E03-4719-414A-BD87-90D4E6881120}">
  <sheetPr codeName="Sheet140">
    <pageSetUpPr fitToPage="1"/>
  </sheetPr>
  <dimension ref="B2:H38"/>
  <sheetViews>
    <sheetView workbookViewId="0"/>
  </sheetViews>
  <sheetFormatPr defaultRowHeight="15"/>
  <cols>
    <col min="2" max="2" width="21.5703125" customWidth="1"/>
    <col min="3" max="3" width="24.28515625" bestFit="1" customWidth="1"/>
    <col min="4" max="8" width="15.7109375" customWidth="1"/>
  </cols>
  <sheetData>
    <row r="2" spans="2:8" ht="19.5">
      <c r="B2" s="6" t="s">
        <v>13</v>
      </c>
      <c r="C2" s="2"/>
      <c r="D2" s="2"/>
      <c r="F2" s="11" t="s">
        <v>27</v>
      </c>
      <c r="G2" s="1247">
        <v>44464</v>
      </c>
      <c r="H2" s="1247"/>
    </row>
    <row r="3" spans="2:8">
      <c r="B3" s="2"/>
      <c r="C3" s="2"/>
      <c r="D3" s="2"/>
    </row>
    <row r="4" spans="2:8">
      <c r="B4" s="2"/>
      <c r="C4" s="2"/>
      <c r="D4" s="2"/>
    </row>
    <row r="5" spans="2:8">
      <c r="B5" s="2"/>
      <c r="C5" s="2"/>
      <c r="D5" s="2"/>
    </row>
    <row r="6" spans="2:8" ht="19.5">
      <c r="B6" s="7" t="s">
        <v>42</v>
      </c>
      <c r="C6" s="1248" t="s">
        <v>61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33"/>
      <c r="C9" s="33"/>
      <c r="D9" s="33">
        <v>150</v>
      </c>
      <c r="E9" s="36"/>
      <c r="F9" s="36"/>
      <c r="G9" s="36"/>
      <c r="H9" s="32">
        <f t="shared" ref="H9:H13" si="0">G9*10</f>
        <v>0</v>
      </c>
    </row>
    <row r="10" spans="2:8" ht="20.100000000000001" customHeight="1">
      <c r="B10" s="33"/>
      <c r="C10" s="33"/>
      <c r="D10" s="33">
        <v>150</v>
      </c>
      <c r="E10" s="36"/>
      <c r="F10" s="36"/>
      <c r="G10" s="36"/>
      <c r="H10" s="32">
        <f t="shared" si="0"/>
        <v>0</v>
      </c>
    </row>
    <row r="11" spans="2:8" ht="20.100000000000001" customHeight="1">
      <c r="B11" s="33"/>
      <c r="C11" s="33"/>
      <c r="D11" s="33">
        <v>150</v>
      </c>
      <c r="E11" s="36"/>
      <c r="F11" s="36"/>
      <c r="G11" s="36"/>
      <c r="H11" s="32">
        <f t="shared" si="0"/>
        <v>0</v>
      </c>
    </row>
    <row r="12" spans="2:8" ht="20.100000000000001" customHeight="1">
      <c r="B12" s="33"/>
      <c r="C12" s="33"/>
      <c r="D12" s="33">
        <v>150</v>
      </c>
      <c r="E12" s="36"/>
      <c r="F12" s="36"/>
      <c r="G12" s="36"/>
      <c r="H12" s="32">
        <f t="shared" si="0"/>
        <v>0</v>
      </c>
    </row>
    <row r="13" spans="2:8" ht="20.100000000000001" customHeight="1">
      <c r="B13" s="33"/>
      <c r="C13" s="33"/>
      <c r="D13" s="33">
        <v>150</v>
      </c>
      <c r="E13" s="36"/>
      <c r="F13" s="36"/>
      <c r="G13" s="36"/>
      <c r="H13" s="32">
        <f t="shared" si="0"/>
        <v>0</v>
      </c>
    </row>
    <row r="14" spans="2:8" ht="20.100000000000001" customHeight="1">
      <c r="B14" s="1279" t="s">
        <v>24</v>
      </c>
      <c r="C14" s="1279"/>
      <c r="D14" s="33">
        <f>SUM(D9:D13)</f>
        <v>750</v>
      </c>
      <c r="E14" s="36">
        <f>SUM(E9:E13)</f>
        <v>0</v>
      </c>
      <c r="F14" s="36">
        <f>SUM(F9:F13)</f>
        <v>0</v>
      </c>
      <c r="G14" s="37">
        <f>SUM(G9:G13)</f>
        <v>0</v>
      </c>
      <c r="H14" s="32">
        <f>G14*10</f>
        <v>0</v>
      </c>
    </row>
    <row r="16" spans="2:8" ht="19.5">
      <c r="B16" s="8" t="s">
        <v>21</v>
      </c>
      <c r="C16" s="1256" t="s">
        <v>46</v>
      </c>
      <c r="D16" s="1257"/>
      <c r="E16" s="1257"/>
      <c r="F16" s="1257"/>
      <c r="G16" s="1257"/>
      <c r="H16" s="1258"/>
    </row>
    <row r="17" spans="2:8" ht="15" customHeight="1">
      <c r="B17" s="1251" t="s">
        <v>0</v>
      </c>
      <c r="C17" s="1251" t="s">
        <v>1</v>
      </c>
      <c r="D17" s="1253" t="s">
        <v>23</v>
      </c>
      <c r="E17" s="1252" t="s">
        <v>40</v>
      </c>
      <c r="F17" s="1253" t="s">
        <v>41</v>
      </c>
      <c r="G17" s="1253" t="s">
        <v>39</v>
      </c>
      <c r="H17" s="1253" t="s">
        <v>31</v>
      </c>
    </row>
    <row r="18" spans="2:8" s="1" customFormat="1">
      <c r="B18" s="1251"/>
      <c r="C18" s="1251"/>
      <c r="D18" s="1254"/>
      <c r="E18" s="1252"/>
      <c r="F18" s="1254"/>
      <c r="G18" s="1254"/>
      <c r="H18" s="1254"/>
    </row>
    <row r="19" spans="2:8" ht="20.100000000000001" customHeight="1">
      <c r="B19" s="33"/>
      <c r="C19" s="33"/>
      <c r="D19" s="33">
        <v>150</v>
      </c>
      <c r="E19" s="36"/>
      <c r="F19" s="36"/>
      <c r="G19" s="36"/>
      <c r="H19" s="32">
        <f t="shared" ref="H19:H23" si="1">G19*10</f>
        <v>0</v>
      </c>
    </row>
    <row r="20" spans="2:8" ht="20.100000000000001" customHeight="1">
      <c r="B20" s="33"/>
      <c r="C20" s="33"/>
      <c r="D20" s="33">
        <v>150</v>
      </c>
      <c r="E20" s="36"/>
      <c r="F20" s="36"/>
      <c r="G20" s="36"/>
      <c r="H20" s="32">
        <f t="shared" si="1"/>
        <v>0</v>
      </c>
    </row>
    <row r="21" spans="2:8" ht="20.100000000000001" customHeight="1">
      <c r="B21" s="33"/>
      <c r="C21" s="33"/>
      <c r="D21" s="33">
        <v>150</v>
      </c>
      <c r="E21" s="36"/>
      <c r="F21" s="36"/>
      <c r="G21" s="36"/>
      <c r="H21" s="32">
        <f t="shared" si="1"/>
        <v>0</v>
      </c>
    </row>
    <row r="22" spans="2:8" ht="20.100000000000001" customHeight="1">
      <c r="B22" s="33"/>
      <c r="C22" s="33"/>
      <c r="D22" s="33">
        <v>150</v>
      </c>
      <c r="E22" s="36"/>
      <c r="F22" s="36"/>
      <c r="G22" s="36"/>
      <c r="H22" s="32">
        <f t="shared" si="1"/>
        <v>0</v>
      </c>
    </row>
    <row r="23" spans="2:8" ht="20.100000000000001" customHeight="1">
      <c r="B23" s="33"/>
      <c r="C23" s="33"/>
      <c r="D23" s="33">
        <v>150</v>
      </c>
      <c r="E23" s="36"/>
      <c r="F23" s="36"/>
      <c r="G23" s="36"/>
      <c r="H23" s="32">
        <f t="shared" si="1"/>
        <v>0</v>
      </c>
    </row>
    <row r="24" spans="2:8" ht="20.100000000000001" customHeight="1">
      <c r="B24" s="1279" t="s">
        <v>24</v>
      </c>
      <c r="C24" s="1279"/>
      <c r="D24" s="33">
        <f>SUM(D19:D23)</f>
        <v>750</v>
      </c>
      <c r="E24" s="36">
        <f>SUM(E19:E23)</f>
        <v>0</v>
      </c>
      <c r="F24" s="36">
        <f>SUM(F19:F23)</f>
        <v>0</v>
      </c>
      <c r="G24" s="36">
        <f>SUM(G19:G23)</f>
        <v>0</v>
      </c>
      <c r="H24" s="32">
        <f>G24*10</f>
        <v>0</v>
      </c>
    </row>
    <row r="25" spans="2:8">
      <c r="B25" s="13"/>
      <c r="C25" s="13"/>
      <c r="D25" s="14"/>
      <c r="E25" s="14"/>
      <c r="F25" s="14"/>
      <c r="G25" s="14"/>
      <c r="H25" s="14"/>
    </row>
    <row r="26" spans="2:8" ht="19.5">
      <c r="B26" s="15" t="s">
        <v>28</v>
      </c>
      <c r="C26" s="1264" t="s">
        <v>29</v>
      </c>
      <c r="D26" s="1265"/>
      <c r="E26" s="1265"/>
      <c r="F26" s="1265"/>
      <c r="G26" s="1265"/>
      <c r="H26" s="1266"/>
    </row>
    <row r="27" spans="2:8" ht="15" customHeight="1">
      <c r="B27" s="1251" t="s">
        <v>0</v>
      </c>
      <c r="C27" s="1251" t="s">
        <v>1</v>
      </c>
      <c r="D27" s="1253" t="s">
        <v>23</v>
      </c>
      <c r="E27" s="1252" t="s">
        <v>40</v>
      </c>
      <c r="F27" s="1253" t="s">
        <v>41</v>
      </c>
      <c r="G27" s="1253" t="s">
        <v>39</v>
      </c>
      <c r="H27" s="1253" t="s">
        <v>31</v>
      </c>
    </row>
    <row r="28" spans="2:8">
      <c r="B28" s="1251"/>
      <c r="C28" s="1251"/>
      <c r="D28" s="1254"/>
      <c r="E28" s="1252"/>
      <c r="F28" s="1254"/>
      <c r="G28" s="1254"/>
      <c r="H28" s="1254"/>
    </row>
    <row r="29" spans="2:8">
      <c r="B29" s="38" t="s">
        <v>67</v>
      </c>
      <c r="C29" s="45" t="s">
        <v>26</v>
      </c>
      <c r="D29" s="3">
        <v>100</v>
      </c>
      <c r="E29" s="4">
        <v>123</v>
      </c>
      <c r="F29" s="4">
        <v>0</v>
      </c>
      <c r="G29" s="4">
        <v>123</v>
      </c>
      <c r="H29" s="25">
        <f>G29*10</f>
        <v>1230</v>
      </c>
    </row>
    <row r="30" spans="2:8">
      <c r="B30" s="39" t="s">
        <v>69</v>
      </c>
      <c r="C30" s="45" t="s">
        <v>26</v>
      </c>
      <c r="D30" s="3">
        <v>100</v>
      </c>
      <c r="E30" s="4">
        <v>177</v>
      </c>
      <c r="F30" s="4">
        <v>0</v>
      </c>
      <c r="G30" s="4">
        <v>177</v>
      </c>
      <c r="H30" s="25">
        <f>G30*10</f>
        <v>1770</v>
      </c>
    </row>
    <row r="31" spans="2:8">
      <c r="B31" s="41"/>
      <c r="C31" s="40"/>
      <c r="D31" s="3"/>
      <c r="E31" s="4"/>
      <c r="F31" s="4"/>
      <c r="G31" s="4"/>
      <c r="H31" s="25">
        <f>G31*10</f>
        <v>0</v>
      </c>
    </row>
    <row r="32" spans="2:8" ht="20.100000000000001" customHeight="1">
      <c r="B32" s="1259" t="s">
        <v>24</v>
      </c>
      <c r="C32" s="1259"/>
      <c r="D32" s="3">
        <f>SUM(D29:D31)</f>
        <v>200</v>
      </c>
      <c r="E32" s="4">
        <f>SUM(E29:E31)</f>
        <v>300</v>
      </c>
      <c r="F32" s="4">
        <f>SUM(F29:F31)</f>
        <v>0</v>
      </c>
      <c r="G32" s="4">
        <f>SUM(G29:G31)</f>
        <v>300</v>
      </c>
      <c r="H32" s="25">
        <f>G32*10</f>
        <v>3000</v>
      </c>
    </row>
    <row r="34" spans="2:8" ht="19.5">
      <c r="B34" s="5" t="s">
        <v>5</v>
      </c>
      <c r="C34" s="18"/>
      <c r="E34" s="1271" t="s">
        <v>32</v>
      </c>
      <c r="F34" s="1272"/>
      <c r="G34" s="1272"/>
      <c r="H34" s="1273"/>
    </row>
    <row r="35" spans="2:8">
      <c r="B35" s="19" t="s">
        <v>4</v>
      </c>
      <c r="C35" s="20"/>
      <c r="E35" s="21"/>
      <c r="F35" s="23" t="s">
        <v>34</v>
      </c>
      <c r="G35" s="23" t="s">
        <v>35</v>
      </c>
      <c r="H35" s="23" t="s">
        <v>37</v>
      </c>
    </row>
    <row r="36" spans="2:8">
      <c r="B36" s="19" t="s">
        <v>33</v>
      </c>
      <c r="C36" s="20"/>
      <c r="E36" s="24" t="s">
        <v>39</v>
      </c>
      <c r="F36" s="27">
        <f>G14</f>
        <v>0</v>
      </c>
      <c r="G36" s="28">
        <f>G24</f>
        <v>0</v>
      </c>
      <c r="H36" s="28">
        <f>G32</f>
        <v>300</v>
      </c>
    </row>
    <row r="37" spans="2:8">
      <c r="B37" s="19" t="s">
        <v>25</v>
      </c>
      <c r="C37" s="20"/>
      <c r="E37" s="24" t="s">
        <v>36</v>
      </c>
      <c r="F37" s="22">
        <f>F36*10</f>
        <v>0</v>
      </c>
      <c r="G37" s="22">
        <f>G36*10</f>
        <v>0</v>
      </c>
      <c r="H37" s="22">
        <f>H36*10</f>
        <v>3000</v>
      </c>
    </row>
    <row r="38" spans="2:8" ht="19.5">
      <c r="E38" s="8" t="s">
        <v>38</v>
      </c>
      <c r="F38" s="1274">
        <f>SUM(F37:H37)</f>
        <v>3000</v>
      </c>
      <c r="G38" s="1275"/>
      <c r="H38" s="1276"/>
    </row>
  </sheetData>
  <sheetProtection algorithmName="SHA-512" hashValue="EJWfiXU7UcIc6gDcM3dIzTwWQOH0l27TSwLglZ4FsC1xaabR+gpU/dsnvy8nmatHASZcv0Btx7yzGI0pKErZqg==" saltValue="1CZcVE+KcxIdrgm9lepG9g==" spinCount="100000" sheet="1" objects="1" scenarios="1"/>
  <mergeCells count="30">
    <mergeCell ref="B32:C32"/>
    <mergeCell ref="E34:H34"/>
    <mergeCell ref="F38:H38"/>
    <mergeCell ref="B24:C24"/>
    <mergeCell ref="C26:H26"/>
    <mergeCell ref="B27:B28"/>
    <mergeCell ref="C27:C28"/>
    <mergeCell ref="D27:D28"/>
    <mergeCell ref="E27:E28"/>
    <mergeCell ref="F27:F28"/>
    <mergeCell ref="G27:G28"/>
    <mergeCell ref="H27:H28"/>
    <mergeCell ref="B14:C14"/>
    <mergeCell ref="C16:H16"/>
    <mergeCell ref="B17:B18"/>
    <mergeCell ref="C17:C18"/>
    <mergeCell ref="D17:D18"/>
    <mergeCell ref="E17:E18"/>
    <mergeCell ref="F17:F18"/>
    <mergeCell ref="G17:G18"/>
    <mergeCell ref="H17:H18"/>
    <mergeCell ref="G2:H2"/>
    <mergeCell ref="C6:H6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scale="76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89F30-DF6C-45AF-AB04-DB732501F60A}">
  <sheetPr codeName="Sheet141">
    <pageSetUpPr fitToPage="1"/>
  </sheetPr>
  <dimension ref="B2:H38"/>
  <sheetViews>
    <sheetView workbookViewId="0"/>
  </sheetViews>
  <sheetFormatPr defaultRowHeight="15"/>
  <cols>
    <col min="2" max="2" width="21.5703125" customWidth="1"/>
    <col min="3" max="3" width="24.28515625" bestFit="1" customWidth="1"/>
    <col min="4" max="8" width="15.7109375" customWidth="1"/>
  </cols>
  <sheetData>
    <row r="2" spans="2:8" ht="19.5">
      <c r="B2" s="6" t="s">
        <v>13</v>
      </c>
      <c r="C2" s="2"/>
      <c r="D2" s="2"/>
      <c r="F2" s="11" t="s">
        <v>27</v>
      </c>
      <c r="G2" s="1247">
        <v>44463</v>
      </c>
      <c r="H2" s="1247"/>
    </row>
    <row r="3" spans="2:8">
      <c r="B3" s="2"/>
      <c r="C3" s="2"/>
      <c r="D3" s="2"/>
    </row>
    <row r="4" spans="2:8">
      <c r="B4" s="2"/>
      <c r="C4" s="2"/>
      <c r="D4" s="2"/>
    </row>
    <row r="5" spans="2:8">
      <c r="B5" s="2"/>
      <c r="C5" s="2"/>
      <c r="D5" s="2"/>
    </row>
    <row r="6" spans="2:8" ht="19.5">
      <c r="B6" s="7" t="s">
        <v>42</v>
      </c>
      <c r="C6" s="1248" t="s">
        <v>61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34" t="s">
        <v>62</v>
      </c>
      <c r="C9" s="34" t="s">
        <v>16</v>
      </c>
      <c r="D9" s="3">
        <v>150</v>
      </c>
      <c r="E9" s="12">
        <v>122</v>
      </c>
      <c r="F9" s="12">
        <f>D9-E9</f>
        <v>28</v>
      </c>
      <c r="G9" s="12">
        <v>150</v>
      </c>
      <c r="H9" s="25">
        <f t="shared" ref="H9:H12" si="0">G9*10</f>
        <v>1500</v>
      </c>
    </row>
    <row r="10" spans="2:8" ht="20.100000000000001" customHeight="1">
      <c r="B10" s="42" t="s">
        <v>53</v>
      </c>
      <c r="C10" s="42" t="s">
        <v>16</v>
      </c>
      <c r="D10" s="3">
        <v>150</v>
      </c>
      <c r="E10" s="4">
        <v>376</v>
      </c>
      <c r="F10" s="4">
        <v>0</v>
      </c>
      <c r="G10" s="4">
        <v>376</v>
      </c>
      <c r="H10" s="25">
        <f t="shared" si="0"/>
        <v>3760</v>
      </c>
    </row>
    <row r="11" spans="2:8" ht="20.100000000000001" customHeight="1">
      <c r="B11" s="42" t="s">
        <v>64</v>
      </c>
      <c r="C11" s="45" t="s">
        <v>71</v>
      </c>
      <c r="D11" s="3">
        <v>150</v>
      </c>
      <c r="E11" s="4">
        <v>124</v>
      </c>
      <c r="F11" s="4">
        <f>D11-E11</f>
        <v>26</v>
      </c>
      <c r="G11" s="4">
        <v>150</v>
      </c>
      <c r="H11" s="25">
        <f t="shared" si="0"/>
        <v>1500</v>
      </c>
    </row>
    <row r="12" spans="2:8" ht="20.100000000000001" customHeight="1">
      <c r="B12" s="42" t="s">
        <v>44</v>
      </c>
      <c r="C12" s="42" t="s">
        <v>26</v>
      </c>
      <c r="D12" s="3">
        <v>150</v>
      </c>
      <c r="E12" s="4">
        <v>176</v>
      </c>
      <c r="F12" s="4">
        <v>0</v>
      </c>
      <c r="G12" s="4">
        <v>176</v>
      </c>
      <c r="H12" s="25">
        <f t="shared" si="0"/>
        <v>1760</v>
      </c>
    </row>
    <row r="13" spans="2:8" ht="20.100000000000001" customHeight="1">
      <c r="B13" s="42" t="s">
        <v>63</v>
      </c>
      <c r="C13" s="45" t="s">
        <v>26</v>
      </c>
      <c r="D13" s="3">
        <v>150</v>
      </c>
      <c r="E13" s="4">
        <v>226</v>
      </c>
      <c r="F13" s="4">
        <v>0</v>
      </c>
      <c r="G13" s="4">
        <v>226</v>
      </c>
      <c r="H13" s="25">
        <f>G13*10</f>
        <v>2260</v>
      </c>
    </row>
    <row r="14" spans="2:8" ht="20.100000000000001" customHeight="1">
      <c r="B14" s="1259" t="s">
        <v>24</v>
      </c>
      <c r="C14" s="1259"/>
      <c r="D14" s="3">
        <f>SUM(D9:D13)</f>
        <v>750</v>
      </c>
      <c r="E14" s="4">
        <f>SUM(E9:E13)</f>
        <v>1024</v>
      </c>
      <c r="F14" s="4">
        <f>SUM(F9:F13)</f>
        <v>54</v>
      </c>
      <c r="G14" s="17">
        <f>SUM(G9:G13)</f>
        <v>1078</v>
      </c>
      <c r="H14" s="25">
        <f>G14*10</f>
        <v>10780</v>
      </c>
    </row>
    <row r="16" spans="2:8" ht="19.5">
      <c r="B16" s="8" t="s">
        <v>21</v>
      </c>
      <c r="C16" s="1256" t="s">
        <v>46</v>
      </c>
      <c r="D16" s="1257"/>
      <c r="E16" s="1257"/>
      <c r="F16" s="1257"/>
      <c r="G16" s="1257"/>
      <c r="H16" s="1258"/>
    </row>
    <row r="17" spans="2:8" ht="15" customHeight="1">
      <c r="B17" s="1251" t="s">
        <v>0</v>
      </c>
      <c r="C17" s="1251" t="s">
        <v>1</v>
      </c>
      <c r="D17" s="1253" t="s">
        <v>23</v>
      </c>
      <c r="E17" s="1252" t="s">
        <v>40</v>
      </c>
      <c r="F17" s="1253" t="s">
        <v>41</v>
      </c>
      <c r="G17" s="1253" t="s">
        <v>39</v>
      </c>
      <c r="H17" s="1253" t="s">
        <v>31</v>
      </c>
    </row>
    <row r="18" spans="2:8" s="1" customFormat="1">
      <c r="B18" s="1251"/>
      <c r="C18" s="1251"/>
      <c r="D18" s="1254"/>
      <c r="E18" s="1252"/>
      <c r="F18" s="1254"/>
      <c r="G18" s="1254"/>
      <c r="H18" s="1254"/>
    </row>
    <row r="19" spans="2:8" ht="20.100000000000001" customHeight="1">
      <c r="B19" s="45" t="s">
        <v>62</v>
      </c>
      <c r="C19" s="45" t="s">
        <v>16</v>
      </c>
      <c r="D19" s="3">
        <v>150</v>
      </c>
      <c r="E19" s="4">
        <v>113</v>
      </c>
      <c r="F19" s="4">
        <f>D19-E19</f>
        <v>37</v>
      </c>
      <c r="G19" s="4">
        <v>150</v>
      </c>
      <c r="H19" s="25">
        <f t="shared" ref="H19:H23" si="1">G19*10</f>
        <v>1500</v>
      </c>
    </row>
    <row r="20" spans="2:8" ht="20.100000000000001" customHeight="1">
      <c r="B20" s="45" t="s">
        <v>64</v>
      </c>
      <c r="C20" s="45" t="s">
        <v>16</v>
      </c>
      <c r="D20" s="3">
        <v>150</v>
      </c>
      <c r="E20" s="4">
        <v>211</v>
      </c>
      <c r="F20" s="4">
        <v>0</v>
      </c>
      <c r="G20" s="4">
        <v>211</v>
      </c>
      <c r="H20" s="25">
        <f t="shared" si="1"/>
        <v>2110</v>
      </c>
    </row>
    <row r="21" spans="2:8" ht="20.100000000000001" customHeight="1">
      <c r="B21" s="45" t="s">
        <v>44</v>
      </c>
      <c r="C21" s="45" t="s">
        <v>26</v>
      </c>
      <c r="D21" s="3">
        <v>150</v>
      </c>
      <c r="E21" s="4">
        <v>148</v>
      </c>
      <c r="F21" s="4">
        <v>2</v>
      </c>
      <c r="G21" s="4">
        <v>150</v>
      </c>
      <c r="H21" s="25">
        <f t="shared" si="1"/>
        <v>1500</v>
      </c>
    </row>
    <row r="22" spans="2:8" ht="20.100000000000001" customHeight="1">
      <c r="B22" s="31" t="s">
        <v>65</v>
      </c>
      <c r="C22" s="45" t="s">
        <v>71</v>
      </c>
      <c r="D22" s="3">
        <v>150</v>
      </c>
      <c r="E22" s="4">
        <v>190</v>
      </c>
      <c r="F22" s="4">
        <v>0</v>
      </c>
      <c r="G22" s="4">
        <v>190</v>
      </c>
      <c r="H22" s="25">
        <f t="shared" si="1"/>
        <v>1900</v>
      </c>
    </row>
    <row r="23" spans="2:8" ht="20.100000000000001" customHeight="1">
      <c r="B23" s="45" t="s">
        <v>63</v>
      </c>
      <c r="C23" s="45" t="s">
        <v>26</v>
      </c>
      <c r="D23" s="3">
        <v>150</v>
      </c>
      <c r="E23" s="4">
        <v>204</v>
      </c>
      <c r="F23" s="12">
        <v>0</v>
      </c>
      <c r="G23" s="4">
        <v>204</v>
      </c>
      <c r="H23" s="25">
        <f t="shared" si="1"/>
        <v>2040</v>
      </c>
    </row>
    <row r="24" spans="2:8" ht="20.100000000000001" customHeight="1">
      <c r="B24" s="1259" t="s">
        <v>24</v>
      </c>
      <c r="C24" s="1259"/>
      <c r="D24" s="3">
        <f>SUM(D19:D23)</f>
        <v>750</v>
      </c>
      <c r="E24" s="4">
        <f>SUM(E19:E23)</f>
        <v>866</v>
      </c>
      <c r="F24" s="4">
        <f>SUM(F19:F23)</f>
        <v>39</v>
      </c>
      <c r="G24" s="4">
        <f>SUM(G19:G23)</f>
        <v>905</v>
      </c>
      <c r="H24" s="25">
        <f>G24*10</f>
        <v>9050</v>
      </c>
    </row>
    <row r="25" spans="2:8">
      <c r="B25" s="13"/>
      <c r="C25" s="13"/>
      <c r="D25" s="14"/>
      <c r="E25" s="14"/>
      <c r="F25" s="14"/>
      <c r="G25" s="14"/>
      <c r="H25" s="14"/>
    </row>
    <row r="26" spans="2:8" ht="19.5">
      <c r="B26" s="15" t="s">
        <v>28</v>
      </c>
      <c r="C26" s="1264" t="s">
        <v>29</v>
      </c>
      <c r="D26" s="1265"/>
      <c r="E26" s="1265"/>
      <c r="F26" s="1265"/>
      <c r="G26" s="1265"/>
      <c r="H26" s="1266"/>
    </row>
    <row r="27" spans="2:8" ht="15" customHeight="1">
      <c r="B27" s="1251" t="s">
        <v>0</v>
      </c>
      <c r="C27" s="1251" t="s">
        <v>1</v>
      </c>
      <c r="D27" s="1253" t="s">
        <v>23</v>
      </c>
      <c r="E27" s="1252" t="s">
        <v>40</v>
      </c>
      <c r="F27" s="1253" t="s">
        <v>41</v>
      </c>
      <c r="G27" s="1253" t="s">
        <v>39</v>
      </c>
      <c r="H27" s="1253" t="s">
        <v>31</v>
      </c>
    </row>
    <row r="28" spans="2:8">
      <c r="B28" s="1251"/>
      <c r="C28" s="1251"/>
      <c r="D28" s="1254"/>
      <c r="E28" s="1252"/>
      <c r="F28" s="1254"/>
      <c r="G28" s="1254"/>
      <c r="H28" s="1254"/>
    </row>
    <row r="29" spans="2:8">
      <c r="B29" s="35" t="s">
        <v>64</v>
      </c>
      <c r="C29" s="45" t="s">
        <v>26</v>
      </c>
      <c r="D29" s="3">
        <v>100</v>
      </c>
      <c r="E29" s="4">
        <v>158</v>
      </c>
      <c r="F29" s="4">
        <v>0</v>
      </c>
      <c r="G29" s="4">
        <v>158</v>
      </c>
      <c r="H29" s="25">
        <f>G29*10</f>
        <v>1580</v>
      </c>
    </row>
    <row r="30" spans="2:8">
      <c r="B30" s="42" t="s">
        <v>66</v>
      </c>
      <c r="C30" s="45" t="s">
        <v>26</v>
      </c>
      <c r="D30" s="3">
        <v>100</v>
      </c>
      <c r="E30" s="4">
        <v>123</v>
      </c>
      <c r="F30" s="4">
        <v>0</v>
      </c>
      <c r="G30" s="4">
        <v>123</v>
      </c>
      <c r="H30" s="25">
        <f>G30*10</f>
        <v>1230</v>
      </c>
    </row>
    <row r="31" spans="2:8">
      <c r="B31" s="42"/>
      <c r="C31" s="45"/>
      <c r="D31" s="3"/>
      <c r="E31" s="4"/>
      <c r="F31" s="4"/>
      <c r="G31" s="4"/>
      <c r="H31" s="25">
        <f>G31*10</f>
        <v>0</v>
      </c>
    </row>
    <row r="32" spans="2:8" ht="20.100000000000001" customHeight="1">
      <c r="B32" s="1259" t="s">
        <v>24</v>
      </c>
      <c r="C32" s="1259"/>
      <c r="D32" s="3">
        <f>SUM(D29:D31)</f>
        <v>200</v>
      </c>
      <c r="E32" s="4">
        <f>SUM(E29:E31)</f>
        <v>281</v>
      </c>
      <c r="F32" s="4">
        <f>SUM(F29:F31)</f>
        <v>0</v>
      </c>
      <c r="G32" s="4">
        <f>SUM(G29:G31)</f>
        <v>281</v>
      </c>
      <c r="H32" s="25">
        <f>G32*10</f>
        <v>2810</v>
      </c>
    </row>
    <row r="34" spans="2:8" ht="19.5">
      <c r="B34" s="5" t="s">
        <v>5</v>
      </c>
      <c r="C34" s="18"/>
      <c r="E34" s="1271" t="s">
        <v>32</v>
      </c>
      <c r="F34" s="1272"/>
      <c r="G34" s="1272"/>
      <c r="H34" s="1273"/>
    </row>
    <row r="35" spans="2:8">
      <c r="B35" s="19" t="s">
        <v>4</v>
      </c>
      <c r="C35" s="20"/>
      <c r="E35" s="21"/>
      <c r="F35" s="23" t="s">
        <v>34</v>
      </c>
      <c r="G35" s="23" t="s">
        <v>35</v>
      </c>
      <c r="H35" s="23" t="s">
        <v>37</v>
      </c>
    </row>
    <row r="36" spans="2:8">
      <c r="B36" s="19" t="s">
        <v>33</v>
      </c>
      <c r="C36" s="20"/>
      <c r="E36" s="24" t="s">
        <v>39</v>
      </c>
      <c r="F36" s="27">
        <f>G14</f>
        <v>1078</v>
      </c>
      <c r="G36" s="28">
        <f>G24</f>
        <v>905</v>
      </c>
      <c r="H36" s="28">
        <f>G32</f>
        <v>281</v>
      </c>
    </row>
    <row r="37" spans="2:8">
      <c r="B37" s="19" t="s">
        <v>25</v>
      </c>
      <c r="C37" s="20"/>
      <c r="E37" s="24" t="s">
        <v>36</v>
      </c>
      <c r="F37" s="22">
        <f>F36*10</f>
        <v>10780</v>
      </c>
      <c r="G37" s="22">
        <f>G36*10</f>
        <v>9050</v>
      </c>
      <c r="H37" s="22">
        <f>H36*10</f>
        <v>2810</v>
      </c>
    </row>
    <row r="38" spans="2:8" ht="19.5">
      <c r="E38" s="8" t="s">
        <v>38</v>
      </c>
      <c r="F38" s="1274">
        <f>SUM(F37:H37)</f>
        <v>22640</v>
      </c>
      <c r="G38" s="1275"/>
      <c r="H38" s="1276"/>
    </row>
  </sheetData>
  <sheetProtection algorithmName="SHA-512" hashValue="F0dcMJNQ1kC4MTXqjjG37bKJer2vKt34ichuCNdG6QMXE7q2rkqUAmYAeqLYIpMZMh9Liv+OO2TRKZIlwNiiRg==" saltValue="o4PcPifmPQOvcsxCWDaGkw==" spinCount="100000" sheet="1" objects="1" scenarios="1"/>
  <mergeCells count="30">
    <mergeCell ref="G2:H2"/>
    <mergeCell ref="C6:H6"/>
    <mergeCell ref="B7:B8"/>
    <mergeCell ref="C7:C8"/>
    <mergeCell ref="D7:D8"/>
    <mergeCell ref="E7:E8"/>
    <mergeCell ref="F7:F8"/>
    <mergeCell ref="G7:G8"/>
    <mergeCell ref="H7:H8"/>
    <mergeCell ref="B14:C14"/>
    <mergeCell ref="C16:H16"/>
    <mergeCell ref="B17:B18"/>
    <mergeCell ref="C17:C18"/>
    <mergeCell ref="D17:D18"/>
    <mergeCell ref="E17:E18"/>
    <mergeCell ref="F17:F18"/>
    <mergeCell ref="G17:G18"/>
    <mergeCell ref="H17:H18"/>
    <mergeCell ref="B32:C32"/>
    <mergeCell ref="E34:H34"/>
    <mergeCell ref="F38:H38"/>
    <mergeCell ref="B24:C24"/>
    <mergeCell ref="C26:H26"/>
    <mergeCell ref="B27:B28"/>
    <mergeCell ref="C27:C28"/>
    <mergeCell ref="D27:D28"/>
    <mergeCell ref="E27:E28"/>
    <mergeCell ref="F27:F28"/>
    <mergeCell ref="G27:G28"/>
    <mergeCell ref="H27:H28"/>
  </mergeCells>
  <pageMargins left="0.7" right="0.7" top="0.75" bottom="0.75" header="0.3" footer="0.3"/>
  <pageSetup scale="76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F31E-7AB3-458A-B465-2EEF70B78E33}">
  <sheetPr codeName="Sheet142">
    <pageSetUpPr fitToPage="1"/>
  </sheetPr>
  <dimension ref="B2:H39"/>
  <sheetViews>
    <sheetView workbookViewId="0"/>
  </sheetViews>
  <sheetFormatPr defaultRowHeight="15"/>
  <cols>
    <col min="2" max="2" width="21.5703125" customWidth="1"/>
    <col min="3" max="3" width="24.28515625" bestFit="1" customWidth="1"/>
    <col min="4" max="8" width="15.7109375" customWidth="1"/>
  </cols>
  <sheetData>
    <row r="2" spans="2:8" ht="19.5">
      <c r="B2" s="6" t="s">
        <v>13</v>
      </c>
      <c r="C2" s="2"/>
      <c r="D2" s="2"/>
      <c r="F2" s="11" t="s">
        <v>27</v>
      </c>
      <c r="G2" s="1247">
        <v>44462</v>
      </c>
      <c r="H2" s="1247"/>
    </row>
    <row r="3" spans="2:8">
      <c r="B3" s="2"/>
      <c r="C3" s="2"/>
      <c r="D3" s="2"/>
    </row>
    <row r="4" spans="2:8">
      <c r="B4" s="2"/>
      <c r="C4" s="2"/>
      <c r="D4" s="2"/>
    </row>
    <row r="5" spans="2:8">
      <c r="B5" s="2"/>
      <c r="C5" s="2"/>
      <c r="D5" s="2"/>
    </row>
    <row r="6" spans="2:8" ht="19.5">
      <c r="B6" s="7" t="s">
        <v>42</v>
      </c>
      <c r="C6" s="1248" t="s">
        <v>47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3" t="s">
        <v>2</v>
      </c>
      <c r="C9" s="3" t="s">
        <v>16</v>
      </c>
      <c r="D9" s="3">
        <v>150</v>
      </c>
      <c r="E9" s="12">
        <v>433</v>
      </c>
      <c r="F9" s="12">
        <v>0</v>
      </c>
      <c r="G9" s="12">
        <v>433</v>
      </c>
      <c r="H9" s="25">
        <f t="shared" ref="H9:H14" si="0">G9*10</f>
        <v>4330</v>
      </c>
    </row>
    <row r="10" spans="2:8" ht="20.100000000000001" customHeight="1">
      <c r="B10" s="3" t="s">
        <v>3</v>
      </c>
      <c r="C10" s="3" t="s">
        <v>16</v>
      </c>
      <c r="D10" s="3">
        <v>150</v>
      </c>
      <c r="E10" s="4">
        <v>117</v>
      </c>
      <c r="F10" s="4">
        <v>33</v>
      </c>
      <c r="G10" s="4">
        <v>150</v>
      </c>
      <c r="H10" s="25">
        <f t="shared" si="0"/>
        <v>1500</v>
      </c>
    </row>
    <row r="11" spans="2:8" ht="20.100000000000001" customHeight="1">
      <c r="B11" s="3" t="s">
        <v>56</v>
      </c>
      <c r="C11" s="3" t="s">
        <v>18</v>
      </c>
      <c r="D11" s="3">
        <v>150</v>
      </c>
      <c r="E11" s="4">
        <v>159</v>
      </c>
      <c r="F11" s="4">
        <v>0</v>
      </c>
      <c r="G11" s="4">
        <v>159</v>
      </c>
      <c r="H11" s="25">
        <f t="shared" si="0"/>
        <v>1590</v>
      </c>
    </row>
    <row r="12" spans="2:8" ht="20.100000000000001" customHeight="1">
      <c r="B12" s="3" t="s">
        <v>58</v>
      </c>
      <c r="C12" s="3" t="s">
        <v>18</v>
      </c>
      <c r="D12" s="3">
        <v>150</v>
      </c>
      <c r="E12" s="4">
        <v>74</v>
      </c>
      <c r="F12" s="4">
        <v>76</v>
      </c>
      <c r="G12" s="4">
        <v>150</v>
      </c>
      <c r="H12" s="25">
        <f t="shared" si="0"/>
        <v>1500</v>
      </c>
    </row>
    <row r="13" spans="2:8" ht="20.100000000000001" customHeight="1">
      <c r="B13" s="3" t="s">
        <v>44</v>
      </c>
      <c r="C13" s="3" t="s">
        <v>26</v>
      </c>
      <c r="D13" s="3">
        <v>150</v>
      </c>
      <c r="E13" s="4">
        <v>198</v>
      </c>
      <c r="F13" s="4">
        <v>0</v>
      </c>
      <c r="G13" s="4">
        <v>198</v>
      </c>
      <c r="H13" s="25">
        <f t="shared" si="0"/>
        <v>1980</v>
      </c>
    </row>
    <row r="14" spans="2:8" ht="20.100000000000001" customHeight="1">
      <c r="B14" s="3" t="s">
        <v>50</v>
      </c>
      <c r="C14" s="3" t="s">
        <v>26</v>
      </c>
      <c r="D14" s="3">
        <v>150</v>
      </c>
      <c r="E14" s="4">
        <v>357</v>
      </c>
      <c r="F14" s="4">
        <v>0</v>
      </c>
      <c r="G14" s="4">
        <v>357</v>
      </c>
      <c r="H14" s="25">
        <f t="shared" si="0"/>
        <v>3570</v>
      </c>
    </row>
    <row r="15" spans="2:8" ht="20.100000000000001" customHeight="1">
      <c r="B15" s="1259" t="s">
        <v>24</v>
      </c>
      <c r="C15" s="1259"/>
      <c r="D15" s="3">
        <f>SUM(D9:D14)</f>
        <v>900</v>
      </c>
      <c r="E15" s="4">
        <f>SUM(E9:E14)</f>
        <v>1338</v>
      </c>
      <c r="F15" s="4">
        <f>SUM(F9:F14)</f>
        <v>109</v>
      </c>
      <c r="G15" s="17">
        <f>SUM(G9:G14)</f>
        <v>1447</v>
      </c>
      <c r="H15" s="25">
        <f>G15*10</f>
        <v>14470</v>
      </c>
    </row>
    <row r="17" spans="2:8" ht="19.5">
      <c r="B17" s="8" t="s">
        <v>21</v>
      </c>
      <c r="C17" s="1256" t="s">
        <v>46</v>
      </c>
      <c r="D17" s="1257"/>
      <c r="E17" s="1257"/>
      <c r="F17" s="1257"/>
      <c r="G17" s="1257"/>
      <c r="H17" s="1258"/>
    </row>
    <row r="18" spans="2:8" ht="15" customHeight="1">
      <c r="B18" s="1251" t="s">
        <v>0</v>
      </c>
      <c r="C18" s="1251" t="s">
        <v>1</v>
      </c>
      <c r="D18" s="1253" t="s">
        <v>23</v>
      </c>
      <c r="E18" s="1252" t="s">
        <v>40</v>
      </c>
      <c r="F18" s="1253" t="s">
        <v>41</v>
      </c>
      <c r="G18" s="1253" t="s">
        <v>39</v>
      </c>
      <c r="H18" s="1253" t="s">
        <v>31</v>
      </c>
    </row>
    <row r="19" spans="2:8" s="1" customFormat="1">
      <c r="B19" s="1251"/>
      <c r="C19" s="1251"/>
      <c r="D19" s="1254"/>
      <c r="E19" s="1252"/>
      <c r="F19" s="1254"/>
      <c r="G19" s="1254"/>
      <c r="H19" s="1254"/>
    </row>
    <row r="20" spans="2:8" ht="20.100000000000001" customHeight="1">
      <c r="B20" s="3" t="s">
        <v>56</v>
      </c>
      <c r="C20" s="3" t="s">
        <v>16</v>
      </c>
      <c r="D20" s="3">
        <v>150</v>
      </c>
      <c r="E20" s="4">
        <v>245</v>
      </c>
      <c r="F20" s="4">
        <v>0</v>
      </c>
      <c r="G20" s="4">
        <v>245</v>
      </c>
      <c r="H20" s="25">
        <f t="shared" ref="H20:H25" si="1">G20*10</f>
        <v>2450</v>
      </c>
    </row>
    <row r="21" spans="2:8" ht="20.100000000000001" customHeight="1">
      <c r="B21" s="42" t="s">
        <v>58</v>
      </c>
      <c r="C21" s="42" t="s">
        <v>16</v>
      </c>
      <c r="D21" s="3">
        <v>150</v>
      </c>
      <c r="E21" s="4">
        <v>150</v>
      </c>
      <c r="F21" s="4">
        <v>0</v>
      </c>
      <c r="G21" s="4">
        <v>150</v>
      </c>
      <c r="H21" s="25">
        <f t="shared" si="1"/>
        <v>1500</v>
      </c>
    </row>
    <row r="22" spans="2:8" ht="20.100000000000001" customHeight="1">
      <c r="B22" s="45" t="s">
        <v>59</v>
      </c>
      <c r="C22" s="42" t="s">
        <v>60</v>
      </c>
      <c r="D22" s="3">
        <v>150</v>
      </c>
      <c r="E22" s="4">
        <v>50</v>
      </c>
      <c r="F22" s="4">
        <v>100</v>
      </c>
      <c r="G22" s="4">
        <v>150</v>
      </c>
      <c r="H22" s="25">
        <f t="shared" si="1"/>
        <v>1500</v>
      </c>
    </row>
    <row r="23" spans="2:8" ht="20.100000000000001" customHeight="1">
      <c r="B23" s="3" t="s">
        <v>12</v>
      </c>
      <c r="C23" s="3" t="s">
        <v>26</v>
      </c>
      <c r="D23" s="3">
        <v>150</v>
      </c>
      <c r="E23" s="4">
        <v>272</v>
      </c>
      <c r="F23" s="4">
        <v>0</v>
      </c>
      <c r="G23" s="4">
        <v>272</v>
      </c>
      <c r="H23" s="25">
        <f t="shared" si="1"/>
        <v>2720</v>
      </c>
    </row>
    <row r="24" spans="2:8" ht="20.100000000000001" customHeight="1">
      <c r="B24" s="45" t="s">
        <v>44</v>
      </c>
      <c r="C24" s="3" t="s">
        <v>26</v>
      </c>
      <c r="D24" s="3">
        <v>150</v>
      </c>
      <c r="E24" s="4">
        <v>223</v>
      </c>
      <c r="F24" s="12">
        <v>0</v>
      </c>
      <c r="G24" s="4">
        <v>223</v>
      </c>
      <c r="H24" s="25">
        <f t="shared" si="1"/>
        <v>2230</v>
      </c>
    </row>
    <row r="25" spans="2:8" ht="20.100000000000001" customHeight="1">
      <c r="B25" s="1259" t="s">
        <v>24</v>
      </c>
      <c r="C25" s="1259"/>
      <c r="D25" s="3">
        <f>SUM(D20:D24)</f>
        <v>750</v>
      </c>
      <c r="E25" s="4">
        <f>SUM(E20:E24)</f>
        <v>940</v>
      </c>
      <c r="F25" s="4">
        <f>SUM(F20:F24)</f>
        <v>100</v>
      </c>
      <c r="G25" s="4">
        <f>SUM(G20:G24)</f>
        <v>1040</v>
      </c>
      <c r="H25" s="25">
        <f t="shared" si="1"/>
        <v>10400</v>
      </c>
    </row>
    <row r="26" spans="2:8">
      <c r="B26" s="13"/>
      <c r="C26" s="13"/>
      <c r="D26" s="14"/>
      <c r="E26" s="14"/>
      <c r="F26" s="14"/>
      <c r="G26" s="14"/>
      <c r="H26" s="14"/>
    </row>
    <row r="27" spans="2:8" ht="19.5">
      <c r="B27" s="15" t="s">
        <v>28</v>
      </c>
      <c r="C27" s="1264" t="s">
        <v>55</v>
      </c>
      <c r="D27" s="1265"/>
      <c r="E27" s="1265"/>
      <c r="F27" s="1265"/>
      <c r="G27" s="1265"/>
      <c r="H27" s="1266"/>
    </row>
    <row r="28" spans="2:8" ht="15" customHeight="1">
      <c r="B28" s="1251" t="s">
        <v>0</v>
      </c>
      <c r="C28" s="1251" t="s">
        <v>1</v>
      </c>
      <c r="D28" s="1253" t="s">
        <v>23</v>
      </c>
      <c r="E28" s="1252" t="s">
        <v>40</v>
      </c>
      <c r="F28" s="1253" t="s">
        <v>41</v>
      </c>
      <c r="G28" s="1253" t="s">
        <v>39</v>
      </c>
      <c r="H28" s="1253" t="s">
        <v>31</v>
      </c>
    </row>
    <row r="29" spans="2:8">
      <c r="B29" s="1251"/>
      <c r="C29" s="1251"/>
      <c r="D29" s="1254"/>
      <c r="E29" s="1252"/>
      <c r="F29" s="1254"/>
      <c r="G29" s="1254"/>
      <c r="H29" s="1254"/>
    </row>
    <row r="30" spans="2:8">
      <c r="B30" s="45" t="s">
        <v>59</v>
      </c>
      <c r="C30" s="3" t="s">
        <v>60</v>
      </c>
      <c r="D30" s="3">
        <v>100</v>
      </c>
      <c r="E30" s="4">
        <v>42</v>
      </c>
      <c r="F30" s="4">
        <v>58</v>
      </c>
      <c r="G30" s="4">
        <v>100</v>
      </c>
      <c r="H30" s="25">
        <f>G30*10</f>
        <v>1000</v>
      </c>
    </row>
    <row r="31" spans="2:8">
      <c r="B31" s="3" t="s">
        <v>56</v>
      </c>
      <c r="C31" s="3" t="s">
        <v>16</v>
      </c>
      <c r="D31" s="3">
        <v>100</v>
      </c>
      <c r="E31" s="4">
        <v>167</v>
      </c>
      <c r="F31" s="4">
        <v>0</v>
      </c>
      <c r="G31" s="4">
        <v>167</v>
      </c>
      <c r="H31" s="25">
        <f>G31*10</f>
        <v>1670</v>
      </c>
    </row>
    <row r="32" spans="2:8">
      <c r="B32" s="3" t="s">
        <v>57</v>
      </c>
      <c r="C32" s="3" t="s">
        <v>16</v>
      </c>
      <c r="D32" s="3">
        <v>100</v>
      </c>
      <c r="E32" s="4">
        <v>131</v>
      </c>
      <c r="F32" s="4">
        <v>0</v>
      </c>
      <c r="G32" s="4">
        <v>131</v>
      </c>
      <c r="H32" s="25">
        <f>G32*10</f>
        <v>1310</v>
      </c>
    </row>
    <row r="33" spans="2:8" ht="20.100000000000001" customHeight="1">
      <c r="B33" s="1259" t="s">
        <v>24</v>
      </c>
      <c r="C33" s="1259"/>
      <c r="D33" s="3">
        <f>SUM(D30:D32)</f>
        <v>300</v>
      </c>
      <c r="E33" s="4">
        <f>SUM(E30:E32)</f>
        <v>340</v>
      </c>
      <c r="F33" s="4">
        <f>SUM(F30:F32)</f>
        <v>58</v>
      </c>
      <c r="G33" s="4">
        <f>SUM(G30:G32)</f>
        <v>398</v>
      </c>
      <c r="H33" s="25">
        <f>G33*10</f>
        <v>3980</v>
      </c>
    </row>
    <row r="35" spans="2:8" ht="19.5">
      <c r="B35" s="5" t="s">
        <v>5</v>
      </c>
      <c r="C35" s="18"/>
      <c r="E35" s="1271" t="s">
        <v>32</v>
      </c>
      <c r="F35" s="1272"/>
      <c r="G35" s="1272"/>
      <c r="H35" s="1273"/>
    </row>
    <row r="36" spans="2:8">
      <c r="B36" s="19" t="s">
        <v>4</v>
      </c>
      <c r="C36" s="20"/>
      <c r="E36" s="21"/>
      <c r="F36" s="23" t="s">
        <v>34</v>
      </c>
      <c r="G36" s="23" t="s">
        <v>35</v>
      </c>
      <c r="H36" s="23" t="s">
        <v>37</v>
      </c>
    </row>
    <row r="37" spans="2:8">
      <c r="B37" s="19" t="s">
        <v>33</v>
      </c>
      <c r="C37" s="20"/>
      <c r="E37" s="24" t="s">
        <v>39</v>
      </c>
      <c r="F37" s="27">
        <f>G15</f>
        <v>1447</v>
      </c>
      <c r="G37" s="28">
        <f>G25</f>
        <v>1040</v>
      </c>
      <c r="H37" s="28">
        <f>G33</f>
        <v>398</v>
      </c>
    </row>
    <row r="38" spans="2:8">
      <c r="B38" s="19" t="s">
        <v>25</v>
      </c>
      <c r="C38" s="20"/>
      <c r="E38" s="24" t="s">
        <v>36</v>
      </c>
      <c r="F38" s="22">
        <f>F37*10</f>
        <v>14470</v>
      </c>
      <c r="G38" s="22">
        <f>G37*10</f>
        <v>10400</v>
      </c>
      <c r="H38" s="22">
        <f>H37*10</f>
        <v>3980</v>
      </c>
    </row>
    <row r="39" spans="2:8" ht="19.5">
      <c r="E39" s="8" t="s">
        <v>38</v>
      </c>
      <c r="F39" s="1274">
        <f>SUM(F38:H38)</f>
        <v>28850</v>
      </c>
      <c r="G39" s="1275"/>
      <c r="H39" s="1276"/>
    </row>
  </sheetData>
  <mergeCells count="30">
    <mergeCell ref="G2:H2"/>
    <mergeCell ref="C6:H6"/>
    <mergeCell ref="B7:B8"/>
    <mergeCell ref="C7:C8"/>
    <mergeCell ref="D7:D8"/>
    <mergeCell ref="E7:E8"/>
    <mergeCell ref="F7:F8"/>
    <mergeCell ref="G7:G8"/>
    <mergeCell ref="H7:H8"/>
    <mergeCell ref="B15:C15"/>
    <mergeCell ref="C17:H17"/>
    <mergeCell ref="B18:B19"/>
    <mergeCell ref="C18:C19"/>
    <mergeCell ref="D18:D19"/>
    <mergeCell ref="E18:E19"/>
    <mergeCell ref="F18:F19"/>
    <mergeCell ref="G18:G19"/>
    <mergeCell ref="H18:H19"/>
    <mergeCell ref="B33:C33"/>
    <mergeCell ref="E35:H35"/>
    <mergeCell ref="F39:H39"/>
    <mergeCell ref="B25:C25"/>
    <mergeCell ref="C27:H27"/>
    <mergeCell ref="B28:B29"/>
    <mergeCell ref="C28:C29"/>
    <mergeCell ref="D28:D29"/>
    <mergeCell ref="E28:E29"/>
    <mergeCell ref="F28:F29"/>
    <mergeCell ref="G28:G29"/>
    <mergeCell ref="H28:H29"/>
  </mergeCells>
  <pageMargins left="0.7" right="0.7" top="0.75" bottom="0.75" header="0.3" footer="0.3"/>
  <pageSetup scale="73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A04AE-4288-4801-86DC-5E9A23DECC74}">
  <sheetPr codeName="Sheet143">
    <pageSetUpPr fitToPage="1"/>
  </sheetPr>
  <dimension ref="B2:H39"/>
  <sheetViews>
    <sheetView workbookViewId="0"/>
  </sheetViews>
  <sheetFormatPr defaultRowHeight="15"/>
  <cols>
    <col min="2" max="2" width="21.5703125" customWidth="1"/>
    <col min="3" max="3" width="24.28515625" bestFit="1" customWidth="1"/>
    <col min="4" max="8" width="15.7109375" customWidth="1"/>
  </cols>
  <sheetData>
    <row r="2" spans="2:8" ht="19.5">
      <c r="B2" s="6" t="s">
        <v>13</v>
      </c>
      <c r="C2" s="2"/>
      <c r="D2" s="2"/>
      <c r="F2" s="11" t="s">
        <v>27</v>
      </c>
      <c r="G2" s="1247">
        <v>44461</v>
      </c>
      <c r="H2" s="1247"/>
    </row>
    <row r="3" spans="2:8">
      <c r="B3" s="2"/>
      <c r="C3" s="2"/>
      <c r="D3" s="2"/>
    </row>
    <row r="4" spans="2:8">
      <c r="B4" s="2"/>
      <c r="C4" s="2"/>
      <c r="D4" s="2"/>
    </row>
    <row r="5" spans="2:8">
      <c r="B5" s="2"/>
      <c r="C5" s="2"/>
      <c r="D5" s="2"/>
    </row>
    <row r="6" spans="2:8" ht="19.5">
      <c r="B6" s="7" t="s">
        <v>42</v>
      </c>
      <c r="C6" s="1248" t="s">
        <v>47</v>
      </c>
      <c r="D6" s="1249"/>
      <c r="E6" s="1249"/>
      <c r="F6" s="1249"/>
      <c r="G6" s="1249"/>
      <c r="H6" s="1250"/>
    </row>
    <row r="7" spans="2:8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</row>
    <row r="8" spans="2:8" s="1" customFormat="1">
      <c r="B8" s="1251"/>
      <c r="C8" s="1251"/>
      <c r="D8" s="1254"/>
      <c r="E8" s="1252"/>
      <c r="F8" s="1254"/>
      <c r="G8" s="1254"/>
      <c r="H8" s="1254"/>
    </row>
    <row r="9" spans="2:8" ht="20.100000000000001" customHeight="1">
      <c r="B9" s="3" t="s">
        <v>2</v>
      </c>
      <c r="C9" s="3" t="s">
        <v>16</v>
      </c>
      <c r="D9" s="3">
        <v>150</v>
      </c>
      <c r="E9" s="12">
        <v>432</v>
      </c>
      <c r="F9" s="4">
        <v>0</v>
      </c>
      <c r="G9" s="12">
        <v>432</v>
      </c>
      <c r="H9" s="25">
        <f t="shared" ref="H9:H14" si="0">G9*10</f>
        <v>4320</v>
      </c>
    </row>
    <row r="10" spans="2:8" ht="20.100000000000001" customHeight="1">
      <c r="B10" s="3" t="s">
        <v>3</v>
      </c>
      <c r="C10" s="3" t="s">
        <v>18</v>
      </c>
      <c r="D10" s="3">
        <v>150</v>
      </c>
      <c r="E10" s="4">
        <v>101</v>
      </c>
      <c r="F10" s="4">
        <f>D10-E10</f>
        <v>49</v>
      </c>
      <c r="G10" s="4">
        <v>150</v>
      </c>
      <c r="H10" s="25">
        <f t="shared" si="0"/>
        <v>1500</v>
      </c>
    </row>
    <row r="11" spans="2:8" ht="20.100000000000001" customHeight="1">
      <c r="B11" s="3" t="s">
        <v>49</v>
      </c>
      <c r="C11" s="3" t="s">
        <v>16</v>
      </c>
      <c r="D11" s="3">
        <v>150</v>
      </c>
      <c r="E11" s="4">
        <v>188</v>
      </c>
      <c r="F11" s="4">
        <v>0</v>
      </c>
      <c r="G11" s="4">
        <v>188</v>
      </c>
      <c r="H11" s="25">
        <f t="shared" si="0"/>
        <v>1880</v>
      </c>
    </row>
    <row r="12" spans="2:8" ht="20.100000000000001" customHeight="1">
      <c r="B12" s="3" t="s">
        <v>57</v>
      </c>
      <c r="C12" s="3" t="s">
        <v>26</v>
      </c>
      <c r="D12" s="3">
        <v>150</v>
      </c>
      <c r="E12" s="4">
        <v>152</v>
      </c>
      <c r="F12" s="4">
        <v>0</v>
      </c>
      <c r="G12" s="4">
        <v>152</v>
      </c>
      <c r="H12" s="25">
        <f t="shared" si="0"/>
        <v>1520</v>
      </c>
    </row>
    <row r="13" spans="2:8" ht="20.100000000000001" customHeight="1">
      <c r="B13" s="3" t="s">
        <v>44</v>
      </c>
      <c r="C13" s="3" t="s">
        <v>26</v>
      </c>
      <c r="D13" s="3">
        <v>150</v>
      </c>
      <c r="E13" s="4">
        <v>191</v>
      </c>
      <c r="F13" s="4">
        <v>0</v>
      </c>
      <c r="G13" s="4">
        <v>191</v>
      </c>
      <c r="H13" s="25">
        <f t="shared" si="0"/>
        <v>1910</v>
      </c>
    </row>
    <row r="14" spans="2:8" ht="20.100000000000001" customHeight="1">
      <c r="B14" s="3" t="s">
        <v>50</v>
      </c>
      <c r="C14" s="3" t="s">
        <v>18</v>
      </c>
      <c r="D14" s="3">
        <v>150</v>
      </c>
      <c r="E14" s="4">
        <v>261</v>
      </c>
      <c r="F14" s="4">
        <v>0</v>
      </c>
      <c r="G14" s="4">
        <v>261</v>
      </c>
      <c r="H14" s="25">
        <f t="shared" si="0"/>
        <v>2610</v>
      </c>
    </row>
    <row r="15" spans="2:8" ht="20.100000000000001" customHeight="1">
      <c r="B15" s="1259" t="s">
        <v>24</v>
      </c>
      <c r="C15" s="1259"/>
      <c r="D15" s="3">
        <f>SUM(D9:D14)</f>
        <v>900</v>
      </c>
      <c r="E15" s="4">
        <f>SUM(E9:E14)</f>
        <v>1325</v>
      </c>
      <c r="F15" s="4">
        <f>SUM(F9:F14)</f>
        <v>49</v>
      </c>
      <c r="G15" s="17">
        <f>SUM(G9:G14)</f>
        <v>1374</v>
      </c>
      <c r="H15" s="25">
        <f>G15*10</f>
        <v>13740</v>
      </c>
    </row>
    <row r="17" spans="2:8" ht="19.5">
      <c r="B17" s="8" t="s">
        <v>21</v>
      </c>
      <c r="C17" s="1256" t="s">
        <v>46</v>
      </c>
      <c r="D17" s="1257"/>
      <c r="E17" s="1257"/>
      <c r="F17" s="1257"/>
      <c r="G17" s="1257"/>
      <c r="H17" s="1258"/>
    </row>
    <row r="18" spans="2:8" ht="15" customHeight="1">
      <c r="B18" s="1251" t="s">
        <v>0</v>
      </c>
      <c r="C18" s="1251" t="s">
        <v>1</v>
      </c>
      <c r="D18" s="1253" t="s">
        <v>23</v>
      </c>
      <c r="E18" s="1252" t="s">
        <v>40</v>
      </c>
      <c r="F18" s="1253" t="s">
        <v>41</v>
      </c>
      <c r="G18" s="1253" t="s">
        <v>39</v>
      </c>
      <c r="H18" s="1253" t="s">
        <v>31</v>
      </c>
    </row>
    <row r="19" spans="2:8" s="1" customFormat="1">
      <c r="B19" s="1251"/>
      <c r="C19" s="1251"/>
      <c r="D19" s="1254"/>
      <c r="E19" s="1252"/>
      <c r="F19" s="1254"/>
      <c r="G19" s="1254"/>
      <c r="H19" s="1254"/>
    </row>
    <row r="20" spans="2:8" ht="20.100000000000001" customHeight="1">
      <c r="B20" s="3" t="s">
        <v>3</v>
      </c>
      <c r="C20" s="3" t="s">
        <v>16</v>
      </c>
      <c r="D20" s="3">
        <v>150</v>
      </c>
      <c r="E20" s="4">
        <v>315</v>
      </c>
      <c r="F20" s="4">
        <v>0</v>
      </c>
      <c r="G20" s="4">
        <v>315</v>
      </c>
      <c r="H20" s="25">
        <f t="shared" ref="H20:H25" si="1">G20*10</f>
        <v>3150</v>
      </c>
    </row>
    <row r="21" spans="2:8" ht="20.100000000000001" customHeight="1">
      <c r="B21" s="3" t="s">
        <v>49</v>
      </c>
      <c r="C21" s="3" t="s">
        <v>16</v>
      </c>
      <c r="D21" s="3">
        <v>150</v>
      </c>
      <c r="E21" s="4">
        <v>247</v>
      </c>
      <c r="F21" s="4">
        <v>0</v>
      </c>
      <c r="G21" s="4">
        <v>247</v>
      </c>
      <c r="H21" s="25">
        <f t="shared" si="1"/>
        <v>2470</v>
      </c>
    </row>
    <row r="22" spans="2:8" ht="20.100000000000001" customHeight="1">
      <c r="B22" s="3" t="s">
        <v>51</v>
      </c>
      <c r="C22" s="3" t="s">
        <v>26</v>
      </c>
      <c r="D22" s="3">
        <v>150</v>
      </c>
      <c r="E22" s="4">
        <v>230</v>
      </c>
      <c r="F22" s="4">
        <v>0</v>
      </c>
      <c r="G22" s="4">
        <v>230</v>
      </c>
      <c r="H22" s="25">
        <f t="shared" si="1"/>
        <v>2300</v>
      </c>
    </row>
    <row r="23" spans="2:8" ht="20.100000000000001" customHeight="1">
      <c r="B23" s="3" t="s">
        <v>44</v>
      </c>
      <c r="C23" s="3" t="s">
        <v>26</v>
      </c>
      <c r="D23" s="3">
        <v>150</v>
      </c>
      <c r="E23" s="4">
        <v>254</v>
      </c>
      <c r="F23" s="4">
        <v>0</v>
      </c>
      <c r="G23" s="4">
        <v>254</v>
      </c>
      <c r="H23" s="25">
        <f t="shared" si="1"/>
        <v>2540</v>
      </c>
    </row>
    <row r="24" spans="2:8" ht="20.100000000000001" customHeight="1">
      <c r="B24" s="3" t="s">
        <v>50</v>
      </c>
      <c r="C24" s="3" t="s">
        <v>18</v>
      </c>
      <c r="D24" s="3">
        <v>150</v>
      </c>
      <c r="E24" s="4">
        <v>306</v>
      </c>
      <c r="F24" s="12">
        <v>0</v>
      </c>
      <c r="G24" s="4">
        <v>306</v>
      </c>
      <c r="H24" s="25">
        <f t="shared" si="1"/>
        <v>3060</v>
      </c>
    </row>
    <row r="25" spans="2:8" ht="20.100000000000001" customHeight="1">
      <c r="B25" s="3" t="s">
        <v>48</v>
      </c>
      <c r="C25" s="3" t="s">
        <v>18</v>
      </c>
      <c r="D25" s="29"/>
      <c r="E25" s="16"/>
      <c r="F25" s="16"/>
      <c r="G25" s="16"/>
      <c r="H25" s="30">
        <f t="shared" si="1"/>
        <v>0</v>
      </c>
    </row>
    <row r="26" spans="2:8" ht="20.100000000000001" customHeight="1">
      <c r="B26" s="1259" t="s">
        <v>24</v>
      </c>
      <c r="C26" s="1259"/>
      <c r="D26" s="3">
        <f>SUM(D20:D25)</f>
        <v>750</v>
      </c>
      <c r="E26" s="4">
        <f>SUM(E20:E25)</f>
        <v>1352</v>
      </c>
      <c r="F26" s="4">
        <f>SUM(F20:F25)</f>
        <v>0</v>
      </c>
      <c r="G26" s="4">
        <f>SUM(G20:G25)</f>
        <v>1352</v>
      </c>
      <c r="H26" s="25">
        <f>G26*10</f>
        <v>13520</v>
      </c>
    </row>
    <row r="27" spans="2:8">
      <c r="B27" s="13"/>
      <c r="C27" s="13"/>
      <c r="D27" s="14"/>
      <c r="E27" s="14"/>
      <c r="F27" s="14"/>
      <c r="G27" s="14"/>
      <c r="H27" s="14"/>
    </row>
    <row r="28" spans="2:8" ht="19.5">
      <c r="B28" s="15" t="s">
        <v>28</v>
      </c>
      <c r="C28" s="1264" t="s">
        <v>55</v>
      </c>
      <c r="D28" s="1265"/>
      <c r="E28" s="1265"/>
      <c r="F28" s="1265"/>
      <c r="G28" s="1265"/>
      <c r="H28" s="1266"/>
    </row>
    <row r="29" spans="2:8" ht="15" customHeight="1">
      <c r="B29" s="1251" t="s">
        <v>0</v>
      </c>
      <c r="C29" s="1251" t="s">
        <v>1</v>
      </c>
      <c r="D29" s="1253" t="s">
        <v>23</v>
      </c>
      <c r="E29" s="1252" t="s">
        <v>40</v>
      </c>
      <c r="F29" s="1253" t="s">
        <v>41</v>
      </c>
      <c r="G29" s="1253" t="s">
        <v>39</v>
      </c>
      <c r="H29" s="1253" t="s">
        <v>31</v>
      </c>
    </row>
    <row r="30" spans="2:8">
      <c r="B30" s="1251"/>
      <c r="C30" s="1251"/>
      <c r="D30" s="1254"/>
      <c r="E30" s="1252"/>
      <c r="F30" s="1254"/>
      <c r="G30" s="1254"/>
      <c r="H30" s="1254"/>
    </row>
    <row r="31" spans="2:8">
      <c r="B31" s="3" t="s">
        <v>30</v>
      </c>
      <c r="C31" s="3"/>
      <c r="D31" s="3"/>
      <c r="E31" s="4"/>
      <c r="F31" s="4"/>
      <c r="G31" s="4"/>
      <c r="H31" s="25">
        <f>G31*10</f>
        <v>0</v>
      </c>
    </row>
    <row r="32" spans="2:8">
      <c r="B32" s="3" t="s">
        <v>30</v>
      </c>
      <c r="C32" s="3"/>
      <c r="D32" s="3"/>
      <c r="E32" s="4"/>
      <c r="F32" s="4"/>
      <c r="G32" s="4"/>
      <c r="H32" s="25">
        <f>G32*10</f>
        <v>0</v>
      </c>
    </row>
    <row r="33" spans="2:8" ht="20.100000000000001" customHeight="1">
      <c r="B33" s="1259" t="s">
        <v>24</v>
      </c>
      <c r="C33" s="1259"/>
      <c r="D33" s="3">
        <f>SUM(D31:D32)</f>
        <v>0</v>
      </c>
      <c r="E33" s="4">
        <f>SUM(E31:E32)</f>
        <v>0</v>
      </c>
      <c r="F33" s="4">
        <f>SUM(F31:F32)</f>
        <v>0</v>
      </c>
      <c r="G33" s="4">
        <f>SUM(G31:G32)</f>
        <v>0</v>
      </c>
      <c r="H33" s="25">
        <f>G33*10</f>
        <v>0</v>
      </c>
    </row>
    <row r="35" spans="2:8" ht="19.5">
      <c r="B35" s="5" t="s">
        <v>5</v>
      </c>
      <c r="C35" s="18"/>
      <c r="E35" s="1271" t="s">
        <v>32</v>
      </c>
      <c r="F35" s="1272"/>
      <c r="G35" s="1272"/>
      <c r="H35" s="1273"/>
    </row>
    <row r="36" spans="2:8">
      <c r="B36" s="19" t="s">
        <v>4</v>
      </c>
      <c r="C36" s="20"/>
      <c r="E36" s="21"/>
      <c r="F36" s="23" t="s">
        <v>34</v>
      </c>
      <c r="G36" s="23" t="s">
        <v>35</v>
      </c>
      <c r="H36" s="23" t="s">
        <v>37</v>
      </c>
    </row>
    <row r="37" spans="2:8">
      <c r="B37" s="19" t="s">
        <v>33</v>
      </c>
      <c r="C37" s="20"/>
      <c r="E37" s="24" t="s">
        <v>39</v>
      </c>
      <c r="F37" s="27">
        <f>G15</f>
        <v>1374</v>
      </c>
      <c r="G37" s="28">
        <f>G26</f>
        <v>1352</v>
      </c>
      <c r="H37" s="28">
        <f>G33</f>
        <v>0</v>
      </c>
    </row>
    <row r="38" spans="2:8">
      <c r="B38" s="19" t="s">
        <v>25</v>
      </c>
      <c r="C38" s="20"/>
      <c r="E38" s="24" t="s">
        <v>36</v>
      </c>
      <c r="F38" s="22">
        <f>F37*10</f>
        <v>13740</v>
      </c>
      <c r="G38" s="22">
        <f>G37*10</f>
        <v>13520</v>
      </c>
      <c r="H38" s="22">
        <f>H37*10</f>
        <v>0</v>
      </c>
    </row>
    <row r="39" spans="2:8" ht="19.5">
      <c r="E39" s="8" t="s">
        <v>38</v>
      </c>
      <c r="F39" s="1274">
        <f>SUM(F38:H38)</f>
        <v>27260</v>
      </c>
      <c r="G39" s="1275"/>
      <c r="H39" s="1276"/>
    </row>
  </sheetData>
  <sheetProtection algorithmName="SHA-512" hashValue="K8EhoTukCNQbggY4Cl6AOV5bOo/469VD3X0nzmNYsMH66tv71WveGTFCz1HxRpymhc6nh26MSH5uRfmT6ATYFA==" saltValue="lpncB8fEn1smhHw32viDFA==" spinCount="100000" sheet="1" objects="1" scenarios="1"/>
  <mergeCells count="30">
    <mergeCell ref="G2:H2"/>
    <mergeCell ref="C6:H6"/>
    <mergeCell ref="B7:B8"/>
    <mergeCell ref="C7:C8"/>
    <mergeCell ref="D7:D8"/>
    <mergeCell ref="E7:E8"/>
    <mergeCell ref="F7:F8"/>
    <mergeCell ref="G7:G8"/>
    <mergeCell ref="H7:H8"/>
    <mergeCell ref="B15:C15"/>
    <mergeCell ref="C17:H17"/>
    <mergeCell ref="B18:B19"/>
    <mergeCell ref="C18:C19"/>
    <mergeCell ref="D18:D19"/>
    <mergeCell ref="E18:E19"/>
    <mergeCell ref="F18:F19"/>
    <mergeCell ref="G18:G19"/>
    <mergeCell ref="H18:H19"/>
    <mergeCell ref="F39:H39"/>
    <mergeCell ref="B26:C26"/>
    <mergeCell ref="C28:H28"/>
    <mergeCell ref="B29:B30"/>
    <mergeCell ref="C29:C30"/>
    <mergeCell ref="D29:D30"/>
    <mergeCell ref="E29:E30"/>
    <mergeCell ref="F29:F30"/>
    <mergeCell ref="G29:G30"/>
    <mergeCell ref="H29:H30"/>
    <mergeCell ref="B33:C33"/>
    <mergeCell ref="E35:H35"/>
  </mergeCells>
  <pageMargins left="0.7" right="0.7" top="0.75" bottom="0.75" header="0.3" footer="0.3"/>
  <pageSetup scale="73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8FEB1-FE57-4D6D-A64D-3A36F1078A77}">
  <sheetPr codeName="Sheet144">
    <pageSetUpPr fitToPage="1"/>
  </sheetPr>
  <dimension ref="B2:J41"/>
  <sheetViews>
    <sheetView workbookViewId="0"/>
  </sheetViews>
  <sheetFormatPr defaultRowHeight="15"/>
  <cols>
    <col min="2" max="2" width="21.5703125" customWidth="1"/>
    <col min="3" max="3" width="24.28515625" bestFit="1" customWidth="1"/>
    <col min="4" max="8" width="15.7109375" customWidth="1"/>
    <col min="9" max="9" width="22.140625" customWidth="1"/>
    <col min="10" max="10" width="25.42578125" customWidth="1"/>
  </cols>
  <sheetData>
    <row r="2" spans="2:10" ht="19.5">
      <c r="B2" s="6" t="s">
        <v>13</v>
      </c>
      <c r="C2" s="2"/>
      <c r="D2" s="2"/>
      <c r="F2" s="11" t="s">
        <v>27</v>
      </c>
      <c r="G2" s="1247">
        <v>44460</v>
      </c>
      <c r="H2" s="1247"/>
      <c r="I2" s="1247"/>
      <c r="J2" s="1247"/>
    </row>
    <row r="3" spans="2:10">
      <c r="B3" s="2"/>
      <c r="C3" s="2"/>
      <c r="D3" s="2"/>
      <c r="I3" s="2"/>
      <c r="J3" s="2"/>
    </row>
    <row r="4" spans="2:10">
      <c r="B4" s="2"/>
      <c r="C4" s="2"/>
      <c r="D4" s="2"/>
      <c r="I4" s="2"/>
      <c r="J4" s="2"/>
    </row>
    <row r="5" spans="2:10">
      <c r="B5" s="2"/>
      <c r="C5" s="2"/>
      <c r="D5" s="2"/>
    </row>
    <row r="6" spans="2:10" ht="19.5">
      <c r="B6" s="7" t="s">
        <v>42</v>
      </c>
      <c r="C6" s="1248" t="s">
        <v>14</v>
      </c>
      <c r="D6" s="1249"/>
      <c r="E6" s="1249"/>
      <c r="F6" s="1249"/>
      <c r="G6" s="1249"/>
      <c r="H6" s="1249"/>
      <c r="I6" s="1249"/>
      <c r="J6" s="1250"/>
    </row>
    <row r="7" spans="2:10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  <c r="I7" s="1252" t="s">
        <v>11</v>
      </c>
      <c r="J7" s="1252" t="s">
        <v>10</v>
      </c>
    </row>
    <row r="8" spans="2:10" s="1" customFormat="1">
      <c r="B8" s="1251"/>
      <c r="C8" s="1251"/>
      <c r="D8" s="1254"/>
      <c r="E8" s="1252"/>
      <c r="F8" s="1254"/>
      <c r="G8" s="1254"/>
      <c r="H8" s="1254"/>
      <c r="I8" s="1252"/>
      <c r="J8" s="1252"/>
    </row>
    <row r="9" spans="2:10" ht="20.100000000000001" customHeight="1">
      <c r="B9" s="3" t="s">
        <v>9</v>
      </c>
      <c r="C9" s="3" t="s">
        <v>16</v>
      </c>
      <c r="D9" s="3">
        <v>200</v>
      </c>
      <c r="E9" s="4">
        <v>220</v>
      </c>
      <c r="F9" s="4">
        <v>0</v>
      </c>
      <c r="G9" s="4">
        <v>220</v>
      </c>
      <c r="H9" s="25">
        <f t="shared" ref="H9:H13" si="0">G9*10</f>
        <v>2200</v>
      </c>
      <c r="I9" s="4"/>
      <c r="J9" s="4"/>
    </row>
    <row r="10" spans="2:10" ht="20.100000000000001" customHeight="1">
      <c r="B10" s="3" t="s">
        <v>3</v>
      </c>
      <c r="C10" s="3" t="s">
        <v>16</v>
      </c>
      <c r="D10" s="3">
        <v>200</v>
      </c>
      <c r="E10" s="4">
        <v>177</v>
      </c>
      <c r="F10" s="4">
        <f>D10-E10</f>
        <v>23</v>
      </c>
      <c r="G10" s="4">
        <v>200</v>
      </c>
      <c r="H10" s="25">
        <f t="shared" si="0"/>
        <v>2000</v>
      </c>
      <c r="I10" s="4"/>
      <c r="J10" s="4"/>
    </row>
    <row r="11" spans="2:10" ht="20.100000000000001" customHeight="1">
      <c r="B11" s="3" t="s">
        <v>12</v>
      </c>
      <c r="C11" s="3" t="s">
        <v>16</v>
      </c>
      <c r="D11" s="3">
        <v>200</v>
      </c>
      <c r="E11" s="4">
        <v>167</v>
      </c>
      <c r="F11" s="4">
        <f>D11-E11</f>
        <v>33</v>
      </c>
      <c r="G11" s="4">
        <v>200</v>
      </c>
      <c r="H11" s="25">
        <f t="shared" si="0"/>
        <v>2000</v>
      </c>
      <c r="I11" s="4"/>
      <c r="J11" s="4"/>
    </row>
    <row r="12" spans="2:10" ht="20.100000000000001" customHeight="1">
      <c r="B12" s="3" t="s">
        <v>43</v>
      </c>
      <c r="C12" s="3" t="s">
        <v>26</v>
      </c>
      <c r="D12" s="3">
        <v>200</v>
      </c>
      <c r="E12" s="4">
        <v>198</v>
      </c>
      <c r="F12" s="4">
        <f>D12-E12</f>
        <v>2</v>
      </c>
      <c r="G12" s="4">
        <v>200</v>
      </c>
      <c r="H12" s="25">
        <f t="shared" si="0"/>
        <v>2000</v>
      </c>
      <c r="I12" s="4"/>
      <c r="J12" s="4"/>
    </row>
    <row r="13" spans="2:10" ht="20.100000000000001" customHeight="1">
      <c r="B13" s="3" t="s">
        <v>53</v>
      </c>
      <c r="C13" s="3" t="s">
        <v>26</v>
      </c>
      <c r="D13" s="3">
        <v>200</v>
      </c>
      <c r="E13" s="4">
        <v>295</v>
      </c>
      <c r="F13" s="4">
        <v>0</v>
      </c>
      <c r="G13" s="4">
        <v>295</v>
      </c>
      <c r="H13" s="25">
        <f t="shared" si="0"/>
        <v>2950</v>
      </c>
      <c r="I13" s="4"/>
      <c r="J13" s="4"/>
    </row>
    <row r="14" spans="2:10" ht="20.100000000000001" customHeight="1">
      <c r="B14" s="3" t="s">
        <v>45</v>
      </c>
      <c r="C14" s="3" t="s">
        <v>18</v>
      </c>
      <c r="D14" s="3">
        <v>200</v>
      </c>
      <c r="E14" s="4">
        <v>155</v>
      </c>
      <c r="F14" s="4">
        <f>D14-E14</f>
        <v>45</v>
      </c>
      <c r="G14" s="4">
        <v>200</v>
      </c>
      <c r="H14" s="25">
        <f t="shared" ref="H14" si="1">G14*10</f>
        <v>2000</v>
      </c>
      <c r="I14" s="4"/>
      <c r="J14" s="4"/>
    </row>
    <row r="15" spans="2:10" ht="20.100000000000001" customHeight="1">
      <c r="B15" s="3" t="s">
        <v>6</v>
      </c>
      <c r="C15" s="3" t="s">
        <v>18</v>
      </c>
      <c r="D15" s="3">
        <v>200</v>
      </c>
      <c r="E15" s="4">
        <v>66</v>
      </c>
      <c r="F15" s="4">
        <f>D15-E15</f>
        <v>134</v>
      </c>
      <c r="G15" s="4">
        <v>200</v>
      </c>
      <c r="H15" s="25">
        <f t="shared" ref="H15" si="2">G15*10</f>
        <v>2000</v>
      </c>
      <c r="I15" s="4"/>
      <c r="J15" s="4"/>
    </row>
    <row r="16" spans="2:10" ht="20.100000000000001" customHeight="1">
      <c r="B16" s="1259" t="s">
        <v>24</v>
      </c>
      <c r="C16" s="1259"/>
      <c r="D16" s="3">
        <f>SUM(D9:D14)</f>
        <v>1200</v>
      </c>
      <c r="E16" s="4">
        <f>SUM(E9:E15)</f>
        <v>1278</v>
      </c>
      <c r="F16" s="4">
        <f>SUM(F9:F15)</f>
        <v>237</v>
      </c>
      <c r="G16" s="17">
        <f>SUM(G9:G15)</f>
        <v>1515</v>
      </c>
      <c r="H16" s="25">
        <f>G16*10</f>
        <v>15150</v>
      </c>
      <c r="I16" s="16"/>
      <c r="J16" s="16"/>
    </row>
    <row r="18" spans="2:10" ht="19.5">
      <c r="B18" s="8" t="s">
        <v>21</v>
      </c>
      <c r="C18" s="1256" t="s">
        <v>52</v>
      </c>
      <c r="D18" s="1257"/>
      <c r="E18" s="1257"/>
      <c r="F18" s="1257"/>
      <c r="G18" s="1257"/>
      <c r="H18" s="1257"/>
      <c r="I18" s="1257"/>
      <c r="J18" s="1258"/>
    </row>
    <row r="19" spans="2:10" ht="15" customHeight="1">
      <c r="B19" s="1251" t="s">
        <v>0</v>
      </c>
      <c r="C19" s="1251" t="s">
        <v>1</v>
      </c>
      <c r="D19" s="1253" t="s">
        <v>23</v>
      </c>
      <c r="E19" s="1252" t="s">
        <v>40</v>
      </c>
      <c r="F19" s="1253" t="s">
        <v>41</v>
      </c>
      <c r="G19" s="1253" t="s">
        <v>39</v>
      </c>
      <c r="H19" s="1253" t="s">
        <v>31</v>
      </c>
      <c r="I19" s="1252" t="s">
        <v>11</v>
      </c>
      <c r="J19" s="1252" t="s">
        <v>10</v>
      </c>
    </row>
    <row r="20" spans="2:10" s="1" customFormat="1">
      <c r="B20" s="1251"/>
      <c r="C20" s="1251"/>
      <c r="D20" s="1254"/>
      <c r="E20" s="1252"/>
      <c r="F20" s="1254"/>
      <c r="G20" s="1254"/>
      <c r="H20" s="1254"/>
      <c r="I20" s="1252"/>
      <c r="J20" s="1252"/>
    </row>
    <row r="21" spans="2:10" ht="20.100000000000001" customHeight="1">
      <c r="B21" s="3" t="s">
        <v>9</v>
      </c>
      <c r="C21" s="3" t="s">
        <v>16</v>
      </c>
      <c r="D21" s="292">
        <v>200</v>
      </c>
      <c r="E21" s="266">
        <v>251</v>
      </c>
      <c r="F21" s="266">
        <v>0</v>
      </c>
      <c r="G21" s="266">
        <v>251</v>
      </c>
      <c r="H21" s="282">
        <f t="shared" ref="H21" si="3">G21*10</f>
        <v>2510</v>
      </c>
      <c r="I21" s="4"/>
      <c r="J21" s="4"/>
    </row>
    <row r="22" spans="2:10" ht="20.100000000000001" customHeight="1">
      <c r="B22" s="3" t="s">
        <v>3</v>
      </c>
      <c r="C22" s="3" t="s">
        <v>16</v>
      </c>
      <c r="D22" s="3">
        <v>200</v>
      </c>
      <c r="E22" s="4">
        <v>184</v>
      </c>
      <c r="F22" s="4">
        <f>D22-E22</f>
        <v>16</v>
      </c>
      <c r="G22" s="4">
        <v>200</v>
      </c>
      <c r="H22" s="25">
        <f t="shared" ref="H22:H27" si="4">G22*10</f>
        <v>2000</v>
      </c>
      <c r="I22" s="4"/>
      <c r="J22" s="4"/>
    </row>
    <row r="23" spans="2:10" ht="20.100000000000001" customHeight="1">
      <c r="B23" s="3" t="s">
        <v>53</v>
      </c>
      <c r="C23" s="3" t="s">
        <v>16</v>
      </c>
      <c r="D23" s="3">
        <v>200</v>
      </c>
      <c r="E23" s="4">
        <v>318</v>
      </c>
      <c r="F23" s="4">
        <v>0</v>
      </c>
      <c r="G23" s="4">
        <v>318</v>
      </c>
      <c r="H23" s="25">
        <f t="shared" si="4"/>
        <v>3180</v>
      </c>
      <c r="I23" s="4"/>
      <c r="J23" s="4"/>
    </row>
    <row r="24" spans="2:10" ht="20.100000000000001" customHeight="1">
      <c r="B24" s="3" t="s">
        <v>43</v>
      </c>
      <c r="C24" s="3" t="s">
        <v>26</v>
      </c>
      <c r="D24" s="3">
        <v>200</v>
      </c>
      <c r="E24" s="4">
        <v>226</v>
      </c>
      <c r="F24" s="4">
        <v>0</v>
      </c>
      <c r="G24" s="4">
        <v>226</v>
      </c>
      <c r="H24" s="25">
        <f t="shared" si="4"/>
        <v>2260</v>
      </c>
      <c r="I24" s="4"/>
      <c r="J24" s="4"/>
    </row>
    <row r="25" spans="2:10" ht="20.100000000000001" customHeight="1">
      <c r="B25" s="3" t="s">
        <v>12</v>
      </c>
      <c r="C25" s="3" t="s">
        <v>26</v>
      </c>
      <c r="D25" s="3">
        <v>200</v>
      </c>
      <c r="E25" s="4">
        <v>157</v>
      </c>
      <c r="F25" s="4">
        <f>D25-E25</f>
        <v>43</v>
      </c>
      <c r="G25" s="4">
        <v>200</v>
      </c>
      <c r="H25" s="25">
        <f t="shared" ref="H25" si="5">G25*10</f>
        <v>2000</v>
      </c>
      <c r="I25" s="4"/>
      <c r="J25" s="4"/>
    </row>
    <row r="26" spans="2:10" ht="20.100000000000001" customHeight="1">
      <c r="B26" s="3" t="s">
        <v>6</v>
      </c>
      <c r="C26" s="3" t="s">
        <v>18</v>
      </c>
      <c r="D26" s="3">
        <v>200</v>
      </c>
      <c r="E26" s="4">
        <v>95</v>
      </c>
      <c r="F26" s="12">
        <f>D26-E26</f>
        <v>105</v>
      </c>
      <c r="G26" s="4">
        <v>200</v>
      </c>
      <c r="H26" s="25">
        <f t="shared" si="4"/>
        <v>2000</v>
      </c>
      <c r="I26" s="4"/>
      <c r="J26" s="4"/>
    </row>
    <row r="27" spans="2:10" ht="20.100000000000001" customHeight="1">
      <c r="B27" s="3" t="s">
        <v>54</v>
      </c>
      <c r="C27" s="3" t="s">
        <v>18</v>
      </c>
      <c r="D27" s="3">
        <v>200</v>
      </c>
      <c r="E27" s="4">
        <v>169</v>
      </c>
      <c r="F27" s="4">
        <f>D27-E27</f>
        <v>31</v>
      </c>
      <c r="G27" s="4">
        <v>200</v>
      </c>
      <c r="H27" s="25">
        <f t="shared" si="4"/>
        <v>2000</v>
      </c>
      <c r="I27" s="4"/>
      <c r="J27" s="4"/>
    </row>
    <row r="28" spans="2:10" ht="20.100000000000001" customHeight="1">
      <c r="B28" s="1259" t="s">
        <v>24</v>
      </c>
      <c r="C28" s="1259"/>
      <c r="D28" s="3">
        <f>SUM(D21:D27)</f>
        <v>1400</v>
      </c>
      <c r="E28" s="4">
        <f>SUM(E21:E27)</f>
        <v>1400</v>
      </c>
      <c r="F28" s="4">
        <f>SUM(F21:F27)</f>
        <v>195</v>
      </c>
      <c r="G28" s="4">
        <f>SUM(G21:G27)</f>
        <v>1595</v>
      </c>
      <c r="H28" s="25">
        <f>G28*10</f>
        <v>15950</v>
      </c>
      <c r="I28" s="16"/>
      <c r="J28" s="16"/>
    </row>
    <row r="29" spans="2:10">
      <c r="B29" s="13"/>
      <c r="C29" s="13"/>
      <c r="D29" s="14"/>
      <c r="E29" s="14"/>
      <c r="F29" s="14"/>
      <c r="G29" s="14"/>
      <c r="H29" s="14"/>
    </row>
    <row r="30" spans="2:10" ht="19.5">
      <c r="B30" s="15" t="s">
        <v>28</v>
      </c>
      <c r="C30" s="1264" t="s">
        <v>55</v>
      </c>
      <c r="D30" s="1265"/>
      <c r="E30" s="1265"/>
      <c r="F30" s="1265"/>
      <c r="G30" s="1265"/>
      <c r="H30" s="1265"/>
      <c r="I30" s="1265"/>
      <c r="J30" s="1266"/>
    </row>
    <row r="31" spans="2:10" ht="15" customHeight="1">
      <c r="B31" s="1251" t="s">
        <v>0</v>
      </c>
      <c r="C31" s="1251" t="s">
        <v>1</v>
      </c>
      <c r="D31" s="1253" t="s">
        <v>23</v>
      </c>
      <c r="E31" s="1252" t="s">
        <v>40</v>
      </c>
      <c r="F31" s="1253" t="s">
        <v>41</v>
      </c>
      <c r="G31" s="1253" t="s">
        <v>39</v>
      </c>
      <c r="H31" s="1253" t="s">
        <v>31</v>
      </c>
      <c r="I31" s="1252" t="s">
        <v>11</v>
      </c>
      <c r="J31" s="1252" t="s">
        <v>10</v>
      </c>
    </row>
    <row r="32" spans="2:10">
      <c r="B32" s="1251"/>
      <c r="C32" s="1251"/>
      <c r="D32" s="1254"/>
      <c r="E32" s="1252"/>
      <c r="F32" s="1254"/>
      <c r="G32" s="1254"/>
      <c r="H32" s="1254"/>
      <c r="I32" s="1252"/>
      <c r="J32" s="1252"/>
    </row>
    <row r="33" spans="2:10">
      <c r="B33" s="3" t="s">
        <v>30</v>
      </c>
      <c r="C33" s="3"/>
      <c r="D33" s="3"/>
      <c r="E33" s="4"/>
      <c r="F33" s="4"/>
      <c r="G33" s="4"/>
      <c r="H33" s="25">
        <f>G33*10</f>
        <v>0</v>
      </c>
      <c r="I33" s="4"/>
      <c r="J33" s="4"/>
    </row>
    <row r="34" spans="2:10">
      <c r="B34" s="3" t="s">
        <v>30</v>
      </c>
      <c r="C34" s="3"/>
      <c r="D34" s="3"/>
      <c r="E34" s="4"/>
      <c r="F34" s="4"/>
      <c r="G34" s="4"/>
      <c r="H34" s="25">
        <f>G34*10</f>
        <v>0</v>
      </c>
      <c r="I34" s="4"/>
      <c r="J34" s="4"/>
    </row>
    <row r="35" spans="2:10" ht="20.100000000000001" customHeight="1">
      <c r="B35" s="1259" t="s">
        <v>24</v>
      </c>
      <c r="C35" s="1259"/>
      <c r="D35" s="3">
        <f>SUM(D33:D34)</f>
        <v>0</v>
      </c>
      <c r="E35" s="4">
        <f>SUM(E33:E34)</f>
        <v>0</v>
      </c>
      <c r="F35" s="4">
        <f>SUM(F33:F34)</f>
        <v>0</v>
      </c>
      <c r="G35" s="4">
        <f>SUM(G33:G34)</f>
        <v>0</v>
      </c>
      <c r="H35" s="25">
        <f>G35*10</f>
        <v>0</v>
      </c>
      <c r="I35" s="16"/>
      <c r="J35" s="16"/>
    </row>
    <row r="37" spans="2:10" ht="19.5">
      <c r="B37" s="5" t="s">
        <v>5</v>
      </c>
      <c r="C37" s="18"/>
      <c r="E37" s="1271" t="s">
        <v>32</v>
      </c>
      <c r="F37" s="1272"/>
      <c r="G37" s="1272"/>
      <c r="H37" s="1273"/>
    </row>
    <row r="38" spans="2:10">
      <c r="B38" s="19" t="s">
        <v>4</v>
      </c>
      <c r="C38" s="20"/>
      <c r="E38" s="21"/>
      <c r="F38" s="23" t="s">
        <v>34</v>
      </c>
      <c r="G38" s="23" t="s">
        <v>35</v>
      </c>
      <c r="H38" s="23" t="s">
        <v>37</v>
      </c>
    </row>
    <row r="39" spans="2:10">
      <c r="B39" s="19" t="s">
        <v>33</v>
      </c>
      <c r="C39" s="20"/>
      <c r="E39" s="24" t="s">
        <v>39</v>
      </c>
      <c r="F39" s="27">
        <f>G16</f>
        <v>1515</v>
      </c>
      <c r="G39" s="21">
        <f>G28</f>
        <v>1595</v>
      </c>
      <c r="H39" s="21">
        <f>E35</f>
        <v>0</v>
      </c>
    </row>
    <row r="40" spans="2:10">
      <c r="B40" s="19" t="s">
        <v>25</v>
      </c>
      <c r="C40" s="20"/>
      <c r="E40" s="24" t="s">
        <v>36</v>
      </c>
      <c r="F40" s="22">
        <f>F39*10</f>
        <v>15150</v>
      </c>
      <c r="G40" s="22">
        <f>G39*10</f>
        <v>15950</v>
      </c>
      <c r="H40" s="22">
        <f>H39*10</f>
        <v>0</v>
      </c>
    </row>
    <row r="41" spans="2:10" ht="19.5">
      <c r="E41" s="8" t="s">
        <v>38</v>
      </c>
      <c r="F41" s="1274">
        <f>SUM(F40:H40)</f>
        <v>31100</v>
      </c>
      <c r="G41" s="1275"/>
      <c r="H41" s="1276"/>
    </row>
  </sheetData>
  <sheetProtection algorithmName="SHA-512" hashValue="SSnHJLkNVG9kVVYNcnPKDixs+AjFxvSRxxz44AEXm2F6vLJcrNMWjtgLmUEiFHOSHFll08M3XueV0/Y9L4I61w==" saltValue="pBt4VT2Qo97nQ+H71o+vgA==" spinCount="100000" sheet="1" objects="1" scenarios="1"/>
  <mergeCells count="36">
    <mergeCell ref="F41:H41"/>
    <mergeCell ref="I19:I20"/>
    <mergeCell ref="J19:J20"/>
    <mergeCell ref="B28:C28"/>
    <mergeCell ref="C30:J30"/>
    <mergeCell ref="B31:B32"/>
    <mergeCell ref="C31:C32"/>
    <mergeCell ref="D31:D32"/>
    <mergeCell ref="E31:E32"/>
    <mergeCell ref="F31:F32"/>
    <mergeCell ref="G31:G32"/>
    <mergeCell ref="H31:H32"/>
    <mergeCell ref="I31:I32"/>
    <mergeCell ref="J31:J32"/>
    <mergeCell ref="B35:C35"/>
    <mergeCell ref="E37:H37"/>
    <mergeCell ref="B16:C16"/>
    <mergeCell ref="C18:J18"/>
    <mergeCell ref="B19:B20"/>
    <mergeCell ref="C19:C20"/>
    <mergeCell ref="D19:D20"/>
    <mergeCell ref="E19:E20"/>
    <mergeCell ref="F19:F20"/>
    <mergeCell ref="G19:G20"/>
    <mergeCell ref="H19:H20"/>
    <mergeCell ref="G2:J2"/>
    <mergeCell ref="C6:J6"/>
    <mergeCell ref="B7:B8"/>
    <mergeCell ref="C7:C8"/>
    <mergeCell ref="D7:D8"/>
    <mergeCell ref="E7:E8"/>
    <mergeCell ref="F7:F8"/>
    <mergeCell ref="G7:G8"/>
    <mergeCell ref="H7:H8"/>
    <mergeCell ref="I7:I8"/>
    <mergeCell ref="J7:J8"/>
  </mergeCells>
  <pageMargins left="0.7" right="0.7" top="0.75" bottom="0.75" header="0.3" footer="0.3"/>
  <pageSetup scale="6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CFDBE-419A-4110-AC7F-9C63FEDC0326}">
  <sheetPr codeName="Sheet145">
    <pageSetUpPr fitToPage="1"/>
  </sheetPr>
  <dimension ref="B2:J43"/>
  <sheetViews>
    <sheetView workbookViewId="0"/>
  </sheetViews>
  <sheetFormatPr defaultRowHeight="15"/>
  <cols>
    <col min="2" max="2" width="21.5703125" customWidth="1"/>
    <col min="3" max="3" width="24.28515625" bestFit="1" customWidth="1"/>
    <col min="4" max="8" width="15.7109375" customWidth="1"/>
    <col min="9" max="9" width="22.140625" customWidth="1"/>
    <col min="10" max="10" width="25.42578125" customWidth="1"/>
  </cols>
  <sheetData>
    <row r="2" spans="2:10" ht="19.5">
      <c r="B2" s="6" t="s">
        <v>13</v>
      </c>
      <c r="C2" s="2"/>
      <c r="D2" s="2"/>
      <c r="F2" s="11" t="s">
        <v>27</v>
      </c>
      <c r="G2" s="1247">
        <v>44459</v>
      </c>
      <c r="H2" s="1247"/>
      <c r="I2" s="1247"/>
      <c r="J2" s="1247"/>
    </row>
    <row r="3" spans="2:10">
      <c r="B3" s="2"/>
      <c r="C3" s="2"/>
      <c r="D3" s="2"/>
      <c r="I3" s="2"/>
      <c r="J3" s="2"/>
    </row>
    <row r="4" spans="2:10">
      <c r="B4" s="2"/>
      <c r="C4" s="2"/>
      <c r="D4" s="2"/>
      <c r="I4" s="2"/>
      <c r="J4" s="2"/>
    </row>
    <row r="5" spans="2:10">
      <c r="B5" s="2"/>
      <c r="C5" s="2"/>
      <c r="D5" s="2"/>
    </row>
    <row r="6" spans="2:10" ht="19.5">
      <c r="B6" s="7" t="s">
        <v>22</v>
      </c>
      <c r="C6" s="1248" t="s">
        <v>14</v>
      </c>
      <c r="D6" s="1249"/>
      <c r="E6" s="1249"/>
      <c r="F6" s="1249"/>
      <c r="G6" s="1249"/>
      <c r="H6" s="1249"/>
      <c r="I6" s="1249"/>
      <c r="J6" s="1250"/>
    </row>
    <row r="7" spans="2:10">
      <c r="B7" s="1251" t="s">
        <v>0</v>
      </c>
      <c r="C7" s="1251" t="s">
        <v>1</v>
      </c>
      <c r="D7" s="1253" t="s">
        <v>23</v>
      </c>
      <c r="E7" s="1252" t="s">
        <v>40</v>
      </c>
      <c r="F7" s="1253" t="s">
        <v>41</v>
      </c>
      <c r="G7" s="1253" t="s">
        <v>39</v>
      </c>
      <c r="H7" s="1253" t="s">
        <v>31</v>
      </c>
      <c r="I7" s="1252" t="s">
        <v>11</v>
      </c>
      <c r="J7" s="1252" t="s">
        <v>10</v>
      </c>
    </row>
    <row r="8" spans="2:10" s="1" customFormat="1">
      <c r="B8" s="1251"/>
      <c r="C8" s="1251"/>
      <c r="D8" s="1254"/>
      <c r="E8" s="1252"/>
      <c r="F8" s="1254"/>
      <c r="G8" s="1254"/>
      <c r="H8" s="1254"/>
      <c r="I8" s="1252"/>
      <c r="J8" s="1252"/>
    </row>
    <row r="9" spans="2:10" ht="20.100000000000001" customHeight="1">
      <c r="B9" s="3" t="s">
        <v>2</v>
      </c>
      <c r="C9" s="3" t="s">
        <v>16</v>
      </c>
      <c r="D9" s="3">
        <v>200</v>
      </c>
      <c r="E9" s="4">
        <v>471</v>
      </c>
      <c r="F9" s="4">
        <v>0</v>
      </c>
      <c r="G9" s="4">
        <v>471</v>
      </c>
      <c r="H9" s="25">
        <f>G9*10</f>
        <v>4710</v>
      </c>
      <c r="I9" s="4"/>
      <c r="J9" s="4"/>
    </row>
    <row r="10" spans="2:10" ht="20.100000000000001" customHeight="1">
      <c r="B10" s="3" t="s">
        <v>3</v>
      </c>
      <c r="C10" s="3" t="s">
        <v>16</v>
      </c>
      <c r="D10" s="3">
        <v>200</v>
      </c>
      <c r="E10" s="4">
        <v>146</v>
      </c>
      <c r="F10" s="4">
        <f t="shared" ref="F10:F14" si="0">D10-E10</f>
        <v>54</v>
      </c>
      <c r="G10" s="4">
        <v>200</v>
      </c>
      <c r="H10" s="25">
        <f>G10*10</f>
        <v>2000</v>
      </c>
      <c r="I10" s="4"/>
      <c r="J10" s="4"/>
    </row>
    <row r="11" spans="2:10" ht="20.100000000000001" customHeight="1">
      <c r="B11" s="3" t="s">
        <v>6</v>
      </c>
      <c r="C11" s="3" t="s">
        <v>19</v>
      </c>
      <c r="D11" s="3">
        <v>200</v>
      </c>
      <c r="E11" s="4">
        <v>127</v>
      </c>
      <c r="F11" s="4">
        <f>D11-E11</f>
        <v>73</v>
      </c>
      <c r="G11" s="4">
        <v>200</v>
      </c>
      <c r="H11" s="25">
        <f>G11*10</f>
        <v>2000</v>
      </c>
      <c r="I11" s="4"/>
      <c r="J11" s="4"/>
    </row>
    <row r="12" spans="2:10" ht="20.100000000000001" customHeight="1">
      <c r="B12" s="3" t="s">
        <v>7</v>
      </c>
      <c r="C12" s="3" t="s">
        <v>19</v>
      </c>
      <c r="D12" s="3">
        <v>200</v>
      </c>
      <c r="E12" s="4">
        <v>3</v>
      </c>
      <c r="F12" s="4">
        <f>D12-E12</f>
        <v>197</v>
      </c>
      <c r="G12" s="4">
        <v>200</v>
      </c>
      <c r="H12" s="25">
        <f>G12*10-1500</f>
        <v>500</v>
      </c>
      <c r="I12" s="4" t="s">
        <v>146</v>
      </c>
      <c r="J12" s="4"/>
    </row>
    <row r="13" spans="2:10" ht="20.100000000000001" customHeight="1">
      <c r="B13" s="3" t="s">
        <v>8</v>
      </c>
      <c r="C13" s="3" t="s">
        <v>18</v>
      </c>
      <c r="D13" s="3">
        <v>200</v>
      </c>
      <c r="E13" s="4">
        <v>140</v>
      </c>
      <c r="F13" s="4">
        <f>D13-E13</f>
        <v>60</v>
      </c>
      <c r="G13" s="4">
        <v>200</v>
      </c>
      <c r="H13" s="25">
        <f>G13*10</f>
        <v>2000</v>
      </c>
      <c r="I13" s="4"/>
      <c r="J13" s="4"/>
    </row>
    <row r="14" spans="2:10" ht="20.100000000000001" customHeight="1">
      <c r="B14" s="3" t="s">
        <v>17</v>
      </c>
      <c r="C14" s="10"/>
      <c r="D14" s="10"/>
      <c r="E14" s="9"/>
      <c r="F14" s="9">
        <f t="shared" si="0"/>
        <v>0</v>
      </c>
      <c r="G14" s="9"/>
      <c r="H14" s="26"/>
      <c r="I14" s="9"/>
      <c r="J14" s="9"/>
    </row>
    <row r="15" spans="2:10" ht="20.100000000000001" customHeight="1">
      <c r="B15" s="3" t="s">
        <v>9</v>
      </c>
      <c r="C15" s="3" t="s">
        <v>18</v>
      </c>
      <c r="D15" s="3">
        <v>200</v>
      </c>
      <c r="E15" s="4">
        <v>205</v>
      </c>
      <c r="F15" s="4">
        <v>0</v>
      </c>
      <c r="G15" s="4">
        <v>205</v>
      </c>
      <c r="H15" s="25">
        <f>G15*10</f>
        <v>2050</v>
      </c>
      <c r="I15" s="4"/>
      <c r="J15" s="4"/>
    </row>
    <row r="16" spans="2:10" ht="20.100000000000001" customHeight="1">
      <c r="B16" s="3" t="s">
        <v>12</v>
      </c>
      <c r="C16" s="3" t="s">
        <v>20</v>
      </c>
      <c r="D16" s="3">
        <v>200</v>
      </c>
      <c r="E16" s="4">
        <v>116</v>
      </c>
      <c r="F16" s="4">
        <f>D16-E16</f>
        <v>84</v>
      </c>
      <c r="G16" s="4">
        <v>200</v>
      </c>
      <c r="H16" s="25">
        <f t="shared" ref="H16" si="1">G16*10</f>
        <v>2000</v>
      </c>
      <c r="I16" s="4"/>
      <c r="J16" s="4"/>
    </row>
    <row r="17" spans="2:10" ht="20.100000000000001" customHeight="1">
      <c r="B17" s="1259" t="s">
        <v>24</v>
      </c>
      <c r="C17" s="1259"/>
      <c r="D17" s="3">
        <f>SUM(D9:D16)</f>
        <v>1400</v>
      </c>
      <c r="E17" s="4">
        <f>SUM(E9:E16)</f>
        <v>1208</v>
      </c>
      <c r="F17" s="4">
        <f>SUM(F9:F16)</f>
        <v>468</v>
      </c>
      <c r="G17" s="17">
        <f>SUM(G9:G16)</f>
        <v>1676</v>
      </c>
      <c r="H17" s="25">
        <f>G17*10</f>
        <v>16760</v>
      </c>
      <c r="I17" s="16"/>
      <c r="J17" s="16"/>
    </row>
    <row r="19" spans="2:10" ht="19.5">
      <c r="B19" s="8" t="s">
        <v>21</v>
      </c>
      <c r="C19" s="1256" t="s">
        <v>15</v>
      </c>
      <c r="D19" s="1257"/>
      <c r="E19" s="1257"/>
      <c r="F19" s="1257"/>
      <c r="G19" s="1257"/>
      <c r="H19" s="1257"/>
      <c r="I19" s="1257"/>
      <c r="J19" s="1258"/>
    </row>
    <row r="20" spans="2:10" ht="15" customHeight="1">
      <c r="B20" s="1251" t="s">
        <v>0</v>
      </c>
      <c r="C20" s="1251" t="s">
        <v>1</v>
      </c>
      <c r="D20" s="1253" t="s">
        <v>23</v>
      </c>
      <c r="E20" s="1252" t="s">
        <v>40</v>
      </c>
      <c r="F20" s="1253" t="s">
        <v>41</v>
      </c>
      <c r="G20" s="1253" t="s">
        <v>39</v>
      </c>
      <c r="H20" s="1253" t="s">
        <v>31</v>
      </c>
      <c r="I20" s="1252" t="s">
        <v>11</v>
      </c>
      <c r="J20" s="1252" t="s">
        <v>10</v>
      </c>
    </row>
    <row r="21" spans="2:10" s="1" customFormat="1">
      <c r="B21" s="1251"/>
      <c r="C21" s="1251"/>
      <c r="D21" s="1254"/>
      <c r="E21" s="1252"/>
      <c r="F21" s="1254"/>
      <c r="G21" s="1254"/>
      <c r="H21" s="1254"/>
      <c r="I21" s="1252"/>
      <c r="J21" s="1252"/>
    </row>
    <row r="22" spans="2:10" ht="20.100000000000001" customHeight="1">
      <c r="B22" s="3" t="s">
        <v>2</v>
      </c>
      <c r="C22" s="3" t="s">
        <v>26</v>
      </c>
      <c r="D22" s="3">
        <v>200</v>
      </c>
      <c r="E22" s="4">
        <v>454</v>
      </c>
      <c r="F22" s="4">
        <v>0</v>
      </c>
      <c r="G22" s="4">
        <v>454</v>
      </c>
      <c r="H22" s="25">
        <f>G22*10</f>
        <v>4540</v>
      </c>
      <c r="I22" s="4"/>
      <c r="J22" s="4"/>
    </row>
    <row r="23" spans="2:10" ht="20.100000000000001" customHeight="1">
      <c r="B23" s="3" t="s">
        <v>3</v>
      </c>
      <c r="C23" s="3" t="s">
        <v>16</v>
      </c>
      <c r="D23" s="3">
        <v>200</v>
      </c>
      <c r="E23" s="4">
        <v>181</v>
      </c>
      <c r="F23" s="4">
        <f>D23-E23</f>
        <v>19</v>
      </c>
      <c r="G23" s="4">
        <v>200</v>
      </c>
      <c r="H23" s="25">
        <f>G23*10</f>
        <v>2000</v>
      </c>
      <c r="I23" s="4"/>
      <c r="J23" s="4"/>
    </row>
    <row r="24" spans="2:10" ht="20.100000000000001" customHeight="1">
      <c r="B24" s="3" t="s">
        <v>6</v>
      </c>
      <c r="C24" s="3" t="s">
        <v>18</v>
      </c>
      <c r="D24" s="3">
        <v>200</v>
      </c>
      <c r="E24" s="4">
        <v>104</v>
      </c>
      <c r="F24" s="4">
        <f>D24-E24</f>
        <v>96</v>
      </c>
      <c r="G24" s="4">
        <v>200</v>
      </c>
      <c r="H24" s="25">
        <f>G24*10</f>
        <v>2000</v>
      </c>
      <c r="I24" s="4"/>
      <c r="J24" s="4"/>
    </row>
    <row r="25" spans="2:10" ht="20.100000000000001" customHeight="1">
      <c r="B25" s="3" t="s">
        <v>7</v>
      </c>
      <c r="C25" s="10"/>
      <c r="D25" s="10"/>
      <c r="E25" s="9"/>
      <c r="F25" s="9">
        <f t="shared" ref="F25:F28" si="2">D25-E25</f>
        <v>0</v>
      </c>
      <c r="G25" s="9"/>
      <c r="H25" s="26"/>
      <c r="I25" s="9"/>
      <c r="J25" s="9"/>
    </row>
    <row r="26" spans="2:10" ht="20.100000000000001" customHeight="1">
      <c r="B26" s="3" t="s">
        <v>8</v>
      </c>
      <c r="C26" s="3" t="s">
        <v>26</v>
      </c>
      <c r="D26" s="3">
        <v>200</v>
      </c>
      <c r="E26" s="4">
        <v>228</v>
      </c>
      <c r="F26" s="12">
        <v>0</v>
      </c>
      <c r="G26" s="4">
        <v>228</v>
      </c>
      <c r="H26" s="25">
        <f>G26*10</f>
        <v>2280</v>
      </c>
      <c r="I26" s="4"/>
      <c r="J26" s="4"/>
    </row>
    <row r="27" spans="2:10" ht="20.100000000000001" customHeight="1">
      <c r="B27" s="3" t="s">
        <v>17</v>
      </c>
      <c r="C27" s="3" t="s">
        <v>18</v>
      </c>
      <c r="D27" s="3">
        <v>200</v>
      </c>
      <c r="E27" s="4">
        <v>200</v>
      </c>
      <c r="F27" s="12">
        <f t="shared" si="2"/>
        <v>0</v>
      </c>
      <c r="G27" s="4">
        <v>200</v>
      </c>
      <c r="H27" s="25">
        <f>G27*10</f>
        <v>2000</v>
      </c>
      <c r="I27" s="4"/>
      <c r="J27" s="4"/>
    </row>
    <row r="28" spans="2:10" ht="20.100000000000001" customHeight="1">
      <c r="B28" s="3" t="s">
        <v>9</v>
      </c>
      <c r="C28" s="10"/>
      <c r="D28" s="10"/>
      <c r="E28" s="9"/>
      <c r="F28" s="9">
        <f t="shared" si="2"/>
        <v>0</v>
      </c>
      <c r="G28" s="9"/>
      <c r="H28" s="26"/>
      <c r="I28" s="9"/>
      <c r="J28" s="9"/>
    </row>
    <row r="29" spans="2:10" ht="20.100000000000001" customHeight="1">
      <c r="B29" s="3" t="s">
        <v>12</v>
      </c>
      <c r="C29" s="3" t="s">
        <v>16</v>
      </c>
      <c r="D29" s="3">
        <v>200</v>
      </c>
      <c r="E29" s="4">
        <v>257</v>
      </c>
      <c r="F29" s="12">
        <v>0</v>
      </c>
      <c r="G29" s="4">
        <v>257</v>
      </c>
      <c r="H29" s="25">
        <f>G29*10</f>
        <v>2570</v>
      </c>
      <c r="I29" s="4"/>
      <c r="J29" s="4"/>
    </row>
    <row r="30" spans="2:10" ht="20.100000000000001" customHeight="1">
      <c r="B30" s="1259" t="s">
        <v>24</v>
      </c>
      <c r="C30" s="1259"/>
      <c r="D30" s="3">
        <f>SUM(D22:D29)</f>
        <v>1200</v>
      </c>
      <c r="E30" s="4">
        <f>SUM(E22:E29)</f>
        <v>1424</v>
      </c>
      <c r="F30" s="4">
        <f>SUM(F22:F29)</f>
        <v>115</v>
      </c>
      <c r="G30" s="4">
        <f>SUM(G22:G29)</f>
        <v>1539</v>
      </c>
      <c r="H30" s="25">
        <f>G30*10</f>
        <v>15390</v>
      </c>
      <c r="I30" s="16"/>
      <c r="J30" s="16"/>
    </row>
    <row r="31" spans="2:10">
      <c r="B31" s="13"/>
      <c r="C31" s="13"/>
      <c r="D31" s="14"/>
      <c r="E31" s="14"/>
      <c r="F31" s="14"/>
      <c r="G31" s="14"/>
      <c r="H31" s="14"/>
    </row>
    <row r="32" spans="2:10" ht="19.5">
      <c r="B32" s="15" t="s">
        <v>28</v>
      </c>
      <c r="C32" s="1264" t="s">
        <v>29</v>
      </c>
      <c r="D32" s="1265"/>
      <c r="E32" s="1265"/>
      <c r="F32" s="1265"/>
      <c r="G32" s="1265"/>
      <c r="H32" s="1265"/>
      <c r="I32" s="1265"/>
      <c r="J32" s="1266"/>
    </row>
    <row r="33" spans="2:10" ht="15" customHeight="1">
      <c r="B33" s="1251" t="s">
        <v>0</v>
      </c>
      <c r="C33" s="1251" t="s">
        <v>1</v>
      </c>
      <c r="D33" s="1253" t="s">
        <v>23</v>
      </c>
      <c r="E33" s="1252" t="s">
        <v>40</v>
      </c>
      <c r="F33" s="1253" t="s">
        <v>41</v>
      </c>
      <c r="G33" s="1253" t="s">
        <v>39</v>
      </c>
      <c r="H33" s="1253" t="s">
        <v>31</v>
      </c>
      <c r="I33" s="1252" t="s">
        <v>11</v>
      </c>
      <c r="J33" s="1252" t="s">
        <v>10</v>
      </c>
    </row>
    <row r="34" spans="2:10">
      <c r="B34" s="1251"/>
      <c r="C34" s="1251"/>
      <c r="D34" s="1254"/>
      <c r="E34" s="1252"/>
      <c r="F34" s="1254"/>
      <c r="G34" s="1254"/>
      <c r="H34" s="1254"/>
      <c r="I34" s="1252"/>
      <c r="J34" s="1252"/>
    </row>
    <row r="35" spans="2:10">
      <c r="B35" s="3" t="s">
        <v>30</v>
      </c>
      <c r="C35" s="3"/>
      <c r="D35" s="3"/>
      <c r="E35" s="4"/>
      <c r="F35" s="4"/>
      <c r="G35" s="4"/>
      <c r="H35" s="25">
        <f>G35*10</f>
        <v>0</v>
      </c>
      <c r="I35" s="4"/>
      <c r="J35" s="4"/>
    </row>
    <row r="36" spans="2:10">
      <c r="B36" s="3" t="s">
        <v>30</v>
      </c>
      <c r="C36" s="3"/>
      <c r="D36" s="3"/>
      <c r="E36" s="4"/>
      <c r="F36" s="4"/>
      <c r="G36" s="4"/>
      <c r="H36" s="25">
        <f>G36*10</f>
        <v>0</v>
      </c>
      <c r="I36" s="4"/>
      <c r="J36" s="4"/>
    </row>
    <row r="37" spans="2:10" ht="20.100000000000001" customHeight="1">
      <c r="B37" s="1259" t="s">
        <v>24</v>
      </c>
      <c r="C37" s="1259"/>
      <c r="D37" s="3">
        <f>SUM(D35:D36)</f>
        <v>0</v>
      </c>
      <c r="E37" s="4">
        <f>SUM(E35:E36)</f>
        <v>0</v>
      </c>
      <c r="F37" s="4">
        <f>SUM(F35:F36)</f>
        <v>0</v>
      </c>
      <c r="G37" s="4">
        <f>SUM(G35:G36)</f>
        <v>0</v>
      </c>
      <c r="H37" s="25">
        <f>G37*10</f>
        <v>0</v>
      </c>
      <c r="I37" s="16"/>
      <c r="J37" s="16"/>
    </row>
    <row r="39" spans="2:10" ht="19.5">
      <c r="B39" s="5" t="s">
        <v>5</v>
      </c>
      <c r="C39" s="18"/>
      <c r="E39" s="1271" t="s">
        <v>32</v>
      </c>
      <c r="F39" s="1272"/>
      <c r="G39" s="1272"/>
      <c r="H39" s="1273"/>
    </row>
    <row r="40" spans="2:10">
      <c r="B40" s="19" t="s">
        <v>4</v>
      </c>
      <c r="C40" s="20"/>
      <c r="E40" s="21"/>
      <c r="F40" s="23" t="s">
        <v>34</v>
      </c>
      <c r="G40" s="23" t="s">
        <v>35</v>
      </c>
      <c r="H40" s="23" t="s">
        <v>37</v>
      </c>
    </row>
    <row r="41" spans="2:10">
      <c r="B41" s="19" t="s">
        <v>33</v>
      </c>
      <c r="C41" s="20"/>
      <c r="E41" s="24" t="s">
        <v>39</v>
      </c>
      <c r="F41" s="27">
        <f>G17</f>
        <v>1676</v>
      </c>
      <c r="G41" s="21">
        <f>G30</f>
        <v>1539</v>
      </c>
      <c r="H41" s="21">
        <f>E37</f>
        <v>0</v>
      </c>
    </row>
    <row r="42" spans="2:10">
      <c r="B42" s="19" t="s">
        <v>25</v>
      </c>
      <c r="C42" s="20"/>
      <c r="E42" s="24" t="s">
        <v>36</v>
      </c>
      <c r="F42" s="22">
        <f>F41*10</f>
        <v>16760</v>
      </c>
      <c r="G42" s="22">
        <f>G41*10</f>
        <v>15390</v>
      </c>
      <c r="H42" s="22">
        <f>H41*10</f>
        <v>0</v>
      </c>
    </row>
    <row r="43" spans="2:10" ht="19.5">
      <c r="E43" s="8" t="s">
        <v>38</v>
      </c>
      <c r="F43" s="1274">
        <f>SUM(F42:H42)</f>
        <v>32150</v>
      </c>
      <c r="G43" s="1275"/>
      <c r="H43" s="1276"/>
    </row>
  </sheetData>
  <sheetProtection algorithmName="SHA-512" hashValue="DnytxXbKgs0XiAm3y9z9Kb1VVSalS2WP9Y+yHsA7joCKPSzVwY3BEt9fBgn0Me+sgK0Y27LnHzMhRg0W3Hn1Cw==" saltValue="AsNabGaG7ecrRnIR2Aqx6Q==" spinCount="100000" sheet="1" objects="1" scenarios="1"/>
  <mergeCells count="36">
    <mergeCell ref="B20:B21"/>
    <mergeCell ref="C20:C21"/>
    <mergeCell ref="E20:E21"/>
    <mergeCell ref="B7:B8"/>
    <mergeCell ref="I7:I8"/>
    <mergeCell ref="C6:J6"/>
    <mergeCell ref="C19:J19"/>
    <mergeCell ref="I20:I21"/>
    <mergeCell ref="J20:J21"/>
    <mergeCell ref="G2:J2"/>
    <mergeCell ref="J7:J8"/>
    <mergeCell ref="C7:C8"/>
    <mergeCell ref="E7:E8"/>
    <mergeCell ref="F7:F8"/>
    <mergeCell ref="F20:F21"/>
    <mergeCell ref="I33:I34"/>
    <mergeCell ref="J33:J34"/>
    <mergeCell ref="G33:G34"/>
    <mergeCell ref="G20:G21"/>
    <mergeCell ref="G7:G8"/>
    <mergeCell ref="F43:H43"/>
    <mergeCell ref="H7:H8"/>
    <mergeCell ref="H20:H21"/>
    <mergeCell ref="H33:H34"/>
    <mergeCell ref="E39:H39"/>
    <mergeCell ref="C32:J32"/>
    <mergeCell ref="B17:C17"/>
    <mergeCell ref="B30:C30"/>
    <mergeCell ref="B37:C37"/>
    <mergeCell ref="B33:B34"/>
    <mergeCell ref="C33:C34"/>
    <mergeCell ref="D33:D34"/>
    <mergeCell ref="E33:E34"/>
    <mergeCell ref="F33:F34"/>
    <mergeCell ref="D7:D8"/>
    <mergeCell ref="D20:D21"/>
  </mergeCells>
  <pageMargins left="0.7" right="0.7" top="0.75" bottom="0.75" header="0.3" footer="0.3"/>
  <pageSetup scale="65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D215-4FB2-4D06-B472-84314CB8E6FE}">
  <sheetPr codeName="Sheet167">
    <pageSetUpPr fitToPage="1"/>
  </sheetPr>
  <dimension ref="B2:H41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44823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45</v>
      </c>
      <c r="C7" s="975" t="s">
        <v>669</v>
      </c>
      <c r="D7" s="964">
        <v>302</v>
      </c>
      <c r="E7" s="965">
        <f>D7*9.5</f>
        <v>2869</v>
      </c>
    </row>
    <row r="8" spans="2:8" ht="15" customHeight="1">
      <c r="B8" s="973" t="s">
        <v>82</v>
      </c>
      <c r="C8" s="975" t="s">
        <v>669</v>
      </c>
      <c r="D8" s="964">
        <v>287</v>
      </c>
      <c r="E8" s="965">
        <f>D8*9.5</f>
        <v>2726.5</v>
      </c>
    </row>
    <row r="9" spans="2:8" ht="15" customHeight="1">
      <c r="B9" s="973" t="s">
        <v>678</v>
      </c>
      <c r="C9" s="975" t="s">
        <v>26</v>
      </c>
      <c r="D9" s="964">
        <v>267</v>
      </c>
      <c r="E9" s="965">
        <f>D9*9.5</f>
        <v>2536.5</v>
      </c>
    </row>
    <row r="10" spans="2:8" ht="15" customHeight="1">
      <c r="B10" s="1051" t="s">
        <v>53</v>
      </c>
      <c r="C10" s="975" t="s">
        <v>26</v>
      </c>
      <c r="D10" s="943">
        <v>263</v>
      </c>
      <c r="E10" s="961">
        <f>D10*9.5</f>
        <v>2498.5</v>
      </c>
    </row>
    <row r="11" spans="2:8" ht="20.100000000000001" customHeight="1">
      <c r="B11" s="1255" t="s">
        <v>24</v>
      </c>
      <c r="C11" s="1255"/>
      <c r="D11" s="964">
        <f>SUM(D7:D10)</f>
        <v>1119</v>
      </c>
      <c r="E11" s="965">
        <f>D11*9.5</f>
        <v>10630.5</v>
      </c>
    </row>
    <row r="13" spans="2:8" ht="19.5">
      <c r="B13" s="941" t="s">
        <v>671</v>
      </c>
      <c r="C13" s="1256" t="s">
        <v>73</v>
      </c>
      <c r="D13" s="1257"/>
      <c r="E13" s="1258"/>
    </row>
    <row r="14" spans="2:8" ht="15" customHeight="1">
      <c r="B14" s="1251" t="s">
        <v>0</v>
      </c>
      <c r="C14" s="1251" t="s">
        <v>1</v>
      </c>
      <c r="D14" s="1252" t="s">
        <v>40</v>
      </c>
      <c r="E14" s="1253" t="s">
        <v>31</v>
      </c>
    </row>
    <row r="15" spans="2:8" s="974" customFormat="1">
      <c r="B15" s="1251"/>
      <c r="C15" s="1251"/>
      <c r="D15" s="1252"/>
      <c r="E15" s="1254"/>
    </row>
    <row r="16" spans="2:8" ht="14.45" customHeight="1">
      <c r="B16" s="973" t="s">
        <v>51</v>
      </c>
      <c r="C16" s="975" t="s">
        <v>669</v>
      </c>
      <c r="D16" s="964">
        <v>329</v>
      </c>
      <c r="E16" s="965">
        <f>D16*9.5</f>
        <v>3125.5</v>
      </c>
    </row>
    <row r="17" spans="2:5" ht="15" customHeight="1">
      <c r="B17" s="973" t="s">
        <v>278</v>
      </c>
      <c r="C17" s="975" t="s">
        <v>669</v>
      </c>
      <c r="D17" s="964">
        <v>176</v>
      </c>
      <c r="E17" s="965">
        <f>D17*9.5</f>
        <v>1672</v>
      </c>
    </row>
    <row r="18" spans="2:5" ht="14.45" customHeight="1">
      <c r="B18" s="973" t="s">
        <v>238</v>
      </c>
      <c r="C18" s="975" t="s">
        <v>26</v>
      </c>
      <c r="D18" s="964">
        <v>271</v>
      </c>
      <c r="E18" s="965">
        <f>D18*9.5</f>
        <v>2574.5</v>
      </c>
    </row>
    <row r="19" spans="2:5" ht="14.45" customHeight="1">
      <c r="B19" s="1051" t="s">
        <v>53</v>
      </c>
      <c r="C19" s="975" t="s">
        <v>26</v>
      </c>
      <c r="D19" s="964">
        <v>248</v>
      </c>
      <c r="E19" s="965">
        <f>D19*9.5</f>
        <v>2356</v>
      </c>
    </row>
    <row r="20" spans="2:5" ht="14.45" customHeight="1">
      <c r="B20" s="1269" t="s">
        <v>24</v>
      </c>
      <c r="C20" s="1270"/>
      <c r="D20" s="937">
        <f>SUM(D16:D19)</f>
        <v>1024</v>
      </c>
      <c r="E20" s="954">
        <f>D20*9.5</f>
        <v>9728</v>
      </c>
    </row>
    <row r="21" spans="2:5">
      <c r="B21" s="944"/>
      <c r="C21" s="944"/>
      <c r="D21" s="945"/>
      <c r="E21" s="945"/>
    </row>
    <row r="22" spans="2:5" ht="19.5">
      <c r="B22" s="946" t="s">
        <v>665</v>
      </c>
      <c r="C22" s="1264" t="s">
        <v>677</v>
      </c>
      <c r="D22" s="1265"/>
      <c r="E22" s="1266"/>
    </row>
    <row r="23" spans="2:5" ht="15" customHeight="1">
      <c r="B23" s="1251" t="s">
        <v>0</v>
      </c>
      <c r="C23" s="1251" t="s">
        <v>1</v>
      </c>
      <c r="D23" s="1252" t="s">
        <v>40</v>
      </c>
      <c r="E23" s="1253" t="s">
        <v>31</v>
      </c>
    </row>
    <row r="24" spans="2:5">
      <c r="B24" s="1251"/>
      <c r="C24" s="1251"/>
      <c r="D24" s="1252"/>
      <c r="E24" s="1254"/>
    </row>
    <row r="25" spans="2:5">
      <c r="B25" s="973"/>
      <c r="C25" s="975"/>
      <c r="D25" s="964"/>
      <c r="E25" s="965">
        <f>D25*9.5</f>
        <v>0</v>
      </c>
    </row>
    <row r="26" spans="2:5">
      <c r="B26" s="973"/>
      <c r="C26" s="975"/>
      <c r="D26" s="964"/>
      <c r="E26" s="965">
        <f>D26*9.5</f>
        <v>0</v>
      </c>
    </row>
    <row r="27" spans="2:5">
      <c r="B27" s="973"/>
      <c r="C27" s="975"/>
      <c r="D27" s="964"/>
      <c r="E27" s="965">
        <f>D27*9.5</f>
        <v>0</v>
      </c>
    </row>
    <row r="28" spans="2:5">
      <c r="B28" s="973"/>
      <c r="C28" s="975"/>
      <c r="D28" s="964"/>
      <c r="E28" s="965">
        <f>D28*9.5</f>
        <v>0</v>
      </c>
    </row>
    <row r="29" spans="2:5" ht="20.100000000000001" customHeight="1">
      <c r="B29" s="1259" t="s">
        <v>24</v>
      </c>
      <c r="C29" s="1259"/>
      <c r="D29" s="937">
        <f>SUM(D25:D28)</f>
        <v>0</v>
      </c>
      <c r="E29" s="954">
        <f>D29*9.5</f>
        <v>0</v>
      </c>
    </row>
    <row r="30" spans="2:5" ht="19.5">
      <c r="B30" s="1260" t="s">
        <v>200</v>
      </c>
      <c r="C30" s="1260"/>
      <c r="D30" s="1260"/>
      <c r="E30" s="1260"/>
    </row>
    <row r="31" spans="2:5">
      <c r="B31" s="950"/>
      <c r="C31" s="952" t="s">
        <v>34</v>
      </c>
      <c r="D31" s="952" t="s">
        <v>35</v>
      </c>
      <c r="E31" s="952" t="s">
        <v>37</v>
      </c>
    </row>
    <row r="32" spans="2:5">
      <c r="B32" s="953" t="s">
        <v>39</v>
      </c>
      <c r="C32" s="955">
        <f>D11</f>
        <v>1119</v>
      </c>
      <c r="D32" s="956">
        <f>D20</f>
        <v>1024</v>
      </c>
      <c r="E32" s="956">
        <f>D29</f>
        <v>0</v>
      </c>
    </row>
    <row r="33" spans="2:5">
      <c r="B33" s="953" t="s">
        <v>36</v>
      </c>
      <c r="C33" s="951">
        <f>C32*9.5</f>
        <v>10630.5</v>
      </c>
      <c r="D33" s="951">
        <f>D32*9.5</f>
        <v>9728</v>
      </c>
      <c r="E33" s="951">
        <f>E32*9.5</f>
        <v>0</v>
      </c>
    </row>
    <row r="34" spans="2:5" ht="19.5">
      <c r="B34" s="1261" t="s">
        <v>199</v>
      </c>
      <c r="C34" s="1262"/>
      <c r="D34" s="1262"/>
      <c r="E34" s="1263"/>
    </row>
    <row r="35" spans="2:5">
      <c r="B35" s="377" t="s">
        <v>198</v>
      </c>
      <c r="C35" s="378">
        <f>C32+D32+E32</f>
        <v>2143</v>
      </c>
      <c r="D35" s="378" t="s">
        <v>253</v>
      </c>
      <c r="E35" s="381">
        <f>C35*9.5</f>
        <v>20358.5</v>
      </c>
    </row>
    <row r="36" spans="2:5">
      <c r="B36" s="377" t="s">
        <v>197</v>
      </c>
      <c r="C36" s="378">
        <f>C37-C35</f>
        <v>221</v>
      </c>
      <c r="D36" s="378" t="s">
        <v>204</v>
      </c>
      <c r="E36" s="381">
        <f>C36*9</f>
        <v>1989</v>
      </c>
    </row>
    <row r="37" spans="2:5" ht="19.5">
      <c r="B37" s="941" t="s">
        <v>201</v>
      </c>
      <c r="C37" s="380">
        <v>2364</v>
      </c>
      <c r="D37" s="380" t="s">
        <v>202</v>
      </c>
      <c r="E37" s="379">
        <f>SUM(E35+E36)</f>
        <v>22347.5</v>
      </c>
    </row>
    <row r="39" spans="2:5">
      <c r="B39" s="938" t="s">
        <v>5</v>
      </c>
      <c r="C39" s="947"/>
    </row>
    <row r="40" spans="2:5">
      <c r="B40" s="948" t="s">
        <v>4</v>
      </c>
      <c r="C40" s="949"/>
    </row>
    <row r="41" spans="2:5">
      <c r="B41" s="948" t="s">
        <v>25</v>
      </c>
      <c r="C41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1:C11"/>
    <mergeCell ref="C13:E13"/>
    <mergeCell ref="B14:B15"/>
    <mergeCell ref="C14:C15"/>
    <mergeCell ref="D14:D15"/>
    <mergeCell ref="E14:E15"/>
    <mergeCell ref="B29:C29"/>
    <mergeCell ref="B30:E30"/>
    <mergeCell ref="B34:E34"/>
    <mergeCell ref="B20:C20"/>
    <mergeCell ref="C22:E22"/>
    <mergeCell ref="B23:B24"/>
    <mergeCell ref="C23:C24"/>
    <mergeCell ref="D23:D24"/>
    <mergeCell ref="E23:E24"/>
  </mergeCells>
  <pageMargins left="0.7" right="0.7" top="0.75" bottom="0.75" header="0.3" footer="0.3"/>
  <pageSetup scale="68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49A89-A26D-4FF8-A515-CA36CE758041}">
  <sheetPr codeName="Sheet168">
    <pageSetUpPr fitToPage="1"/>
  </sheetPr>
  <dimension ref="B2:H41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44824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244</v>
      </c>
      <c r="C7" s="975" t="s">
        <v>669</v>
      </c>
      <c r="D7" s="964">
        <v>482</v>
      </c>
      <c r="E7" s="965">
        <f>D7*9.5</f>
        <v>4579</v>
      </c>
    </row>
    <row r="8" spans="2:8" ht="15" customHeight="1">
      <c r="B8" s="973" t="s">
        <v>245</v>
      </c>
      <c r="C8" s="975" t="s">
        <v>669</v>
      </c>
      <c r="D8" s="964">
        <v>221</v>
      </c>
      <c r="E8" s="965">
        <f>D8*9.5</f>
        <v>2099.5</v>
      </c>
    </row>
    <row r="9" spans="2:8" ht="15" customHeight="1">
      <c r="B9" s="973" t="s">
        <v>189</v>
      </c>
      <c r="C9" s="975" t="s">
        <v>26</v>
      </c>
      <c r="D9" s="964">
        <v>288</v>
      </c>
      <c r="E9" s="965">
        <f>D9*9.5</f>
        <v>2736</v>
      </c>
    </row>
    <row r="10" spans="2:8" ht="15" customHeight="1">
      <c r="B10" s="1051" t="s">
        <v>205</v>
      </c>
      <c r="C10" s="975" t="s">
        <v>26</v>
      </c>
      <c r="D10" s="943">
        <v>103</v>
      </c>
      <c r="E10" s="961">
        <f>D10*9.5</f>
        <v>978.5</v>
      </c>
    </row>
    <row r="11" spans="2:8" ht="20.100000000000001" customHeight="1">
      <c r="B11" s="1255" t="s">
        <v>24</v>
      </c>
      <c r="C11" s="1255"/>
      <c r="D11" s="964">
        <f>SUM(D7:D10)</f>
        <v>1094</v>
      </c>
      <c r="E11" s="965">
        <f>D11*9.5</f>
        <v>10393</v>
      </c>
    </row>
    <row r="13" spans="2:8" ht="19.5">
      <c r="B13" s="941" t="s">
        <v>671</v>
      </c>
      <c r="C13" s="1256" t="s">
        <v>73</v>
      </c>
      <c r="D13" s="1257"/>
      <c r="E13" s="1258"/>
    </row>
    <row r="14" spans="2:8" ht="15" customHeight="1">
      <c r="B14" s="1251" t="s">
        <v>0</v>
      </c>
      <c r="C14" s="1251" t="s">
        <v>1</v>
      </c>
      <c r="D14" s="1252" t="s">
        <v>40</v>
      </c>
      <c r="E14" s="1253" t="s">
        <v>31</v>
      </c>
    </row>
    <row r="15" spans="2:8" s="974" customFormat="1">
      <c r="B15" s="1251"/>
      <c r="C15" s="1251"/>
      <c r="D15" s="1252"/>
      <c r="E15" s="1254"/>
    </row>
    <row r="16" spans="2:8" ht="14.45" customHeight="1">
      <c r="B16" s="973" t="s">
        <v>235</v>
      </c>
      <c r="C16" s="975" t="s">
        <v>669</v>
      </c>
      <c r="D16" s="964">
        <v>296</v>
      </c>
      <c r="E16" s="965">
        <f>D16*9.5</f>
        <v>2812</v>
      </c>
    </row>
    <row r="17" spans="2:5" ht="15" customHeight="1">
      <c r="B17" s="973" t="s">
        <v>245</v>
      </c>
      <c r="C17" s="975" t="s">
        <v>669</v>
      </c>
      <c r="D17" s="964">
        <v>233</v>
      </c>
      <c r="E17" s="965">
        <f>D17*9.5</f>
        <v>2213.5</v>
      </c>
    </row>
    <row r="18" spans="2:5" ht="14.45" customHeight="1">
      <c r="B18" s="973" t="s">
        <v>678</v>
      </c>
      <c r="C18" s="975" t="s">
        <v>26</v>
      </c>
      <c r="D18" s="964">
        <v>285</v>
      </c>
      <c r="E18" s="965">
        <f>D18*9.5</f>
        <v>2707.5</v>
      </c>
    </row>
    <row r="19" spans="2:5" ht="14.45" customHeight="1">
      <c r="B19" s="1051" t="s">
        <v>143</v>
      </c>
      <c r="C19" s="975" t="s">
        <v>26</v>
      </c>
      <c r="D19" s="964">
        <v>312</v>
      </c>
      <c r="E19" s="965">
        <f>D19*9.5</f>
        <v>2964</v>
      </c>
    </row>
    <row r="20" spans="2:5" ht="14.45" customHeight="1">
      <c r="B20" s="1269" t="s">
        <v>24</v>
      </c>
      <c r="C20" s="1270"/>
      <c r="D20" s="937">
        <f>SUM(D16:D19)</f>
        <v>1126</v>
      </c>
      <c r="E20" s="954">
        <f>D20*9.5</f>
        <v>10697</v>
      </c>
    </row>
    <row r="21" spans="2:5">
      <c r="B21" s="944"/>
      <c r="C21" s="944"/>
      <c r="D21" s="945"/>
      <c r="E21" s="945"/>
    </row>
    <row r="22" spans="2:5" ht="19.5">
      <c r="B22" s="946" t="s">
        <v>665</v>
      </c>
      <c r="C22" s="1264" t="s">
        <v>677</v>
      </c>
      <c r="D22" s="1265"/>
      <c r="E22" s="1266"/>
    </row>
    <row r="23" spans="2:5" ht="15" customHeight="1">
      <c r="B23" s="1251" t="s">
        <v>0</v>
      </c>
      <c r="C23" s="1251" t="s">
        <v>1</v>
      </c>
      <c r="D23" s="1252" t="s">
        <v>40</v>
      </c>
      <c r="E23" s="1253" t="s">
        <v>31</v>
      </c>
    </row>
    <row r="24" spans="2:5">
      <c r="B24" s="1251"/>
      <c r="C24" s="1251"/>
      <c r="D24" s="1252"/>
      <c r="E24" s="1254"/>
    </row>
    <row r="25" spans="2:5">
      <c r="B25" s="973"/>
      <c r="C25" s="975"/>
      <c r="D25" s="964"/>
      <c r="E25" s="965">
        <f>D25*9.5</f>
        <v>0</v>
      </c>
    </row>
    <row r="26" spans="2:5">
      <c r="B26" s="973"/>
      <c r="C26" s="975"/>
      <c r="D26" s="964"/>
      <c r="E26" s="965">
        <f>D26*9.5</f>
        <v>0</v>
      </c>
    </row>
    <row r="27" spans="2:5">
      <c r="B27" s="973"/>
      <c r="C27" s="975"/>
      <c r="D27" s="964"/>
      <c r="E27" s="965">
        <f>D27*9.5</f>
        <v>0</v>
      </c>
    </row>
    <row r="28" spans="2:5">
      <c r="B28" s="973"/>
      <c r="C28" s="975"/>
      <c r="D28" s="964"/>
      <c r="E28" s="965">
        <f>D28*9.5</f>
        <v>0</v>
      </c>
    </row>
    <row r="29" spans="2:5" ht="20.100000000000001" customHeight="1">
      <c r="B29" s="1259" t="s">
        <v>24</v>
      </c>
      <c r="C29" s="1259"/>
      <c r="D29" s="937">
        <f>SUM(D25:D28)</f>
        <v>0</v>
      </c>
      <c r="E29" s="954">
        <f>D29*9.5</f>
        <v>0</v>
      </c>
    </row>
    <row r="30" spans="2:5" ht="19.5">
      <c r="B30" s="1260" t="s">
        <v>200</v>
      </c>
      <c r="C30" s="1260"/>
      <c r="D30" s="1260"/>
      <c r="E30" s="1260"/>
    </row>
    <row r="31" spans="2:5">
      <c r="B31" s="950"/>
      <c r="C31" s="952" t="s">
        <v>34</v>
      </c>
      <c r="D31" s="952" t="s">
        <v>35</v>
      </c>
      <c r="E31" s="952" t="s">
        <v>37</v>
      </c>
    </row>
    <row r="32" spans="2:5">
      <c r="B32" s="953" t="s">
        <v>39</v>
      </c>
      <c r="C32" s="955">
        <f>D11</f>
        <v>1094</v>
      </c>
      <c r="D32" s="956">
        <f>D20</f>
        <v>1126</v>
      </c>
      <c r="E32" s="956">
        <f>D29</f>
        <v>0</v>
      </c>
    </row>
    <row r="33" spans="2:5">
      <c r="B33" s="953" t="s">
        <v>36</v>
      </c>
      <c r="C33" s="951">
        <f>C32*9.5</f>
        <v>10393</v>
      </c>
      <c r="D33" s="951">
        <f>D32*9.5</f>
        <v>10697</v>
      </c>
      <c r="E33" s="951">
        <f>E32*9.5</f>
        <v>0</v>
      </c>
    </row>
    <row r="34" spans="2:5" ht="19.5">
      <c r="B34" s="1261" t="s">
        <v>199</v>
      </c>
      <c r="C34" s="1262"/>
      <c r="D34" s="1262"/>
      <c r="E34" s="1263"/>
    </row>
    <row r="35" spans="2:5">
      <c r="B35" s="377" t="s">
        <v>198</v>
      </c>
      <c r="C35" s="378">
        <f>C32+D32+E32</f>
        <v>2220</v>
      </c>
      <c r="D35" s="378" t="s">
        <v>253</v>
      </c>
      <c r="E35" s="381">
        <f>C35*9.5</f>
        <v>21090</v>
      </c>
    </row>
    <row r="36" spans="2:5">
      <c r="B36" s="377" t="s">
        <v>197</v>
      </c>
      <c r="C36" s="378">
        <f>C37-C35</f>
        <v>435</v>
      </c>
      <c r="D36" s="378" t="s">
        <v>204</v>
      </c>
      <c r="E36" s="381">
        <f>C36*9</f>
        <v>3915</v>
      </c>
    </row>
    <row r="37" spans="2:5" ht="19.5">
      <c r="B37" s="941" t="s">
        <v>201</v>
      </c>
      <c r="C37" s="380">
        <v>2655</v>
      </c>
      <c r="D37" s="380" t="s">
        <v>202</v>
      </c>
      <c r="E37" s="379">
        <f>SUM(E35+E36)</f>
        <v>25005</v>
      </c>
    </row>
    <row r="39" spans="2:5">
      <c r="B39" s="938" t="s">
        <v>5</v>
      </c>
      <c r="C39" s="947"/>
    </row>
    <row r="40" spans="2:5">
      <c r="B40" s="948" t="s">
        <v>4</v>
      </c>
      <c r="C40" s="949"/>
    </row>
    <row r="41" spans="2:5">
      <c r="B41" s="948" t="s">
        <v>25</v>
      </c>
      <c r="C41" s="949"/>
    </row>
  </sheetData>
  <mergeCells count="22">
    <mergeCell ref="B29:C29"/>
    <mergeCell ref="B30:E30"/>
    <mergeCell ref="B34:E34"/>
    <mergeCell ref="B20:C20"/>
    <mergeCell ref="C22:E22"/>
    <mergeCell ref="B23:B24"/>
    <mergeCell ref="C23:C24"/>
    <mergeCell ref="D23:D24"/>
    <mergeCell ref="E23:E24"/>
    <mergeCell ref="B11:C11"/>
    <mergeCell ref="C13:E13"/>
    <mergeCell ref="B14:B15"/>
    <mergeCell ref="C14:C15"/>
    <mergeCell ref="D14:D15"/>
    <mergeCell ref="E14:E15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0DE79-0EA2-4A43-A1C8-D3FDB04A4040}">
  <sheetPr codeName="Sheet169">
    <pageSetUpPr fitToPage="1"/>
  </sheetPr>
  <dimension ref="B2:H43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44825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65</v>
      </c>
      <c r="C7" s="975" t="s">
        <v>669</v>
      </c>
      <c r="D7" s="964">
        <v>378</v>
      </c>
      <c r="E7" s="965">
        <f t="shared" ref="E7:E12" si="0">D7*9.5</f>
        <v>3591</v>
      </c>
    </row>
    <row r="8" spans="2:8" ht="15" customHeight="1">
      <c r="B8" s="973" t="s">
        <v>82</v>
      </c>
      <c r="C8" s="975" t="s">
        <v>669</v>
      </c>
      <c r="D8" s="964">
        <v>293</v>
      </c>
      <c r="E8" s="965">
        <f t="shared" si="0"/>
        <v>2783.5</v>
      </c>
    </row>
    <row r="9" spans="2:8" ht="15" customHeight="1">
      <c r="B9" s="973" t="s">
        <v>305</v>
      </c>
      <c r="C9" s="975" t="s">
        <v>26</v>
      </c>
      <c r="D9" s="964">
        <v>198</v>
      </c>
      <c r="E9" s="965">
        <f t="shared" si="0"/>
        <v>1881</v>
      </c>
    </row>
    <row r="10" spans="2:8" ht="15" customHeight="1">
      <c r="B10" s="1051" t="s">
        <v>53</v>
      </c>
      <c r="C10" s="975" t="s">
        <v>26</v>
      </c>
      <c r="D10" s="943">
        <v>330</v>
      </c>
      <c r="E10" s="965">
        <f t="shared" si="0"/>
        <v>3135</v>
      </c>
    </row>
    <row r="11" spans="2:8" ht="15" customHeight="1">
      <c r="B11" s="1051" t="s">
        <v>70</v>
      </c>
      <c r="C11" s="975" t="s">
        <v>681</v>
      </c>
      <c r="D11" s="943">
        <v>213</v>
      </c>
      <c r="E11" s="961">
        <f t="shared" si="0"/>
        <v>2023.5</v>
      </c>
    </row>
    <row r="12" spans="2:8" ht="20.100000000000001" customHeight="1">
      <c r="B12" s="1255" t="s">
        <v>24</v>
      </c>
      <c r="C12" s="1255"/>
      <c r="D12" s="964">
        <f>SUM(D7:D11)</f>
        <v>1412</v>
      </c>
      <c r="E12" s="965">
        <f t="shared" si="0"/>
        <v>13414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682</v>
      </c>
      <c r="C17" s="975" t="s">
        <v>669</v>
      </c>
      <c r="D17" s="964">
        <v>251</v>
      </c>
      <c r="E17" s="965">
        <f t="shared" ref="E17:E22" si="1">D17*9.5</f>
        <v>2384.5</v>
      </c>
    </row>
    <row r="18" spans="2:5" ht="15" customHeight="1">
      <c r="B18" s="973" t="s">
        <v>235</v>
      </c>
      <c r="C18" s="975" t="s">
        <v>669</v>
      </c>
      <c r="D18" s="964">
        <v>358</v>
      </c>
      <c r="E18" s="965">
        <f t="shared" si="1"/>
        <v>3401</v>
      </c>
    </row>
    <row r="19" spans="2:5" ht="14.45" customHeight="1">
      <c r="B19" s="973" t="s">
        <v>51</v>
      </c>
      <c r="C19" s="975" t="s">
        <v>26</v>
      </c>
      <c r="D19" s="964">
        <v>337</v>
      </c>
      <c r="E19" s="965">
        <f t="shared" si="1"/>
        <v>3201.5</v>
      </c>
    </row>
    <row r="20" spans="2:5" ht="14.45" customHeight="1">
      <c r="B20" s="1051" t="s">
        <v>53</v>
      </c>
      <c r="C20" s="975" t="s">
        <v>26</v>
      </c>
      <c r="D20" s="964">
        <v>238</v>
      </c>
      <c r="E20" s="965">
        <f t="shared" si="1"/>
        <v>2261</v>
      </c>
    </row>
    <row r="21" spans="2:5" ht="14.45" customHeight="1">
      <c r="B21" s="1051" t="s">
        <v>70</v>
      </c>
      <c r="C21" s="975" t="s">
        <v>681</v>
      </c>
      <c r="D21" s="964">
        <v>327</v>
      </c>
      <c r="E21" s="965">
        <f t="shared" si="1"/>
        <v>3106.5</v>
      </c>
    </row>
    <row r="22" spans="2:5" ht="14.45" customHeight="1">
      <c r="B22" s="1269" t="s">
        <v>24</v>
      </c>
      <c r="C22" s="1270"/>
      <c r="D22" s="937">
        <f>SUM(D17:D21)</f>
        <v>1511</v>
      </c>
      <c r="E22" s="954">
        <f t="shared" si="1"/>
        <v>14354.5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677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/>
      <c r="C27" s="975"/>
      <c r="D27" s="964"/>
      <c r="E27" s="965">
        <f>D27*9.5</f>
        <v>0</v>
      </c>
    </row>
    <row r="28" spans="2:5">
      <c r="B28" s="973"/>
      <c r="C28" s="975"/>
      <c r="D28" s="964"/>
      <c r="E28" s="965">
        <f>D28*9.5</f>
        <v>0</v>
      </c>
    </row>
    <row r="29" spans="2:5">
      <c r="B29" s="973"/>
      <c r="C29" s="975"/>
      <c r="D29" s="964"/>
      <c r="E29" s="965">
        <f>D29*9.5</f>
        <v>0</v>
      </c>
    </row>
    <row r="30" spans="2:5">
      <c r="B30" s="973"/>
      <c r="C30" s="975"/>
      <c r="D30" s="964"/>
      <c r="E30" s="965">
        <f>D30*9.5</f>
        <v>0</v>
      </c>
    </row>
    <row r="31" spans="2:5" ht="20.100000000000001" customHeight="1">
      <c r="B31" s="1259" t="s">
        <v>24</v>
      </c>
      <c r="C31" s="1259"/>
      <c r="D31" s="937">
        <f>SUM(D27:D30)</f>
        <v>0</v>
      </c>
      <c r="E31" s="954">
        <f>D31*9.5</f>
        <v>0</v>
      </c>
    </row>
    <row r="32" spans="2:5" ht="19.5">
      <c r="B32" s="1260" t="s">
        <v>200</v>
      </c>
      <c r="C32" s="1260"/>
      <c r="D32" s="1260"/>
      <c r="E32" s="1260"/>
    </row>
    <row r="33" spans="2:5">
      <c r="B33" s="950"/>
      <c r="C33" s="952" t="s">
        <v>34</v>
      </c>
      <c r="D33" s="952" t="s">
        <v>35</v>
      </c>
      <c r="E33" s="952" t="s">
        <v>37</v>
      </c>
    </row>
    <row r="34" spans="2:5">
      <c r="B34" s="953" t="s">
        <v>39</v>
      </c>
      <c r="C34" s="955">
        <f>D12</f>
        <v>1412</v>
      </c>
      <c r="D34" s="956">
        <f>D22</f>
        <v>1511</v>
      </c>
      <c r="E34" s="956">
        <f>D31</f>
        <v>0</v>
      </c>
    </row>
    <row r="35" spans="2:5">
      <c r="B35" s="953" t="s">
        <v>36</v>
      </c>
      <c r="C35" s="951">
        <f>C34*9.5</f>
        <v>13414</v>
      </c>
      <c r="D35" s="951">
        <f>D34*9.5</f>
        <v>14354.5</v>
      </c>
      <c r="E35" s="951">
        <f>E34*9.5</f>
        <v>0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2923</v>
      </c>
      <c r="D37" s="378" t="s">
        <v>253</v>
      </c>
      <c r="E37" s="381">
        <f>C37*9.5</f>
        <v>27768.5</v>
      </c>
    </row>
    <row r="38" spans="2:5">
      <c r="B38" s="377" t="s">
        <v>197</v>
      </c>
      <c r="C38" s="378">
        <f>C39-C37</f>
        <v>415</v>
      </c>
      <c r="D38" s="378" t="s">
        <v>204</v>
      </c>
      <c r="E38" s="381">
        <f>C38*9</f>
        <v>3735</v>
      </c>
    </row>
    <row r="39" spans="2:5" ht="19.5">
      <c r="B39" s="941" t="s">
        <v>201</v>
      </c>
      <c r="C39" s="380">
        <v>3338</v>
      </c>
      <c r="D39" s="380" t="s">
        <v>202</v>
      </c>
      <c r="E39" s="379">
        <f>SUM(E37+E38)</f>
        <v>31503.5</v>
      </c>
    </row>
    <row r="41" spans="2:5">
      <c r="B41" s="938" t="s">
        <v>5</v>
      </c>
      <c r="C41" s="947"/>
    </row>
    <row r="42" spans="2:5">
      <c r="B42" s="948" t="s">
        <v>4</v>
      </c>
      <c r="C42" s="949"/>
    </row>
    <row r="43" spans="2:5">
      <c r="B43" s="948" t="s">
        <v>25</v>
      </c>
      <c r="C43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1:C31"/>
    <mergeCell ref="B32:E32"/>
    <mergeCell ref="B36:E36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1DDE7-5779-43CE-8F55-A9EE8B5586F7}">
  <sheetPr codeName="Sheet17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44826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256</v>
      </c>
      <c r="C7" s="975" t="s">
        <v>669</v>
      </c>
      <c r="D7" s="964">
        <v>190</v>
      </c>
      <c r="E7" s="965">
        <f t="shared" ref="E7:E12" si="0">D7*9.5</f>
        <v>1805</v>
      </c>
    </row>
    <row r="8" spans="2:8" ht="15" customHeight="1">
      <c r="B8" s="973" t="s">
        <v>244</v>
      </c>
      <c r="C8" s="975" t="s">
        <v>669</v>
      </c>
      <c r="D8" s="964">
        <v>431</v>
      </c>
      <c r="E8" s="965">
        <f t="shared" si="0"/>
        <v>4094.5</v>
      </c>
    </row>
    <row r="9" spans="2:8" ht="15" customHeight="1">
      <c r="B9" s="973" t="s">
        <v>252</v>
      </c>
      <c r="C9" s="975" t="s">
        <v>26</v>
      </c>
      <c r="D9" s="964">
        <v>202</v>
      </c>
      <c r="E9" s="965">
        <f t="shared" si="0"/>
        <v>1919</v>
      </c>
    </row>
    <row r="10" spans="2:8" ht="15" customHeight="1">
      <c r="B10" s="1051" t="s">
        <v>295</v>
      </c>
      <c r="C10" s="975" t="s">
        <v>26</v>
      </c>
      <c r="D10" s="943">
        <v>206</v>
      </c>
      <c r="E10" s="965">
        <f t="shared" si="0"/>
        <v>1957</v>
      </c>
    </row>
    <row r="11" spans="2:8" ht="15" customHeight="1">
      <c r="B11" s="1051" t="s">
        <v>334</v>
      </c>
      <c r="C11" s="975" t="s">
        <v>681</v>
      </c>
      <c r="D11" s="943">
        <v>108</v>
      </c>
      <c r="E11" s="961">
        <f t="shared" si="0"/>
        <v>1026</v>
      </c>
    </row>
    <row r="12" spans="2:8" ht="20.100000000000001" customHeight="1">
      <c r="B12" s="1255" t="s">
        <v>24</v>
      </c>
      <c r="C12" s="1255"/>
      <c r="D12" s="964">
        <f>SUM(D7:D11)</f>
        <v>1137</v>
      </c>
      <c r="E12" s="965">
        <f t="shared" si="0"/>
        <v>10801.5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256</v>
      </c>
      <c r="C17" s="975" t="s">
        <v>669</v>
      </c>
      <c r="D17" s="964">
        <v>174</v>
      </c>
      <c r="E17" s="965">
        <f t="shared" ref="E17:E22" si="1">D17*9.5</f>
        <v>1653</v>
      </c>
    </row>
    <row r="18" spans="2:5" ht="15" customHeight="1">
      <c r="B18" s="973" t="s">
        <v>244</v>
      </c>
      <c r="C18" s="975" t="s">
        <v>669</v>
      </c>
      <c r="D18" s="964">
        <v>328</v>
      </c>
      <c r="E18" s="965">
        <f t="shared" si="1"/>
        <v>3116</v>
      </c>
    </row>
    <row r="19" spans="2:5" ht="14.45" customHeight="1">
      <c r="B19" s="973" t="s">
        <v>189</v>
      </c>
      <c r="C19" s="975" t="s">
        <v>26</v>
      </c>
      <c r="D19" s="964">
        <v>266</v>
      </c>
      <c r="E19" s="965">
        <f t="shared" si="1"/>
        <v>2527</v>
      </c>
    </row>
    <row r="20" spans="2:5" ht="14.45" customHeight="1">
      <c r="B20" s="1051" t="s">
        <v>305</v>
      </c>
      <c r="C20" s="975" t="s">
        <v>26</v>
      </c>
      <c r="D20" s="964">
        <v>181</v>
      </c>
      <c r="E20" s="965">
        <f t="shared" si="1"/>
        <v>1719.5</v>
      </c>
    </row>
    <row r="21" spans="2:5" ht="14.45" customHeight="1">
      <c r="B21" s="1051" t="s">
        <v>184</v>
      </c>
      <c r="C21" s="975" t="s">
        <v>681</v>
      </c>
      <c r="D21" s="964">
        <v>189</v>
      </c>
      <c r="E21" s="965">
        <f t="shared" si="1"/>
        <v>1795.5</v>
      </c>
    </row>
    <row r="22" spans="2:5" ht="14.45" customHeight="1">
      <c r="B22" s="1269" t="s">
        <v>24</v>
      </c>
      <c r="C22" s="1270"/>
      <c r="D22" s="937">
        <f>SUM(D17:D21)</f>
        <v>1138</v>
      </c>
      <c r="E22" s="954">
        <f t="shared" si="1"/>
        <v>10811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70</v>
      </c>
      <c r="C27" s="975" t="s">
        <v>669</v>
      </c>
      <c r="D27" s="964">
        <v>277</v>
      </c>
      <c r="E27" s="965">
        <f t="shared" ref="E27:E32" si="2">D27*9.5</f>
        <v>2631.5</v>
      </c>
    </row>
    <row r="28" spans="2:5">
      <c r="B28" s="973" t="s">
        <v>258</v>
      </c>
      <c r="C28" s="975" t="s">
        <v>669</v>
      </c>
      <c r="D28" s="964">
        <v>228</v>
      </c>
      <c r="E28" s="965">
        <f t="shared" si="2"/>
        <v>2166</v>
      </c>
    </row>
    <row r="29" spans="2:5">
      <c r="B29" s="973" t="s">
        <v>238</v>
      </c>
      <c r="C29" s="975" t="s">
        <v>26</v>
      </c>
      <c r="D29" s="964">
        <v>130</v>
      </c>
      <c r="E29" s="965">
        <f t="shared" si="2"/>
        <v>1235</v>
      </c>
    </row>
    <row r="30" spans="2:5">
      <c r="B30" s="973" t="s">
        <v>250</v>
      </c>
      <c r="C30" s="975" t="s">
        <v>26</v>
      </c>
      <c r="D30" s="964">
        <v>145</v>
      </c>
      <c r="E30" s="965">
        <f t="shared" si="2"/>
        <v>1377.5</v>
      </c>
    </row>
    <row r="31" spans="2:5">
      <c r="B31" s="973" t="s">
        <v>678</v>
      </c>
      <c r="C31" s="975" t="s">
        <v>667</v>
      </c>
      <c r="D31" s="964">
        <v>177</v>
      </c>
      <c r="E31" s="965">
        <f t="shared" si="2"/>
        <v>1681.5</v>
      </c>
    </row>
    <row r="32" spans="2:5" ht="20.100000000000001" customHeight="1">
      <c r="B32" s="1259" t="s">
        <v>24</v>
      </c>
      <c r="C32" s="1259"/>
      <c r="D32" s="937">
        <f>SUM(D27:D31)</f>
        <v>957</v>
      </c>
      <c r="E32" s="954">
        <f t="shared" si="2"/>
        <v>9091.5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1137</v>
      </c>
      <c r="D35" s="956">
        <f>D22</f>
        <v>1138</v>
      </c>
      <c r="E35" s="956">
        <f>D32</f>
        <v>957</v>
      </c>
    </row>
    <row r="36" spans="2:5">
      <c r="B36" s="953" t="s">
        <v>36</v>
      </c>
      <c r="C36" s="951">
        <f>C35*9.5</f>
        <v>10801.5</v>
      </c>
      <c r="D36" s="951">
        <f>D35*9.5</f>
        <v>10811</v>
      </c>
      <c r="E36" s="951">
        <f>E35*9.5</f>
        <v>9091.5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3232</v>
      </c>
      <c r="D38" s="378" t="s">
        <v>253</v>
      </c>
      <c r="E38" s="381">
        <f>C38*9.5</f>
        <v>30704</v>
      </c>
    </row>
    <row r="39" spans="2:5">
      <c r="B39" s="377" t="s">
        <v>197</v>
      </c>
      <c r="C39" s="378">
        <f>C40-C38</f>
        <v>1574</v>
      </c>
      <c r="D39" s="378" t="s">
        <v>204</v>
      </c>
      <c r="E39" s="381">
        <f>C39*9</f>
        <v>14166</v>
      </c>
    </row>
    <row r="40" spans="2:5" ht="19.5">
      <c r="B40" s="941" t="s">
        <v>201</v>
      </c>
      <c r="C40" s="380">
        <v>4806</v>
      </c>
      <c r="D40" s="380" t="s">
        <v>202</v>
      </c>
      <c r="E40" s="379">
        <f>SUM(E38+E39)</f>
        <v>44870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95723-ECB4-4489-B884-B32818FDF106}">
  <sheetPr codeName="Sheet17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44827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295</v>
      </c>
      <c r="C7" s="975" t="s">
        <v>669</v>
      </c>
      <c r="D7" s="964">
        <v>197</v>
      </c>
      <c r="E7" s="965">
        <f t="shared" ref="E7:E12" si="0">D7*9.5</f>
        <v>1871.5</v>
      </c>
    </row>
    <row r="8" spans="2:8" ht="15" customHeight="1">
      <c r="B8" s="973" t="s">
        <v>252</v>
      </c>
      <c r="C8" s="975" t="s">
        <v>669</v>
      </c>
      <c r="D8" s="964">
        <v>303</v>
      </c>
      <c r="E8" s="965">
        <f t="shared" si="0"/>
        <v>2878.5</v>
      </c>
    </row>
    <row r="9" spans="2:8" ht="15" customHeight="1">
      <c r="B9" s="973" t="s">
        <v>78</v>
      </c>
      <c r="C9" s="975" t="s">
        <v>26</v>
      </c>
      <c r="D9" s="964">
        <v>209</v>
      </c>
      <c r="E9" s="965">
        <f t="shared" si="0"/>
        <v>1985.5</v>
      </c>
    </row>
    <row r="10" spans="2:8" ht="15" customHeight="1">
      <c r="B10" s="1051" t="s">
        <v>678</v>
      </c>
      <c r="C10" s="975" t="s">
        <v>26</v>
      </c>
      <c r="D10" s="943">
        <v>270</v>
      </c>
      <c r="E10" s="965">
        <f t="shared" si="0"/>
        <v>2565</v>
      </c>
    </row>
    <row r="11" spans="2:8" ht="15" customHeight="1">
      <c r="B11" s="1051" t="s">
        <v>329</v>
      </c>
      <c r="C11" s="975" t="s">
        <v>681</v>
      </c>
      <c r="D11" s="943">
        <v>265</v>
      </c>
      <c r="E11" s="961">
        <f t="shared" si="0"/>
        <v>2517.5</v>
      </c>
    </row>
    <row r="12" spans="2:8" ht="20.100000000000001" customHeight="1">
      <c r="B12" s="1255" t="s">
        <v>24</v>
      </c>
      <c r="C12" s="1255"/>
      <c r="D12" s="964">
        <f>SUM(D7:D11)</f>
        <v>1244</v>
      </c>
      <c r="E12" s="965">
        <f t="shared" si="0"/>
        <v>11818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45</v>
      </c>
      <c r="C17" s="975" t="s">
        <v>669</v>
      </c>
      <c r="D17" s="964">
        <v>278</v>
      </c>
      <c r="E17" s="965">
        <f t="shared" ref="E17:E22" si="1">D17*9.5</f>
        <v>2641</v>
      </c>
    </row>
    <row r="18" spans="2:5" ht="15" customHeight="1">
      <c r="B18" s="973" t="s">
        <v>44</v>
      </c>
      <c r="C18" s="975" t="s">
        <v>669</v>
      </c>
      <c r="D18" s="964">
        <v>182</v>
      </c>
      <c r="E18" s="965">
        <f t="shared" si="1"/>
        <v>1729</v>
      </c>
    </row>
    <row r="19" spans="2:5" ht="14.45" customHeight="1">
      <c r="B19" s="973" t="s">
        <v>279</v>
      </c>
      <c r="C19" s="975" t="s">
        <v>26</v>
      </c>
      <c r="D19" s="964">
        <v>575</v>
      </c>
      <c r="E19" s="965">
        <f t="shared" si="1"/>
        <v>5462.5</v>
      </c>
    </row>
    <row r="20" spans="2:5" ht="14.45" customHeight="1">
      <c r="B20" s="1051" t="s">
        <v>686</v>
      </c>
      <c r="C20" s="975" t="s">
        <v>26</v>
      </c>
      <c r="D20" s="964">
        <v>78</v>
      </c>
      <c r="E20" s="965">
        <f t="shared" si="1"/>
        <v>741</v>
      </c>
    </row>
    <row r="21" spans="2:5" ht="14.45" customHeight="1">
      <c r="B21" s="1051" t="s">
        <v>250</v>
      </c>
      <c r="C21" s="975" t="s">
        <v>681</v>
      </c>
      <c r="D21" s="964">
        <v>150</v>
      </c>
      <c r="E21" s="965">
        <f t="shared" si="1"/>
        <v>1425</v>
      </c>
    </row>
    <row r="22" spans="2:5" ht="14.45" customHeight="1">
      <c r="B22" s="1269" t="s">
        <v>24</v>
      </c>
      <c r="C22" s="1270"/>
      <c r="D22" s="937">
        <f>SUM(D17:D21)</f>
        <v>1263</v>
      </c>
      <c r="E22" s="954">
        <f t="shared" si="1"/>
        <v>11998.5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12</v>
      </c>
      <c r="C27" s="975" t="s">
        <v>669</v>
      </c>
      <c r="D27" s="964">
        <v>100</v>
      </c>
      <c r="E27" s="965">
        <f t="shared" ref="E27:E32" si="2">D27*9.5</f>
        <v>950</v>
      </c>
    </row>
    <row r="28" spans="2:5">
      <c r="B28" s="973" t="s">
        <v>278</v>
      </c>
      <c r="C28" s="975" t="s">
        <v>669</v>
      </c>
      <c r="D28" s="964">
        <v>285</v>
      </c>
      <c r="E28" s="965">
        <f t="shared" si="2"/>
        <v>2707.5</v>
      </c>
    </row>
    <row r="29" spans="2:5">
      <c r="B29" s="973" t="s">
        <v>279</v>
      </c>
      <c r="C29" s="975" t="s">
        <v>26</v>
      </c>
      <c r="D29" s="964">
        <v>140</v>
      </c>
      <c r="E29" s="965">
        <f t="shared" si="2"/>
        <v>1330</v>
      </c>
    </row>
    <row r="30" spans="2:5">
      <c r="B30" s="973" t="s">
        <v>313</v>
      </c>
      <c r="C30" s="975" t="s">
        <v>26</v>
      </c>
      <c r="D30" s="964">
        <v>248</v>
      </c>
      <c r="E30" s="965">
        <f t="shared" si="2"/>
        <v>2356</v>
      </c>
    </row>
    <row r="31" spans="2:5">
      <c r="B31" s="973" t="s">
        <v>250</v>
      </c>
      <c r="C31" s="975" t="s">
        <v>667</v>
      </c>
      <c r="D31" s="964">
        <v>121</v>
      </c>
      <c r="E31" s="965">
        <f t="shared" si="2"/>
        <v>1149.5</v>
      </c>
    </row>
    <row r="32" spans="2:5" ht="20.100000000000001" customHeight="1">
      <c r="B32" s="1259" t="s">
        <v>24</v>
      </c>
      <c r="C32" s="1259"/>
      <c r="D32" s="937">
        <f>SUM(D27:D31)</f>
        <v>894</v>
      </c>
      <c r="E32" s="954">
        <f t="shared" si="2"/>
        <v>8493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1244</v>
      </c>
      <c r="D35" s="956">
        <f>D22</f>
        <v>1263</v>
      </c>
      <c r="E35" s="956">
        <f>D32</f>
        <v>894</v>
      </c>
    </row>
    <row r="36" spans="2:5">
      <c r="B36" s="953" t="s">
        <v>36</v>
      </c>
      <c r="C36" s="951">
        <f>C35*9.5</f>
        <v>11818</v>
      </c>
      <c r="D36" s="951">
        <f>D35*9.5</f>
        <v>11998.5</v>
      </c>
      <c r="E36" s="951">
        <f>E35*9.5</f>
        <v>8493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3401</v>
      </c>
      <c r="D38" s="378" t="s">
        <v>253</v>
      </c>
      <c r="E38" s="381">
        <f>C38*9.5</f>
        <v>32309.5</v>
      </c>
    </row>
    <row r="39" spans="2:5">
      <c r="B39" s="377" t="s">
        <v>197</v>
      </c>
      <c r="C39" s="378">
        <f>C40-C38</f>
        <v>1394</v>
      </c>
      <c r="D39" s="378" t="s">
        <v>204</v>
      </c>
      <c r="E39" s="381">
        <f>C39*9</f>
        <v>12546</v>
      </c>
    </row>
    <row r="40" spans="2:5" ht="19.5">
      <c r="B40" s="941" t="s">
        <v>201</v>
      </c>
      <c r="C40" s="380">
        <v>4795</v>
      </c>
      <c r="D40" s="380" t="s">
        <v>202</v>
      </c>
      <c r="E40" s="379">
        <f>SUM(E38+E39)</f>
        <v>44855.5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0811-B265-4B37-9590-8D4DC264C849}">
  <sheetPr codeName="Sheet17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44828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252</v>
      </c>
      <c r="C7" s="975" t="s">
        <v>669</v>
      </c>
      <c r="D7" s="964">
        <v>236</v>
      </c>
      <c r="E7" s="965">
        <f t="shared" ref="E7:E12" si="0">D7*9.5</f>
        <v>2242</v>
      </c>
    </row>
    <row r="8" spans="2:8" ht="15" customHeight="1">
      <c r="B8" s="973" t="s">
        <v>70</v>
      </c>
      <c r="C8" s="975" t="s">
        <v>669</v>
      </c>
      <c r="D8" s="964">
        <v>387</v>
      </c>
      <c r="E8" s="965">
        <f t="shared" si="0"/>
        <v>3676.5</v>
      </c>
    </row>
    <row r="9" spans="2:8" ht="15" customHeight="1">
      <c r="B9" s="973" t="s">
        <v>303</v>
      </c>
      <c r="C9" s="975" t="s">
        <v>26</v>
      </c>
      <c r="D9" s="964">
        <v>757</v>
      </c>
      <c r="E9" s="965">
        <f t="shared" si="0"/>
        <v>7191.5</v>
      </c>
    </row>
    <row r="10" spans="2:8" ht="15" customHeight="1">
      <c r="B10" s="1051" t="s">
        <v>329</v>
      </c>
      <c r="C10" s="975" t="s">
        <v>26</v>
      </c>
      <c r="D10" s="943">
        <v>351</v>
      </c>
      <c r="E10" s="965">
        <f t="shared" si="0"/>
        <v>3334.5</v>
      </c>
    </row>
    <row r="11" spans="2:8" ht="15" customHeight="1">
      <c r="B11" s="1051" t="s">
        <v>143</v>
      </c>
      <c r="C11" s="975" t="s">
        <v>681</v>
      </c>
      <c r="D11" s="943">
        <v>192</v>
      </c>
      <c r="E11" s="961">
        <f t="shared" si="0"/>
        <v>1824</v>
      </c>
    </row>
    <row r="12" spans="2:8" ht="20.100000000000001" customHeight="1">
      <c r="B12" s="1255" t="s">
        <v>24</v>
      </c>
      <c r="C12" s="1255"/>
      <c r="D12" s="964">
        <f>SUM(D7:D11)</f>
        <v>1923</v>
      </c>
      <c r="E12" s="965">
        <f t="shared" si="0"/>
        <v>18268.5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250</v>
      </c>
      <c r="C17" s="975" t="s">
        <v>669</v>
      </c>
      <c r="D17" s="964">
        <v>71</v>
      </c>
      <c r="E17" s="965">
        <f t="shared" ref="E17:E22" si="1">D17*9.5</f>
        <v>674.5</v>
      </c>
    </row>
    <row r="18" spans="2:5" ht="15" customHeight="1">
      <c r="B18" s="973" t="s">
        <v>70</v>
      </c>
      <c r="C18" s="975" t="s">
        <v>669</v>
      </c>
      <c r="D18" s="964">
        <v>336</v>
      </c>
      <c r="E18" s="965">
        <f t="shared" si="1"/>
        <v>3192</v>
      </c>
    </row>
    <row r="19" spans="2:5" ht="14.45" customHeight="1">
      <c r="B19" s="973" t="s">
        <v>184</v>
      </c>
      <c r="C19" s="975" t="s">
        <v>26</v>
      </c>
      <c r="D19" s="964">
        <v>248</v>
      </c>
      <c r="E19" s="965">
        <f t="shared" si="1"/>
        <v>2356</v>
      </c>
    </row>
    <row r="20" spans="2:5" ht="14.45" customHeight="1">
      <c r="B20" s="1051" t="s">
        <v>78</v>
      </c>
      <c r="C20" s="975" t="s">
        <v>26</v>
      </c>
      <c r="D20" s="964">
        <v>221</v>
      </c>
      <c r="E20" s="965">
        <f t="shared" si="1"/>
        <v>2099.5</v>
      </c>
    </row>
    <row r="21" spans="2:5" ht="14.45" customHeight="1">
      <c r="B21" s="1051" t="s">
        <v>678</v>
      </c>
      <c r="C21" s="975" t="s">
        <v>681</v>
      </c>
      <c r="D21" s="964">
        <v>95</v>
      </c>
      <c r="E21" s="965">
        <f t="shared" si="1"/>
        <v>902.5</v>
      </c>
    </row>
    <row r="22" spans="2:5" ht="14.45" customHeight="1">
      <c r="B22" s="1269" t="s">
        <v>24</v>
      </c>
      <c r="C22" s="1270"/>
      <c r="D22" s="937">
        <f>SUM(D17:D21)</f>
        <v>971</v>
      </c>
      <c r="E22" s="954">
        <f t="shared" si="1"/>
        <v>9224.5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250</v>
      </c>
      <c r="C27" s="975" t="s">
        <v>669</v>
      </c>
      <c r="D27" s="964">
        <v>220</v>
      </c>
      <c r="E27" s="965">
        <f t="shared" ref="E27:E32" si="2">D27*9.5</f>
        <v>2090</v>
      </c>
    </row>
    <row r="28" spans="2:5">
      <c r="B28" s="973" t="s">
        <v>235</v>
      </c>
      <c r="C28" s="975" t="s">
        <v>669</v>
      </c>
      <c r="D28" s="964">
        <v>360</v>
      </c>
      <c r="E28" s="965">
        <f t="shared" si="2"/>
        <v>3420</v>
      </c>
    </row>
    <row r="29" spans="2:5">
      <c r="B29" s="973" t="s">
        <v>184</v>
      </c>
      <c r="C29" s="975" t="s">
        <v>26</v>
      </c>
      <c r="D29" s="964">
        <v>75</v>
      </c>
      <c r="E29" s="965">
        <f t="shared" si="2"/>
        <v>712.5</v>
      </c>
    </row>
    <row r="30" spans="2:5">
      <c r="B30" s="973" t="s">
        <v>65</v>
      </c>
      <c r="C30" s="975" t="s">
        <v>26</v>
      </c>
      <c r="D30" s="964">
        <v>128</v>
      </c>
      <c r="E30" s="965">
        <f t="shared" si="2"/>
        <v>1216</v>
      </c>
    </row>
    <row r="31" spans="2:5">
      <c r="B31" s="973" t="s">
        <v>678</v>
      </c>
      <c r="C31" s="975" t="s">
        <v>667</v>
      </c>
      <c r="D31" s="964">
        <v>181</v>
      </c>
      <c r="E31" s="965">
        <f t="shared" si="2"/>
        <v>1719.5</v>
      </c>
    </row>
    <row r="32" spans="2:5" ht="20.100000000000001" customHeight="1">
      <c r="B32" s="1259" t="s">
        <v>24</v>
      </c>
      <c r="C32" s="1259"/>
      <c r="D32" s="937">
        <f>SUM(D27:D31)</f>
        <v>964</v>
      </c>
      <c r="E32" s="954">
        <f t="shared" si="2"/>
        <v>9158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1923</v>
      </c>
      <c r="D35" s="956">
        <f>D22</f>
        <v>971</v>
      </c>
      <c r="E35" s="956">
        <f>D32</f>
        <v>964</v>
      </c>
    </row>
    <row r="36" spans="2:5">
      <c r="B36" s="953" t="s">
        <v>36</v>
      </c>
      <c r="C36" s="951">
        <f>C35*9.5</f>
        <v>18268.5</v>
      </c>
      <c r="D36" s="951">
        <f>D35*9.5</f>
        <v>9224.5</v>
      </c>
      <c r="E36" s="951">
        <f>E35*9.5</f>
        <v>9158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3858</v>
      </c>
      <c r="D38" s="378" t="s">
        <v>253</v>
      </c>
      <c r="E38" s="381">
        <f>C38*9.5</f>
        <v>36651</v>
      </c>
    </row>
    <row r="39" spans="2:5">
      <c r="B39" s="377" t="s">
        <v>197</v>
      </c>
      <c r="C39" s="378">
        <f>C40-C38</f>
        <v>60</v>
      </c>
      <c r="D39" s="378" t="s">
        <v>204</v>
      </c>
      <c r="E39" s="381">
        <f>C39*9</f>
        <v>540</v>
      </c>
    </row>
    <row r="40" spans="2:5" ht="19.5">
      <c r="B40" s="941" t="s">
        <v>201</v>
      </c>
      <c r="C40" s="380">
        <v>3918</v>
      </c>
      <c r="D40" s="380" t="s">
        <v>202</v>
      </c>
      <c r="E40" s="379">
        <f>SUM(E38+E39)</f>
        <v>37191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24370-1ED5-453F-A358-74E1C092F7BA}">
  <sheetPr codeName="Sheet173">
    <pageSetUpPr fitToPage="1"/>
  </sheetPr>
  <dimension ref="B2:H43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44829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295</v>
      </c>
      <c r="C7" s="975" t="s">
        <v>669</v>
      </c>
      <c r="D7" s="964">
        <v>250</v>
      </c>
      <c r="E7" s="965">
        <f t="shared" ref="E7:E11" si="0">D7*9.5</f>
        <v>2375</v>
      </c>
    </row>
    <row r="8" spans="2:8" ht="15" customHeight="1">
      <c r="B8" s="973" t="s">
        <v>252</v>
      </c>
      <c r="C8" s="975" t="s">
        <v>669</v>
      </c>
      <c r="D8" s="964">
        <v>365</v>
      </c>
      <c r="E8" s="965">
        <f t="shared" si="0"/>
        <v>3467.5</v>
      </c>
    </row>
    <row r="9" spans="2:8" ht="15" customHeight="1">
      <c r="B9" s="973" t="s">
        <v>239</v>
      </c>
      <c r="C9" s="975" t="s">
        <v>26</v>
      </c>
      <c r="D9" s="964">
        <v>322</v>
      </c>
      <c r="E9" s="965">
        <f t="shared" si="0"/>
        <v>3059</v>
      </c>
    </row>
    <row r="10" spans="2:8" ht="15" customHeight="1">
      <c r="B10" s="1051" t="s">
        <v>329</v>
      </c>
      <c r="C10" s="975" t="s">
        <v>26</v>
      </c>
      <c r="D10" s="943">
        <v>378</v>
      </c>
      <c r="E10" s="965">
        <f t="shared" si="0"/>
        <v>3591</v>
      </c>
    </row>
    <row r="11" spans="2:8" ht="20.100000000000001" customHeight="1">
      <c r="B11" s="1255" t="s">
        <v>24</v>
      </c>
      <c r="C11" s="1255"/>
      <c r="D11" s="964">
        <f>SUM(D7:D10)</f>
        <v>1315</v>
      </c>
      <c r="E11" s="965">
        <f t="shared" si="0"/>
        <v>12492.5</v>
      </c>
    </row>
    <row r="13" spans="2:8" ht="19.5">
      <c r="B13" s="941" t="s">
        <v>671</v>
      </c>
      <c r="C13" s="1256" t="s">
        <v>46</v>
      </c>
      <c r="D13" s="1257"/>
      <c r="E13" s="1258"/>
    </row>
    <row r="14" spans="2:8" ht="15" customHeight="1">
      <c r="B14" s="1251" t="s">
        <v>0</v>
      </c>
      <c r="C14" s="1251" t="s">
        <v>1</v>
      </c>
      <c r="D14" s="1252" t="s">
        <v>40</v>
      </c>
      <c r="E14" s="1253" t="s">
        <v>31</v>
      </c>
    </row>
    <row r="15" spans="2:8" s="974" customFormat="1">
      <c r="B15" s="1251"/>
      <c r="C15" s="1251"/>
      <c r="D15" s="1252"/>
      <c r="E15" s="1254"/>
    </row>
    <row r="16" spans="2:8" ht="14.45" customHeight="1">
      <c r="B16" s="973" t="s">
        <v>301</v>
      </c>
      <c r="C16" s="975" t="s">
        <v>669</v>
      </c>
      <c r="D16" s="964">
        <v>475</v>
      </c>
      <c r="E16" s="965">
        <f t="shared" ref="E16:E21" si="1">D16*9.5</f>
        <v>4512.5</v>
      </c>
    </row>
    <row r="17" spans="2:5" ht="15" customHeight="1">
      <c r="B17" s="973" t="s">
        <v>44</v>
      </c>
      <c r="C17" s="975" t="s">
        <v>669</v>
      </c>
      <c r="D17" s="964">
        <v>267</v>
      </c>
      <c r="E17" s="965">
        <f t="shared" si="1"/>
        <v>2536.5</v>
      </c>
    </row>
    <row r="18" spans="2:5" ht="14.45" customHeight="1">
      <c r="B18" s="973" t="s">
        <v>330</v>
      </c>
      <c r="C18" s="975" t="s">
        <v>26</v>
      </c>
      <c r="D18" s="964">
        <v>367</v>
      </c>
      <c r="E18" s="965">
        <f t="shared" si="1"/>
        <v>3486.5</v>
      </c>
    </row>
    <row r="19" spans="2:5" ht="14.45" customHeight="1">
      <c r="B19" s="1051" t="s">
        <v>688</v>
      </c>
      <c r="C19" s="975" t="s">
        <v>26</v>
      </c>
      <c r="D19" s="964">
        <v>259</v>
      </c>
      <c r="E19" s="965">
        <f t="shared" si="1"/>
        <v>2460.5</v>
      </c>
    </row>
    <row r="20" spans="2:5" ht="14.45" customHeight="1">
      <c r="B20" s="1051" t="s">
        <v>70</v>
      </c>
      <c r="C20" s="975" t="s">
        <v>681</v>
      </c>
      <c r="D20" s="964">
        <v>300</v>
      </c>
      <c r="E20" s="965">
        <f t="shared" si="1"/>
        <v>2850</v>
      </c>
    </row>
    <row r="21" spans="2:5" ht="14.45" customHeight="1">
      <c r="B21" s="1269" t="s">
        <v>24</v>
      </c>
      <c r="C21" s="1270"/>
      <c r="D21" s="937">
        <f>SUM(D16:D20)</f>
        <v>1668</v>
      </c>
      <c r="E21" s="954">
        <f t="shared" si="1"/>
        <v>15846</v>
      </c>
    </row>
    <row r="22" spans="2:5">
      <c r="B22" s="944"/>
      <c r="C22" s="944"/>
      <c r="D22" s="945"/>
      <c r="E22" s="945"/>
    </row>
    <row r="23" spans="2:5" ht="19.5">
      <c r="B23" s="946" t="s">
        <v>665</v>
      </c>
      <c r="C23" s="1264" t="s">
        <v>685</v>
      </c>
      <c r="D23" s="1265"/>
      <c r="E23" s="1266"/>
    </row>
    <row r="24" spans="2:5" ht="15" customHeight="1">
      <c r="B24" s="1251" t="s">
        <v>0</v>
      </c>
      <c r="C24" s="1251" t="s">
        <v>1</v>
      </c>
      <c r="D24" s="1252" t="s">
        <v>40</v>
      </c>
      <c r="E24" s="1253" t="s">
        <v>31</v>
      </c>
    </row>
    <row r="25" spans="2:5">
      <c r="B25" s="1251"/>
      <c r="C25" s="1251"/>
      <c r="D25" s="1252"/>
      <c r="E25" s="1254"/>
    </row>
    <row r="26" spans="2:5">
      <c r="B26" s="973" t="s">
        <v>301</v>
      </c>
      <c r="C26" s="975" t="s">
        <v>669</v>
      </c>
      <c r="D26" s="964">
        <v>140</v>
      </c>
      <c r="E26" s="965">
        <f t="shared" ref="E26:E31" si="2">D26*9.5</f>
        <v>1330</v>
      </c>
    </row>
    <row r="27" spans="2:5">
      <c r="B27" s="973" t="s">
        <v>258</v>
      </c>
      <c r="C27" s="975" t="s">
        <v>669</v>
      </c>
      <c r="D27" s="964">
        <v>206</v>
      </c>
      <c r="E27" s="965">
        <f t="shared" si="2"/>
        <v>1957</v>
      </c>
    </row>
    <row r="28" spans="2:5">
      <c r="B28" s="973" t="s">
        <v>82</v>
      </c>
      <c r="C28" s="975" t="s">
        <v>26</v>
      </c>
      <c r="D28" s="964">
        <v>146</v>
      </c>
      <c r="E28" s="965">
        <f t="shared" si="2"/>
        <v>1387</v>
      </c>
    </row>
    <row r="29" spans="2:5">
      <c r="B29" s="1051" t="s">
        <v>250</v>
      </c>
      <c r="C29" s="975" t="s">
        <v>26</v>
      </c>
      <c r="D29" s="964">
        <v>97</v>
      </c>
      <c r="E29" s="965">
        <f t="shared" si="2"/>
        <v>921.5</v>
      </c>
    </row>
    <row r="30" spans="2:5">
      <c r="B30" s="1051" t="s">
        <v>70</v>
      </c>
      <c r="C30" s="975" t="s">
        <v>667</v>
      </c>
      <c r="D30" s="964">
        <v>188</v>
      </c>
      <c r="E30" s="965">
        <f t="shared" si="2"/>
        <v>1786</v>
      </c>
    </row>
    <row r="31" spans="2:5" ht="20.100000000000001" customHeight="1">
      <c r="B31" s="1259" t="s">
        <v>24</v>
      </c>
      <c r="C31" s="1259"/>
      <c r="D31" s="937">
        <f>SUM(D26:D30)</f>
        <v>777</v>
      </c>
      <c r="E31" s="954">
        <f t="shared" si="2"/>
        <v>7381.5</v>
      </c>
    </row>
    <row r="32" spans="2:5" ht="19.5">
      <c r="B32" s="1260" t="s">
        <v>200</v>
      </c>
      <c r="C32" s="1260"/>
      <c r="D32" s="1260"/>
      <c r="E32" s="1260"/>
    </row>
    <row r="33" spans="2:5">
      <c r="B33" s="950"/>
      <c r="C33" s="952" t="s">
        <v>34</v>
      </c>
      <c r="D33" s="952" t="s">
        <v>35</v>
      </c>
      <c r="E33" s="952" t="s">
        <v>37</v>
      </c>
    </row>
    <row r="34" spans="2:5">
      <c r="B34" s="953" t="s">
        <v>39</v>
      </c>
      <c r="C34" s="955">
        <f>D11</f>
        <v>1315</v>
      </c>
      <c r="D34" s="956">
        <f>D21</f>
        <v>1668</v>
      </c>
      <c r="E34" s="956">
        <f>D31</f>
        <v>777</v>
      </c>
    </row>
    <row r="35" spans="2:5">
      <c r="B35" s="953" t="s">
        <v>36</v>
      </c>
      <c r="C35" s="951">
        <f>C34*9.5</f>
        <v>12492.5</v>
      </c>
      <c r="D35" s="951">
        <f>D34*9.5</f>
        <v>15846</v>
      </c>
      <c r="E35" s="951">
        <f>E34*9.5</f>
        <v>7381.5</v>
      </c>
    </row>
    <row r="36" spans="2:5" ht="19.5">
      <c r="B36" s="1261" t="s">
        <v>199</v>
      </c>
      <c r="C36" s="1262"/>
      <c r="D36" s="1262"/>
      <c r="E36" s="1263"/>
    </row>
    <row r="37" spans="2:5">
      <c r="B37" s="377" t="s">
        <v>198</v>
      </c>
      <c r="C37" s="378">
        <f>C34+D34+E34</f>
        <v>3760</v>
      </c>
      <c r="D37" s="378" t="s">
        <v>253</v>
      </c>
      <c r="E37" s="381">
        <f>C37*9.5</f>
        <v>35720</v>
      </c>
    </row>
    <row r="38" spans="2:5">
      <c r="B38" s="377" t="s">
        <v>197</v>
      </c>
      <c r="C38" s="378">
        <f>C39-C37</f>
        <v>114</v>
      </c>
      <c r="D38" s="378" t="s">
        <v>204</v>
      </c>
      <c r="E38" s="381">
        <f>C38*9</f>
        <v>1026</v>
      </c>
    </row>
    <row r="39" spans="2:5" ht="19.5">
      <c r="B39" s="941" t="s">
        <v>201</v>
      </c>
      <c r="C39" s="380">
        <v>3874</v>
      </c>
      <c r="D39" s="380" t="s">
        <v>202</v>
      </c>
      <c r="E39" s="379">
        <f>SUM(E37+E38)</f>
        <v>36746</v>
      </c>
    </row>
    <row r="41" spans="2:5">
      <c r="B41" s="938" t="s">
        <v>5</v>
      </c>
      <c r="C41" s="947"/>
    </row>
    <row r="42" spans="2:5">
      <c r="B42" s="948" t="s">
        <v>4</v>
      </c>
      <c r="C42" s="949"/>
    </row>
    <row r="43" spans="2:5">
      <c r="B43" s="948" t="s">
        <v>25</v>
      </c>
      <c r="C43" s="949"/>
    </row>
  </sheetData>
  <mergeCells count="22">
    <mergeCell ref="B31:C31"/>
    <mergeCell ref="B32:E32"/>
    <mergeCell ref="B36:E36"/>
    <mergeCell ref="B21:C21"/>
    <mergeCell ref="C23:E23"/>
    <mergeCell ref="B24:B25"/>
    <mergeCell ref="C24:C25"/>
    <mergeCell ref="D24:D25"/>
    <mergeCell ref="E24:E25"/>
    <mergeCell ref="B11:C11"/>
    <mergeCell ref="C13:E13"/>
    <mergeCell ref="B14:B15"/>
    <mergeCell ref="C14:C15"/>
    <mergeCell ref="D14:D15"/>
    <mergeCell ref="E14:E15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50551-B94B-4ABB-8E5F-09570CC1C755}">
  <sheetPr codeName="Sheet17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44830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244</v>
      </c>
      <c r="C7" s="975" t="s">
        <v>669</v>
      </c>
      <c r="D7" s="964">
        <v>463</v>
      </c>
      <c r="E7" s="965">
        <f t="shared" ref="E7:E12" si="0">D7*9.5</f>
        <v>4398.5</v>
      </c>
    </row>
    <row r="8" spans="2:8" ht="15" customHeight="1">
      <c r="B8" s="973" t="s">
        <v>239</v>
      </c>
      <c r="C8" s="975" t="s">
        <v>669</v>
      </c>
      <c r="D8" s="964">
        <v>180</v>
      </c>
      <c r="E8" s="965">
        <f t="shared" si="0"/>
        <v>1710</v>
      </c>
    </row>
    <row r="9" spans="2:8" ht="15" customHeight="1">
      <c r="B9" s="973" t="s">
        <v>53</v>
      </c>
      <c r="C9" s="975" t="s">
        <v>26</v>
      </c>
      <c r="D9" s="964">
        <v>191</v>
      </c>
      <c r="E9" s="965">
        <f t="shared" si="0"/>
        <v>1814.5</v>
      </c>
    </row>
    <row r="10" spans="2:8" ht="15" customHeight="1">
      <c r="B10" s="1051" t="s">
        <v>245</v>
      </c>
      <c r="C10" s="975" t="s">
        <v>26</v>
      </c>
      <c r="D10" s="943">
        <v>243</v>
      </c>
      <c r="E10" s="965">
        <f t="shared" si="0"/>
        <v>2308.5</v>
      </c>
    </row>
    <row r="11" spans="2:8" ht="15" customHeight="1">
      <c r="B11" s="1051" t="s">
        <v>252</v>
      </c>
      <c r="C11" s="975" t="s">
        <v>687</v>
      </c>
      <c r="D11" s="943">
        <v>248</v>
      </c>
      <c r="E11" s="965">
        <f t="shared" si="0"/>
        <v>2356</v>
      </c>
    </row>
    <row r="12" spans="2:8" ht="20.100000000000001" customHeight="1">
      <c r="B12" s="1255" t="s">
        <v>24</v>
      </c>
      <c r="C12" s="1255"/>
      <c r="D12" s="964">
        <f>SUM(D7:D11)</f>
        <v>1325</v>
      </c>
      <c r="E12" s="965">
        <f t="shared" si="0"/>
        <v>12587.5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678</v>
      </c>
      <c r="C17" s="975" t="s">
        <v>669</v>
      </c>
      <c r="D17" s="964">
        <v>275</v>
      </c>
      <c r="E17" s="965">
        <f t="shared" ref="E17:E22" si="1">D17*9.5</f>
        <v>2612.5</v>
      </c>
    </row>
    <row r="18" spans="2:5" ht="15" customHeight="1">
      <c r="B18" s="973" t="s">
        <v>78</v>
      </c>
      <c r="C18" s="975" t="s">
        <v>669</v>
      </c>
      <c r="D18" s="964">
        <v>233</v>
      </c>
      <c r="E18" s="965">
        <f t="shared" si="1"/>
        <v>2213.5</v>
      </c>
    </row>
    <row r="19" spans="2:5" ht="14.45" customHeight="1">
      <c r="B19" s="973" t="s">
        <v>53</v>
      </c>
      <c r="C19" s="975" t="s">
        <v>26</v>
      </c>
      <c r="D19" s="964">
        <v>305</v>
      </c>
      <c r="E19" s="965">
        <f t="shared" si="1"/>
        <v>2897.5</v>
      </c>
    </row>
    <row r="20" spans="2:5" ht="14.45" customHeight="1">
      <c r="B20" s="1051" t="s">
        <v>51</v>
      </c>
      <c r="C20" s="975" t="s">
        <v>26</v>
      </c>
      <c r="D20" s="964">
        <v>302</v>
      </c>
      <c r="E20" s="965">
        <f t="shared" si="1"/>
        <v>2869</v>
      </c>
    </row>
    <row r="21" spans="2:5" ht="14.45" customHeight="1">
      <c r="B21" s="1051" t="s">
        <v>63</v>
      </c>
      <c r="C21" s="975" t="s">
        <v>681</v>
      </c>
      <c r="D21" s="964">
        <v>172</v>
      </c>
      <c r="E21" s="965">
        <f t="shared" si="1"/>
        <v>1634</v>
      </c>
    </row>
    <row r="22" spans="2:5" ht="14.45" customHeight="1">
      <c r="B22" s="1269" t="s">
        <v>24</v>
      </c>
      <c r="C22" s="1270"/>
      <c r="D22" s="937">
        <f>SUM(D17:D21)</f>
        <v>1287</v>
      </c>
      <c r="E22" s="954">
        <f t="shared" si="1"/>
        <v>12226.5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250</v>
      </c>
      <c r="C27" s="975" t="s">
        <v>669</v>
      </c>
      <c r="D27" s="964">
        <v>91</v>
      </c>
      <c r="E27" s="965">
        <f t="shared" ref="E27:E32" si="2">D27*9.5</f>
        <v>864.5</v>
      </c>
    </row>
    <row r="28" spans="2:5">
      <c r="B28" s="973" t="s">
        <v>235</v>
      </c>
      <c r="C28" s="975" t="s">
        <v>669</v>
      </c>
      <c r="D28" s="964">
        <v>442</v>
      </c>
      <c r="E28" s="965">
        <f t="shared" si="2"/>
        <v>4199</v>
      </c>
    </row>
    <row r="29" spans="2:5">
      <c r="B29" s="973" t="s">
        <v>44</v>
      </c>
      <c r="C29" s="975" t="s">
        <v>26</v>
      </c>
      <c r="D29" s="964">
        <v>132</v>
      </c>
      <c r="E29" s="965">
        <f t="shared" si="2"/>
        <v>1254</v>
      </c>
    </row>
    <row r="30" spans="2:5">
      <c r="B30" s="973" t="s">
        <v>143</v>
      </c>
      <c r="C30" s="975" t="s">
        <v>26</v>
      </c>
      <c r="D30" s="964">
        <v>162</v>
      </c>
      <c r="E30" s="965">
        <f t="shared" si="2"/>
        <v>1539</v>
      </c>
    </row>
    <row r="31" spans="2:5">
      <c r="B31" s="973" t="s">
        <v>259</v>
      </c>
      <c r="C31" s="975" t="s">
        <v>667</v>
      </c>
      <c r="D31" s="964">
        <v>173</v>
      </c>
      <c r="E31" s="965">
        <f t="shared" si="2"/>
        <v>1643.5</v>
      </c>
    </row>
    <row r="32" spans="2:5" ht="20.100000000000001" customHeight="1">
      <c r="B32" s="1259" t="s">
        <v>24</v>
      </c>
      <c r="C32" s="1259"/>
      <c r="D32" s="937">
        <f>SUM(D27:D31)</f>
        <v>1000</v>
      </c>
      <c r="E32" s="954">
        <f t="shared" si="2"/>
        <v>9500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1325</v>
      </c>
      <c r="D35" s="956">
        <f>D22</f>
        <v>1287</v>
      </c>
      <c r="E35" s="956">
        <f>D32</f>
        <v>1000</v>
      </c>
    </row>
    <row r="36" spans="2:5">
      <c r="B36" s="953" t="s">
        <v>36</v>
      </c>
      <c r="C36" s="951">
        <f>C35*9.5</f>
        <v>12587.5</v>
      </c>
      <c r="D36" s="951">
        <f>D35*9.5</f>
        <v>12226.5</v>
      </c>
      <c r="E36" s="951">
        <f>E35*9.5</f>
        <v>9500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3612</v>
      </c>
      <c r="D38" s="378" t="s">
        <v>253</v>
      </c>
      <c r="E38" s="381">
        <f>C38*9.5</f>
        <v>34314</v>
      </c>
    </row>
    <row r="39" spans="2:5">
      <c r="B39" s="377" t="s">
        <v>197</v>
      </c>
      <c r="C39" s="378">
        <f>C40-C38</f>
        <v>2341</v>
      </c>
      <c r="D39" s="378" t="s">
        <v>204</v>
      </c>
      <c r="E39" s="381">
        <f>C39*9</f>
        <v>21069</v>
      </c>
    </row>
    <row r="40" spans="2:5" ht="19.5">
      <c r="B40" s="941" t="s">
        <v>201</v>
      </c>
      <c r="C40" s="380">
        <v>5953</v>
      </c>
      <c r="D40" s="380" t="s">
        <v>202</v>
      </c>
      <c r="E40" s="379">
        <f>SUM(E38+E39)</f>
        <v>55383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8E4E8-3D78-4E6B-A03B-CC3030EC12D8}">
  <sheetPr codeName="Sheet17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22.710937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44831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63</v>
      </c>
      <c r="C7" s="975" t="s">
        <v>669</v>
      </c>
      <c r="D7" s="964">
        <v>219</v>
      </c>
      <c r="E7" s="965">
        <f t="shared" ref="E7:E12" si="0">D7*9.5</f>
        <v>2080.5</v>
      </c>
    </row>
    <row r="8" spans="2:8" ht="15" customHeight="1">
      <c r="B8" s="973" t="s">
        <v>45</v>
      </c>
      <c r="C8" s="975" t="s">
        <v>669</v>
      </c>
      <c r="D8" s="964">
        <v>348</v>
      </c>
      <c r="E8" s="965">
        <f t="shared" si="0"/>
        <v>3306</v>
      </c>
    </row>
    <row r="9" spans="2:8" ht="15" customHeight="1">
      <c r="B9" s="973" t="s">
        <v>303</v>
      </c>
      <c r="C9" s="975" t="s">
        <v>26</v>
      </c>
      <c r="D9" s="964">
        <v>613</v>
      </c>
      <c r="E9" s="965">
        <f t="shared" si="0"/>
        <v>5823.5</v>
      </c>
    </row>
    <row r="10" spans="2:8" ht="15" customHeight="1">
      <c r="B10" s="1051" t="s">
        <v>82</v>
      </c>
      <c r="C10" s="975" t="s">
        <v>26</v>
      </c>
      <c r="D10" s="943">
        <v>149</v>
      </c>
      <c r="E10" s="965">
        <f t="shared" si="0"/>
        <v>1415.5</v>
      </c>
    </row>
    <row r="11" spans="2:8" ht="15" customHeight="1">
      <c r="B11" s="1051" t="s">
        <v>329</v>
      </c>
      <c r="C11" s="975" t="s">
        <v>687</v>
      </c>
      <c r="D11" s="943">
        <v>272</v>
      </c>
      <c r="E11" s="965">
        <f t="shared" si="0"/>
        <v>2584</v>
      </c>
    </row>
    <row r="12" spans="2:8" ht="20.100000000000001" customHeight="1">
      <c r="B12" s="1255" t="s">
        <v>24</v>
      </c>
      <c r="C12" s="1255"/>
      <c r="D12" s="964">
        <f>SUM(D7:D11)</f>
        <v>1601</v>
      </c>
      <c r="E12" s="965">
        <f t="shared" si="0"/>
        <v>15209.5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691</v>
      </c>
      <c r="C17" s="975" t="s">
        <v>669</v>
      </c>
      <c r="D17" s="964">
        <v>259</v>
      </c>
      <c r="E17" s="965">
        <f t="shared" ref="E17:E22" si="1">D17*9.5</f>
        <v>2460.5</v>
      </c>
    </row>
    <row r="18" spans="2:5" ht="15" customHeight="1">
      <c r="B18" s="973" t="s">
        <v>45</v>
      </c>
      <c r="C18" s="975" t="s">
        <v>669</v>
      </c>
      <c r="D18" s="964">
        <v>222</v>
      </c>
      <c r="E18" s="965">
        <f t="shared" si="1"/>
        <v>2109</v>
      </c>
    </row>
    <row r="19" spans="2:5" ht="14.45" customHeight="1">
      <c r="B19" s="973" t="s">
        <v>303</v>
      </c>
      <c r="C19" s="975" t="s">
        <v>26</v>
      </c>
      <c r="D19" s="964">
        <v>818</v>
      </c>
      <c r="E19" s="965">
        <f t="shared" si="1"/>
        <v>7771</v>
      </c>
    </row>
    <row r="20" spans="2:5" ht="14.45" customHeight="1">
      <c r="B20" s="1051" t="s">
        <v>65</v>
      </c>
      <c r="C20" s="975" t="s">
        <v>26</v>
      </c>
      <c r="D20" s="964">
        <v>300</v>
      </c>
      <c r="E20" s="965">
        <f t="shared" si="1"/>
        <v>2850</v>
      </c>
    </row>
    <row r="21" spans="2:5" ht="14.45" customHeight="1">
      <c r="B21" s="1051" t="s">
        <v>239</v>
      </c>
      <c r="C21" s="975" t="s">
        <v>681</v>
      </c>
      <c r="D21" s="964">
        <v>131</v>
      </c>
      <c r="E21" s="965">
        <f t="shared" si="1"/>
        <v>1244.5</v>
      </c>
    </row>
    <row r="22" spans="2:5" ht="14.45" customHeight="1">
      <c r="B22" s="1269" t="s">
        <v>24</v>
      </c>
      <c r="C22" s="1270"/>
      <c r="D22" s="937">
        <f>SUM(D17:D21)</f>
        <v>1730</v>
      </c>
      <c r="E22" s="954">
        <f t="shared" si="1"/>
        <v>16435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678</v>
      </c>
      <c r="C27" s="975" t="s">
        <v>669</v>
      </c>
      <c r="D27" s="964">
        <v>142</v>
      </c>
      <c r="E27" s="965">
        <f t="shared" ref="E27:E32" si="2">D27*9.5</f>
        <v>1349</v>
      </c>
    </row>
    <row r="28" spans="2:5">
      <c r="B28" s="973" t="s">
        <v>331</v>
      </c>
      <c r="C28" s="975" t="s">
        <v>669</v>
      </c>
      <c r="D28" s="964">
        <v>327</v>
      </c>
      <c r="E28" s="965">
        <f t="shared" si="2"/>
        <v>3106.5</v>
      </c>
    </row>
    <row r="29" spans="2:5">
      <c r="B29" s="973" t="s">
        <v>250</v>
      </c>
      <c r="C29" s="975" t="s">
        <v>26</v>
      </c>
      <c r="D29" s="964">
        <v>144</v>
      </c>
      <c r="E29" s="965">
        <f>D29*9.5</f>
        <v>1368</v>
      </c>
    </row>
    <row r="30" spans="2:5">
      <c r="B30" s="973" t="s">
        <v>692</v>
      </c>
      <c r="C30" s="975" t="s">
        <v>26</v>
      </c>
      <c r="D30" s="964">
        <v>136</v>
      </c>
      <c r="E30" s="965">
        <f t="shared" si="2"/>
        <v>1292</v>
      </c>
    </row>
    <row r="31" spans="2:5">
      <c r="B31" s="973" t="s">
        <v>279</v>
      </c>
      <c r="C31" s="975" t="s">
        <v>667</v>
      </c>
      <c r="D31" s="964">
        <v>288</v>
      </c>
      <c r="E31" s="965">
        <f t="shared" si="2"/>
        <v>2736</v>
      </c>
    </row>
    <row r="32" spans="2:5" ht="20.100000000000001" customHeight="1">
      <c r="B32" s="1259" t="s">
        <v>24</v>
      </c>
      <c r="C32" s="1259"/>
      <c r="D32" s="937">
        <f>SUM(D27:D31)</f>
        <v>1037</v>
      </c>
      <c r="E32" s="954">
        <f t="shared" si="2"/>
        <v>9851.5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1601</v>
      </c>
      <c r="D35" s="956">
        <f>D22</f>
        <v>1730</v>
      </c>
      <c r="E35" s="956">
        <f>D32</f>
        <v>1037</v>
      </c>
    </row>
    <row r="36" spans="2:5">
      <c r="B36" s="953" t="s">
        <v>36</v>
      </c>
      <c r="C36" s="951">
        <f>C35*9.5</f>
        <v>15209.5</v>
      </c>
      <c r="D36" s="951">
        <f>D35*9.5</f>
        <v>16435</v>
      </c>
      <c r="E36" s="951">
        <f>E35*9.5</f>
        <v>9851.5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4368</v>
      </c>
      <c r="D38" s="378" t="s">
        <v>253</v>
      </c>
      <c r="E38" s="381">
        <f>C38*9.5</f>
        <v>41496</v>
      </c>
    </row>
    <row r="39" spans="2:5">
      <c r="B39" s="377" t="s">
        <v>197</v>
      </c>
      <c r="C39" s="378">
        <f>C40-C38</f>
        <v>2319</v>
      </c>
      <c r="D39" s="378" t="s">
        <v>204</v>
      </c>
      <c r="E39" s="381">
        <f>C39*9</f>
        <v>20871</v>
      </c>
    </row>
    <row r="40" spans="2:5" ht="19.5">
      <c r="B40" s="941" t="s">
        <v>201</v>
      </c>
      <c r="C40" s="380">
        <v>6687</v>
      </c>
      <c r="D40" s="380" t="s">
        <v>202</v>
      </c>
      <c r="E40" s="379">
        <f>SUM(E38+E39)</f>
        <v>62367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F872-51DF-477E-9499-328254E4991E}">
  <sheetPr codeName="Sheet17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44832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295</v>
      </c>
      <c r="C7" s="975" t="s">
        <v>669</v>
      </c>
      <c r="D7" s="964">
        <v>251</v>
      </c>
      <c r="E7" s="965">
        <f t="shared" ref="E7:E12" si="0">D7*9.5</f>
        <v>2384.5</v>
      </c>
    </row>
    <row r="8" spans="2:8" ht="15" customHeight="1">
      <c r="B8" s="973" t="s">
        <v>260</v>
      </c>
      <c r="C8" s="975" t="s">
        <v>669</v>
      </c>
      <c r="D8" s="964">
        <v>273</v>
      </c>
      <c r="E8" s="965">
        <f t="shared" si="0"/>
        <v>2593.5</v>
      </c>
    </row>
    <row r="9" spans="2:8" ht="15" customHeight="1">
      <c r="B9" s="973" t="s">
        <v>53</v>
      </c>
      <c r="C9" s="975" t="s">
        <v>26</v>
      </c>
      <c r="D9" s="964">
        <v>231</v>
      </c>
      <c r="E9" s="965">
        <f t="shared" si="0"/>
        <v>2194.5</v>
      </c>
    </row>
    <row r="10" spans="2:8" ht="15" customHeight="1">
      <c r="B10" s="1051" t="s">
        <v>70</v>
      </c>
      <c r="C10" s="975" t="s">
        <v>26</v>
      </c>
      <c r="D10" s="943">
        <v>272</v>
      </c>
      <c r="E10" s="965">
        <f t="shared" si="0"/>
        <v>2584</v>
      </c>
    </row>
    <row r="11" spans="2:8" ht="15" customHeight="1">
      <c r="B11" s="1051" t="s">
        <v>693</v>
      </c>
      <c r="C11" s="975" t="s">
        <v>687</v>
      </c>
      <c r="D11" s="943">
        <v>182</v>
      </c>
      <c r="E11" s="965">
        <f t="shared" si="0"/>
        <v>1729</v>
      </c>
    </row>
    <row r="12" spans="2:8" ht="20.100000000000001" customHeight="1">
      <c r="B12" s="1255" t="s">
        <v>24</v>
      </c>
      <c r="C12" s="1255"/>
      <c r="D12" s="964">
        <f>SUM(D7:D11)</f>
        <v>1209</v>
      </c>
      <c r="E12" s="965">
        <f t="shared" si="0"/>
        <v>11485.5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63</v>
      </c>
      <c r="C17" s="975" t="s">
        <v>669</v>
      </c>
      <c r="D17" s="964">
        <v>296</v>
      </c>
      <c r="E17" s="965">
        <f t="shared" ref="E17:E22" si="1">D17*9.5</f>
        <v>2812</v>
      </c>
    </row>
    <row r="18" spans="2:5" ht="15" customHeight="1">
      <c r="B18" s="973" t="s">
        <v>189</v>
      </c>
      <c r="C18" s="975" t="s">
        <v>669</v>
      </c>
      <c r="D18" s="964">
        <v>413</v>
      </c>
      <c r="E18" s="965">
        <f t="shared" si="1"/>
        <v>3923.5</v>
      </c>
    </row>
    <row r="19" spans="2:5" ht="14.45" customHeight="1">
      <c r="B19" s="973" t="s">
        <v>53</v>
      </c>
      <c r="C19" s="975" t="s">
        <v>26</v>
      </c>
      <c r="D19" s="964">
        <v>234</v>
      </c>
      <c r="E19" s="965">
        <f t="shared" si="1"/>
        <v>2223</v>
      </c>
    </row>
    <row r="20" spans="2:5" ht="14.45" customHeight="1">
      <c r="B20" s="1051" t="s">
        <v>51</v>
      </c>
      <c r="C20" s="975" t="s">
        <v>26</v>
      </c>
      <c r="D20" s="964">
        <v>351</v>
      </c>
      <c r="E20" s="965">
        <f t="shared" si="1"/>
        <v>3334.5</v>
      </c>
    </row>
    <row r="21" spans="2:5" ht="14.45" customHeight="1">
      <c r="B21" s="1051" t="s">
        <v>65</v>
      </c>
      <c r="C21" s="975" t="s">
        <v>681</v>
      </c>
      <c r="D21" s="964">
        <v>300</v>
      </c>
      <c r="E21" s="965">
        <f t="shared" si="1"/>
        <v>2850</v>
      </c>
    </row>
    <row r="22" spans="2:5" ht="14.45" customHeight="1">
      <c r="B22" s="1269" t="s">
        <v>24</v>
      </c>
      <c r="C22" s="1270"/>
      <c r="D22" s="937">
        <f>SUM(D17:D21)</f>
        <v>1594</v>
      </c>
      <c r="E22" s="954">
        <f t="shared" si="1"/>
        <v>15143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279</v>
      </c>
      <c r="C27" s="975" t="s">
        <v>669</v>
      </c>
      <c r="D27" s="964">
        <v>374</v>
      </c>
      <c r="E27" s="965">
        <f t="shared" ref="E27:E32" si="2">D27*9.5</f>
        <v>3553</v>
      </c>
    </row>
    <row r="28" spans="2:5">
      <c r="B28" s="973" t="s">
        <v>278</v>
      </c>
      <c r="C28" s="975" t="s">
        <v>669</v>
      </c>
      <c r="D28" s="964">
        <v>393</v>
      </c>
      <c r="E28" s="965">
        <f t="shared" si="2"/>
        <v>3733.5</v>
      </c>
    </row>
    <row r="29" spans="2:5">
      <c r="B29" s="973" t="s">
        <v>205</v>
      </c>
      <c r="C29" s="975" t="s">
        <v>26</v>
      </c>
      <c r="D29" s="964">
        <v>110</v>
      </c>
      <c r="E29" s="965">
        <f>D29*9.5</f>
        <v>1045</v>
      </c>
    </row>
    <row r="30" spans="2:5">
      <c r="B30" s="973" t="s">
        <v>51</v>
      </c>
      <c r="C30" s="975" t="s">
        <v>26</v>
      </c>
      <c r="D30" s="964">
        <v>188</v>
      </c>
      <c r="E30" s="965">
        <f t="shared" si="2"/>
        <v>1786</v>
      </c>
    </row>
    <row r="31" spans="2:5">
      <c r="B31" s="973" t="s">
        <v>65</v>
      </c>
      <c r="C31" s="975" t="s">
        <v>667</v>
      </c>
      <c r="D31" s="964">
        <v>125</v>
      </c>
      <c r="E31" s="965">
        <f t="shared" si="2"/>
        <v>1187.5</v>
      </c>
    </row>
    <row r="32" spans="2:5" ht="20.100000000000001" customHeight="1">
      <c r="B32" s="1259" t="s">
        <v>24</v>
      </c>
      <c r="C32" s="1259"/>
      <c r="D32" s="937">
        <f>SUM(D27:D31)</f>
        <v>1190</v>
      </c>
      <c r="E32" s="954">
        <f t="shared" si="2"/>
        <v>11305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1209</v>
      </c>
      <c r="D35" s="956">
        <f>D22</f>
        <v>1594</v>
      </c>
      <c r="E35" s="956">
        <f>D32</f>
        <v>1190</v>
      </c>
    </row>
    <row r="36" spans="2:5">
      <c r="B36" s="953" t="s">
        <v>36</v>
      </c>
      <c r="C36" s="951">
        <f>C35*9.5</f>
        <v>11485.5</v>
      </c>
      <c r="D36" s="951">
        <f>D35*9.5</f>
        <v>15143</v>
      </c>
      <c r="E36" s="951">
        <f>E35*9.5</f>
        <v>11305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3993</v>
      </c>
      <c r="D38" s="378" t="s">
        <v>253</v>
      </c>
      <c r="E38" s="381">
        <f>C38*9.5</f>
        <v>37933.5</v>
      </c>
    </row>
    <row r="39" spans="2:5">
      <c r="B39" s="377" t="s">
        <v>197</v>
      </c>
      <c r="C39" s="378">
        <f>C40-C38</f>
        <v>2459</v>
      </c>
      <c r="D39" s="378" t="s">
        <v>204</v>
      </c>
      <c r="E39" s="381">
        <f>C39*9</f>
        <v>22131</v>
      </c>
    </row>
    <row r="40" spans="2:5" ht="19.5">
      <c r="B40" s="941" t="s">
        <v>201</v>
      </c>
      <c r="C40" s="380">
        <v>6452</v>
      </c>
      <c r="D40" s="380" t="s">
        <v>202</v>
      </c>
      <c r="E40" s="379">
        <f>SUM(E38+E39)</f>
        <v>60064.5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28153-9EDC-4F86-A855-400487608B8F}">
  <sheetPr codeName="Sheet17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44833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82</v>
      </c>
      <c r="C7" s="975" t="s">
        <v>669</v>
      </c>
      <c r="D7" s="964">
        <v>261</v>
      </c>
      <c r="E7" s="965">
        <f t="shared" ref="E7:E12" si="0">D7*9.5</f>
        <v>2479.5</v>
      </c>
    </row>
    <row r="8" spans="2:8" ht="15" customHeight="1">
      <c r="B8" s="973" t="s">
        <v>244</v>
      </c>
      <c r="C8" s="975" t="s">
        <v>669</v>
      </c>
      <c r="D8" s="964">
        <v>454</v>
      </c>
      <c r="E8" s="965">
        <f t="shared" si="0"/>
        <v>4313</v>
      </c>
    </row>
    <row r="9" spans="2:8" ht="15" customHeight="1">
      <c r="B9" s="973" t="s">
        <v>70</v>
      </c>
      <c r="C9" s="975" t="s">
        <v>26</v>
      </c>
      <c r="D9" s="964">
        <v>282</v>
      </c>
      <c r="E9" s="965">
        <f t="shared" si="0"/>
        <v>2679</v>
      </c>
    </row>
    <row r="10" spans="2:8" ht="15" customHeight="1">
      <c r="B10" s="1051" t="s">
        <v>189</v>
      </c>
      <c r="C10" s="975" t="s">
        <v>26</v>
      </c>
      <c r="D10" s="943">
        <v>274</v>
      </c>
      <c r="E10" s="965">
        <f t="shared" si="0"/>
        <v>2603</v>
      </c>
    </row>
    <row r="11" spans="2:8" ht="15" customHeight="1">
      <c r="B11" s="1051" t="s">
        <v>250</v>
      </c>
      <c r="C11" s="975" t="s">
        <v>687</v>
      </c>
      <c r="D11" s="943">
        <v>223</v>
      </c>
      <c r="E11" s="965">
        <f t="shared" si="0"/>
        <v>2118.5</v>
      </c>
    </row>
    <row r="12" spans="2:8" ht="20.100000000000001" customHeight="1">
      <c r="B12" s="1255" t="s">
        <v>24</v>
      </c>
      <c r="C12" s="1255"/>
      <c r="D12" s="964">
        <f>SUM(D7:D11)</f>
        <v>1494</v>
      </c>
      <c r="E12" s="965">
        <f t="shared" si="0"/>
        <v>14193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279</v>
      </c>
      <c r="C17" s="975" t="s">
        <v>669</v>
      </c>
      <c r="D17" s="964">
        <v>600</v>
      </c>
      <c r="E17" s="965">
        <f t="shared" ref="E17:E22" si="1">D17*9.5</f>
        <v>5700</v>
      </c>
    </row>
    <row r="18" spans="2:5" ht="15" customHeight="1">
      <c r="B18" s="973" t="s">
        <v>693</v>
      </c>
      <c r="C18" s="975" t="s">
        <v>669</v>
      </c>
      <c r="D18" s="964">
        <v>209</v>
      </c>
      <c r="E18" s="965">
        <f t="shared" si="1"/>
        <v>1985.5</v>
      </c>
    </row>
    <row r="19" spans="2:5" ht="14.45" customHeight="1">
      <c r="B19" s="973" t="s">
        <v>694</v>
      </c>
      <c r="C19" s="975" t="s">
        <v>26</v>
      </c>
      <c r="D19" s="964">
        <v>305</v>
      </c>
      <c r="E19" s="965">
        <f t="shared" si="1"/>
        <v>2897.5</v>
      </c>
    </row>
    <row r="20" spans="2:5" ht="14.45" customHeight="1">
      <c r="B20" s="1051" t="s">
        <v>45</v>
      </c>
      <c r="C20" s="975" t="s">
        <v>26</v>
      </c>
      <c r="D20" s="964">
        <v>288</v>
      </c>
      <c r="E20" s="965">
        <f t="shared" si="1"/>
        <v>2736</v>
      </c>
    </row>
    <row r="21" spans="2:5" ht="14.45" customHeight="1">
      <c r="B21" s="1051" t="s">
        <v>333</v>
      </c>
      <c r="C21" s="975" t="s">
        <v>681</v>
      </c>
      <c r="D21" s="964">
        <v>204</v>
      </c>
      <c r="E21" s="965">
        <f t="shared" si="1"/>
        <v>1938</v>
      </c>
    </row>
    <row r="22" spans="2:5" ht="14.45" customHeight="1">
      <c r="B22" s="1269" t="s">
        <v>24</v>
      </c>
      <c r="C22" s="1270"/>
      <c r="D22" s="964">
        <f>SUM(D17:D21)</f>
        <v>1606</v>
      </c>
      <c r="E22" s="954">
        <f t="shared" si="1"/>
        <v>15257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279</v>
      </c>
      <c r="C27" s="975" t="s">
        <v>669</v>
      </c>
      <c r="D27" s="964">
        <v>207</v>
      </c>
      <c r="E27" s="965">
        <f t="shared" ref="E27:E32" si="2">D27*9.5</f>
        <v>1966.5</v>
      </c>
    </row>
    <row r="28" spans="2:5">
      <c r="B28" s="973" t="s">
        <v>278</v>
      </c>
      <c r="C28" s="975" t="s">
        <v>669</v>
      </c>
      <c r="D28" s="964">
        <v>298</v>
      </c>
      <c r="E28" s="965">
        <f t="shared" si="2"/>
        <v>2831</v>
      </c>
    </row>
    <row r="29" spans="2:5">
      <c r="B29" s="973" t="s">
        <v>260</v>
      </c>
      <c r="C29" s="975" t="s">
        <v>26</v>
      </c>
      <c r="D29" s="964">
        <v>167</v>
      </c>
      <c r="E29" s="965">
        <f>D29*9.5</f>
        <v>1586.5</v>
      </c>
    </row>
    <row r="30" spans="2:5">
      <c r="B30" s="973" t="s">
        <v>334</v>
      </c>
      <c r="C30" s="975" t="s">
        <v>26</v>
      </c>
      <c r="D30" s="964">
        <v>280</v>
      </c>
      <c r="E30" s="965">
        <f t="shared" si="2"/>
        <v>2660</v>
      </c>
    </row>
    <row r="31" spans="2:5">
      <c r="B31" s="973" t="s">
        <v>65</v>
      </c>
      <c r="C31" s="975" t="s">
        <v>667</v>
      </c>
      <c r="D31" s="964">
        <v>135</v>
      </c>
      <c r="E31" s="965">
        <f t="shared" si="2"/>
        <v>1282.5</v>
      </c>
    </row>
    <row r="32" spans="2:5" ht="20.100000000000001" customHeight="1">
      <c r="B32" s="1259" t="s">
        <v>24</v>
      </c>
      <c r="C32" s="1259"/>
      <c r="D32" s="937">
        <f>SUM(D27:D31)</f>
        <v>1087</v>
      </c>
      <c r="E32" s="954">
        <f t="shared" si="2"/>
        <v>10326.5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1494</v>
      </c>
      <c r="D35" s="956">
        <f>D22</f>
        <v>1606</v>
      </c>
      <c r="E35" s="956">
        <f>D32</f>
        <v>1087</v>
      </c>
    </row>
    <row r="36" spans="2:5">
      <c r="B36" s="953" t="s">
        <v>36</v>
      </c>
      <c r="C36" s="951">
        <f>C35*9.5</f>
        <v>14193</v>
      </c>
      <c r="D36" s="951">
        <f>D35*9.5</f>
        <v>15257</v>
      </c>
      <c r="E36" s="951">
        <f>E35*9.5</f>
        <v>10326.5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4187</v>
      </c>
      <c r="D38" s="378" t="s">
        <v>253</v>
      </c>
      <c r="E38" s="381">
        <f>C38*9.5</f>
        <v>39776.5</v>
      </c>
    </row>
    <row r="39" spans="2:5">
      <c r="B39" s="377" t="s">
        <v>197</v>
      </c>
      <c r="C39" s="378">
        <f>C40-C38</f>
        <v>2230</v>
      </c>
      <c r="D39" s="378" t="s">
        <v>204</v>
      </c>
      <c r="E39" s="381">
        <f>C39*9</f>
        <v>20070</v>
      </c>
    </row>
    <row r="40" spans="2:5" ht="19.5">
      <c r="B40" s="941" t="s">
        <v>201</v>
      </c>
      <c r="C40" s="380">
        <v>6417</v>
      </c>
      <c r="D40" s="380" t="s">
        <v>202</v>
      </c>
      <c r="E40" s="379">
        <f>SUM(E38+E39)</f>
        <v>59846.5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9C23-1490-4E94-8F47-E0DA16A16073}">
  <sheetPr codeName="Sheet17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44834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143</v>
      </c>
      <c r="C7" s="975" t="s">
        <v>669</v>
      </c>
      <c r="D7" s="964">
        <v>371</v>
      </c>
      <c r="E7" s="965">
        <f t="shared" ref="E7:E12" si="0">D7*9.5</f>
        <v>3524.5</v>
      </c>
    </row>
    <row r="8" spans="2:8" ht="15" customHeight="1">
      <c r="B8" s="973" t="s">
        <v>78</v>
      </c>
      <c r="C8" s="975" t="s">
        <v>669</v>
      </c>
      <c r="D8" s="964">
        <v>308</v>
      </c>
      <c r="E8" s="965">
        <f t="shared" si="0"/>
        <v>2926</v>
      </c>
    </row>
    <row r="9" spans="2:8" ht="15" customHeight="1">
      <c r="B9" s="973" t="s">
        <v>259</v>
      </c>
      <c r="C9" s="975" t="s">
        <v>26</v>
      </c>
      <c r="D9" s="964">
        <v>263</v>
      </c>
      <c r="E9" s="965">
        <f t="shared" si="0"/>
        <v>2498.5</v>
      </c>
    </row>
    <row r="10" spans="2:8" ht="15" customHeight="1">
      <c r="B10" s="1051" t="s">
        <v>205</v>
      </c>
      <c r="C10" s="975" t="s">
        <v>26</v>
      </c>
      <c r="D10" s="943">
        <v>222</v>
      </c>
      <c r="E10" s="965">
        <f t="shared" si="0"/>
        <v>2109</v>
      </c>
    </row>
    <row r="11" spans="2:8" ht="15" customHeight="1">
      <c r="B11" s="1051" t="s">
        <v>189</v>
      </c>
      <c r="C11" s="975" t="s">
        <v>687</v>
      </c>
      <c r="D11" s="943">
        <v>292</v>
      </c>
      <c r="E11" s="965">
        <f t="shared" si="0"/>
        <v>2774</v>
      </c>
    </row>
    <row r="12" spans="2:8" ht="20.100000000000001" customHeight="1">
      <c r="B12" s="1255" t="s">
        <v>24</v>
      </c>
      <c r="C12" s="1255"/>
      <c r="D12" s="964">
        <f>SUM(D7:D11)</f>
        <v>1456</v>
      </c>
      <c r="E12" s="965">
        <f t="shared" si="0"/>
        <v>13832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303</v>
      </c>
      <c r="C17" s="975" t="s">
        <v>669</v>
      </c>
      <c r="D17" s="964">
        <v>773</v>
      </c>
      <c r="E17" s="965">
        <f t="shared" ref="E17:E22" si="1">D17*9.5</f>
        <v>7343.5</v>
      </c>
    </row>
    <row r="18" spans="2:5" ht="15" customHeight="1">
      <c r="B18" s="973" t="s">
        <v>695</v>
      </c>
      <c r="C18" s="975" t="s">
        <v>669</v>
      </c>
      <c r="D18" s="964">
        <v>235</v>
      </c>
      <c r="E18" s="965">
        <f t="shared" si="1"/>
        <v>2232.5</v>
      </c>
    </row>
    <row r="19" spans="2:5" ht="14.45" customHeight="1">
      <c r="B19" s="973" t="s">
        <v>238</v>
      </c>
      <c r="C19" s="975" t="s">
        <v>26</v>
      </c>
      <c r="D19" s="964">
        <v>163</v>
      </c>
      <c r="E19" s="965">
        <f t="shared" si="1"/>
        <v>1548.5</v>
      </c>
    </row>
    <row r="20" spans="2:5" ht="14.45" customHeight="1">
      <c r="B20" s="1051" t="s">
        <v>205</v>
      </c>
      <c r="C20" s="975" t="s">
        <v>26</v>
      </c>
      <c r="D20" s="964">
        <v>90</v>
      </c>
      <c r="E20" s="965">
        <f t="shared" si="1"/>
        <v>855</v>
      </c>
    </row>
    <row r="21" spans="2:5" ht="14.45" customHeight="1">
      <c r="B21" s="1051" t="s">
        <v>245</v>
      </c>
      <c r="C21" s="975" t="s">
        <v>681</v>
      </c>
      <c r="D21" s="964">
        <v>88</v>
      </c>
      <c r="E21" s="965">
        <f t="shared" si="1"/>
        <v>836</v>
      </c>
    </row>
    <row r="22" spans="2:5" ht="14.45" customHeight="1">
      <c r="B22" s="1269" t="s">
        <v>24</v>
      </c>
      <c r="C22" s="1270"/>
      <c r="D22" s="964">
        <f>SUM(D17:D21)</f>
        <v>1349</v>
      </c>
      <c r="E22" s="954">
        <f t="shared" si="1"/>
        <v>12815.5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250</v>
      </c>
      <c r="C27" s="975" t="s">
        <v>669</v>
      </c>
      <c r="D27" s="964">
        <v>127</v>
      </c>
      <c r="E27" s="965">
        <f t="shared" ref="E27:E32" si="2">D27*9.5</f>
        <v>1206.5</v>
      </c>
    </row>
    <row r="28" spans="2:5">
      <c r="B28" s="973" t="s">
        <v>235</v>
      </c>
      <c r="C28" s="975" t="s">
        <v>669</v>
      </c>
      <c r="D28" s="964">
        <v>417</v>
      </c>
      <c r="E28" s="965">
        <f t="shared" si="2"/>
        <v>3961.5</v>
      </c>
    </row>
    <row r="29" spans="2:5">
      <c r="B29" s="973" t="s">
        <v>238</v>
      </c>
      <c r="C29" s="975" t="s">
        <v>26</v>
      </c>
      <c r="D29" s="964">
        <v>164</v>
      </c>
      <c r="E29" s="965">
        <f>D29*9.5</f>
        <v>1558</v>
      </c>
    </row>
    <row r="30" spans="2:5">
      <c r="B30" s="973" t="s">
        <v>260</v>
      </c>
      <c r="C30" s="975" t="s">
        <v>26</v>
      </c>
      <c r="D30" s="964">
        <v>123</v>
      </c>
      <c r="E30" s="965">
        <f t="shared" si="2"/>
        <v>1168.5</v>
      </c>
    </row>
    <row r="31" spans="2:5">
      <c r="B31" s="973" t="s">
        <v>245</v>
      </c>
      <c r="C31" s="975" t="s">
        <v>667</v>
      </c>
      <c r="D31" s="964">
        <v>89</v>
      </c>
      <c r="E31" s="965">
        <f t="shared" si="2"/>
        <v>845.5</v>
      </c>
    </row>
    <row r="32" spans="2:5" ht="20.100000000000001" customHeight="1">
      <c r="B32" s="1259" t="s">
        <v>24</v>
      </c>
      <c r="C32" s="1259"/>
      <c r="D32" s="937">
        <f>SUM(D27:D31)</f>
        <v>920</v>
      </c>
      <c r="E32" s="954">
        <f t="shared" si="2"/>
        <v>8740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1456</v>
      </c>
      <c r="D35" s="956">
        <f>D22</f>
        <v>1349</v>
      </c>
      <c r="E35" s="956">
        <f>D32</f>
        <v>920</v>
      </c>
    </row>
    <row r="36" spans="2:5">
      <c r="B36" s="953" t="s">
        <v>36</v>
      </c>
      <c r="C36" s="951">
        <f>C35*9.5</f>
        <v>13832</v>
      </c>
      <c r="D36" s="951">
        <f>D35*9.5</f>
        <v>12815.5</v>
      </c>
      <c r="E36" s="951">
        <f>E35*9.5</f>
        <v>8740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3725</v>
      </c>
      <c r="D38" s="378" t="s">
        <v>253</v>
      </c>
      <c r="E38" s="381">
        <f>C38*9.5</f>
        <v>35387.5</v>
      </c>
    </row>
    <row r="39" spans="2:5">
      <c r="B39" s="377" t="s">
        <v>197</v>
      </c>
      <c r="C39" s="378">
        <f>C40-C38</f>
        <v>1966</v>
      </c>
      <c r="D39" s="378" t="s">
        <v>204</v>
      </c>
      <c r="E39" s="381">
        <f>C39*9</f>
        <v>17694</v>
      </c>
    </row>
    <row r="40" spans="2:5" ht="19.5">
      <c r="B40" s="941" t="s">
        <v>201</v>
      </c>
      <c r="C40" s="380">
        <v>5691</v>
      </c>
      <c r="D40" s="380" t="s">
        <v>202</v>
      </c>
      <c r="E40" s="379">
        <f>SUM(E38+E39)</f>
        <v>53081.5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19B87-9A40-44F5-AA43-9225A3B3B191}">
  <sheetPr codeName="Sheet17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44835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329</v>
      </c>
      <c r="C7" s="975" t="s">
        <v>669</v>
      </c>
      <c r="D7" s="964">
        <v>392</v>
      </c>
      <c r="E7" s="965">
        <f t="shared" ref="E7:E12" si="0">D7*9.5</f>
        <v>3724</v>
      </c>
    </row>
    <row r="8" spans="2:8" ht="15" customHeight="1">
      <c r="B8" s="973" t="s">
        <v>63</v>
      </c>
      <c r="C8" s="975" t="s">
        <v>669</v>
      </c>
      <c r="D8" s="964">
        <v>282</v>
      </c>
      <c r="E8" s="965">
        <f t="shared" si="0"/>
        <v>2679</v>
      </c>
    </row>
    <row r="9" spans="2:8" ht="15" customHeight="1">
      <c r="B9" s="973" t="s">
        <v>245</v>
      </c>
      <c r="C9" s="975" t="s">
        <v>26</v>
      </c>
      <c r="D9" s="964">
        <v>310</v>
      </c>
      <c r="E9" s="965">
        <f t="shared" si="0"/>
        <v>2945</v>
      </c>
    </row>
    <row r="10" spans="2:8" ht="15" customHeight="1">
      <c r="B10" s="1051" t="s">
        <v>239</v>
      </c>
      <c r="C10" s="975" t="s">
        <v>26</v>
      </c>
      <c r="D10" s="943">
        <v>254</v>
      </c>
      <c r="E10" s="965">
        <f t="shared" si="0"/>
        <v>2413</v>
      </c>
    </row>
    <row r="11" spans="2:8" ht="15" customHeight="1">
      <c r="B11" s="1051" t="s">
        <v>252</v>
      </c>
      <c r="C11" s="975" t="s">
        <v>687</v>
      </c>
      <c r="D11" s="943">
        <v>215</v>
      </c>
      <c r="E11" s="965">
        <f t="shared" si="0"/>
        <v>2042.5</v>
      </c>
    </row>
    <row r="12" spans="2:8" ht="20.100000000000001" customHeight="1">
      <c r="B12" s="1255" t="s">
        <v>24</v>
      </c>
      <c r="C12" s="1255"/>
      <c r="D12" s="964">
        <f>SUM(D7:D11)</f>
        <v>1453</v>
      </c>
      <c r="E12" s="965">
        <f t="shared" si="0"/>
        <v>13803.5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250</v>
      </c>
      <c r="C17" s="975" t="s">
        <v>669</v>
      </c>
      <c r="D17" s="964">
        <v>275</v>
      </c>
      <c r="E17" s="965">
        <f t="shared" ref="E17:E21" si="1">D17*9.5</f>
        <v>2612.5</v>
      </c>
    </row>
    <row r="18" spans="2:5" ht="15" customHeight="1">
      <c r="B18" s="973" t="s">
        <v>63</v>
      </c>
      <c r="C18" s="975" t="s">
        <v>669</v>
      </c>
      <c r="D18" s="964">
        <v>278</v>
      </c>
      <c r="E18" s="965">
        <f t="shared" si="1"/>
        <v>2641</v>
      </c>
    </row>
    <row r="19" spans="2:5" ht="14.45" customHeight="1">
      <c r="B19" s="973" t="s">
        <v>189</v>
      </c>
      <c r="C19" s="975" t="s">
        <v>26</v>
      </c>
      <c r="D19" s="964">
        <v>320</v>
      </c>
      <c r="E19" s="965">
        <f t="shared" si="1"/>
        <v>3040</v>
      </c>
    </row>
    <row r="20" spans="2:5" ht="14.45" customHeight="1">
      <c r="B20" s="1051" t="s">
        <v>78</v>
      </c>
      <c r="C20" s="975" t="s">
        <v>26</v>
      </c>
      <c r="D20" s="964">
        <v>127</v>
      </c>
      <c r="E20" s="965">
        <f t="shared" si="1"/>
        <v>1206.5</v>
      </c>
    </row>
    <row r="21" spans="2:5" ht="14.45" customHeight="1">
      <c r="B21" s="1051" t="s">
        <v>696</v>
      </c>
      <c r="C21" s="975" t="s">
        <v>681</v>
      </c>
      <c r="D21" s="964">
        <v>123</v>
      </c>
      <c r="E21" s="965">
        <f t="shared" si="1"/>
        <v>1168.5</v>
      </c>
    </row>
    <row r="22" spans="2:5" ht="14.45" customHeight="1">
      <c r="B22" s="1269" t="s">
        <v>24</v>
      </c>
      <c r="C22" s="1270"/>
      <c r="D22" s="964">
        <f>SUM(D17:D21)</f>
        <v>1123</v>
      </c>
      <c r="E22" s="954">
        <f>D22*9.5</f>
        <v>10668.5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250</v>
      </c>
      <c r="C27" s="975" t="s">
        <v>669</v>
      </c>
      <c r="D27" s="964">
        <v>114</v>
      </c>
      <c r="E27" s="965">
        <f t="shared" ref="E27:E32" si="2">D27*9.5</f>
        <v>1083</v>
      </c>
    </row>
    <row r="28" spans="2:5">
      <c r="B28" s="973" t="s">
        <v>235</v>
      </c>
      <c r="C28" s="975" t="s">
        <v>669</v>
      </c>
      <c r="D28" s="964">
        <v>274</v>
      </c>
      <c r="E28" s="965">
        <f t="shared" si="2"/>
        <v>2603</v>
      </c>
    </row>
    <row r="29" spans="2:5">
      <c r="B29" s="973" t="s">
        <v>143</v>
      </c>
      <c r="C29" s="975" t="s">
        <v>26</v>
      </c>
      <c r="D29" s="964">
        <v>106</v>
      </c>
      <c r="E29" s="965">
        <f>D29*9.5</f>
        <v>1007</v>
      </c>
    </row>
    <row r="30" spans="2:5">
      <c r="B30" s="973" t="s">
        <v>279</v>
      </c>
      <c r="C30" s="975" t="s">
        <v>26</v>
      </c>
      <c r="D30" s="964">
        <v>329</v>
      </c>
      <c r="E30" s="965">
        <f t="shared" si="2"/>
        <v>3125.5</v>
      </c>
    </row>
    <row r="31" spans="2:5">
      <c r="B31" s="973" t="s">
        <v>281</v>
      </c>
      <c r="C31" s="975" t="s">
        <v>667</v>
      </c>
      <c r="D31" s="964">
        <v>150</v>
      </c>
      <c r="E31" s="965">
        <f t="shared" si="2"/>
        <v>1425</v>
      </c>
    </row>
    <row r="32" spans="2:5" ht="20.100000000000001" customHeight="1">
      <c r="B32" s="1259" t="s">
        <v>24</v>
      </c>
      <c r="C32" s="1259"/>
      <c r="D32" s="964">
        <f>SUM(D27:D31)</f>
        <v>973</v>
      </c>
      <c r="E32" s="954">
        <f t="shared" si="2"/>
        <v>9243.5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1453</v>
      </c>
      <c r="D35" s="956">
        <f>D22</f>
        <v>1123</v>
      </c>
      <c r="E35" s="956">
        <f>D32</f>
        <v>973</v>
      </c>
    </row>
    <row r="36" spans="2:5">
      <c r="B36" s="953" t="s">
        <v>36</v>
      </c>
      <c r="C36" s="951">
        <f>C35*9.5</f>
        <v>13803.5</v>
      </c>
      <c r="D36" s="951">
        <f>D35*9.5</f>
        <v>10668.5</v>
      </c>
      <c r="E36" s="951">
        <f>E35*9.5</f>
        <v>9243.5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3549</v>
      </c>
      <c r="D38" s="378" t="s">
        <v>253</v>
      </c>
      <c r="E38" s="381">
        <f>C38*9.5</f>
        <v>33715.5</v>
      </c>
    </row>
    <row r="39" spans="2:5">
      <c r="B39" s="377" t="s">
        <v>197</v>
      </c>
      <c r="C39" s="378">
        <f>C40-C38</f>
        <v>213</v>
      </c>
      <c r="D39" s="378" t="s">
        <v>204</v>
      </c>
      <c r="E39" s="381">
        <f>C39*9</f>
        <v>1917</v>
      </c>
    </row>
    <row r="40" spans="2:5" ht="19.5">
      <c r="B40" s="941" t="s">
        <v>201</v>
      </c>
      <c r="C40" s="380">
        <v>3762</v>
      </c>
      <c r="D40" s="380" t="s">
        <v>202</v>
      </c>
      <c r="E40" s="379">
        <f>SUM(E38+E39)</f>
        <v>35632.5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31F45-4DAD-4393-A30A-F88F9A4C5E5F}">
  <sheetPr codeName="Sheet18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44836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189</v>
      </c>
      <c r="C7" s="975" t="s">
        <v>669</v>
      </c>
      <c r="D7" s="964">
        <v>246</v>
      </c>
      <c r="E7" s="965">
        <f t="shared" ref="E7:E12" si="0">D7*9.5</f>
        <v>2337</v>
      </c>
    </row>
    <row r="8" spans="2:8" ht="15" customHeight="1">
      <c r="B8" s="973" t="s">
        <v>184</v>
      </c>
      <c r="C8" s="975" t="s">
        <v>669</v>
      </c>
      <c r="D8" s="964">
        <v>234</v>
      </c>
      <c r="E8" s="965">
        <f t="shared" si="0"/>
        <v>2223</v>
      </c>
    </row>
    <row r="9" spans="2:8" ht="15" customHeight="1">
      <c r="B9" s="973" t="s">
        <v>329</v>
      </c>
      <c r="C9" s="975" t="s">
        <v>26</v>
      </c>
      <c r="D9" s="964">
        <v>370</v>
      </c>
      <c r="E9" s="965">
        <f t="shared" si="0"/>
        <v>3515</v>
      </c>
    </row>
    <row r="10" spans="2:8" ht="15" customHeight="1">
      <c r="B10" s="1051" t="s">
        <v>82</v>
      </c>
      <c r="C10" s="975" t="s">
        <v>26</v>
      </c>
      <c r="D10" s="943">
        <v>302</v>
      </c>
      <c r="E10" s="965">
        <f t="shared" si="0"/>
        <v>2869</v>
      </c>
    </row>
    <row r="11" spans="2:8" ht="15" customHeight="1">
      <c r="B11" s="1051" t="s">
        <v>143</v>
      </c>
      <c r="C11" s="975" t="s">
        <v>687</v>
      </c>
      <c r="D11" s="943">
        <v>124</v>
      </c>
      <c r="E11" s="965">
        <f t="shared" si="0"/>
        <v>1178</v>
      </c>
    </row>
    <row r="12" spans="2:8" ht="20.100000000000001" customHeight="1">
      <c r="B12" s="1255" t="s">
        <v>24</v>
      </c>
      <c r="C12" s="1255"/>
      <c r="D12" s="964">
        <f>SUM(D7:D11)</f>
        <v>1276</v>
      </c>
      <c r="E12" s="965">
        <f t="shared" si="0"/>
        <v>12122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334</v>
      </c>
      <c r="C17" s="975" t="s">
        <v>669</v>
      </c>
      <c r="D17" s="964">
        <v>268</v>
      </c>
      <c r="E17" s="965">
        <f t="shared" ref="E17:E22" si="1">D17*9.5</f>
        <v>2546</v>
      </c>
    </row>
    <row r="18" spans="2:5" ht="15" customHeight="1">
      <c r="B18" s="973" t="s">
        <v>12</v>
      </c>
      <c r="C18" s="975" t="s">
        <v>669</v>
      </c>
      <c r="D18" s="964">
        <v>303</v>
      </c>
      <c r="E18" s="965">
        <f t="shared" si="1"/>
        <v>2878.5</v>
      </c>
    </row>
    <row r="19" spans="2:5" ht="14.45" customHeight="1">
      <c r="B19" s="973" t="s">
        <v>281</v>
      </c>
      <c r="C19" s="975" t="s">
        <v>26</v>
      </c>
      <c r="D19" s="964">
        <v>300</v>
      </c>
      <c r="E19" s="965">
        <f t="shared" si="1"/>
        <v>2850</v>
      </c>
    </row>
    <row r="20" spans="2:5" ht="14.45" customHeight="1">
      <c r="B20" s="1051" t="s">
        <v>239</v>
      </c>
      <c r="C20" s="975" t="s">
        <v>26</v>
      </c>
      <c r="D20" s="964">
        <v>359</v>
      </c>
      <c r="E20" s="965">
        <f t="shared" si="1"/>
        <v>3410.5</v>
      </c>
    </row>
    <row r="21" spans="2:5" ht="14.45" customHeight="1">
      <c r="B21" s="1051" t="s">
        <v>279</v>
      </c>
      <c r="C21" s="975" t="s">
        <v>681</v>
      </c>
      <c r="D21" s="964">
        <v>421</v>
      </c>
      <c r="E21" s="965">
        <f t="shared" si="1"/>
        <v>3999.5</v>
      </c>
    </row>
    <row r="22" spans="2:5" ht="14.45" customHeight="1">
      <c r="B22" s="1269" t="s">
        <v>24</v>
      </c>
      <c r="C22" s="1270"/>
      <c r="D22" s="964">
        <f>SUM(D17:D21)</f>
        <v>1651</v>
      </c>
      <c r="E22" s="954">
        <f t="shared" si="1"/>
        <v>15684.5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697</v>
      </c>
      <c r="C27" s="975" t="s">
        <v>669</v>
      </c>
      <c r="D27" s="964">
        <v>209</v>
      </c>
      <c r="E27" s="965">
        <f t="shared" ref="E27:E32" si="2">D27*9.5</f>
        <v>1985.5</v>
      </c>
    </row>
    <row r="28" spans="2:5">
      <c r="B28" s="973" t="s">
        <v>235</v>
      </c>
      <c r="C28" s="975" t="s">
        <v>669</v>
      </c>
      <c r="D28" s="964">
        <v>387</v>
      </c>
      <c r="E28" s="965">
        <f t="shared" si="2"/>
        <v>3676.5</v>
      </c>
    </row>
    <row r="29" spans="2:5">
      <c r="B29" s="973" t="s">
        <v>44</v>
      </c>
      <c r="C29" s="975" t="s">
        <v>26</v>
      </c>
      <c r="D29" s="964">
        <v>89</v>
      </c>
      <c r="E29" s="965">
        <f>D29*9.5</f>
        <v>845.5</v>
      </c>
    </row>
    <row r="30" spans="2:5">
      <c r="B30" s="973" t="s">
        <v>239</v>
      </c>
      <c r="C30" s="975" t="s">
        <v>26</v>
      </c>
      <c r="D30" s="964"/>
      <c r="E30" s="965">
        <f t="shared" si="2"/>
        <v>0</v>
      </c>
    </row>
    <row r="31" spans="2:5">
      <c r="B31" s="973" t="s">
        <v>250</v>
      </c>
      <c r="C31" s="975" t="s">
        <v>667</v>
      </c>
      <c r="D31" s="964">
        <v>61</v>
      </c>
      <c r="E31" s="965">
        <f t="shared" si="2"/>
        <v>579.5</v>
      </c>
    </row>
    <row r="32" spans="2:5" ht="20.100000000000001" customHeight="1">
      <c r="B32" s="1259" t="s">
        <v>24</v>
      </c>
      <c r="C32" s="1259"/>
      <c r="D32" s="964">
        <f>SUM(D27:D31)</f>
        <v>746</v>
      </c>
      <c r="E32" s="954">
        <f t="shared" si="2"/>
        <v>7087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1276</v>
      </c>
      <c r="D35" s="956">
        <f>D22</f>
        <v>1651</v>
      </c>
      <c r="E35" s="956">
        <f>D32</f>
        <v>746</v>
      </c>
    </row>
    <row r="36" spans="2:5">
      <c r="B36" s="953" t="s">
        <v>36</v>
      </c>
      <c r="C36" s="951">
        <f>C35*9.5</f>
        <v>12122</v>
      </c>
      <c r="D36" s="951">
        <f>D35*9.5</f>
        <v>15684.5</v>
      </c>
      <c r="E36" s="951">
        <f>E35*9.5</f>
        <v>7087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3673</v>
      </c>
      <c r="D38" s="378" t="s">
        <v>253</v>
      </c>
      <c r="E38" s="381">
        <f>C38*9.5</f>
        <v>34893.5</v>
      </c>
    </row>
    <row r="39" spans="2:5">
      <c r="B39" s="377" t="s">
        <v>197</v>
      </c>
      <c r="C39" s="378">
        <f>C40-C38</f>
        <v>-24</v>
      </c>
      <c r="D39" s="378" t="s">
        <v>204</v>
      </c>
      <c r="E39" s="381">
        <f>C39*9</f>
        <v>-216</v>
      </c>
    </row>
    <row r="40" spans="2:5" ht="19.5">
      <c r="B40" s="941" t="s">
        <v>201</v>
      </c>
      <c r="C40" s="380">
        <v>3649</v>
      </c>
      <c r="D40" s="380" t="s">
        <v>202</v>
      </c>
      <c r="E40" s="379">
        <f>SUM(E38+E39)</f>
        <v>34677.5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FC4F5-018F-4520-8579-D85886D9FE55}">
  <sheetPr codeName="Sheet18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44837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184</v>
      </c>
      <c r="C7" s="975" t="s">
        <v>669</v>
      </c>
      <c r="D7" s="964">
        <v>256</v>
      </c>
      <c r="E7" s="965">
        <f t="shared" ref="E7:E12" si="0">D7*9.5</f>
        <v>2432</v>
      </c>
    </row>
    <row r="8" spans="2:8" ht="15" customHeight="1">
      <c r="B8" s="973" t="s">
        <v>332</v>
      </c>
      <c r="C8" s="975" t="s">
        <v>669</v>
      </c>
      <c r="D8" s="964">
        <v>184</v>
      </c>
      <c r="E8" s="965">
        <f t="shared" si="0"/>
        <v>1748</v>
      </c>
    </row>
    <row r="9" spans="2:8" ht="15" customHeight="1">
      <c r="B9" s="973" t="s">
        <v>329</v>
      </c>
      <c r="C9" s="975" t="s">
        <v>26</v>
      </c>
      <c r="D9" s="964">
        <v>261</v>
      </c>
      <c r="E9" s="965">
        <f t="shared" si="0"/>
        <v>2479.5</v>
      </c>
    </row>
    <row r="10" spans="2:8" ht="15" customHeight="1">
      <c r="B10" s="1051" t="s">
        <v>51</v>
      </c>
      <c r="C10" s="975" t="s">
        <v>26</v>
      </c>
      <c r="D10" s="943">
        <v>280</v>
      </c>
      <c r="E10" s="965">
        <f t="shared" si="0"/>
        <v>2660</v>
      </c>
    </row>
    <row r="11" spans="2:8" ht="15" customHeight="1">
      <c r="B11" s="1051" t="s">
        <v>678</v>
      </c>
      <c r="C11" s="975" t="s">
        <v>687</v>
      </c>
      <c r="D11" s="943">
        <v>244</v>
      </c>
      <c r="E11" s="965">
        <f t="shared" si="0"/>
        <v>2318</v>
      </c>
    </row>
    <row r="12" spans="2:8" ht="20.100000000000001" customHeight="1">
      <c r="B12" s="1255" t="s">
        <v>24</v>
      </c>
      <c r="C12" s="1255"/>
      <c r="D12" s="964">
        <f>SUM(D7:D11)</f>
        <v>1225</v>
      </c>
      <c r="E12" s="965">
        <f t="shared" si="0"/>
        <v>11637.5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279</v>
      </c>
      <c r="C17" s="975" t="s">
        <v>669</v>
      </c>
      <c r="D17" s="964">
        <v>680</v>
      </c>
      <c r="E17" s="965">
        <f t="shared" ref="E17:E22" si="1">D17*9.5</f>
        <v>6460</v>
      </c>
    </row>
    <row r="18" spans="2:5" ht="15" customHeight="1">
      <c r="B18" s="973" t="s">
        <v>250</v>
      </c>
      <c r="C18" s="975" t="s">
        <v>669</v>
      </c>
      <c r="D18" s="964">
        <v>336</v>
      </c>
      <c r="E18" s="965">
        <f t="shared" si="1"/>
        <v>3192</v>
      </c>
    </row>
    <row r="19" spans="2:5" ht="14.45" customHeight="1">
      <c r="B19" s="973" t="s">
        <v>691</v>
      </c>
      <c r="C19" s="975" t="s">
        <v>26</v>
      </c>
      <c r="D19" s="964">
        <v>254</v>
      </c>
      <c r="E19" s="965">
        <f t="shared" si="1"/>
        <v>2413</v>
      </c>
    </row>
    <row r="20" spans="2:5" ht="14.45" customHeight="1">
      <c r="B20" s="1051" t="s">
        <v>82</v>
      </c>
      <c r="C20" s="975" t="s">
        <v>26</v>
      </c>
      <c r="D20" s="964">
        <v>308</v>
      </c>
      <c r="E20" s="965">
        <f t="shared" si="1"/>
        <v>2926</v>
      </c>
    </row>
    <row r="21" spans="2:5" ht="14.45" customHeight="1">
      <c r="B21" s="1051" t="s">
        <v>678</v>
      </c>
      <c r="C21" s="975" t="s">
        <v>681</v>
      </c>
      <c r="D21" s="964">
        <v>308</v>
      </c>
      <c r="E21" s="965">
        <f t="shared" si="1"/>
        <v>2926</v>
      </c>
    </row>
    <row r="22" spans="2:5" ht="14.45" customHeight="1">
      <c r="B22" s="1269" t="s">
        <v>24</v>
      </c>
      <c r="C22" s="1270"/>
      <c r="D22" s="964">
        <f>SUM(D17:D21)</f>
        <v>1886</v>
      </c>
      <c r="E22" s="954">
        <f t="shared" si="1"/>
        <v>17917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279</v>
      </c>
      <c r="C27" s="975" t="s">
        <v>669</v>
      </c>
      <c r="D27" s="964">
        <v>246</v>
      </c>
      <c r="E27" s="965">
        <f t="shared" ref="E27:E32" si="2">D27*9.5</f>
        <v>2337</v>
      </c>
    </row>
    <row r="28" spans="2:5">
      <c r="B28" s="973" t="s">
        <v>252</v>
      </c>
      <c r="C28" s="975" t="s">
        <v>669</v>
      </c>
      <c r="D28" s="964">
        <v>159</v>
      </c>
      <c r="E28" s="965">
        <f t="shared" si="2"/>
        <v>1510.5</v>
      </c>
    </row>
    <row r="29" spans="2:5">
      <c r="B29" s="973" t="s">
        <v>12</v>
      </c>
      <c r="C29" s="975" t="s">
        <v>26</v>
      </c>
      <c r="D29" s="964">
        <v>223</v>
      </c>
      <c r="E29" s="965">
        <f>D29*9.5</f>
        <v>2118.5</v>
      </c>
    </row>
    <row r="30" spans="2:5">
      <c r="B30" s="973" t="s">
        <v>278</v>
      </c>
      <c r="C30" s="975" t="s">
        <v>26</v>
      </c>
      <c r="D30" s="964">
        <v>463</v>
      </c>
      <c r="E30" s="965">
        <f t="shared" si="2"/>
        <v>4398.5</v>
      </c>
    </row>
    <row r="31" spans="2:5">
      <c r="B31" s="973" t="s">
        <v>65</v>
      </c>
      <c r="C31" s="975" t="s">
        <v>667</v>
      </c>
      <c r="D31" s="964">
        <v>158</v>
      </c>
      <c r="E31" s="965">
        <f t="shared" si="2"/>
        <v>1501</v>
      </c>
    </row>
    <row r="32" spans="2:5" ht="20.100000000000001" customHeight="1">
      <c r="B32" s="1259" t="s">
        <v>24</v>
      </c>
      <c r="C32" s="1259"/>
      <c r="D32" s="964">
        <f>SUM(D27:D31)</f>
        <v>1249</v>
      </c>
      <c r="E32" s="954">
        <f t="shared" si="2"/>
        <v>11865.5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1225</v>
      </c>
      <c r="D35" s="956">
        <f>D22</f>
        <v>1886</v>
      </c>
      <c r="E35" s="956">
        <f>D32</f>
        <v>1249</v>
      </c>
    </row>
    <row r="36" spans="2:5">
      <c r="B36" s="953" t="s">
        <v>36</v>
      </c>
      <c r="C36" s="951">
        <f>C35*9.5</f>
        <v>11637.5</v>
      </c>
      <c r="D36" s="951">
        <f>D35*9.5</f>
        <v>17917</v>
      </c>
      <c r="E36" s="951">
        <f>E35*9.5</f>
        <v>11865.5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4360</v>
      </c>
      <c r="D38" s="378" t="s">
        <v>253</v>
      </c>
      <c r="E38" s="381">
        <f>C38*9.5</f>
        <v>41420</v>
      </c>
    </row>
    <row r="39" spans="2:5">
      <c r="B39" s="377" t="s">
        <v>197</v>
      </c>
      <c r="C39" s="378">
        <f>C40-C38</f>
        <v>2433</v>
      </c>
      <c r="D39" s="378" t="s">
        <v>204</v>
      </c>
      <c r="E39" s="381">
        <f>C39*9</f>
        <v>21897</v>
      </c>
    </row>
    <row r="40" spans="2:5" ht="19.5">
      <c r="B40" s="941" t="s">
        <v>201</v>
      </c>
      <c r="C40" s="380">
        <v>6793</v>
      </c>
      <c r="D40" s="380" t="s">
        <v>202</v>
      </c>
      <c r="E40" s="379">
        <f>SUM(E38+E39)</f>
        <v>63317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46152-5D42-48A3-848C-84A44B5723B5}">
  <sheetPr codeName="Sheet18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44838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51</v>
      </c>
      <c r="C7" s="975" t="s">
        <v>669</v>
      </c>
      <c r="D7" s="964">
        <v>390</v>
      </c>
      <c r="E7" s="965">
        <f t="shared" ref="E7:E12" si="0">D7*9.5</f>
        <v>3705</v>
      </c>
    </row>
    <row r="8" spans="2:8" ht="15" customHeight="1">
      <c r="B8" s="973" t="s">
        <v>252</v>
      </c>
      <c r="C8" s="975" t="s">
        <v>669</v>
      </c>
      <c r="D8" s="964">
        <v>312</v>
      </c>
      <c r="E8" s="965">
        <f t="shared" si="0"/>
        <v>2964</v>
      </c>
    </row>
    <row r="9" spans="2:8" ht="15" customHeight="1">
      <c r="B9" s="973" t="s">
        <v>205</v>
      </c>
      <c r="C9" s="975" t="s">
        <v>26</v>
      </c>
      <c r="D9" s="964">
        <v>194</v>
      </c>
      <c r="E9" s="965">
        <f t="shared" si="0"/>
        <v>1843</v>
      </c>
    </row>
    <row r="10" spans="2:8" ht="15" customHeight="1">
      <c r="B10" s="1051" t="s">
        <v>334</v>
      </c>
      <c r="C10" s="975" t="s">
        <v>26</v>
      </c>
      <c r="D10" s="943">
        <v>172</v>
      </c>
      <c r="E10" s="965">
        <f t="shared" si="0"/>
        <v>1634</v>
      </c>
    </row>
    <row r="11" spans="2:8" ht="15" customHeight="1">
      <c r="B11" s="1051" t="s">
        <v>303</v>
      </c>
      <c r="C11" s="975" t="s">
        <v>687</v>
      </c>
      <c r="D11" s="943">
        <v>637</v>
      </c>
      <c r="E11" s="965">
        <f t="shared" si="0"/>
        <v>6051.5</v>
      </c>
    </row>
    <row r="12" spans="2:8" ht="20.100000000000001" customHeight="1">
      <c r="B12" s="1255" t="s">
        <v>24</v>
      </c>
      <c r="C12" s="1255"/>
      <c r="D12" s="964">
        <f>SUM(D7:D11)</f>
        <v>1705</v>
      </c>
      <c r="E12" s="965">
        <f t="shared" si="0"/>
        <v>16197.5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51</v>
      </c>
      <c r="C17" s="975" t="s">
        <v>669</v>
      </c>
      <c r="D17" s="964">
        <v>316</v>
      </c>
      <c r="E17" s="965">
        <f t="shared" ref="E17:E22" si="1">D17*9.5</f>
        <v>3002</v>
      </c>
    </row>
    <row r="18" spans="2:5" ht="15" customHeight="1">
      <c r="B18" s="973" t="s">
        <v>281</v>
      </c>
      <c r="C18" s="975" t="s">
        <v>669</v>
      </c>
      <c r="D18" s="964">
        <v>300</v>
      </c>
      <c r="E18" s="965">
        <f t="shared" si="1"/>
        <v>2850</v>
      </c>
    </row>
    <row r="19" spans="2:5" ht="14.45" customHeight="1">
      <c r="B19" s="973" t="s">
        <v>205</v>
      </c>
      <c r="C19" s="975" t="s">
        <v>26</v>
      </c>
      <c r="D19" s="964">
        <v>181</v>
      </c>
      <c r="E19" s="965">
        <f t="shared" si="1"/>
        <v>1719.5</v>
      </c>
    </row>
    <row r="20" spans="2:5" ht="14.45" customHeight="1">
      <c r="B20" s="1051" t="s">
        <v>256</v>
      </c>
      <c r="C20" s="975" t="s">
        <v>26</v>
      </c>
      <c r="D20" s="964">
        <v>253</v>
      </c>
      <c r="E20" s="965">
        <f t="shared" si="1"/>
        <v>2403.5</v>
      </c>
    </row>
    <row r="21" spans="2:5" ht="14.45" customHeight="1">
      <c r="B21" s="1051" t="s">
        <v>303</v>
      </c>
      <c r="C21" s="975" t="s">
        <v>681</v>
      </c>
      <c r="D21" s="964">
        <v>748</v>
      </c>
      <c r="E21" s="965">
        <f t="shared" si="1"/>
        <v>7106</v>
      </c>
    </row>
    <row r="22" spans="2:5" ht="14.45" customHeight="1">
      <c r="B22" s="1269" t="s">
        <v>24</v>
      </c>
      <c r="C22" s="1270"/>
      <c r="D22" s="964">
        <f>SUM(D17:D21)</f>
        <v>1798</v>
      </c>
      <c r="E22" s="954">
        <f t="shared" si="1"/>
        <v>17081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678</v>
      </c>
      <c r="C27" s="975" t="s">
        <v>669</v>
      </c>
      <c r="D27" s="964">
        <v>275</v>
      </c>
      <c r="E27" s="965">
        <f t="shared" ref="E27:E32" si="2">D27*9.5</f>
        <v>2612.5</v>
      </c>
    </row>
    <row r="28" spans="2:5">
      <c r="B28" s="973" t="s">
        <v>701</v>
      </c>
      <c r="C28" s="975" t="s">
        <v>669</v>
      </c>
      <c r="D28" s="964">
        <v>418</v>
      </c>
      <c r="E28" s="965">
        <f t="shared" si="2"/>
        <v>3971</v>
      </c>
    </row>
    <row r="29" spans="2:5">
      <c r="B29" s="973" t="s">
        <v>45</v>
      </c>
      <c r="C29" s="975" t="s">
        <v>26</v>
      </c>
      <c r="D29" s="964">
        <v>198</v>
      </c>
      <c r="E29" s="965">
        <f>D29*9.5</f>
        <v>1881</v>
      </c>
    </row>
    <row r="30" spans="2:5">
      <c r="B30" s="973" t="s">
        <v>65</v>
      </c>
      <c r="C30" s="975" t="s">
        <v>26</v>
      </c>
      <c r="D30" s="964">
        <v>175</v>
      </c>
      <c r="E30" s="965">
        <f t="shared" si="2"/>
        <v>1662.5</v>
      </c>
    </row>
    <row r="31" spans="2:5">
      <c r="B31" s="973" t="s">
        <v>44</v>
      </c>
      <c r="C31" s="975" t="s">
        <v>667</v>
      </c>
      <c r="D31" s="964">
        <v>134</v>
      </c>
      <c r="E31" s="965">
        <f t="shared" si="2"/>
        <v>1273</v>
      </c>
    </row>
    <row r="32" spans="2:5" ht="20.100000000000001" customHeight="1">
      <c r="B32" s="1259" t="s">
        <v>24</v>
      </c>
      <c r="C32" s="1259"/>
      <c r="D32" s="964">
        <f>SUM(D27:D31)</f>
        <v>1200</v>
      </c>
      <c r="E32" s="954">
        <f t="shared" si="2"/>
        <v>11400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1705</v>
      </c>
      <c r="D35" s="956">
        <f>D22</f>
        <v>1798</v>
      </c>
      <c r="E35" s="956">
        <f>D32</f>
        <v>1200</v>
      </c>
    </row>
    <row r="36" spans="2:5">
      <c r="B36" s="953" t="s">
        <v>36</v>
      </c>
      <c r="C36" s="951">
        <f>C35*9.5</f>
        <v>16197.5</v>
      </c>
      <c r="D36" s="951">
        <f>D35*9.5</f>
        <v>17081</v>
      </c>
      <c r="E36" s="951">
        <f>E35*9.5</f>
        <v>11400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4703</v>
      </c>
      <c r="D38" s="378" t="s">
        <v>253</v>
      </c>
      <c r="E38" s="381">
        <f>C38*9.5</f>
        <v>44678.5</v>
      </c>
    </row>
    <row r="39" spans="2:5">
      <c r="B39" s="377" t="s">
        <v>197</v>
      </c>
      <c r="C39" s="378">
        <f>C40-C38</f>
        <v>2692</v>
      </c>
      <c r="D39" s="378" t="s">
        <v>204</v>
      </c>
      <c r="E39" s="381">
        <f>C39*9</f>
        <v>24228</v>
      </c>
    </row>
    <row r="40" spans="2:5" ht="19.5">
      <c r="B40" s="941" t="s">
        <v>201</v>
      </c>
      <c r="C40" s="380">
        <v>7395</v>
      </c>
      <c r="D40" s="380" t="s">
        <v>202</v>
      </c>
      <c r="E40" s="379">
        <f>SUM(E38+E39)</f>
        <v>68906.5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A70D6-F7BD-4000-9BE7-2440FD77D7D3}">
  <sheetPr codeName="Sheet183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44839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329</v>
      </c>
      <c r="C7" s="975" t="s">
        <v>669</v>
      </c>
      <c r="D7" s="964">
        <v>414</v>
      </c>
      <c r="E7" s="965">
        <f t="shared" ref="E7:E12" si="0">D7*9.5</f>
        <v>3933</v>
      </c>
    </row>
    <row r="8" spans="2:8" ht="15" customHeight="1">
      <c r="B8" s="973" t="s">
        <v>78</v>
      </c>
      <c r="C8" s="975" t="s">
        <v>669</v>
      </c>
      <c r="D8" s="964">
        <v>397</v>
      </c>
      <c r="E8" s="965">
        <f t="shared" si="0"/>
        <v>3771.5</v>
      </c>
    </row>
    <row r="9" spans="2:8" ht="15" customHeight="1">
      <c r="B9" s="973" t="s">
        <v>332</v>
      </c>
      <c r="C9" s="975" t="s">
        <v>26</v>
      </c>
      <c r="D9" s="964">
        <v>347</v>
      </c>
      <c r="E9" s="965">
        <f t="shared" si="0"/>
        <v>3296.5</v>
      </c>
    </row>
    <row r="10" spans="2:8" ht="15" customHeight="1">
      <c r="B10" s="1051" t="s">
        <v>12</v>
      </c>
      <c r="C10" s="975" t="s">
        <v>26</v>
      </c>
      <c r="D10" s="943">
        <v>303</v>
      </c>
      <c r="E10" s="965">
        <f t="shared" si="0"/>
        <v>2878.5</v>
      </c>
    </row>
    <row r="11" spans="2:8" ht="15" customHeight="1">
      <c r="B11" s="1051" t="s">
        <v>252</v>
      </c>
      <c r="C11" s="975" t="s">
        <v>687</v>
      </c>
      <c r="D11" s="943">
        <v>284</v>
      </c>
      <c r="E11" s="965">
        <f t="shared" si="0"/>
        <v>2698</v>
      </c>
    </row>
    <row r="12" spans="2:8" ht="20.100000000000001" customHeight="1">
      <c r="B12" s="1255" t="s">
        <v>24</v>
      </c>
      <c r="C12" s="1255"/>
      <c r="D12" s="964">
        <f>SUM(D7:D11)</f>
        <v>1745</v>
      </c>
      <c r="E12" s="965">
        <f t="shared" si="0"/>
        <v>16577.5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250</v>
      </c>
      <c r="C17" s="975" t="s">
        <v>669</v>
      </c>
      <c r="D17" s="964">
        <v>339</v>
      </c>
      <c r="E17" s="965">
        <f t="shared" ref="E17:E22" si="1">D17*9.5</f>
        <v>3220.5</v>
      </c>
    </row>
    <row r="18" spans="2:5" ht="15" customHeight="1">
      <c r="B18" s="973" t="s">
        <v>78</v>
      </c>
      <c r="C18" s="975" t="s">
        <v>669</v>
      </c>
      <c r="D18" s="964">
        <v>307</v>
      </c>
      <c r="E18" s="965">
        <f t="shared" si="1"/>
        <v>2916.5</v>
      </c>
    </row>
    <row r="19" spans="2:5" ht="14.45" customHeight="1">
      <c r="B19" s="973" t="s">
        <v>332</v>
      </c>
      <c r="C19" s="975" t="s">
        <v>26</v>
      </c>
      <c r="D19" s="964">
        <v>300</v>
      </c>
      <c r="E19" s="965">
        <f t="shared" si="1"/>
        <v>2850</v>
      </c>
    </row>
    <row r="20" spans="2:5" ht="14.45" customHeight="1">
      <c r="B20" s="1051" t="s">
        <v>256</v>
      </c>
      <c r="C20" s="975" t="s">
        <v>26</v>
      </c>
      <c r="D20" s="964">
        <v>257</v>
      </c>
      <c r="E20" s="965">
        <f t="shared" si="1"/>
        <v>2441.5</v>
      </c>
    </row>
    <row r="21" spans="2:5" ht="14.45" customHeight="1">
      <c r="B21" s="1051" t="s">
        <v>238</v>
      </c>
      <c r="C21" s="975" t="s">
        <v>681</v>
      </c>
      <c r="D21" s="964">
        <v>318</v>
      </c>
      <c r="E21" s="965">
        <f t="shared" si="1"/>
        <v>3021</v>
      </c>
    </row>
    <row r="22" spans="2:5" ht="14.45" customHeight="1">
      <c r="B22" s="1269" t="s">
        <v>24</v>
      </c>
      <c r="C22" s="1270"/>
      <c r="D22" s="964">
        <f>SUM(D17:D21)</f>
        <v>1521</v>
      </c>
      <c r="E22" s="954">
        <f t="shared" si="1"/>
        <v>14449.5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250</v>
      </c>
      <c r="C27" s="975" t="s">
        <v>669</v>
      </c>
      <c r="D27" s="964">
        <v>210</v>
      </c>
      <c r="E27" s="965">
        <f t="shared" ref="E27:E32" si="2">D27*9.5</f>
        <v>1995</v>
      </c>
    </row>
    <row r="28" spans="2:5">
      <c r="B28" s="973" t="s">
        <v>331</v>
      </c>
      <c r="C28" s="975" t="s">
        <v>669</v>
      </c>
      <c r="D28" s="964">
        <v>358</v>
      </c>
      <c r="E28" s="965">
        <f t="shared" si="2"/>
        <v>3401</v>
      </c>
    </row>
    <row r="29" spans="2:5">
      <c r="B29" s="973" t="s">
        <v>299</v>
      </c>
      <c r="C29" s="975" t="s">
        <v>26</v>
      </c>
      <c r="D29" s="964">
        <v>227</v>
      </c>
      <c r="E29" s="965">
        <f>D29*9.5</f>
        <v>2156.5</v>
      </c>
    </row>
    <row r="30" spans="2:5">
      <c r="B30" s="973" t="s">
        <v>82</v>
      </c>
      <c r="C30" s="975" t="s">
        <v>26</v>
      </c>
      <c r="D30" s="964">
        <v>262</v>
      </c>
      <c r="E30" s="965">
        <f t="shared" si="2"/>
        <v>2489</v>
      </c>
    </row>
    <row r="31" spans="2:5">
      <c r="B31" s="973" t="s">
        <v>239</v>
      </c>
      <c r="C31" s="975" t="s">
        <v>667</v>
      </c>
      <c r="D31" s="964">
        <v>70</v>
      </c>
      <c r="E31" s="965">
        <f t="shared" si="2"/>
        <v>665</v>
      </c>
    </row>
    <row r="32" spans="2:5" ht="20.100000000000001" customHeight="1">
      <c r="B32" s="1259" t="s">
        <v>24</v>
      </c>
      <c r="C32" s="1259"/>
      <c r="D32" s="964">
        <f>SUM(D27:D31)</f>
        <v>1127</v>
      </c>
      <c r="E32" s="954">
        <f t="shared" si="2"/>
        <v>10706.5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1745</v>
      </c>
      <c r="D35" s="956">
        <f>D22</f>
        <v>1521</v>
      </c>
      <c r="E35" s="956">
        <f>D32</f>
        <v>1127</v>
      </c>
    </row>
    <row r="36" spans="2:5">
      <c r="B36" s="953" t="s">
        <v>36</v>
      </c>
      <c r="C36" s="951">
        <f>C35*9.5</f>
        <v>16577.5</v>
      </c>
      <c r="D36" s="951">
        <f>D35*9.5</f>
        <v>14449.5</v>
      </c>
      <c r="E36" s="951">
        <f>E35*9.5</f>
        <v>10706.5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4393</v>
      </c>
      <c r="D38" s="378" t="s">
        <v>253</v>
      </c>
      <c r="E38" s="381">
        <f>C38*9.5</f>
        <v>41733.5</v>
      </c>
    </row>
    <row r="39" spans="2:5">
      <c r="B39" s="377" t="s">
        <v>197</v>
      </c>
      <c r="C39" s="378">
        <f>C40-C38</f>
        <v>2763</v>
      </c>
      <c r="D39" s="378" t="s">
        <v>204</v>
      </c>
      <c r="E39" s="381">
        <f>C39*9</f>
        <v>24867</v>
      </c>
    </row>
    <row r="40" spans="2:5" ht="19.5">
      <c r="B40" s="941" t="s">
        <v>201</v>
      </c>
      <c r="C40" s="380">
        <v>7156</v>
      </c>
      <c r="D40" s="380" t="s">
        <v>202</v>
      </c>
      <c r="E40" s="379">
        <f>SUM(E38+E39)</f>
        <v>66600.5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3DF76-B984-497F-A90D-774F4CEC72B6}">
  <sheetPr codeName="Sheet18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44840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184</v>
      </c>
      <c r="C7" s="975" t="s">
        <v>669</v>
      </c>
      <c r="D7" s="964">
        <v>272</v>
      </c>
      <c r="E7" s="965">
        <f t="shared" ref="E7:E12" si="0">D7*9.5</f>
        <v>2584</v>
      </c>
    </row>
    <row r="8" spans="2:8" ht="15" customHeight="1">
      <c r="B8" s="973" t="s">
        <v>334</v>
      </c>
      <c r="C8" s="975" t="s">
        <v>669</v>
      </c>
      <c r="D8" s="964">
        <v>255</v>
      </c>
      <c r="E8" s="965">
        <f t="shared" si="0"/>
        <v>2422.5</v>
      </c>
    </row>
    <row r="9" spans="2:8" ht="15" customHeight="1">
      <c r="B9" s="973" t="s">
        <v>65</v>
      </c>
      <c r="C9" s="975" t="s">
        <v>26</v>
      </c>
      <c r="D9" s="964">
        <v>368</v>
      </c>
      <c r="E9" s="965">
        <f t="shared" si="0"/>
        <v>3496</v>
      </c>
    </row>
    <row r="10" spans="2:8" ht="15" customHeight="1">
      <c r="B10" s="1051" t="s">
        <v>252</v>
      </c>
      <c r="C10" s="975" t="s">
        <v>26</v>
      </c>
      <c r="D10" s="943">
        <v>268</v>
      </c>
      <c r="E10" s="965">
        <f t="shared" si="0"/>
        <v>2546</v>
      </c>
    </row>
    <row r="11" spans="2:8" ht="15" customHeight="1">
      <c r="B11" s="1051" t="s">
        <v>70</v>
      </c>
      <c r="C11" s="975" t="s">
        <v>687</v>
      </c>
      <c r="D11" s="943">
        <v>384</v>
      </c>
      <c r="E11" s="965">
        <f t="shared" si="0"/>
        <v>3648</v>
      </c>
    </row>
    <row r="12" spans="2:8" ht="20.100000000000001" customHeight="1">
      <c r="B12" s="1255" t="s">
        <v>24</v>
      </c>
      <c r="C12" s="1255"/>
      <c r="D12" s="964">
        <f>SUM(D7:D11)</f>
        <v>1547</v>
      </c>
      <c r="E12" s="965">
        <f t="shared" si="0"/>
        <v>14696.5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250</v>
      </c>
      <c r="C17" s="975" t="s">
        <v>669</v>
      </c>
      <c r="D17" s="964">
        <v>246</v>
      </c>
      <c r="E17" s="965">
        <f t="shared" ref="E17:E22" si="1">D17*9.5</f>
        <v>2337</v>
      </c>
    </row>
    <row r="18" spans="2:5" ht="15" customHeight="1">
      <c r="B18" s="973" t="s">
        <v>189</v>
      </c>
      <c r="C18" s="975" t="s">
        <v>669</v>
      </c>
      <c r="D18" s="964">
        <v>418</v>
      </c>
      <c r="E18" s="965">
        <f t="shared" si="1"/>
        <v>3971</v>
      </c>
    </row>
    <row r="19" spans="2:5" ht="14.45" customHeight="1">
      <c r="B19" s="973" t="s">
        <v>303</v>
      </c>
      <c r="C19" s="975" t="s">
        <v>26</v>
      </c>
      <c r="D19" s="964">
        <v>836</v>
      </c>
      <c r="E19" s="965">
        <f t="shared" si="1"/>
        <v>7942</v>
      </c>
    </row>
    <row r="20" spans="2:5" ht="14.45" customHeight="1">
      <c r="B20" s="1051" t="s">
        <v>252</v>
      </c>
      <c r="C20" s="975" t="s">
        <v>26</v>
      </c>
      <c r="D20" s="964">
        <v>302</v>
      </c>
      <c r="E20" s="965">
        <f t="shared" si="1"/>
        <v>2869</v>
      </c>
    </row>
    <row r="21" spans="2:5" ht="14.45" customHeight="1">
      <c r="B21" s="1051" t="s">
        <v>256</v>
      </c>
      <c r="C21" s="975" t="s">
        <v>681</v>
      </c>
      <c r="D21" s="964">
        <v>134</v>
      </c>
      <c r="E21" s="965">
        <f t="shared" si="1"/>
        <v>1273</v>
      </c>
    </row>
    <row r="22" spans="2:5" ht="14.45" customHeight="1">
      <c r="B22" s="1269" t="s">
        <v>24</v>
      </c>
      <c r="C22" s="1270"/>
      <c r="D22" s="964">
        <f>SUM(D17:D21)</f>
        <v>1936</v>
      </c>
      <c r="E22" s="954">
        <f t="shared" si="1"/>
        <v>18392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250</v>
      </c>
      <c r="C27" s="975" t="s">
        <v>669</v>
      </c>
      <c r="D27" s="964">
        <v>184</v>
      </c>
      <c r="E27" s="965">
        <f t="shared" ref="E27:E32" si="2">D27*9.5</f>
        <v>1748</v>
      </c>
    </row>
    <row r="28" spans="2:5">
      <c r="B28" s="973" t="s">
        <v>333</v>
      </c>
      <c r="C28" s="975" t="s">
        <v>669</v>
      </c>
      <c r="D28" s="964">
        <v>191</v>
      </c>
      <c r="E28" s="965">
        <f t="shared" si="2"/>
        <v>1814.5</v>
      </c>
    </row>
    <row r="29" spans="2:5">
      <c r="B29" s="973" t="s">
        <v>691</v>
      </c>
      <c r="C29" s="975" t="s">
        <v>26</v>
      </c>
      <c r="D29" s="964">
        <v>160</v>
      </c>
      <c r="E29" s="965">
        <f>D29*9.5</f>
        <v>1520</v>
      </c>
    </row>
    <row r="30" spans="2:5">
      <c r="B30" s="973" t="s">
        <v>281</v>
      </c>
      <c r="C30" s="975" t="s">
        <v>26</v>
      </c>
      <c r="D30" s="964">
        <v>176</v>
      </c>
      <c r="E30" s="965">
        <f t="shared" si="2"/>
        <v>1672</v>
      </c>
    </row>
    <row r="31" spans="2:5">
      <c r="B31" s="973" t="s">
        <v>205</v>
      </c>
      <c r="C31" s="975" t="s">
        <v>667</v>
      </c>
      <c r="D31" s="964">
        <v>67</v>
      </c>
      <c r="E31" s="965">
        <f t="shared" si="2"/>
        <v>636.5</v>
      </c>
    </row>
    <row r="32" spans="2:5" ht="20.100000000000001" customHeight="1">
      <c r="B32" s="1259" t="s">
        <v>24</v>
      </c>
      <c r="C32" s="1259"/>
      <c r="D32" s="964">
        <f>SUM(D27:D31)</f>
        <v>778</v>
      </c>
      <c r="E32" s="954">
        <f t="shared" si="2"/>
        <v>7391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1547</v>
      </c>
      <c r="D35" s="956">
        <f>D22</f>
        <v>1936</v>
      </c>
      <c r="E35" s="956">
        <f>D32</f>
        <v>778</v>
      </c>
    </row>
    <row r="36" spans="2:5">
      <c r="B36" s="953" t="s">
        <v>36</v>
      </c>
      <c r="C36" s="951">
        <f>C35*9.5</f>
        <v>14696.5</v>
      </c>
      <c r="D36" s="951">
        <f>D35*9.5</f>
        <v>18392</v>
      </c>
      <c r="E36" s="951">
        <f>E35*9.5</f>
        <v>7391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4261</v>
      </c>
      <c r="D38" s="378" t="s">
        <v>253</v>
      </c>
      <c r="E38" s="381">
        <f>C38*9.5</f>
        <v>40479.5</v>
      </c>
    </row>
    <row r="39" spans="2:5">
      <c r="B39" s="377" t="s">
        <v>197</v>
      </c>
      <c r="C39" s="378">
        <f>C40-C38</f>
        <v>2567</v>
      </c>
      <c r="D39" s="378" t="s">
        <v>204</v>
      </c>
      <c r="E39" s="381">
        <f>C39*9</f>
        <v>23103</v>
      </c>
    </row>
    <row r="40" spans="2:5" ht="19.5">
      <c r="B40" s="941" t="s">
        <v>201</v>
      </c>
      <c r="C40" s="380">
        <v>6828</v>
      </c>
      <c r="D40" s="380" t="s">
        <v>202</v>
      </c>
      <c r="E40" s="379">
        <f>SUM(E38+E39)</f>
        <v>63582.5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55FF-9E7E-4EF4-97F9-7B934C2FEA2D}">
  <sheetPr codeName="Sheet18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44841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678</v>
      </c>
      <c r="C7" s="975" t="s">
        <v>669</v>
      </c>
      <c r="D7" s="964">
        <v>355</v>
      </c>
      <c r="E7" s="965">
        <f t="shared" ref="E7:E12" si="0">D7*9.5</f>
        <v>3372.5</v>
      </c>
    </row>
    <row r="8" spans="2:8" ht="15" customHeight="1">
      <c r="B8" s="973" t="s">
        <v>706</v>
      </c>
      <c r="C8" s="975" t="s">
        <v>669</v>
      </c>
      <c r="D8" s="964">
        <v>434</v>
      </c>
      <c r="E8" s="965">
        <f t="shared" si="0"/>
        <v>4123</v>
      </c>
    </row>
    <row r="9" spans="2:8" ht="15" customHeight="1">
      <c r="B9" s="973" t="s">
        <v>707</v>
      </c>
      <c r="C9" s="975" t="s">
        <v>26</v>
      </c>
      <c r="D9" s="964">
        <v>272</v>
      </c>
      <c r="E9" s="965">
        <f t="shared" si="0"/>
        <v>2584</v>
      </c>
    </row>
    <row r="10" spans="2:8" ht="15" customHeight="1">
      <c r="B10" s="1051" t="s">
        <v>262</v>
      </c>
      <c r="C10" s="975" t="s">
        <v>26</v>
      </c>
      <c r="D10" s="943">
        <v>219</v>
      </c>
      <c r="E10" s="965">
        <f t="shared" si="0"/>
        <v>2080.5</v>
      </c>
    </row>
    <row r="11" spans="2:8" ht="15" customHeight="1">
      <c r="B11" s="1051" t="s">
        <v>256</v>
      </c>
      <c r="C11" s="975" t="s">
        <v>687</v>
      </c>
      <c r="D11" s="943">
        <v>155</v>
      </c>
      <c r="E11" s="965">
        <f t="shared" si="0"/>
        <v>1472.5</v>
      </c>
    </row>
    <row r="12" spans="2:8" ht="20.100000000000001" customHeight="1">
      <c r="B12" s="1255" t="s">
        <v>24</v>
      </c>
      <c r="C12" s="1255"/>
      <c r="D12" s="964">
        <f>SUM(D7:D11)</f>
        <v>1435</v>
      </c>
      <c r="E12" s="965">
        <f t="shared" si="0"/>
        <v>13632.5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184</v>
      </c>
      <c r="C17" s="975" t="s">
        <v>669</v>
      </c>
      <c r="D17" s="964">
        <v>278</v>
      </c>
      <c r="E17" s="965">
        <f t="shared" ref="E17:E22" si="1">D17*9.5</f>
        <v>2641</v>
      </c>
    </row>
    <row r="18" spans="2:5" ht="15" customHeight="1">
      <c r="B18" s="973" t="s">
        <v>238</v>
      </c>
      <c r="C18" s="975" t="s">
        <v>669</v>
      </c>
      <c r="D18" s="964">
        <v>325</v>
      </c>
      <c r="E18" s="965">
        <f t="shared" si="1"/>
        <v>3087.5</v>
      </c>
    </row>
    <row r="19" spans="2:5" ht="14.45" customHeight="1">
      <c r="B19" s="973" t="s">
        <v>244</v>
      </c>
      <c r="C19" s="975" t="s">
        <v>26</v>
      </c>
      <c r="D19" s="964">
        <v>352</v>
      </c>
      <c r="E19" s="965">
        <f t="shared" si="1"/>
        <v>3344</v>
      </c>
    </row>
    <row r="20" spans="2:5" ht="14.45" customHeight="1">
      <c r="B20" s="1051" t="s">
        <v>707</v>
      </c>
      <c r="C20" s="975" t="s">
        <v>26</v>
      </c>
      <c r="D20" s="964">
        <v>121</v>
      </c>
      <c r="E20" s="965">
        <f t="shared" si="1"/>
        <v>1149.5</v>
      </c>
    </row>
    <row r="21" spans="2:5" ht="14.45" customHeight="1">
      <c r="B21" s="1051" t="s">
        <v>295</v>
      </c>
      <c r="C21" s="975" t="s">
        <v>681</v>
      </c>
      <c r="D21" s="964">
        <v>107</v>
      </c>
      <c r="E21" s="965">
        <f t="shared" si="1"/>
        <v>1016.5</v>
      </c>
    </row>
    <row r="22" spans="2:5" ht="14.45" customHeight="1">
      <c r="B22" s="1269" t="s">
        <v>24</v>
      </c>
      <c r="C22" s="1270"/>
      <c r="D22" s="964">
        <f>SUM(D17:D21)</f>
        <v>1183</v>
      </c>
      <c r="E22" s="954">
        <f t="shared" si="1"/>
        <v>11238.5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184</v>
      </c>
      <c r="C27" s="975" t="s">
        <v>669</v>
      </c>
      <c r="D27" s="964">
        <v>108</v>
      </c>
      <c r="E27" s="965">
        <f t="shared" ref="E27:E32" si="2">D27*9.5</f>
        <v>1026</v>
      </c>
    </row>
    <row r="28" spans="2:5">
      <c r="B28" s="973" t="s">
        <v>238</v>
      </c>
      <c r="C28" s="975" t="s">
        <v>669</v>
      </c>
      <c r="D28" s="964">
        <v>130</v>
      </c>
      <c r="E28" s="965">
        <f t="shared" si="2"/>
        <v>1235</v>
      </c>
    </row>
    <row r="29" spans="2:5">
      <c r="B29" s="973" t="s">
        <v>244</v>
      </c>
      <c r="C29" s="975" t="s">
        <v>26</v>
      </c>
      <c r="D29" s="964">
        <v>162</v>
      </c>
      <c r="E29" s="965">
        <f>D29*9.5</f>
        <v>1539</v>
      </c>
    </row>
    <row r="30" spans="2:5">
      <c r="B30" s="973" t="s">
        <v>235</v>
      </c>
      <c r="C30" s="975" t="s">
        <v>26</v>
      </c>
      <c r="D30" s="964">
        <v>452</v>
      </c>
      <c r="E30" s="965">
        <f t="shared" si="2"/>
        <v>4294</v>
      </c>
    </row>
    <row r="31" spans="2:5">
      <c r="B31" s="973" t="s">
        <v>70</v>
      </c>
      <c r="C31" s="975" t="s">
        <v>667</v>
      </c>
      <c r="D31" s="964">
        <v>324</v>
      </c>
      <c r="E31" s="965">
        <f t="shared" si="2"/>
        <v>3078</v>
      </c>
    </row>
    <row r="32" spans="2:5" ht="20.100000000000001" customHeight="1">
      <c r="B32" s="1259" t="s">
        <v>24</v>
      </c>
      <c r="C32" s="1259"/>
      <c r="D32" s="964">
        <f>SUM(D27:D31)</f>
        <v>1176</v>
      </c>
      <c r="E32" s="954">
        <f t="shared" si="2"/>
        <v>11172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1435</v>
      </c>
      <c r="D35" s="956">
        <f>D22</f>
        <v>1183</v>
      </c>
      <c r="E35" s="956">
        <f>D32</f>
        <v>1176</v>
      </c>
    </row>
    <row r="36" spans="2:5">
      <c r="B36" s="953" t="s">
        <v>36</v>
      </c>
      <c r="C36" s="951">
        <f>C35*9.5</f>
        <v>13632.5</v>
      </c>
      <c r="D36" s="951">
        <f>D35*9.5</f>
        <v>11238.5</v>
      </c>
      <c r="E36" s="951">
        <f>E35*9.5</f>
        <v>11172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3794</v>
      </c>
      <c r="D38" s="378" t="s">
        <v>253</v>
      </c>
      <c r="E38" s="381">
        <f>C38*9.5</f>
        <v>36043</v>
      </c>
    </row>
    <row r="39" spans="2:5">
      <c r="B39" s="377" t="s">
        <v>197</v>
      </c>
      <c r="C39" s="378">
        <f>C40-C38</f>
        <v>2029</v>
      </c>
      <c r="D39" s="378" t="s">
        <v>204</v>
      </c>
      <c r="E39" s="381">
        <f>C39*9</f>
        <v>18261</v>
      </c>
    </row>
    <row r="40" spans="2:5" ht="19.5">
      <c r="B40" s="941" t="s">
        <v>201</v>
      </c>
      <c r="C40" s="380">
        <v>5823</v>
      </c>
      <c r="D40" s="380" t="s">
        <v>202</v>
      </c>
      <c r="E40" s="379">
        <f>SUM(E38+E39)</f>
        <v>54304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EE6D7-DCE3-4CD6-866F-767B3265F2E1}">
  <sheetPr codeName="Sheet18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44842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708</v>
      </c>
      <c r="C7" s="975" t="s">
        <v>669</v>
      </c>
      <c r="D7" s="964">
        <v>227</v>
      </c>
      <c r="E7" s="965">
        <f t="shared" ref="E7:E12" si="0">D7*9.5</f>
        <v>2156.5</v>
      </c>
    </row>
    <row r="8" spans="2:8" ht="15" customHeight="1">
      <c r="B8" s="973" t="s">
        <v>303</v>
      </c>
      <c r="C8" s="975" t="s">
        <v>669</v>
      </c>
      <c r="D8" s="964">
        <v>642</v>
      </c>
      <c r="E8" s="965">
        <f t="shared" si="0"/>
        <v>6099</v>
      </c>
    </row>
    <row r="9" spans="2:8" ht="15" customHeight="1">
      <c r="B9" s="973" t="s">
        <v>709</v>
      </c>
      <c r="C9" s="975" t="s">
        <v>26</v>
      </c>
      <c r="D9" s="964">
        <v>215</v>
      </c>
      <c r="E9" s="965">
        <f t="shared" si="0"/>
        <v>2042.5</v>
      </c>
    </row>
    <row r="10" spans="2:8" ht="15" customHeight="1">
      <c r="B10" s="1051" t="s">
        <v>70</v>
      </c>
      <c r="C10" s="975" t="s">
        <v>26</v>
      </c>
      <c r="D10" s="943">
        <v>342</v>
      </c>
      <c r="E10" s="965">
        <f t="shared" si="0"/>
        <v>3249</v>
      </c>
    </row>
    <row r="11" spans="2:8" ht="15" customHeight="1">
      <c r="B11" s="1051" t="s">
        <v>65</v>
      </c>
      <c r="C11" s="975" t="s">
        <v>687</v>
      </c>
      <c r="D11" s="943">
        <v>189</v>
      </c>
      <c r="E11" s="965">
        <f t="shared" si="0"/>
        <v>1795.5</v>
      </c>
    </row>
    <row r="12" spans="2:8" ht="20.100000000000001" customHeight="1">
      <c r="B12" s="1255" t="s">
        <v>24</v>
      </c>
      <c r="C12" s="1255"/>
      <c r="D12" s="964">
        <f>SUM(D7:D11)</f>
        <v>1615</v>
      </c>
      <c r="E12" s="965">
        <f t="shared" si="0"/>
        <v>15342.5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329</v>
      </c>
      <c r="C17" s="975" t="s">
        <v>669</v>
      </c>
      <c r="D17" s="964">
        <v>356</v>
      </c>
      <c r="E17" s="965">
        <f t="shared" ref="E17:E22" si="1">D17*9.5</f>
        <v>3382</v>
      </c>
    </row>
    <row r="18" spans="2:5" ht="15" customHeight="1">
      <c r="B18" s="973" t="s">
        <v>303</v>
      </c>
      <c r="C18" s="975" t="s">
        <v>669</v>
      </c>
      <c r="D18" s="964">
        <v>688</v>
      </c>
      <c r="E18" s="965">
        <f t="shared" si="1"/>
        <v>6536</v>
      </c>
    </row>
    <row r="19" spans="2:5" ht="14.45" customHeight="1">
      <c r="B19" s="973" t="s">
        <v>300</v>
      </c>
      <c r="C19" s="975" t="s">
        <v>26</v>
      </c>
      <c r="D19" s="964">
        <v>127</v>
      </c>
      <c r="E19" s="965">
        <f t="shared" si="1"/>
        <v>1206.5</v>
      </c>
    </row>
    <row r="20" spans="2:5" ht="14.45" customHeight="1">
      <c r="B20" s="1051" t="s">
        <v>70</v>
      </c>
      <c r="C20" s="975" t="s">
        <v>26</v>
      </c>
      <c r="D20" s="964">
        <v>329</v>
      </c>
      <c r="E20" s="965">
        <f t="shared" si="1"/>
        <v>3125.5</v>
      </c>
    </row>
    <row r="21" spans="2:5" ht="14.45" customHeight="1">
      <c r="B21" s="1051" t="s">
        <v>281</v>
      </c>
      <c r="C21" s="975" t="s">
        <v>681</v>
      </c>
      <c r="D21" s="964">
        <v>47</v>
      </c>
      <c r="E21" s="965">
        <f t="shared" si="1"/>
        <v>446.5</v>
      </c>
    </row>
    <row r="22" spans="2:5" ht="14.45" customHeight="1">
      <c r="B22" s="1269" t="s">
        <v>24</v>
      </c>
      <c r="C22" s="1270"/>
      <c r="D22" s="964">
        <f>SUM(D17:D21)</f>
        <v>1547</v>
      </c>
      <c r="E22" s="954">
        <f t="shared" si="1"/>
        <v>14696.5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250</v>
      </c>
      <c r="C27" s="975" t="s">
        <v>669</v>
      </c>
      <c r="D27" s="964">
        <v>157</v>
      </c>
      <c r="E27" s="965">
        <f t="shared" ref="E27:E32" si="2">D27*9.5</f>
        <v>1491.5</v>
      </c>
    </row>
    <row r="28" spans="2:5">
      <c r="B28" s="973" t="s">
        <v>235</v>
      </c>
      <c r="C28" s="975" t="s">
        <v>669</v>
      </c>
      <c r="D28" s="964">
        <v>424</v>
      </c>
      <c r="E28" s="965">
        <f t="shared" si="2"/>
        <v>4028</v>
      </c>
    </row>
    <row r="29" spans="2:5">
      <c r="B29" s="973" t="s">
        <v>189</v>
      </c>
      <c r="C29" s="975" t="s">
        <v>26</v>
      </c>
      <c r="D29" s="964">
        <v>366</v>
      </c>
      <c r="E29" s="965">
        <f>D29*9.5</f>
        <v>3477</v>
      </c>
    </row>
    <row r="30" spans="2:5">
      <c r="B30" s="973" t="s">
        <v>239</v>
      </c>
      <c r="C30" s="975" t="s">
        <v>26</v>
      </c>
      <c r="D30" s="964">
        <v>103</v>
      </c>
      <c r="E30" s="965">
        <f t="shared" si="2"/>
        <v>978.5</v>
      </c>
    </row>
    <row r="31" spans="2:5">
      <c r="B31" s="973" t="s">
        <v>143</v>
      </c>
      <c r="C31" s="975" t="s">
        <v>667</v>
      </c>
      <c r="D31" s="964">
        <v>156</v>
      </c>
      <c r="E31" s="965">
        <f t="shared" si="2"/>
        <v>1482</v>
      </c>
    </row>
    <row r="32" spans="2:5" ht="20.100000000000001" customHeight="1">
      <c r="B32" s="1259" t="s">
        <v>24</v>
      </c>
      <c r="C32" s="1259"/>
      <c r="D32" s="964">
        <f>SUM(D27:D31)</f>
        <v>1206</v>
      </c>
      <c r="E32" s="954">
        <f t="shared" si="2"/>
        <v>11457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1615</v>
      </c>
      <c r="D35" s="956">
        <f>D22</f>
        <v>1547</v>
      </c>
      <c r="E35" s="956">
        <f>D32</f>
        <v>1206</v>
      </c>
    </row>
    <row r="36" spans="2:5">
      <c r="B36" s="953" t="s">
        <v>36</v>
      </c>
      <c r="C36" s="951">
        <f>C35*9.5</f>
        <v>15342.5</v>
      </c>
      <c r="D36" s="951">
        <f>D35*9.5</f>
        <v>14696.5</v>
      </c>
      <c r="E36" s="951">
        <f>E35*9.5</f>
        <v>11457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4368</v>
      </c>
      <c r="D38" s="378" t="s">
        <v>253</v>
      </c>
      <c r="E38" s="381">
        <f>C38*9.5</f>
        <v>41496</v>
      </c>
    </row>
    <row r="39" spans="2:5">
      <c r="B39" s="377" t="s">
        <v>197</v>
      </c>
      <c r="C39" s="378">
        <f>C40-C38</f>
        <v>53</v>
      </c>
      <c r="D39" s="378" t="s">
        <v>204</v>
      </c>
      <c r="E39" s="381">
        <f>C39*9</f>
        <v>477</v>
      </c>
    </row>
    <row r="40" spans="2:5" ht="19.5">
      <c r="B40" s="941" t="s">
        <v>201</v>
      </c>
      <c r="C40" s="380">
        <v>4421</v>
      </c>
      <c r="D40" s="380" t="s">
        <v>202</v>
      </c>
      <c r="E40" s="379">
        <f>SUM(E38+E39)</f>
        <v>41973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F5ED3-1849-447A-A550-923E45D693CE}">
  <sheetPr codeName="Sheet18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44843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252</v>
      </c>
      <c r="C7" s="975" t="s">
        <v>669</v>
      </c>
      <c r="D7" s="964">
        <v>325</v>
      </c>
      <c r="E7" s="965">
        <f t="shared" ref="E7:E12" si="0">D7*9.5</f>
        <v>3087.5</v>
      </c>
    </row>
    <row r="8" spans="2:8" ht="15" customHeight="1">
      <c r="B8" s="973" t="s">
        <v>12</v>
      </c>
      <c r="C8" s="975" t="s">
        <v>669</v>
      </c>
      <c r="D8" s="964">
        <v>346</v>
      </c>
      <c r="E8" s="965">
        <f t="shared" si="0"/>
        <v>3287</v>
      </c>
    </row>
    <row r="9" spans="2:8" ht="15" customHeight="1">
      <c r="B9" s="973" t="s">
        <v>329</v>
      </c>
      <c r="C9" s="975" t="s">
        <v>26</v>
      </c>
      <c r="D9" s="964">
        <v>446</v>
      </c>
      <c r="E9" s="965">
        <f t="shared" si="0"/>
        <v>4237</v>
      </c>
    </row>
    <row r="10" spans="2:8" ht="15" customHeight="1">
      <c r="B10" s="1051" t="s">
        <v>143</v>
      </c>
      <c r="C10" s="975" t="s">
        <v>26</v>
      </c>
      <c r="D10" s="943">
        <v>342</v>
      </c>
      <c r="E10" s="965">
        <f t="shared" si="0"/>
        <v>3249</v>
      </c>
    </row>
    <row r="11" spans="2:8" ht="15" customHeight="1">
      <c r="B11" s="1051" t="s">
        <v>63</v>
      </c>
      <c r="C11" s="975" t="s">
        <v>687</v>
      </c>
      <c r="D11" s="943">
        <v>251</v>
      </c>
      <c r="E11" s="965">
        <f t="shared" si="0"/>
        <v>2384.5</v>
      </c>
    </row>
    <row r="12" spans="2:8" ht="20.100000000000001" customHeight="1">
      <c r="B12" s="1255" t="s">
        <v>24</v>
      </c>
      <c r="C12" s="1255"/>
      <c r="D12" s="964">
        <f>SUM(D7:D11)</f>
        <v>1710</v>
      </c>
      <c r="E12" s="965">
        <f t="shared" si="0"/>
        <v>16245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973" t="s">
        <v>301</v>
      </c>
      <c r="C17" s="975" t="s">
        <v>669</v>
      </c>
      <c r="D17" s="964">
        <v>520</v>
      </c>
      <c r="E17" s="965">
        <f t="shared" ref="E17:E22" si="1">D17*9.5</f>
        <v>4940</v>
      </c>
    </row>
    <row r="18" spans="2:6" ht="15" customHeight="1">
      <c r="B18" s="973" t="s">
        <v>184</v>
      </c>
      <c r="C18" s="975" t="s">
        <v>669</v>
      </c>
      <c r="D18" s="964">
        <v>282</v>
      </c>
      <c r="E18" s="965">
        <f t="shared" si="1"/>
        <v>2679</v>
      </c>
    </row>
    <row r="19" spans="2:6" ht="14.45" customHeight="1">
      <c r="B19" s="973" t="s">
        <v>245</v>
      </c>
      <c r="C19" s="975" t="s">
        <v>26</v>
      </c>
      <c r="D19" s="964"/>
      <c r="E19" s="965">
        <f t="shared" si="1"/>
        <v>0</v>
      </c>
    </row>
    <row r="20" spans="2:6" ht="14.45" customHeight="1">
      <c r="B20" s="1051" t="s">
        <v>710</v>
      </c>
      <c r="C20" s="975" t="s">
        <v>26</v>
      </c>
      <c r="D20" s="964">
        <v>228</v>
      </c>
      <c r="E20" s="965">
        <f t="shared" si="1"/>
        <v>2166</v>
      </c>
    </row>
    <row r="21" spans="2:6" ht="14.45" customHeight="1">
      <c r="B21" s="1051" t="s">
        <v>711</v>
      </c>
      <c r="C21" s="975" t="s">
        <v>681</v>
      </c>
      <c r="D21" s="964">
        <v>627</v>
      </c>
      <c r="E21" s="965">
        <f t="shared" si="1"/>
        <v>5956.5</v>
      </c>
    </row>
    <row r="22" spans="2:6" ht="14.45" customHeight="1">
      <c r="B22" s="1269" t="s">
        <v>24</v>
      </c>
      <c r="C22" s="1270"/>
      <c r="D22" s="964">
        <f>SUM(D17:D21)</f>
        <v>1657</v>
      </c>
      <c r="E22" s="954">
        <f t="shared" si="1"/>
        <v>15741.5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685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973" t="s">
        <v>301</v>
      </c>
      <c r="C27" s="975" t="s">
        <v>669</v>
      </c>
      <c r="D27" s="964">
        <v>204</v>
      </c>
      <c r="E27" s="965">
        <f t="shared" ref="E27:E32" si="2">D27*9.5</f>
        <v>1938</v>
      </c>
    </row>
    <row r="28" spans="2:6">
      <c r="B28" s="973" t="s">
        <v>235</v>
      </c>
      <c r="C28" s="975" t="s">
        <v>669</v>
      </c>
      <c r="D28" s="964">
        <v>532</v>
      </c>
      <c r="E28" s="965">
        <f t="shared" si="2"/>
        <v>5054</v>
      </c>
    </row>
    <row r="29" spans="2:6">
      <c r="B29" s="973" t="s">
        <v>245</v>
      </c>
      <c r="C29" s="975" t="s">
        <v>26</v>
      </c>
      <c r="D29" s="964">
        <v>434</v>
      </c>
      <c r="E29" s="965">
        <f>D29*9.5</f>
        <v>4123</v>
      </c>
      <c r="F29" s="934" t="s">
        <v>716</v>
      </c>
    </row>
    <row r="30" spans="2:6">
      <c r="B30" s="973" t="s">
        <v>239</v>
      </c>
      <c r="C30" s="975" t="s">
        <v>26</v>
      </c>
      <c r="D30" s="964">
        <v>138</v>
      </c>
      <c r="E30" s="965">
        <f t="shared" si="2"/>
        <v>1311</v>
      </c>
    </row>
    <row r="31" spans="2:6">
      <c r="B31" s="973"/>
      <c r="C31" s="975" t="s">
        <v>667</v>
      </c>
      <c r="D31" s="964"/>
      <c r="E31" s="965">
        <f t="shared" si="2"/>
        <v>0</v>
      </c>
    </row>
    <row r="32" spans="2:6" ht="20.100000000000001" customHeight="1">
      <c r="B32" s="1259" t="s">
        <v>24</v>
      </c>
      <c r="C32" s="1259"/>
      <c r="D32" s="964">
        <f>SUM(D27:D31)</f>
        <v>1308</v>
      </c>
      <c r="E32" s="954">
        <f t="shared" si="2"/>
        <v>12426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1710</v>
      </c>
      <c r="D35" s="956">
        <f>D22</f>
        <v>1657</v>
      </c>
      <c r="E35" s="956">
        <f>D32</f>
        <v>1308</v>
      </c>
    </row>
    <row r="36" spans="2:5">
      <c r="B36" s="953" t="s">
        <v>36</v>
      </c>
      <c r="C36" s="951">
        <f>C35*9.5</f>
        <v>16245</v>
      </c>
      <c r="D36" s="951">
        <f>D35*9.5</f>
        <v>15741.5</v>
      </c>
      <c r="E36" s="951">
        <f>E35*9.5</f>
        <v>12426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4675</v>
      </c>
      <c r="D38" s="378" t="s">
        <v>253</v>
      </c>
      <c r="E38" s="381">
        <f>C38*9.5</f>
        <v>44412.5</v>
      </c>
    </row>
    <row r="39" spans="2:5">
      <c r="B39" s="377" t="s">
        <v>197</v>
      </c>
      <c r="C39" s="378">
        <f>C40-C38</f>
        <v>103</v>
      </c>
      <c r="D39" s="378" t="s">
        <v>204</v>
      </c>
      <c r="E39" s="381">
        <f>C39*9</f>
        <v>927</v>
      </c>
    </row>
    <row r="40" spans="2:5" ht="19.5">
      <c r="B40" s="941" t="s">
        <v>201</v>
      </c>
      <c r="C40" s="380">
        <v>4778</v>
      </c>
      <c r="D40" s="380" t="s">
        <v>202</v>
      </c>
      <c r="E40" s="379">
        <f>SUM(E38+E39)</f>
        <v>45339.5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DF418-F295-458C-864B-FC9E51522562}">
  <sheetPr codeName="Sheet18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44844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244</v>
      </c>
      <c r="C7" s="975" t="s">
        <v>669</v>
      </c>
      <c r="D7" s="964">
        <v>507</v>
      </c>
      <c r="E7" s="965">
        <f t="shared" ref="E7:E12" si="0">D7*9.5</f>
        <v>4816.5</v>
      </c>
    </row>
    <row r="8" spans="2:8" ht="15" customHeight="1">
      <c r="B8" s="973" t="s">
        <v>252</v>
      </c>
      <c r="C8" s="975" t="s">
        <v>669</v>
      </c>
      <c r="D8" s="964">
        <v>275</v>
      </c>
      <c r="E8" s="965">
        <f t="shared" si="0"/>
        <v>2612.5</v>
      </c>
    </row>
    <row r="9" spans="2:8" ht="15" customHeight="1">
      <c r="B9" s="973" t="s">
        <v>712</v>
      </c>
      <c r="C9" s="975" t="s">
        <v>26</v>
      </c>
      <c r="D9" s="964">
        <v>262</v>
      </c>
      <c r="E9" s="965">
        <f t="shared" si="0"/>
        <v>2489</v>
      </c>
    </row>
    <row r="10" spans="2:8" ht="15" customHeight="1">
      <c r="B10" s="1051" t="s">
        <v>713</v>
      </c>
      <c r="C10" s="975" t="s">
        <v>26</v>
      </c>
      <c r="D10" s="943">
        <v>565</v>
      </c>
      <c r="E10" s="965">
        <f t="shared" si="0"/>
        <v>5367.5</v>
      </c>
    </row>
    <row r="11" spans="2:8" ht="15" customHeight="1">
      <c r="B11" s="1051" t="s">
        <v>65</v>
      </c>
      <c r="C11" s="975" t="s">
        <v>687</v>
      </c>
      <c r="D11" s="943">
        <v>275</v>
      </c>
      <c r="E11" s="965">
        <f t="shared" si="0"/>
        <v>2612.5</v>
      </c>
    </row>
    <row r="12" spans="2:8" ht="20.100000000000001" customHeight="1">
      <c r="B12" s="1255" t="s">
        <v>24</v>
      </c>
      <c r="C12" s="1255"/>
      <c r="D12" s="964">
        <f>SUM(D7:D11)</f>
        <v>1884</v>
      </c>
      <c r="E12" s="965">
        <f t="shared" si="0"/>
        <v>17898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973" t="s">
        <v>53</v>
      </c>
      <c r="C17" s="975" t="s">
        <v>669</v>
      </c>
      <c r="D17" s="964"/>
      <c r="E17" s="965">
        <f t="shared" ref="E17:E22" si="1">D17*9.5</f>
        <v>0</v>
      </c>
      <c r="F17" s="934" t="s">
        <v>717</v>
      </c>
    </row>
    <row r="18" spans="2:6" ht="15" customHeight="1">
      <c r="B18" s="973" t="s">
        <v>281</v>
      </c>
      <c r="C18" s="975" t="s">
        <v>669</v>
      </c>
      <c r="D18" s="964">
        <v>288</v>
      </c>
      <c r="E18" s="965">
        <f t="shared" si="1"/>
        <v>2736</v>
      </c>
    </row>
    <row r="19" spans="2:6" ht="14.45" customHeight="1">
      <c r="B19" s="973" t="s">
        <v>332</v>
      </c>
      <c r="C19" s="975" t="s">
        <v>26</v>
      </c>
      <c r="D19" s="964">
        <v>500</v>
      </c>
      <c r="E19" s="965">
        <f t="shared" si="1"/>
        <v>4750</v>
      </c>
    </row>
    <row r="20" spans="2:6" ht="14.45" customHeight="1">
      <c r="B20" s="1051" t="s">
        <v>714</v>
      </c>
      <c r="C20" s="975" t="s">
        <v>26</v>
      </c>
      <c r="D20" s="964">
        <v>365</v>
      </c>
      <c r="E20" s="965">
        <f t="shared" si="1"/>
        <v>3467.5</v>
      </c>
    </row>
    <row r="21" spans="2:6" ht="14.45" customHeight="1">
      <c r="B21" s="1051" t="s">
        <v>710</v>
      </c>
      <c r="C21" s="975" t="s">
        <v>681</v>
      </c>
      <c r="D21" s="964">
        <v>196</v>
      </c>
      <c r="E21" s="965">
        <f t="shared" si="1"/>
        <v>1862</v>
      </c>
    </row>
    <row r="22" spans="2:6" ht="14.45" customHeight="1">
      <c r="B22" s="1269" t="s">
        <v>24</v>
      </c>
      <c r="C22" s="1270"/>
      <c r="D22" s="964">
        <f>SUM(D17:D21)</f>
        <v>1349</v>
      </c>
      <c r="E22" s="954">
        <f t="shared" si="1"/>
        <v>12815.5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685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973" t="s">
        <v>278</v>
      </c>
      <c r="C27" s="975" t="s">
        <v>669</v>
      </c>
      <c r="D27" s="964">
        <v>454</v>
      </c>
      <c r="E27" s="965">
        <f t="shared" ref="E27:E32" si="2">D27*9.5</f>
        <v>4313</v>
      </c>
    </row>
    <row r="28" spans="2:6">
      <c r="B28" s="973" t="s">
        <v>70</v>
      </c>
      <c r="C28" s="975" t="s">
        <v>669</v>
      </c>
      <c r="D28" s="964">
        <v>356</v>
      </c>
      <c r="E28" s="965">
        <f t="shared" si="2"/>
        <v>3382</v>
      </c>
    </row>
    <row r="29" spans="2:6">
      <c r="B29" s="973" t="s">
        <v>63</v>
      </c>
      <c r="C29" s="975" t="s">
        <v>26</v>
      </c>
      <c r="D29" s="964">
        <v>249</v>
      </c>
      <c r="E29" s="965">
        <f>D29*9.5</f>
        <v>2365.5</v>
      </c>
    </row>
    <row r="30" spans="2:6">
      <c r="B30" s="973" t="s">
        <v>12</v>
      </c>
      <c r="C30" s="975" t="s">
        <v>26</v>
      </c>
      <c r="D30" s="964">
        <v>201</v>
      </c>
      <c r="E30" s="965">
        <f t="shared" si="2"/>
        <v>1909.5</v>
      </c>
    </row>
    <row r="31" spans="2:6">
      <c r="B31" s="973" t="s">
        <v>279</v>
      </c>
      <c r="C31" s="975" t="s">
        <v>667</v>
      </c>
      <c r="D31" s="964">
        <v>408</v>
      </c>
      <c r="E31" s="965">
        <f t="shared" si="2"/>
        <v>3876</v>
      </c>
    </row>
    <row r="32" spans="2:6" ht="20.100000000000001" customHeight="1">
      <c r="B32" s="1259" t="s">
        <v>24</v>
      </c>
      <c r="C32" s="1259"/>
      <c r="D32" s="964">
        <f>SUM(D27:D31)</f>
        <v>1668</v>
      </c>
      <c r="E32" s="954">
        <f t="shared" si="2"/>
        <v>15846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1884</v>
      </c>
      <c r="D35" s="956">
        <f>D22</f>
        <v>1349</v>
      </c>
      <c r="E35" s="956">
        <f>D32</f>
        <v>1668</v>
      </c>
    </row>
    <row r="36" spans="2:5">
      <c r="B36" s="953" t="s">
        <v>36</v>
      </c>
      <c r="C36" s="951">
        <f>C35*9.5</f>
        <v>17898</v>
      </c>
      <c r="D36" s="951">
        <f>D35*9.5</f>
        <v>12815.5</v>
      </c>
      <c r="E36" s="951">
        <f>E35*9.5</f>
        <v>15846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4901</v>
      </c>
      <c r="D38" s="378" t="s">
        <v>253</v>
      </c>
      <c r="E38" s="381">
        <f>C38*9.5</f>
        <v>46559.5</v>
      </c>
    </row>
    <row r="39" spans="2:5">
      <c r="B39" s="377" t="s">
        <v>197</v>
      </c>
      <c r="C39" s="378">
        <f>C40-C38</f>
        <v>2677</v>
      </c>
      <c r="D39" s="378" t="s">
        <v>204</v>
      </c>
      <c r="E39" s="381">
        <f>C39*9</f>
        <v>24093</v>
      </c>
    </row>
    <row r="40" spans="2:5" ht="19.5">
      <c r="B40" s="941" t="s">
        <v>201</v>
      </c>
      <c r="C40" s="380">
        <v>7578</v>
      </c>
      <c r="D40" s="380" t="s">
        <v>202</v>
      </c>
      <c r="E40" s="379">
        <f>SUM(E38+E39)</f>
        <v>70652.5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AEEED-01CE-457B-A040-519C6EAB0C06}">
  <sheetPr codeName="Sheet18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44845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300</v>
      </c>
      <c r="C7" s="975" t="s">
        <v>669</v>
      </c>
      <c r="D7" s="964">
        <v>442</v>
      </c>
      <c r="E7" s="965">
        <f t="shared" ref="E7:E12" si="0">D7*9.5</f>
        <v>4199</v>
      </c>
    </row>
    <row r="8" spans="2:8" ht="15" customHeight="1">
      <c r="B8" s="973" t="s">
        <v>143</v>
      </c>
      <c r="C8" s="975" t="s">
        <v>669</v>
      </c>
      <c r="D8" s="964">
        <v>342</v>
      </c>
      <c r="E8" s="965">
        <f t="shared" si="0"/>
        <v>3249</v>
      </c>
    </row>
    <row r="9" spans="2:8" ht="15" customHeight="1">
      <c r="B9" s="973" t="s">
        <v>78</v>
      </c>
      <c r="C9" s="975" t="s">
        <v>26</v>
      </c>
      <c r="D9" s="964">
        <v>307</v>
      </c>
      <c r="E9" s="965">
        <f t="shared" si="0"/>
        <v>2916.5</v>
      </c>
    </row>
    <row r="10" spans="2:8" ht="15" customHeight="1">
      <c r="B10" s="1051" t="s">
        <v>334</v>
      </c>
      <c r="C10" s="975" t="s">
        <v>26</v>
      </c>
      <c r="D10" s="943">
        <v>182</v>
      </c>
      <c r="E10" s="965">
        <f t="shared" si="0"/>
        <v>1729</v>
      </c>
    </row>
    <row r="11" spans="2:8" ht="15" customHeight="1">
      <c r="B11" s="1051" t="s">
        <v>678</v>
      </c>
      <c r="C11" s="975" t="s">
        <v>687</v>
      </c>
      <c r="D11" s="943">
        <v>316</v>
      </c>
      <c r="E11" s="965">
        <f t="shared" si="0"/>
        <v>3002</v>
      </c>
    </row>
    <row r="12" spans="2:8" ht="20.100000000000001" customHeight="1">
      <c r="B12" s="1255" t="s">
        <v>24</v>
      </c>
      <c r="C12" s="1255"/>
      <c r="D12" s="964">
        <f>SUM(D7:D11)</f>
        <v>1589</v>
      </c>
      <c r="E12" s="965">
        <f t="shared" si="0"/>
        <v>15095.5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300</v>
      </c>
      <c r="C17" s="975" t="s">
        <v>669</v>
      </c>
      <c r="D17" s="964">
        <v>358</v>
      </c>
      <c r="E17" s="965">
        <f t="shared" ref="E17:E22" si="1">D17*9.5</f>
        <v>3401</v>
      </c>
    </row>
    <row r="18" spans="2:5" ht="15" customHeight="1">
      <c r="B18" s="973" t="s">
        <v>250</v>
      </c>
      <c r="C18" s="975" t="s">
        <v>669</v>
      </c>
      <c r="D18" s="964">
        <v>342</v>
      </c>
      <c r="E18" s="965">
        <f t="shared" si="1"/>
        <v>3249</v>
      </c>
    </row>
    <row r="19" spans="2:5" ht="14.45" customHeight="1">
      <c r="B19" s="973" t="s">
        <v>295</v>
      </c>
      <c r="C19" s="975" t="s">
        <v>26</v>
      </c>
      <c r="D19" s="964">
        <v>279</v>
      </c>
      <c r="E19" s="965">
        <f t="shared" si="1"/>
        <v>2650.5</v>
      </c>
    </row>
    <row r="20" spans="2:5" ht="14.45" customHeight="1">
      <c r="B20" s="1051" t="s">
        <v>244</v>
      </c>
      <c r="C20" s="975" t="s">
        <v>26</v>
      </c>
      <c r="D20" s="964">
        <v>519</v>
      </c>
      <c r="E20" s="965">
        <f t="shared" si="1"/>
        <v>4930.5</v>
      </c>
    </row>
    <row r="21" spans="2:5" ht="14.45" customHeight="1">
      <c r="B21" s="1051" t="s">
        <v>70</v>
      </c>
      <c r="C21" s="975" t="s">
        <v>681</v>
      </c>
      <c r="D21" s="964">
        <v>363</v>
      </c>
      <c r="E21" s="965">
        <f t="shared" si="1"/>
        <v>3448.5</v>
      </c>
    </row>
    <row r="22" spans="2:5" ht="14.45" customHeight="1">
      <c r="B22" s="1269" t="s">
        <v>24</v>
      </c>
      <c r="C22" s="1270"/>
      <c r="D22" s="964">
        <f>SUM(D17:D21)</f>
        <v>1861</v>
      </c>
      <c r="E22" s="954">
        <f t="shared" si="1"/>
        <v>17679.5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331</v>
      </c>
      <c r="C27" s="975" t="s">
        <v>669</v>
      </c>
      <c r="D27" s="964">
        <v>429</v>
      </c>
      <c r="E27" s="965">
        <f t="shared" ref="E27:E32" si="2">D27*9.5</f>
        <v>4075.5</v>
      </c>
    </row>
    <row r="28" spans="2:5">
      <c r="B28" s="973" t="s">
        <v>279</v>
      </c>
      <c r="C28" s="975" t="s">
        <v>669</v>
      </c>
      <c r="D28" s="964">
        <v>341</v>
      </c>
      <c r="E28" s="965">
        <f t="shared" si="2"/>
        <v>3239.5</v>
      </c>
    </row>
    <row r="29" spans="2:5">
      <c r="B29" s="973" t="s">
        <v>244</v>
      </c>
      <c r="C29" s="975" t="s">
        <v>26</v>
      </c>
      <c r="D29" s="964">
        <v>162</v>
      </c>
      <c r="E29" s="965">
        <f>D29*9.5</f>
        <v>1539</v>
      </c>
    </row>
    <row r="30" spans="2:5">
      <c r="B30" s="973" t="s">
        <v>82</v>
      </c>
      <c r="C30" s="975" t="s">
        <v>26</v>
      </c>
      <c r="D30" s="964">
        <v>186</v>
      </c>
      <c r="E30" s="965">
        <f t="shared" si="2"/>
        <v>1767</v>
      </c>
    </row>
    <row r="31" spans="2:5">
      <c r="B31" s="973" t="s">
        <v>65</v>
      </c>
      <c r="C31" s="975" t="s">
        <v>667</v>
      </c>
      <c r="D31" s="964">
        <v>179</v>
      </c>
      <c r="E31" s="965">
        <f t="shared" si="2"/>
        <v>1700.5</v>
      </c>
    </row>
    <row r="32" spans="2:5" ht="20.100000000000001" customHeight="1">
      <c r="B32" s="1259" t="s">
        <v>24</v>
      </c>
      <c r="C32" s="1259"/>
      <c r="D32" s="964">
        <f>SUM(D27:D31)</f>
        <v>1297</v>
      </c>
      <c r="E32" s="954">
        <f t="shared" si="2"/>
        <v>12321.5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1589</v>
      </c>
      <c r="D35" s="956">
        <f>D22</f>
        <v>1861</v>
      </c>
      <c r="E35" s="956">
        <f>D32</f>
        <v>1297</v>
      </c>
    </row>
    <row r="36" spans="2:5">
      <c r="B36" s="953" t="s">
        <v>36</v>
      </c>
      <c r="C36" s="951">
        <f>C35*9.5</f>
        <v>15095.5</v>
      </c>
      <c r="D36" s="951">
        <f>D35*9.5</f>
        <v>17679.5</v>
      </c>
      <c r="E36" s="951">
        <f>E35*9.5</f>
        <v>12321.5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4747</v>
      </c>
      <c r="D38" s="378" t="s">
        <v>253</v>
      </c>
      <c r="E38" s="381">
        <f>C38*9.5</f>
        <v>45096.5</v>
      </c>
    </row>
    <row r="39" spans="2:5">
      <c r="B39" s="377" t="s">
        <v>197</v>
      </c>
      <c r="C39" s="378">
        <f>C40-C38</f>
        <v>2861</v>
      </c>
      <c r="D39" s="378" t="s">
        <v>204</v>
      </c>
      <c r="E39" s="381">
        <f>C39*9</f>
        <v>25749</v>
      </c>
    </row>
    <row r="40" spans="2:5" ht="19.5">
      <c r="B40" s="941" t="s">
        <v>201</v>
      </c>
      <c r="C40" s="380">
        <v>7608</v>
      </c>
      <c r="D40" s="380" t="s">
        <v>202</v>
      </c>
      <c r="E40" s="379">
        <f>SUM(E38+E39)</f>
        <v>70845.5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50E88-AE5A-4F19-8311-39994C52C1D9}">
  <sheetPr codeName="Sheet19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44846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256</v>
      </c>
      <c r="C7" s="975" t="s">
        <v>669</v>
      </c>
      <c r="D7" s="964">
        <v>285</v>
      </c>
      <c r="E7" s="965">
        <f t="shared" ref="E7:E12" si="0">D7*9.5</f>
        <v>2707.5</v>
      </c>
    </row>
    <row r="8" spans="2:8" ht="15" customHeight="1">
      <c r="B8" s="973" t="s">
        <v>65</v>
      </c>
      <c r="C8" s="975" t="s">
        <v>669</v>
      </c>
      <c r="D8" s="964">
        <v>440</v>
      </c>
      <c r="E8" s="965">
        <f t="shared" si="0"/>
        <v>4180</v>
      </c>
    </row>
    <row r="9" spans="2:8" ht="15" customHeight="1">
      <c r="B9" s="973" t="s">
        <v>332</v>
      </c>
      <c r="C9" s="975" t="s">
        <v>26</v>
      </c>
      <c r="D9" s="964">
        <v>439</v>
      </c>
      <c r="E9" s="965">
        <f t="shared" si="0"/>
        <v>4170.5</v>
      </c>
    </row>
    <row r="10" spans="2:8" ht="15" customHeight="1">
      <c r="B10" s="1051" t="s">
        <v>330</v>
      </c>
      <c r="C10" s="975" t="s">
        <v>26</v>
      </c>
      <c r="D10" s="943">
        <v>535</v>
      </c>
      <c r="E10" s="965">
        <f t="shared" si="0"/>
        <v>5082.5</v>
      </c>
    </row>
    <row r="11" spans="2:8" ht="15" customHeight="1">
      <c r="B11" s="1051" t="s">
        <v>281</v>
      </c>
      <c r="C11" s="975" t="s">
        <v>687</v>
      </c>
      <c r="D11" s="943">
        <v>287</v>
      </c>
      <c r="E11" s="965">
        <f t="shared" si="0"/>
        <v>2726.5</v>
      </c>
    </row>
    <row r="12" spans="2:8" ht="20.100000000000001" customHeight="1">
      <c r="B12" s="1255" t="s">
        <v>24</v>
      </c>
      <c r="C12" s="1255"/>
      <c r="D12" s="964">
        <f>SUM(D7:D11)</f>
        <v>1986</v>
      </c>
      <c r="E12" s="965">
        <f t="shared" si="0"/>
        <v>18867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189</v>
      </c>
      <c r="C17" s="975" t="s">
        <v>669</v>
      </c>
      <c r="D17" s="964">
        <v>418</v>
      </c>
      <c r="E17" s="965">
        <f t="shared" ref="E17:E22" si="1">D17*9.5</f>
        <v>3971</v>
      </c>
    </row>
    <row r="18" spans="2:5" ht="15" customHeight="1">
      <c r="B18" s="973" t="s">
        <v>718</v>
      </c>
      <c r="C18" s="975" t="s">
        <v>669</v>
      </c>
      <c r="D18" s="964">
        <v>275</v>
      </c>
      <c r="E18" s="965">
        <f t="shared" si="1"/>
        <v>2612.5</v>
      </c>
    </row>
    <row r="19" spans="2:5" ht="14.45" customHeight="1">
      <c r="B19" s="973" t="s">
        <v>332</v>
      </c>
      <c r="C19" s="975" t="s">
        <v>26</v>
      </c>
      <c r="D19" s="964">
        <v>492</v>
      </c>
      <c r="E19" s="965">
        <f t="shared" si="1"/>
        <v>4674</v>
      </c>
    </row>
    <row r="20" spans="2:5" ht="14.45" customHeight="1">
      <c r="B20" s="1051" t="s">
        <v>45</v>
      </c>
      <c r="C20" s="975" t="s">
        <v>26</v>
      </c>
      <c r="D20" s="964">
        <v>324</v>
      </c>
      <c r="E20" s="965">
        <f t="shared" si="1"/>
        <v>3078</v>
      </c>
    </row>
    <row r="21" spans="2:5" ht="14.45" customHeight="1">
      <c r="B21" s="1051" t="s">
        <v>334</v>
      </c>
      <c r="C21" s="975" t="s">
        <v>681</v>
      </c>
      <c r="D21" s="964">
        <v>286</v>
      </c>
      <c r="E21" s="965">
        <f t="shared" si="1"/>
        <v>2717</v>
      </c>
    </row>
    <row r="22" spans="2:5" ht="14.45" customHeight="1">
      <c r="B22" s="1269" t="s">
        <v>24</v>
      </c>
      <c r="C22" s="1270"/>
      <c r="D22" s="964">
        <f>SUM(D17:D21)</f>
        <v>1795</v>
      </c>
      <c r="E22" s="954">
        <f t="shared" si="1"/>
        <v>17052.5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235</v>
      </c>
      <c r="C27" s="975" t="s">
        <v>669</v>
      </c>
      <c r="D27" s="964">
        <v>530</v>
      </c>
      <c r="E27" s="965">
        <f t="shared" ref="E27:E32" si="2">D27*9.5</f>
        <v>5035</v>
      </c>
    </row>
    <row r="28" spans="2:5">
      <c r="B28" s="973" t="s">
        <v>53</v>
      </c>
      <c r="C28" s="975" t="s">
        <v>669</v>
      </c>
      <c r="D28" s="964">
        <v>129</v>
      </c>
      <c r="E28" s="965">
        <f t="shared" si="2"/>
        <v>1225.5</v>
      </c>
    </row>
    <row r="29" spans="2:5">
      <c r="B29" s="973" t="s">
        <v>82</v>
      </c>
      <c r="C29" s="975" t="s">
        <v>26</v>
      </c>
      <c r="D29" s="964">
        <v>227</v>
      </c>
      <c r="E29" s="965">
        <f>D29*9.5</f>
        <v>2156.5</v>
      </c>
    </row>
    <row r="30" spans="2:5">
      <c r="B30" s="973" t="s">
        <v>45</v>
      </c>
      <c r="C30" s="975" t="s">
        <v>26</v>
      </c>
      <c r="D30" s="964">
        <v>250</v>
      </c>
      <c r="E30" s="965">
        <f t="shared" si="2"/>
        <v>2375</v>
      </c>
    </row>
    <row r="31" spans="2:5">
      <c r="B31" s="973" t="s">
        <v>70</v>
      </c>
      <c r="C31" s="975" t="s">
        <v>667</v>
      </c>
      <c r="D31" s="964">
        <v>344</v>
      </c>
      <c r="E31" s="965">
        <f t="shared" si="2"/>
        <v>3268</v>
      </c>
    </row>
    <row r="32" spans="2:5" ht="20.100000000000001" customHeight="1">
      <c r="B32" s="1259" t="s">
        <v>24</v>
      </c>
      <c r="C32" s="1259"/>
      <c r="D32" s="964">
        <f>SUM(D27:D31)</f>
        <v>1480</v>
      </c>
      <c r="E32" s="954">
        <f t="shared" si="2"/>
        <v>14060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1986</v>
      </c>
      <c r="D35" s="956">
        <f>D22</f>
        <v>1795</v>
      </c>
      <c r="E35" s="956">
        <f>D32</f>
        <v>1480</v>
      </c>
    </row>
    <row r="36" spans="2:5">
      <c r="B36" s="953" t="s">
        <v>36</v>
      </c>
      <c r="C36" s="951">
        <f>C35*9.5</f>
        <v>18867</v>
      </c>
      <c r="D36" s="951">
        <f>D35*9.5</f>
        <v>17052.5</v>
      </c>
      <c r="E36" s="951">
        <f>E35*9.5</f>
        <v>14060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5261</v>
      </c>
      <c r="D38" s="378" t="s">
        <v>253</v>
      </c>
      <c r="E38" s="381">
        <f>C38*9.5</f>
        <v>49979.5</v>
      </c>
    </row>
    <row r="39" spans="2:5">
      <c r="B39" s="377" t="s">
        <v>197</v>
      </c>
      <c r="C39" s="378">
        <f>C40-C38</f>
        <v>2914</v>
      </c>
      <c r="D39" s="378" t="s">
        <v>204</v>
      </c>
      <c r="E39" s="381">
        <f>C39*9</f>
        <v>26226</v>
      </c>
    </row>
    <row r="40" spans="2:5" ht="19.5">
      <c r="B40" s="941" t="s">
        <v>201</v>
      </c>
      <c r="C40" s="380">
        <v>8175</v>
      </c>
      <c r="D40" s="380" t="s">
        <v>202</v>
      </c>
      <c r="E40" s="379">
        <f>SUM(E38+E39)</f>
        <v>76205.5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69A9-CE54-4047-B511-4732E266B54C}">
  <sheetPr codeName="Sheet19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44847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329</v>
      </c>
      <c r="C7" s="975" t="s">
        <v>669</v>
      </c>
      <c r="D7" s="964">
        <v>436</v>
      </c>
      <c r="E7" s="965">
        <f t="shared" ref="E7:E12" si="0">D7*9.5</f>
        <v>4142</v>
      </c>
    </row>
    <row r="8" spans="2:8" ht="15" customHeight="1">
      <c r="B8" s="973" t="s">
        <v>184</v>
      </c>
      <c r="C8" s="975" t="s">
        <v>669</v>
      </c>
      <c r="D8" s="964">
        <v>314</v>
      </c>
      <c r="E8" s="965">
        <f t="shared" si="0"/>
        <v>2983</v>
      </c>
    </row>
    <row r="9" spans="2:8" ht="15" customHeight="1">
      <c r="B9" s="973" t="s">
        <v>244</v>
      </c>
      <c r="C9" s="975" t="s">
        <v>26</v>
      </c>
      <c r="D9" s="964">
        <v>468</v>
      </c>
      <c r="E9" s="965">
        <f t="shared" si="0"/>
        <v>4446</v>
      </c>
    </row>
    <row r="10" spans="2:8" ht="15" customHeight="1">
      <c r="B10" s="1051" t="s">
        <v>44</v>
      </c>
      <c r="C10" s="975" t="s">
        <v>26</v>
      </c>
      <c r="D10" s="943">
        <v>258</v>
      </c>
      <c r="E10" s="965">
        <f t="shared" si="0"/>
        <v>2451</v>
      </c>
    </row>
    <row r="11" spans="2:8" ht="15" customHeight="1">
      <c r="B11" s="1051" t="s">
        <v>245</v>
      </c>
      <c r="C11" s="975" t="s">
        <v>687</v>
      </c>
      <c r="D11" s="943"/>
      <c r="E11" s="965">
        <f t="shared" si="0"/>
        <v>0</v>
      </c>
      <c r="F11" s="934" t="s">
        <v>719</v>
      </c>
    </row>
    <row r="12" spans="2:8" ht="20.100000000000001" customHeight="1">
      <c r="B12" s="1255" t="s">
        <v>24</v>
      </c>
      <c r="C12" s="1255"/>
      <c r="D12" s="964">
        <f>SUM(D7:D11)</f>
        <v>1476</v>
      </c>
      <c r="E12" s="965">
        <f t="shared" si="0"/>
        <v>14022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334</v>
      </c>
      <c r="C17" s="975" t="s">
        <v>669</v>
      </c>
      <c r="D17" s="964">
        <v>360</v>
      </c>
      <c r="E17" s="965">
        <f t="shared" ref="E17:E22" si="1">D17*9.5</f>
        <v>3420</v>
      </c>
    </row>
    <row r="18" spans="2:5" ht="15" customHeight="1">
      <c r="B18" s="973" t="s">
        <v>279</v>
      </c>
      <c r="C18" s="975" t="s">
        <v>669</v>
      </c>
      <c r="D18" s="964">
        <v>631</v>
      </c>
      <c r="E18" s="965">
        <f t="shared" si="1"/>
        <v>5994.5</v>
      </c>
    </row>
    <row r="19" spans="2:5" ht="14.45" customHeight="1">
      <c r="B19" s="973" t="s">
        <v>244</v>
      </c>
      <c r="C19" s="975" t="s">
        <v>26</v>
      </c>
      <c r="D19" s="964">
        <v>400</v>
      </c>
      <c r="E19" s="965">
        <f t="shared" si="1"/>
        <v>3800</v>
      </c>
    </row>
    <row r="20" spans="2:5" ht="14.45" customHeight="1">
      <c r="B20" s="1051" t="s">
        <v>205</v>
      </c>
      <c r="C20" s="975" t="s">
        <v>26</v>
      </c>
      <c r="D20" s="964">
        <v>218</v>
      </c>
      <c r="E20" s="965">
        <f t="shared" si="1"/>
        <v>2071</v>
      </c>
    </row>
    <row r="21" spans="2:5" ht="14.45" customHeight="1">
      <c r="B21" s="1051" t="s">
        <v>252</v>
      </c>
      <c r="C21" s="975" t="s">
        <v>681</v>
      </c>
      <c r="D21" s="964">
        <v>296</v>
      </c>
      <c r="E21" s="965">
        <f t="shared" si="1"/>
        <v>2812</v>
      </c>
    </row>
    <row r="22" spans="2:5" ht="14.45" customHeight="1">
      <c r="B22" s="1269" t="s">
        <v>24</v>
      </c>
      <c r="C22" s="1270"/>
      <c r="D22" s="964">
        <f>SUM(D17:D21)</f>
        <v>1905</v>
      </c>
      <c r="E22" s="954">
        <f t="shared" si="1"/>
        <v>18097.5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278</v>
      </c>
      <c r="C27" s="975" t="s">
        <v>669</v>
      </c>
      <c r="D27" s="964">
        <v>471</v>
      </c>
      <c r="E27" s="965">
        <f t="shared" ref="E27:E32" si="2">D27*9.5</f>
        <v>4474.5</v>
      </c>
    </row>
    <row r="28" spans="2:5">
      <c r="B28" s="973" t="s">
        <v>250</v>
      </c>
      <c r="C28" s="975" t="s">
        <v>669</v>
      </c>
      <c r="D28" s="964">
        <v>162</v>
      </c>
      <c r="E28" s="965">
        <f t="shared" si="2"/>
        <v>1539</v>
      </c>
    </row>
    <row r="29" spans="2:5">
      <c r="B29" s="973" t="s">
        <v>12</v>
      </c>
      <c r="C29" s="975" t="s">
        <v>26</v>
      </c>
      <c r="D29" s="964">
        <v>173</v>
      </c>
      <c r="E29" s="965">
        <f>D29*9.5</f>
        <v>1643.5</v>
      </c>
    </row>
    <row r="30" spans="2:5">
      <c r="B30" s="973" t="s">
        <v>281</v>
      </c>
      <c r="C30" s="975" t="s">
        <v>26</v>
      </c>
      <c r="D30" s="964">
        <v>173</v>
      </c>
      <c r="E30" s="965">
        <f t="shared" si="2"/>
        <v>1643.5</v>
      </c>
    </row>
    <row r="31" spans="2:5">
      <c r="B31" s="973" t="s">
        <v>252</v>
      </c>
      <c r="C31" s="975" t="s">
        <v>667</v>
      </c>
      <c r="D31" s="964">
        <v>102</v>
      </c>
      <c r="E31" s="965">
        <f t="shared" si="2"/>
        <v>969</v>
      </c>
    </row>
    <row r="32" spans="2:5" ht="20.100000000000001" customHeight="1">
      <c r="B32" s="1259" t="s">
        <v>24</v>
      </c>
      <c r="C32" s="1259"/>
      <c r="D32" s="964">
        <f>SUM(D27:D31)</f>
        <v>1081</v>
      </c>
      <c r="E32" s="954">
        <f t="shared" si="2"/>
        <v>10269.5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1476</v>
      </c>
      <c r="D35" s="956">
        <f>D22</f>
        <v>1905</v>
      </c>
      <c r="E35" s="956">
        <f>D32</f>
        <v>1081</v>
      </c>
    </row>
    <row r="36" spans="2:5">
      <c r="B36" s="953" t="s">
        <v>36</v>
      </c>
      <c r="C36" s="951">
        <f>C35*9.5</f>
        <v>14022</v>
      </c>
      <c r="D36" s="951">
        <f>D35*9.5</f>
        <v>18097.5</v>
      </c>
      <c r="E36" s="951">
        <f>E35*9.5</f>
        <v>10269.5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4462</v>
      </c>
      <c r="D38" s="378" t="s">
        <v>253</v>
      </c>
      <c r="E38" s="381">
        <f>C38*9.5</f>
        <v>42389</v>
      </c>
    </row>
    <row r="39" spans="2:5">
      <c r="B39" s="377" t="s">
        <v>197</v>
      </c>
      <c r="C39" s="378">
        <f>C40-C38</f>
        <v>2714</v>
      </c>
      <c r="D39" s="378" t="s">
        <v>204</v>
      </c>
      <c r="E39" s="381">
        <f>C39*9</f>
        <v>24426</v>
      </c>
    </row>
    <row r="40" spans="2:5" ht="19.5">
      <c r="B40" s="941" t="s">
        <v>201</v>
      </c>
      <c r="C40" s="380">
        <v>7176</v>
      </c>
      <c r="D40" s="380" t="s">
        <v>202</v>
      </c>
      <c r="E40" s="379">
        <f>SUM(E38+E39)</f>
        <v>66815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5FA8-3071-422F-923B-16C872A7A383}">
  <sheetPr codeName="Sheet19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44848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45</v>
      </c>
      <c r="C7" s="975" t="s">
        <v>669</v>
      </c>
      <c r="D7" s="964">
        <v>360</v>
      </c>
      <c r="E7" s="965">
        <f t="shared" ref="E7:E12" si="0">D7*9.5</f>
        <v>3420</v>
      </c>
    </row>
    <row r="8" spans="2:8" ht="15" customHeight="1">
      <c r="B8" s="973" t="s">
        <v>332</v>
      </c>
      <c r="C8" s="975" t="s">
        <v>669</v>
      </c>
      <c r="D8" s="964">
        <v>529</v>
      </c>
      <c r="E8" s="965">
        <f t="shared" si="0"/>
        <v>5025.5</v>
      </c>
    </row>
    <row r="9" spans="2:8" ht="15" customHeight="1">
      <c r="B9" s="973" t="s">
        <v>78</v>
      </c>
      <c r="C9" s="975" t="s">
        <v>26</v>
      </c>
      <c r="D9" s="964">
        <v>267</v>
      </c>
      <c r="E9" s="965">
        <f t="shared" si="0"/>
        <v>2536.5</v>
      </c>
    </row>
    <row r="10" spans="2:8" ht="15" customHeight="1">
      <c r="B10" s="1051" t="s">
        <v>82</v>
      </c>
      <c r="C10" s="975" t="s">
        <v>26</v>
      </c>
      <c r="D10" s="943">
        <v>289</v>
      </c>
      <c r="E10" s="965">
        <f t="shared" si="0"/>
        <v>2745.5</v>
      </c>
    </row>
    <row r="11" spans="2:8" ht="15" customHeight="1">
      <c r="B11" s="1051" t="s">
        <v>205</v>
      </c>
      <c r="C11" s="975" t="s">
        <v>687</v>
      </c>
      <c r="D11" s="943">
        <v>190</v>
      </c>
      <c r="E11" s="965">
        <f t="shared" si="0"/>
        <v>1805</v>
      </c>
    </row>
    <row r="12" spans="2:8" ht="20.100000000000001" customHeight="1">
      <c r="B12" s="1255" t="s">
        <v>24</v>
      </c>
      <c r="C12" s="1255"/>
      <c r="D12" s="964">
        <f>SUM(D7:D11)</f>
        <v>1635</v>
      </c>
      <c r="E12" s="965">
        <f t="shared" si="0"/>
        <v>15532.5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973" t="s">
        <v>725</v>
      </c>
      <c r="C17" s="975" t="s">
        <v>669</v>
      </c>
      <c r="D17" s="964">
        <v>281</v>
      </c>
      <c r="E17" s="965">
        <f t="shared" ref="E17:E22" si="1">D17*9.5</f>
        <v>2669.5</v>
      </c>
      <c r="F17" s="934" t="s">
        <v>724</v>
      </c>
    </row>
    <row r="18" spans="2:6" ht="15" customHeight="1">
      <c r="B18" s="973" t="s">
        <v>259</v>
      </c>
      <c r="C18" s="975" t="s">
        <v>669</v>
      </c>
      <c r="D18" s="964">
        <v>375</v>
      </c>
      <c r="E18" s="965">
        <f t="shared" si="1"/>
        <v>3562.5</v>
      </c>
    </row>
    <row r="19" spans="2:6" ht="14.45" customHeight="1">
      <c r="B19" s="973" t="s">
        <v>711</v>
      </c>
      <c r="C19" s="975" t="s">
        <v>26</v>
      </c>
      <c r="D19" s="964">
        <v>550</v>
      </c>
      <c r="E19" s="965">
        <f t="shared" si="1"/>
        <v>5225</v>
      </c>
    </row>
    <row r="20" spans="2:6" ht="14.45" customHeight="1">
      <c r="B20" s="1051" t="s">
        <v>726</v>
      </c>
      <c r="C20" s="975" t="s">
        <v>26</v>
      </c>
      <c r="D20" s="964">
        <v>289</v>
      </c>
      <c r="E20" s="965">
        <f t="shared" si="1"/>
        <v>2745.5</v>
      </c>
      <c r="F20" s="934" t="s">
        <v>724</v>
      </c>
    </row>
    <row r="21" spans="2:6" ht="14.45" customHeight="1">
      <c r="B21" s="1051" t="s">
        <v>189</v>
      </c>
      <c r="C21" s="975" t="s">
        <v>681</v>
      </c>
      <c r="D21" s="964">
        <v>199</v>
      </c>
      <c r="E21" s="965">
        <f t="shared" si="1"/>
        <v>1890.5</v>
      </c>
    </row>
    <row r="22" spans="2:6" ht="14.45" customHeight="1">
      <c r="B22" s="1269" t="s">
        <v>24</v>
      </c>
      <c r="C22" s="1270"/>
      <c r="D22" s="964">
        <f>SUM(D17:D21)</f>
        <v>1694</v>
      </c>
      <c r="E22" s="954">
        <f t="shared" si="1"/>
        <v>16093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685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973" t="s">
        <v>331</v>
      </c>
      <c r="C27" s="975" t="s">
        <v>669</v>
      </c>
      <c r="D27" s="964">
        <v>310</v>
      </c>
      <c r="E27" s="965">
        <f t="shared" ref="E27:E32" si="2">D27*9.5</f>
        <v>2945</v>
      </c>
    </row>
    <row r="28" spans="2:6">
      <c r="B28" s="973" t="s">
        <v>725</v>
      </c>
      <c r="C28" s="975" t="s">
        <v>669</v>
      </c>
      <c r="D28" s="964"/>
      <c r="E28" s="965">
        <f t="shared" si="2"/>
        <v>0</v>
      </c>
    </row>
    <row r="29" spans="2:6">
      <c r="B29" s="973" t="s">
        <v>711</v>
      </c>
      <c r="C29" s="975" t="s">
        <v>26</v>
      </c>
      <c r="D29" s="964">
        <v>207</v>
      </c>
      <c r="E29" s="965">
        <f>D29*9.5</f>
        <v>1966.5</v>
      </c>
    </row>
    <row r="30" spans="2:6">
      <c r="B30" s="973" t="s">
        <v>726</v>
      </c>
      <c r="C30" s="975" t="s">
        <v>26</v>
      </c>
      <c r="D30" s="964"/>
      <c r="E30" s="965">
        <f t="shared" si="2"/>
        <v>0</v>
      </c>
    </row>
    <row r="31" spans="2:6">
      <c r="B31" s="973" t="s">
        <v>51</v>
      </c>
      <c r="C31" s="975" t="s">
        <v>667</v>
      </c>
      <c r="D31" s="964">
        <v>120</v>
      </c>
      <c r="E31" s="965">
        <f t="shared" si="2"/>
        <v>1140</v>
      </c>
    </row>
    <row r="32" spans="2:6" ht="20.100000000000001" customHeight="1">
      <c r="B32" s="1259" t="s">
        <v>24</v>
      </c>
      <c r="C32" s="1259"/>
      <c r="D32" s="964">
        <f>SUM(D27:D31)</f>
        <v>637</v>
      </c>
      <c r="E32" s="954">
        <f t="shared" si="2"/>
        <v>6051.5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1635</v>
      </c>
      <c r="D35" s="956">
        <f>D22</f>
        <v>1694</v>
      </c>
      <c r="E35" s="956">
        <f>D32</f>
        <v>637</v>
      </c>
    </row>
    <row r="36" spans="2:5">
      <c r="B36" s="953" t="s">
        <v>36</v>
      </c>
      <c r="C36" s="951">
        <f>C35*9.5</f>
        <v>15532.5</v>
      </c>
      <c r="D36" s="951">
        <f>D35*9.5</f>
        <v>16093</v>
      </c>
      <c r="E36" s="951">
        <f>E35*9.5</f>
        <v>6051.5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3966</v>
      </c>
      <c r="D38" s="378" t="s">
        <v>253</v>
      </c>
      <c r="E38" s="381">
        <f>C38*9.5</f>
        <v>37677</v>
      </c>
    </row>
    <row r="39" spans="2:5">
      <c r="B39" s="377" t="s">
        <v>197</v>
      </c>
      <c r="C39" s="378">
        <f>C40-C38</f>
        <v>2165</v>
      </c>
      <c r="D39" s="378" t="s">
        <v>204</v>
      </c>
      <c r="E39" s="381">
        <f>C39*9</f>
        <v>19485</v>
      </c>
    </row>
    <row r="40" spans="2:5" ht="19.5">
      <c r="B40" s="941" t="s">
        <v>201</v>
      </c>
      <c r="C40" s="380">
        <v>6131</v>
      </c>
      <c r="D40" s="380" t="s">
        <v>202</v>
      </c>
      <c r="E40" s="379">
        <f>SUM(E38+E39)</f>
        <v>57162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21788-0D77-430F-B1C6-05E588FEEABC}">
  <sheetPr codeName="Sheet193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44849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329</v>
      </c>
      <c r="C7" s="975" t="s">
        <v>669</v>
      </c>
      <c r="D7" s="964">
        <v>410</v>
      </c>
      <c r="E7" s="965">
        <f t="shared" ref="E7:E12" si="0">D7*9.5</f>
        <v>3895</v>
      </c>
    </row>
    <row r="8" spans="2:8" ht="15" customHeight="1">
      <c r="B8" s="973" t="s">
        <v>678</v>
      </c>
      <c r="C8" s="975" t="s">
        <v>669</v>
      </c>
      <c r="D8" s="964">
        <v>350</v>
      </c>
      <c r="E8" s="965">
        <f t="shared" si="0"/>
        <v>3325</v>
      </c>
    </row>
    <row r="9" spans="2:8" ht="15" customHeight="1">
      <c r="B9" s="973" t="s">
        <v>78</v>
      </c>
      <c r="C9" s="975" t="s">
        <v>26</v>
      </c>
      <c r="D9" s="964">
        <v>326</v>
      </c>
      <c r="E9" s="965">
        <f t="shared" si="0"/>
        <v>3097</v>
      </c>
    </row>
    <row r="10" spans="2:8" ht="15" customHeight="1">
      <c r="B10" s="1051" t="s">
        <v>279</v>
      </c>
      <c r="C10" s="975" t="s">
        <v>26</v>
      </c>
      <c r="D10" s="943">
        <v>713</v>
      </c>
      <c r="E10" s="965">
        <f t="shared" si="0"/>
        <v>6773.5</v>
      </c>
    </row>
    <row r="11" spans="2:8" ht="15" customHeight="1">
      <c r="B11" s="1051" t="s">
        <v>70</v>
      </c>
      <c r="C11" s="975" t="s">
        <v>687</v>
      </c>
      <c r="D11" s="943">
        <v>255</v>
      </c>
      <c r="E11" s="965">
        <f t="shared" si="0"/>
        <v>2422.5</v>
      </c>
    </row>
    <row r="12" spans="2:8" ht="20.100000000000001" customHeight="1">
      <c r="B12" s="1255" t="s">
        <v>24</v>
      </c>
      <c r="C12" s="1255"/>
      <c r="D12" s="964">
        <f>SUM(D7:D11)</f>
        <v>2054</v>
      </c>
      <c r="E12" s="965">
        <f t="shared" si="0"/>
        <v>19513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973" t="s">
        <v>184</v>
      </c>
      <c r="C17" s="975" t="s">
        <v>669</v>
      </c>
      <c r="D17" s="964">
        <v>302</v>
      </c>
      <c r="E17" s="965">
        <f t="shared" ref="E17:E22" si="1">D17*9.5</f>
        <v>2869</v>
      </c>
    </row>
    <row r="18" spans="2:6" ht="15" customHeight="1">
      <c r="B18" s="973" t="s">
        <v>678</v>
      </c>
      <c r="C18" s="975" t="s">
        <v>669</v>
      </c>
      <c r="D18" s="964">
        <v>217</v>
      </c>
      <c r="E18" s="965">
        <f t="shared" si="1"/>
        <v>2061.5</v>
      </c>
    </row>
    <row r="19" spans="2:6" ht="14.45" customHeight="1">
      <c r="B19" s="973" t="s">
        <v>258</v>
      </c>
      <c r="C19" s="975" t="s">
        <v>26</v>
      </c>
      <c r="D19" s="964">
        <v>224</v>
      </c>
      <c r="E19" s="965">
        <f t="shared" si="1"/>
        <v>2128</v>
      </c>
    </row>
    <row r="20" spans="2:6" ht="14.45" customHeight="1">
      <c r="B20" s="1051" t="s">
        <v>259</v>
      </c>
      <c r="C20" s="975" t="s">
        <v>26</v>
      </c>
      <c r="D20" s="964">
        <v>360</v>
      </c>
      <c r="E20" s="965">
        <f t="shared" si="1"/>
        <v>3420</v>
      </c>
    </row>
    <row r="21" spans="2:6" ht="14.45" customHeight="1">
      <c r="B21" s="1051" t="s">
        <v>281</v>
      </c>
      <c r="C21" s="975" t="s">
        <v>681</v>
      </c>
      <c r="D21" s="964">
        <v>292</v>
      </c>
      <c r="E21" s="965">
        <f t="shared" si="1"/>
        <v>2774</v>
      </c>
    </row>
    <row r="22" spans="2:6" ht="14.45" customHeight="1">
      <c r="B22" s="1269" t="s">
        <v>24</v>
      </c>
      <c r="C22" s="1270"/>
      <c r="D22" s="964">
        <f>SUM(D17:D21)</f>
        <v>1395</v>
      </c>
      <c r="E22" s="954">
        <f t="shared" si="1"/>
        <v>13252.5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685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973" t="s">
        <v>235</v>
      </c>
      <c r="C27" s="975" t="s">
        <v>669</v>
      </c>
      <c r="D27" s="964">
        <v>504</v>
      </c>
      <c r="E27" s="965">
        <f t="shared" ref="E27:E32" si="2">D27*9.5</f>
        <v>4788</v>
      </c>
    </row>
    <row r="28" spans="2:6">
      <c r="B28" s="973" t="s">
        <v>260</v>
      </c>
      <c r="C28" s="975" t="s">
        <v>669</v>
      </c>
      <c r="D28" s="964">
        <v>220</v>
      </c>
      <c r="E28" s="965">
        <f t="shared" si="2"/>
        <v>2090</v>
      </c>
    </row>
    <row r="29" spans="2:6">
      <c r="B29" s="973" t="s">
        <v>250</v>
      </c>
      <c r="C29" s="975" t="s">
        <v>26</v>
      </c>
      <c r="D29" s="964">
        <v>153</v>
      </c>
      <c r="E29" s="965">
        <f>D29*9.5</f>
        <v>1453.5</v>
      </c>
    </row>
    <row r="30" spans="2:6">
      <c r="B30" s="973" t="s">
        <v>143</v>
      </c>
      <c r="C30" s="975" t="s">
        <v>26</v>
      </c>
      <c r="D30" s="964">
        <v>190</v>
      </c>
      <c r="E30" s="965">
        <f t="shared" si="2"/>
        <v>1805</v>
      </c>
    </row>
    <row r="31" spans="2:6">
      <c r="B31" s="973" t="s">
        <v>723</v>
      </c>
      <c r="C31" s="975" t="s">
        <v>667</v>
      </c>
      <c r="D31" s="964"/>
      <c r="E31" s="965">
        <f t="shared" si="2"/>
        <v>0</v>
      </c>
      <c r="F31" s="934" t="s">
        <v>722</v>
      </c>
    </row>
    <row r="32" spans="2:6" ht="20.100000000000001" customHeight="1">
      <c r="B32" s="1259" t="s">
        <v>24</v>
      </c>
      <c r="C32" s="1259"/>
      <c r="D32" s="964">
        <f>SUM(D27:D31)</f>
        <v>1067</v>
      </c>
      <c r="E32" s="954">
        <f t="shared" si="2"/>
        <v>10136.5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2054</v>
      </c>
      <c r="D35" s="956">
        <f>D22</f>
        <v>1395</v>
      </c>
      <c r="E35" s="956">
        <f>D32</f>
        <v>1067</v>
      </c>
    </row>
    <row r="36" spans="2:5">
      <c r="B36" s="953" t="s">
        <v>36</v>
      </c>
      <c r="C36" s="951">
        <f>C35*9.5</f>
        <v>19513</v>
      </c>
      <c r="D36" s="951">
        <f>D35*9.5</f>
        <v>13252.5</v>
      </c>
      <c r="E36" s="951">
        <f>E35*9.5</f>
        <v>10136.5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4516</v>
      </c>
      <c r="D38" s="378" t="s">
        <v>253</v>
      </c>
      <c r="E38" s="381">
        <f>C38*9.5</f>
        <v>42902</v>
      </c>
    </row>
    <row r="39" spans="2:5">
      <c r="B39" s="377" t="s">
        <v>197</v>
      </c>
      <c r="C39" s="378">
        <f>C40-C38</f>
        <v>117</v>
      </c>
      <c r="D39" s="378" t="s">
        <v>204</v>
      </c>
      <c r="E39" s="381">
        <f>C39*9</f>
        <v>1053</v>
      </c>
    </row>
    <row r="40" spans="2:5" ht="19.5">
      <c r="B40" s="941" t="s">
        <v>201</v>
      </c>
      <c r="C40" s="380">
        <v>4633</v>
      </c>
      <c r="D40" s="380" t="s">
        <v>202</v>
      </c>
      <c r="E40" s="379">
        <f>SUM(E38+E39)</f>
        <v>43955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C50AC-7870-48FA-877D-9BAD0137BFDC}">
  <sheetPr codeName="Sheet19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44850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279</v>
      </c>
      <c r="C7" s="975" t="s">
        <v>669</v>
      </c>
      <c r="D7" s="964">
        <v>634</v>
      </c>
      <c r="E7" s="965">
        <f t="shared" ref="E7:E12" si="0">D7*9.5</f>
        <v>6023</v>
      </c>
    </row>
    <row r="8" spans="2:8" ht="15" customHeight="1">
      <c r="B8" s="973" t="s">
        <v>44</v>
      </c>
      <c r="C8" s="975" t="s">
        <v>669</v>
      </c>
      <c r="D8" s="964">
        <v>293</v>
      </c>
      <c r="E8" s="965">
        <f t="shared" si="0"/>
        <v>2783.5</v>
      </c>
    </row>
    <row r="9" spans="2:8" ht="15" customHeight="1">
      <c r="B9" s="973" t="s">
        <v>143</v>
      </c>
      <c r="C9" s="975" t="s">
        <v>26</v>
      </c>
      <c r="D9" s="964">
        <v>462</v>
      </c>
      <c r="E9" s="965">
        <f t="shared" si="0"/>
        <v>4389</v>
      </c>
    </row>
    <row r="10" spans="2:8" ht="15" customHeight="1">
      <c r="B10" s="1051" t="s">
        <v>329</v>
      </c>
      <c r="C10" s="975" t="s">
        <v>26</v>
      </c>
      <c r="D10" s="943">
        <v>494</v>
      </c>
      <c r="E10" s="965">
        <f t="shared" si="0"/>
        <v>4693</v>
      </c>
    </row>
    <row r="11" spans="2:8" ht="15" customHeight="1">
      <c r="B11" s="1051" t="s">
        <v>252</v>
      </c>
      <c r="C11" s="975" t="s">
        <v>687</v>
      </c>
      <c r="D11" s="943">
        <v>288</v>
      </c>
      <c r="E11" s="965">
        <f t="shared" si="0"/>
        <v>2736</v>
      </c>
    </row>
    <row r="12" spans="2:8" ht="20.100000000000001" customHeight="1">
      <c r="B12" s="1255" t="s">
        <v>24</v>
      </c>
      <c r="C12" s="1255"/>
      <c r="D12" s="964">
        <f>SUM(D7:D11)</f>
        <v>2171</v>
      </c>
      <c r="E12" s="965">
        <f t="shared" si="0"/>
        <v>20624.5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973" t="s">
        <v>279</v>
      </c>
      <c r="C17" s="975" t="s">
        <v>669</v>
      </c>
      <c r="D17" s="964">
        <v>585</v>
      </c>
      <c r="E17" s="965">
        <f t="shared" ref="E17:E22" si="1">D17*9.5</f>
        <v>5557.5</v>
      </c>
    </row>
    <row r="18" spans="2:6" ht="15" customHeight="1">
      <c r="B18" s="973" t="s">
        <v>334</v>
      </c>
      <c r="C18" s="975" t="s">
        <v>669</v>
      </c>
      <c r="D18" s="964">
        <v>330</v>
      </c>
      <c r="E18" s="965">
        <f t="shared" si="1"/>
        <v>3135</v>
      </c>
    </row>
    <row r="19" spans="2:6" ht="14.45" customHeight="1">
      <c r="B19" s="973" t="s">
        <v>12</v>
      </c>
      <c r="C19" s="975" t="s">
        <v>26</v>
      </c>
      <c r="D19" s="964">
        <v>400</v>
      </c>
      <c r="E19" s="965">
        <f t="shared" si="1"/>
        <v>3800</v>
      </c>
    </row>
    <row r="20" spans="2:6" ht="14.45" customHeight="1">
      <c r="B20" s="1051" t="s">
        <v>721</v>
      </c>
      <c r="C20" s="975" t="s">
        <v>26</v>
      </c>
      <c r="D20" s="964">
        <v>538</v>
      </c>
      <c r="E20" s="965">
        <f t="shared" si="1"/>
        <v>5111</v>
      </c>
      <c r="F20" s="934" t="s">
        <v>720</v>
      </c>
    </row>
    <row r="21" spans="2:6" ht="14.45" customHeight="1">
      <c r="B21" s="1051" t="s">
        <v>250</v>
      </c>
      <c r="C21" s="975" t="s">
        <v>681</v>
      </c>
      <c r="D21" s="964">
        <v>375</v>
      </c>
      <c r="E21" s="965">
        <f t="shared" si="1"/>
        <v>3562.5</v>
      </c>
    </row>
    <row r="22" spans="2:6" ht="14.45" customHeight="1">
      <c r="B22" s="1269" t="s">
        <v>24</v>
      </c>
      <c r="C22" s="1270"/>
      <c r="D22" s="964">
        <f>SUM(D17:D21)</f>
        <v>2228</v>
      </c>
      <c r="E22" s="954">
        <f t="shared" si="1"/>
        <v>21166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685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973" t="s">
        <v>70</v>
      </c>
      <c r="C27" s="975" t="s">
        <v>669</v>
      </c>
      <c r="D27" s="964">
        <v>321</v>
      </c>
      <c r="E27" s="965">
        <f t="shared" ref="E27:E32" si="2">D27*9.5</f>
        <v>3049.5</v>
      </c>
    </row>
    <row r="28" spans="2:6">
      <c r="B28" s="973" t="s">
        <v>235</v>
      </c>
      <c r="C28" s="975" t="s">
        <v>669</v>
      </c>
      <c r="D28" s="964">
        <v>443</v>
      </c>
      <c r="E28" s="965">
        <f t="shared" si="2"/>
        <v>4208.5</v>
      </c>
    </row>
    <row r="29" spans="2:6">
      <c r="B29" s="973" t="s">
        <v>12</v>
      </c>
      <c r="C29" s="975" t="s">
        <v>26</v>
      </c>
      <c r="D29" s="964">
        <v>207</v>
      </c>
      <c r="E29" s="965">
        <f>D29*9.5</f>
        <v>1966.5</v>
      </c>
    </row>
    <row r="30" spans="2:6">
      <c r="B30" s="973" t="s">
        <v>721</v>
      </c>
      <c r="C30" s="975" t="s">
        <v>26</v>
      </c>
      <c r="D30" s="964"/>
      <c r="E30" s="965">
        <f t="shared" si="2"/>
        <v>0</v>
      </c>
    </row>
    <row r="31" spans="2:6">
      <c r="B31" s="973" t="s">
        <v>250</v>
      </c>
      <c r="C31" s="975" t="s">
        <v>667</v>
      </c>
      <c r="D31" s="964">
        <v>161</v>
      </c>
      <c r="E31" s="965">
        <f t="shared" si="2"/>
        <v>1529.5</v>
      </c>
    </row>
    <row r="32" spans="2:6" ht="20.100000000000001" customHeight="1">
      <c r="B32" s="1259" t="s">
        <v>24</v>
      </c>
      <c r="C32" s="1259"/>
      <c r="D32" s="964">
        <f>SUM(D27:D31)</f>
        <v>1132</v>
      </c>
      <c r="E32" s="954">
        <f t="shared" si="2"/>
        <v>10754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2171</v>
      </c>
      <c r="D35" s="956">
        <f>D22</f>
        <v>2228</v>
      </c>
      <c r="E35" s="956">
        <f>D32</f>
        <v>1132</v>
      </c>
    </row>
    <row r="36" spans="2:5">
      <c r="B36" s="953" t="s">
        <v>36</v>
      </c>
      <c r="C36" s="951">
        <f>C35*9.5</f>
        <v>20624.5</v>
      </c>
      <c r="D36" s="951">
        <f>D35*9.5</f>
        <v>21166</v>
      </c>
      <c r="E36" s="951">
        <f>E35*9.5</f>
        <v>10754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5531</v>
      </c>
      <c r="D38" s="378" t="s">
        <v>253</v>
      </c>
      <c r="E38" s="381">
        <f>C38*9.5</f>
        <v>52544.5</v>
      </c>
    </row>
    <row r="39" spans="2:5">
      <c r="B39" s="377" t="s">
        <v>197</v>
      </c>
      <c r="C39" s="378">
        <f>C40-C38</f>
        <v>64</v>
      </c>
      <c r="D39" s="378" t="s">
        <v>204</v>
      </c>
      <c r="E39" s="381">
        <f>C39*9</f>
        <v>576</v>
      </c>
    </row>
    <row r="40" spans="2:5" ht="19.5">
      <c r="B40" s="941" t="s">
        <v>201</v>
      </c>
      <c r="C40" s="380">
        <v>5595</v>
      </c>
      <c r="D40" s="380" t="s">
        <v>202</v>
      </c>
      <c r="E40" s="379">
        <f>SUM(E38+E39)</f>
        <v>53120.5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CAD66-0366-438F-A56A-465AA2AEFDB9}">
  <sheetPr codeName="Sheet19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44851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713</v>
      </c>
      <c r="C7" s="975" t="s">
        <v>669</v>
      </c>
      <c r="D7" s="964">
        <v>639</v>
      </c>
      <c r="E7" s="965">
        <f t="shared" ref="E7:E12" si="0">D7*9.5</f>
        <v>6070.5</v>
      </c>
    </row>
    <row r="8" spans="2:8" ht="15" customHeight="1">
      <c r="B8" s="973" t="s">
        <v>45</v>
      </c>
      <c r="C8" s="975" t="s">
        <v>669</v>
      </c>
      <c r="D8" s="964">
        <v>344</v>
      </c>
      <c r="E8" s="965">
        <f t="shared" si="0"/>
        <v>3268</v>
      </c>
    </row>
    <row r="9" spans="2:8" ht="15" customHeight="1">
      <c r="B9" s="973" t="s">
        <v>78</v>
      </c>
      <c r="C9" s="975" t="s">
        <v>26</v>
      </c>
      <c r="D9" s="964">
        <v>140</v>
      </c>
      <c r="E9" s="965">
        <f t="shared" si="0"/>
        <v>1330</v>
      </c>
    </row>
    <row r="10" spans="2:8" ht="15" customHeight="1">
      <c r="B10" s="1051" t="s">
        <v>307</v>
      </c>
      <c r="C10" s="975" t="s">
        <v>26</v>
      </c>
      <c r="D10" s="943">
        <v>309</v>
      </c>
      <c r="E10" s="965">
        <f t="shared" si="0"/>
        <v>2935.5</v>
      </c>
    </row>
    <row r="11" spans="2:8" ht="15" customHeight="1">
      <c r="B11" s="1051" t="s">
        <v>332</v>
      </c>
      <c r="C11" s="975" t="s">
        <v>687</v>
      </c>
      <c r="D11" s="943">
        <v>391</v>
      </c>
      <c r="E11" s="965">
        <f t="shared" si="0"/>
        <v>3714.5</v>
      </c>
    </row>
    <row r="12" spans="2:8" ht="20.100000000000001" customHeight="1">
      <c r="B12" s="1255" t="s">
        <v>24</v>
      </c>
      <c r="C12" s="1255"/>
      <c r="D12" s="964">
        <f>SUM(D7:D11)</f>
        <v>1823</v>
      </c>
      <c r="E12" s="965">
        <f t="shared" si="0"/>
        <v>17318.5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973" t="s">
        <v>727</v>
      </c>
      <c r="C17" s="975" t="s">
        <v>669</v>
      </c>
      <c r="D17" s="964"/>
      <c r="E17" s="965">
        <f t="shared" ref="E17:E22" si="1">D17*9.5</f>
        <v>0</v>
      </c>
    </row>
    <row r="18" spans="2:6" ht="15" customHeight="1">
      <c r="B18" s="973" t="s">
        <v>45</v>
      </c>
      <c r="C18" s="975" t="s">
        <v>669</v>
      </c>
      <c r="D18" s="964">
        <v>373</v>
      </c>
      <c r="E18" s="965">
        <f t="shared" si="1"/>
        <v>3543.5</v>
      </c>
    </row>
    <row r="19" spans="2:6" ht="14.45" customHeight="1">
      <c r="B19" s="973" t="s">
        <v>239</v>
      </c>
      <c r="C19" s="975" t="s">
        <v>26</v>
      </c>
      <c r="D19" s="964">
        <v>234</v>
      </c>
      <c r="E19" s="965">
        <f t="shared" si="1"/>
        <v>2223</v>
      </c>
    </row>
    <row r="20" spans="2:6" ht="14.45" customHeight="1">
      <c r="B20" s="1051" t="s">
        <v>184</v>
      </c>
      <c r="C20" s="975" t="s">
        <v>26</v>
      </c>
      <c r="D20" s="964">
        <v>298</v>
      </c>
      <c r="E20" s="965">
        <f t="shared" si="1"/>
        <v>2831</v>
      </c>
    </row>
    <row r="21" spans="2:6" ht="14.45" customHeight="1">
      <c r="B21" s="1051" t="s">
        <v>696</v>
      </c>
      <c r="C21" s="975" t="s">
        <v>681</v>
      </c>
      <c r="D21" s="964">
        <v>175</v>
      </c>
      <c r="E21" s="965">
        <f t="shared" si="1"/>
        <v>1662.5</v>
      </c>
    </row>
    <row r="22" spans="2:6" ht="14.45" customHeight="1">
      <c r="B22" s="1269" t="s">
        <v>24</v>
      </c>
      <c r="C22" s="1270"/>
      <c r="D22" s="964">
        <f>SUM(D17:D21)</f>
        <v>1080</v>
      </c>
      <c r="E22" s="954">
        <f t="shared" si="1"/>
        <v>10260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685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973" t="s">
        <v>727</v>
      </c>
      <c r="C27" s="975" t="s">
        <v>669</v>
      </c>
      <c r="D27" s="964">
        <v>542</v>
      </c>
      <c r="E27" s="965">
        <f t="shared" ref="E27:E32" si="2">D27*9.5</f>
        <v>5149</v>
      </c>
      <c r="F27" s="934" t="s">
        <v>720</v>
      </c>
    </row>
    <row r="28" spans="2:6">
      <c r="B28" s="973" t="s">
        <v>278</v>
      </c>
      <c r="C28" s="975" t="s">
        <v>669</v>
      </c>
      <c r="D28" s="964">
        <v>460</v>
      </c>
      <c r="E28" s="965">
        <f t="shared" si="2"/>
        <v>4370</v>
      </c>
    </row>
    <row r="29" spans="2:6">
      <c r="B29" s="973" t="s">
        <v>281</v>
      </c>
      <c r="C29" s="975" t="s">
        <v>26</v>
      </c>
      <c r="D29" s="964">
        <v>197</v>
      </c>
      <c r="E29" s="965">
        <f>D29*9.5</f>
        <v>1871.5</v>
      </c>
    </row>
    <row r="30" spans="2:6">
      <c r="B30" s="973" t="s">
        <v>70</v>
      </c>
      <c r="C30" s="975" t="s">
        <v>26</v>
      </c>
      <c r="D30" s="964">
        <v>378</v>
      </c>
      <c r="E30" s="965">
        <f t="shared" si="2"/>
        <v>3591</v>
      </c>
    </row>
    <row r="31" spans="2:6">
      <c r="B31" s="973" t="s">
        <v>678</v>
      </c>
      <c r="C31" s="975" t="s">
        <v>667</v>
      </c>
      <c r="D31" s="964">
        <v>222</v>
      </c>
      <c r="E31" s="965">
        <f t="shared" si="2"/>
        <v>2109</v>
      </c>
    </row>
    <row r="32" spans="2:6" ht="20.100000000000001" customHeight="1">
      <c r="B32" s="1259" t="s">
        <v>24</v>
      </c>
      <c r="C32" s="1259"/>
      <c r="D32" s="964">
        <f>SUM(D27:D31)</f>
        <v>1799</v>
      </c>
      <c r="E32" s="954">
        <f t="shared" si="2"/>
        <v>17090.5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1823</v>
      </c>
      <c r="D35" s="956">
        <f>D22</f>
        <v>1080</v>
      </c>
      <c r="E35" s="956">
        <f>D32</f>
        <v>1799</v>
      </c>
    </row>
    <row r="36" spans="2:5">
      <c r="B36" s="953" t="s">
        <v>36</v>
      </c>
      <c r="C36" s="951">
        <f>C35*9.5</f>
        <v>17318.5</v>
      </c>
      <c r="D36" s="951">
        <f>D35*9.5</f>
        <v>10260</v>
      </c>
      <c r="E36" s="951">
        <f>E35*9.5</f>
        <v>17090.5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4702</v>
      </c>
      <c r="D38" s="378" t="s">
        <v>253</v>
      </c>
      <c r="E38" s="381">
        <f>C38*9.5</f>
        <v>44669</v>
      </c>
    </row>
    <row r="39" spans="2:5">
      <c r="B39" s="377" t="s">
        <v>197</v>
      </c>
      <c r="C39" s="378">
        <f>C40-C38</f>
        <v>2832</v>
      </c>
      <c r="D39" s="378" t="s">
        <v>204</v>
      </c>
      <c r="E39" s="381">
        <f>C39*9</f>
        <v>25488</v>
      </c>
    </row>
    <row r="40" spans="2:5" ht="19.5">
      <c r="B40" s="941" t="s">
        <v>201</v>
      </c>
      <c r="C40" s="380">
        <v>7534</v>
      </c>
      <c r="D40" s="380" t="s">
        <v>202</v>
      </c>
      <c r="E40" s="379">
        <f>SUM(E38+E39)</f>
        <v>70157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3A9B1-26D3-4807-9F9F-6D28B497E757}">
  <sheetPr codeName="Sheet19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44852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260</v>
      </c>
      <c r="C7" s="975" t="s">
        <v>669</v>
      </c>
      <c r="D7" s="964">
        <v>311</v>
      </c>
      <c r="E7" s="965">
        <f t="shared" ref="E7:E12" si="0">D7*9.5</f>
        <v>2954.5</v>
      </c>
    </row>
    <row r="8" spans="2:8" ht="15" customHeight="1">
      <c r="B8" s="973" t="s">
        <v>244</v>
      </c>
      <c r="C8" s="975" t="s">
        <v>669</v>
      </c>
      <c r="D8" s="964">
        <v>543</v>
      </c>
      <c r="E8" s="965">
        <f t="shared" si="0"/>
        <v>5158.5</v>
      </c>
    </row>
    <row r="9" spans="2:8" ht="15" customHeight="1">
      <c r="B9" s="973" t="s">
        <v>334</v>
      </c>
      <c r="C9" s="975" t="s">
        <v>26</v>
      </c>
      <c r="D9" s="964">
        <v>197</v>
      </c>
      <c r="E9" s="965">
        <f t="shared" si="0"/>
        <v>1871.5</v>
      </c>
    </row>
    <row r="10" spans="2:8" ht="15" customHeight="1">
      <c r="B10" s="1051" t="s">
        <v>189</v>
      </c>
      <c r="C10" s="975" t="s">
        <v>26</v>
      </c>
      <c r="D10" s="943">
        <v>348</v>
      </c>
      <c r="E10" s="965">
        <f t="shared" si="0"/>
        <v>3306</v>
      </c>
    </row>
    <row r="11" spans="2:8" ht="15" customHeight="1">
      <c r="B11" s="1051" t="s">
        <v>12</v>
      </c>
      <c r="C11" s="975" t="s">
        <v>687</v>
      </c>
      <c r="D11" s="943">
        <v>248</v>
      </c>
      <c r="E11" s="965">
        <f t="shared" si="0"/>
        <v>2356</v>
      </c>
    </row>
    <row r="12" spans="2:8" ht="20.100000000000001" customHeight="1">
      <c r="B12" s="1255" t="s">
        <v>24</v>
      </c>
      <c r="C12" s="1255"/>
      <c r="D12" s="964">
        <f>SUM(D7:D11)</f>
        <v>1647</v>
      </c>
      <c r="E12" s="965">
        <f t="shared" si="0"/>
        <v>15646.5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696</v>
      </c>
      <c r="C17" s="975" t="s">
        <v>669</v>
      </c>
      <c r="D17" s="964">
        <v>341</v>
      </c>
      <c r="E17" s="965">
        <f t="shared" ref="E17:E22" si="1">D17*9.5</f>
        <v>3239.5</v>
      </c>
    </row>
    <row r="18" spans="2:5" ht="15" customHeight="1">
      <c r="B18" s="973" t="s">
        <v>238</v>
      </c>
      <c r="C18" s="975" t="s">
        <v>669</v>
      </c>
      <c r="D18" s="964">
        <v>359</v>
      </c>
      <c r="E18" s="965">
        <f t="shared" si="1"/>
        <v>3410.5</v>
      </c>
    </row>
    <row r="19" spans="2:5" ht="14.45" customHeight="1">
      <c r="B19" s="973" t="s">
        <v>334</v>
      </c>
      <c r="C19" s="975" t="s">
        <v>26</v>
      </c>
      <c r="D19" s="964">
        <v>342</v>
      </c>
      <c r="E19" s="965">
        <f t="shared" si="1"/>
        <v>3249</v>
      </c>
    </row>
    <row r="20" spans="2:5" ht="14.45" customHeight="1">
      <c r="B20" s="1051" t="s">
        <v>189</v>
      </c>
      <c r="C20" s="975" t="s">
        <v>26</v>
      </c>
      <c r="D20" s="964">
        <v>375</v>
      </c>
      <c r="E20" s="965">
        <f t="shared" si="1"/>
        <v>3562.5</v>
      </c>
    </row>
    <row r="21" spans="2:5" ht="14.45" customHeight="1">
      <c r="B21" s="1051" t="s">
        <v>65</v>
      </c>
      <c r="C21" s="975" t="s">
        <v>681</v>
      </c>
      <c r="D21" s="964">
        <v>375</v>
      </c>
      <c r="E21" s="965">
        <f t="shared" si="1"/>
        <v>3562.5</v>
      </c>
    </row>
    <row r="22" spans="2:5" ht="14.45" customHeight="1">
      <c r="B22" s="1269" t="s">
        <v>24</v>
      </c>
      <c r="C22" s="1270"/>
      <c r="D22" s="964">
        <f>SUM(D17:D21)</f>
        <v>1792</v>
      </c>
      <c r="E22" s="954">
        <f t="shared" si="1"/>
        <v>17024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250</v>
      </c>
      <c r="C27" s="975" t="s">
        <v>669</v>
      </c>
      <c r="D27" s="964">
        <v>216</v>
      </c>
      <c r="E27" s="965">
        <f t="shared" ref="E27:E32" si="2">D27*9.5</f>
        <v>2052</v>
      </c>
    </row>
    <row r="28" spans="2:5">
      <c r="B28" s="973" t="s">
        <v>331</v>
      </c>
      <c r="C28" s="975" t="s">
        <v>669</v>
      </c>
      <c r="D28" s="964">
        <v>428</v>
      </c>
      <c r="E28" s="965">
        <f t="shared" si="2"/>
        <v>4066</v>
      </c>
    </row>
    <row r="29" spans="2:5">
      <c r="B29" s="973" t="s">
        <v>678</v>
      </c>
      <c r="C29" s="975" t="s">
        <v>26</v>
      </c>
      <c r="D29" s="964">
        <v>246</v>
      </c>
      <c r="E29" s="965">
        <f>D29*9.5</f>
        <v>2337</v>
      </c>
    </row>
    <row r="30" spans="2:5">
      <c r="B30" s="973" t="s">
        <v>205</v>
      </c>
      <c r="C30" s="975" t="s">
        <v>26</v>
      </c>
      <c r="D30" s="964">
        <v>87</v>
      </c>
      <c r="E30" s="965">
        <f t="shared" si="2"/>
        <v>826.5</v>
      </c>
    </row>
    <row r="31" spans="2:5">
      <c r="B31" s="973" t="s">
        <v>279</v>
      </c>
      <c r="C31" s="975" t="s">
        <v>667</v>
      </c>
      <c r="D31" s="964">
        <v>399</v>
      </c>
      <c r="E31" s="965">
        <f t="shared" si="2"/>
        <v>3790.5</v>
      </c>
    </row>
    <row r="32" spans="2:5" ht="20.100000000000001" customHeight="1">
      <c r="B32" s="1259" t="s">
        <v>24</v>
      </c>
      <c r="C32" s="1259"/>
      <c r="D32" s="964">
        <f>SUM(D27:D31)</f>
        <v>1376</v>
      </c>
      <c r="E32" s="954">
        <f t="shared" si="2"/>
        <v>13072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1647</v>
      </c>
      <c r="D35" s="956">
        <f>D22</f>
        <v>1792</v>
      </c>
      <c r="E35" s="956">
        <f>D32</f>
        <v>1376</v>
      </c>
    </row>
    <row r="36" spans="2:5">
      <c r="B36" s="953" t="s">
        <v>36</v>
      </c>
      <c r="C36" s="951">
        <f>C35*9.5</f>
        <v>15646.5</v>
      </c>
      <c r="D36" s="951">
        <f>D35*9.5</f>
        <v>17024</v>
      </c>
      <c r="E36" s="951">
        <f>E35*9.5</f>
        <v>13072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4815</v>
      </c>
      <c r="D38" s="378" t="s">
        <v>253</v>
      </c>
      <c r="E38" s="381">
        <f>C38*9.5</f>
        <v>45742.5</v>
      </c>
    </row>
    <row r="39" spans="2:5">
      <c r="B39" s="377" t="s">
        <v>197</v>
      </c>
      <c r="C39" s="378">
        <f>C40-C38</f>
        <v>3019</v>
      </c>
      <c r="D39" s="378" t="s">
        <v>204</v>
      </c>
      <c r="E39" s="381">
        <f>C39*9</f>
        <v>27171</v>
      </c>
    </row>
    <row r="40" spans="2:5" ht="19.5">
      <c r="B40" s="941" t="s">
        <v>201</v>
      </c>
      <c r="C40" s="380">
        <v>7834</v>
      </c>
      <c r="D40" s="380" t="s">
        <v>202</v>
      </c>
      <c r="E40" s="379">
        <f>SUM(E38+E39)</f>
        <v>72913.5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B0166-2F7B-42AC-B543-8B72A93DD65D}">
  <sheetPr codeName="Sheet19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44853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728</v>
      </c>
      <c r="C7" s="975" t="s">
        <v>669</v>
      </c>
      <c r="D7" s="964">
        <v>332</v>
      </c>
      <c r="E7" s="965">
        <f t="shared" ref="E7:E12" si="0">D7*9.5</f>
        <v>3154</v>
      </c>
    </row>
    <row r="8" spans="2:8" ht="15" customHeight="1">
      <c r="B8" s="973" t="s">
        <v>239</v>
      </c>
      <c r="C8" s="975" t="s">
        <v>669</v>
      </c>
      <c r="D8" s="964">
        <v>186</v>
      </c>
      <c r="E8" s="965">
        <f t="shared" si="0"/>
        <v>1767</v>
      </c>
    </row>
    <row r="9" spans="2:8" ht="15" customHeight="1">
      <c r="B9" s="973" t="s">
        <v>65</v>
      </c>
      <c r="C9" s="975" t="s">
        <v>26</v>
      </c>
      <c r="D9" s="964">
        <v>344</v>
      </c>
      <c r="E9" s="965">
        <f t="shared" si="0"/>
        <v>3268</v>
      </c>
    </row>
    <row r="10" spans="2:8" ht="15" customHeight="1">
      <c r="B10" s="1051" t="s">
        <v>143</v>
      </c>
      <c r="C10" s="975" t="s">
        <v>26</v>
      </c>
      <c r="D10" s="943">
        <v>375</v>
      </c>
      <c r="E10" s="965">
        <f t="shared" si="0"/>
        <v>3562.5</v>
      </c>
    </row>
    <row r="11" spans="2:8" ht="15" customHeight="1">
      <c r="B11" s="1051" t="s">
        <v>63</v>
      </c>
      <c r="C11" s="975" t="s">
        <v>687</v>
      </c>
      <c r="D11" s="943">
        <v>273</v>
      </c>
      <c r="E11" s="965">
        <f t="shared" si="0"/>
        <v>2593.5</v>
      </c>
    </row>
    <row r="12" spans="2:8" ht="20.100000000000001" customHeight="1">
      <c r="B12" s="1255" t="s">
        <v>24</v>
      </c>
      <c r="C12" s="1255"/>
      <c r="D12" s="964">
        <f>SUM(D7:D11)</f>
        <v>1510</v>
      </c>
      <c r="E12" s="965">
        <f t="shared" si="0"/>
        <v>14345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973" t="s">
        <v>678</v>
      </c>
      <c r="C17" s="975" t="s">
        <v>669</v>
      </c>
      <c r="D17" s="964">
        <v>450</v>
      </c>
      <c r="E17" s="965">
        <f t="shared" ref="E17:E22" si="1">D17*9.5</f>
        <v>4275</v>
      </c>
    </row>
    <row r="18" spans="2:6" ht="15" customHeight="1">
      <c r="B18" s="973" t="s">
        <v>239</v>
      </c>
      <c r="C18" s="975" t="s">
        <v>669</v>
      </c>
      <c r="D18" s="964">
        <v>233</v>
      </c>
      <c r="E18" s="965">
        <f t="shared" si="1"/>
        <v>2213.5</v>
      </c>
    </row>
    <row r="19" spans="2:6" ht="14.45" customHeight="1">
      <c r="B19" s="973" t="s">
        <v>252</v>
      </c>
      <c r="C19" s="975" t="s">
        <v>26</v>
      </c>
      <c r="D19" s="964"/>
      <c r="E19" s="965">
        <f t="shared" si="1"/>
        <v>0</v>
      </c>
      <c r="F19" s="934" t="s">
        <v>719</v>
      </c>
    </row>
    <row r="20" spans="2:6" ht="14.45" customHeight="1">
      <c r="B20" s="1051" t="s">
        <v>143</v>
      </c>
      <c r="C20" s="975" t="s">
        <v>26</v>
      </c>
      <c r="D20" s="964">
        <v>427</v>
      </c>
      <c r="E20" s="965">
        <f t="shared" si="1"/>
        <v>4056.5</v>
      </c>
    </row>
    <row r="21" spans="2:6" ht="14.45" customHeight="1">
      <c r="B21" s="1051" t="s">
        <v>279</v>
      </c>
      <c r="C21" s="975" t="s">
        <v>681</v>
      </c>
      <c r="D21" s="964">
        <v>500</v>
      </c>
      <c r="E21" s="965">
        <f t="shared" si="1"/>
        <v>4750</v>
      </c>
    </row>
    <row r="22" spans="2:6" ht="14.45" customHeight="1">
      <c r="B22" s="1269" t="s">
        <v>24</v>
      </c>
      <c r="C22" s="1270"/>
      <c r="D22" s="964">
        <f>SUM(D17:D21)</f>
        <v>1610</v>
      </c>
      <c r="E22" s="954">
        <f t="shared" si="1"/>
        <v>15295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685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973" t="s">
        <v>678</v>
      </c>
      <c r="C27" s="975" t="s">
        <v>669</v>
      </c>
      <c r="D27" s="964">
        <v>218</v>
      </c>
      <c r="E27" s="965">
        <f t="shared" ref="E27:E32" si="2">D27*9.5</f>
        <v>2071</v>
      </c>
    </row>
    <row r="28" spans="2:6">
      <c r="B28" s="973" t="s">
        <v>235</v>
      </c>
      <c r="C28" s="975" t="s">
        <v>669</v>
      </c>
      <c r="D28" s="964">
        <v>613</v>
      </c>
      <c r="E28" s="965">
        <f t="shared" si="2"/>
        <v>5823.5</v>
      </c>
    </row>
    <row r="29" spans="2:6">
      <c r="B29" s="973" t="s">
        <v>252</v>
      </c>
      <c r="C29" s="975" t="s">
        <v>26</v>
      </c>
      <c r="D29" s="964"/>
      <c r="E29" s="965">
        <f>D29*9.5</f>
        <v>0</v>
      </c>
      <c r="F29" s="934" t="s">
        <v>719</v>
      </c>
    </row>
    <row r="30" spans="2:6">
      <c r="B30" s="973" t="s">
        <v>260</v>
      </c>
      <c r="C30" s="975" t="s">
        <v>26</v>
      </c>
      <c r="D30" s="964">
        <v>217</v>
      </c>
      <c r="E30" s="965">
        <f t="shared" si="2"/>
        <v>2061.5</v>
      </c>
    </row>
    <row r="31" spans="2:6">
      <c r="B31" s="973" t="s">
        <v>279</v>
      </c>
      <c r="C31" s="975" t="s">
        <v>667</v>
      </c>
      <c r="D31" s="964">
        <v>282</v>
      </c>
      <c r="E31" s="965">
        <f t="shared" si="2"/>
        <v>2679</v>
      </c>
    </row>
    <row r="32" spans="2:6" ht="20.100000000000001" customHeight="1">
      <c r="B32" s="1259" t="s">
        <v>24</v>
      </c>
      <c r="C32" s="1259"/>
      <c r="D32" s="964">
        <f>SUM(D27:D31)</f>
        <v>1330</v>
      </c>
      <c r="E32" s="954">
        <f t="shared" si="2"/>
        <v>12635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1510</v>
      </c>
      <c r="D35" s="956">
        <f>D22</f>
        <v>1610</v>
      </c>
      <c r="E35" s="956">
        <f>D32</f>
        <v>1330</v>
      </c>
    </row>
    <row r="36" spans="2:5">
      <c r="B36" s="953" t="s">
        <v>36</v>
      </c>
      <c r="C36" s="951">
        <f>C35*9.5</f>
        <v>14345</v>
      </c>
      <c r="D36" s="951">
        <f>D35*9.5</f>
        <v>15295</v>
      </c>
      <c r="E36" s="951">
        <f>E35*9.5</f>
        <v>12635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4450</v>
      </c>
      <c r="D38" s="378" t="s">
        <v>253</v>
      </c>
      <c r="E38" s="381">
        <f>C38*9.5</f>
        <v>42275</v>
      </c>
    </row>
    <row r="39" spans="2:5">
      <c r="B39" s="377" t="s">
        <v>197</v>
      </c>
      <c r="C39" s="378">
        <f>C40-C38</f>
        <v>3162</v>
      </c>
      <c r="D39" s="378" t="s">
        <v>204</v>
      </c>
      <c r="E39" s="381">
        <f>C39*9</f>
        <v>28458</v>
      </c>
    </row>
    <row r="40" spans="2:5" ht="19.5">
      <c r="B40" s="941" t="s">
        <v>201</v>
      </c>
      <c r="C40" s="380">
        <v>7612</v>
      </c>
      <c r="D40" s="380" t="s">
        <v>202</v>
      </c>
      <c r="E40" s="379">
        <f>SUM(E38+E39)</f>
        <v>70733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CF796-B17D-43A8-9183-D759E785AD30}">
  <sheetPr codeName="Sheet19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44854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51</v>
      </c>
      <c r="C7" s="975" t="s">
        <v>669</v>
      </c>
      <c r="D7" s="964">
        <v>383</v>
      </c>
      <c r="E7" s="965">
        <f t="shared" ref="E7:E12" si="0">D7*9.5</f>
        <v>3638.5</v>
      </c>
    </row>
    <row r="8" spans="2:8" ht="15" customHeight="1">
      <c r="B8" s="973" t="s">
        <v>244</v>
      </c>
      <c r="C8" s="975" t="s">
        <v>669</v>
      </c>
      <c r="D8" s="964">
        <v>430</v>
      </c>
      <c r="E8" s="965">
        <f t="shared" si="0"/>
        <v>4085</v>
      </c>
    </row>
    <row r="9" spans="2:8" ht="15" customHeight="1">
      <c r="B9" s="973" t="s">
        <v>300</v>
      </c>
      <c r="C9" s="975" t="s">
        <v>26</v>
      </c>
      <c r="D9" s="964">
        <v>258</v>
      </c>
      <c r="E9" s="965">
        <f t="shared" si="0"/>
        <v>2451</v>
      </c>
    </row>
    <row r="10" spans="2:8" ht="15" customHeight="1">
      <c r="B10" s="1051" t="s">
        <v>238</v>
      </c>
      <c r="C10" s="975" t="s">
        <v>26</v>
      </c>
      <c r="D10" s="943">
        <v>269</v>
      </c>
      <c r="E10" s="965">
        <f t="shared" si="0"/>
        <v>2555.5</v>
      </c>
    </row>
    <row r="11" spans="2:8" ht="15" customHeight="1">
      <c r="B11" s="1051" t="s">
        <v>303</v>
      </c>
      <c r="C11" s="975" t="s">
        <v>687</v>
      </c>
      <c r="D11" s="943">
        <v>747</v>
      </c>
      <c r="E11" s="965">
        <f t="shared" si="0"/>
        <v>7096.5</v>
      </c>
    </row>
    <row r="12" spans="2:8" ht="20.100000000000001" customHeight="1">
      <c r="B12" s="1255" t="s">
        <v>24</v>
      </c>
      <c r="C12" s="1255"/>
      <c r="D12" s="964">
        <f>SUM(D7:D11)</f>
        <v>2087</v>
      </c>
      <c r="E12" s="965">
        <f t="shared" si="0"/>
        <v>19826.5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973" t="s">
        <v>143</v>
      </c>
      <c r="C17" s="975" t="s">
        <v>669</v>
      </c>
      <c r="D17" s="964">
        <v>376</v>
      </c>
      <c r="E17" s="965">
        <f t="shared" ref="E17:E22" si="1">D17*9.5</f>
        <v>3572</v>
      </c>
    </row>
    <row r="18" spans="2:6" ht="15" customHeight="1">
      <c r="B18" s="973" t="s">
        <v>244</v>
      </c>
      <c r="C18" s="975" t="s">
        <v>669</v>
      </c>
      <c r="D18" s="964">
        <v>468</v>
      </c>
      <c r="E18" s="965">
        <f t="shared" si="1"/>
        <v>4446</v>
      </c>
    </row>
    <row r="19" spans="2:6" ht="14.45" customHeight="1">
      <c r="B19" s="973" t="s">
        <v>729</v>
      </c>
      <c r="C19" s="975" t="s">
        <v>26</v>
      </c>
      <c r="D19" s="964"/>
      <c r="E19" s="965">
        <f t="shared" si="1"/>
        <v>0</v>
      </c>
      <c r="F19" s="934" t="s">
        <v>720</v>
      </c>
    </row>
    <row r="20" spans="2:6" ht="14.45" customHeight="1">
      <c r="B20" s="1051" t="s">
        <v>334</v>
      </c>
      <c r="C20" s="975" t="s">
        <v>26</v>
      </c>
      <c r="D20" s="964">
        <v>329</v>
      </c>
      <c r="E20" s="965">
        <f t="shared" si="1"/>
        <v>3125.5</v>
      </c>
    </row>
    <row r="21" spans="2:6" ht="14.45" customHeight="1">
      <c r="B21" s="1051" t="s">
        <v>711</v>
      </c>
      <c r="C21" s="975" t="s">
        <v>681</v>
      </c>
      <c r="D21" s="964">
        <v>606</v>
      </c>
      <c r="E21" s="965">
        <f t="shared" si="1"/>
        <v>5757</v>
      </c>
    </row>
    <row r="22" spans="2:6" ht="14.45" customHeight="1">
      <c r="B22" s="1269" t="s">
        <v>24</v>
      </c>
      <c r="C22" s="1270"/>
      <c r="D22" s="964">
        <f>SUM(D17:D21)</f>
        <v>1779</v>
      </c>
      <c r="E22" s="954">
        <f t="shared" si="1"/>
        <v>16900.5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685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973" t="s">
        <v>281</v>
      </c>
      <c r="C27" s="975" t="s">
        <v>669</v>
      </c>
      <c r="D27" s="964">
        <v>154</v>
      </c>
      <c r="E27" s="965">
        <f t="shared" ref="E27:E32" si="2">D27*9.5</f>
        <v>1463</v>
      </c>
    </row>
    <row r="28" spans="2:6">
      <c r="B28" s="973" t="s">
        <v>278</v>
      </c>
      <c r="C28" s="975" t="s">
        <v>669</v>
      </c>
      <c r="D28" s="964">
        <v>436</v>
      </c>
      <c r="E28" s="965">
        <f t="shared" si="2"/>
        <v>4142</v>
      </c>
    </row>
    <row r="29" spans="2:6">
      <c r="B29" s="973" t="s">
        <v>729</v>
      </c>
      <c r="C29" s="975" t="s">
        <v>26</v>
      </c>
      <c r="D29" s="964">
        <v>435</v>
      </c>
      <c r="E29" s="965">
        <f>D29*9.5</f>
        <v>4132.5</v>
      </c>
    </row>
    <row r="30" spans="2:6">
      <c r="B30" s="973" t="s">
        <v>262</v>
      </c>
      <c r="C30" s="975" t="s">
        <v>26</v>
      </c>
      <c r="D30" s="964">
        <v>223</v>
      </c>
      <c r="E30" s="965">
        <f t="shared" si="2"/>
        <v>2118.5</v>
      </c>
    </row>
    <row r="31" spans="2:6">
      <c r="B31" s="973" t="s">
        <v>711</v>
      </c>
      <c r="C31" s="975" t="s">
        <v>667</v>
      </c>
      <c r="D31" s="964">
        <v>203</v>
      </c>
      <c r="E31" s="965">
        <f t="shared" si="2"/>
        <v>1928.5</v>
      </c>
    </row>
    <row r="32" spans="2:6" ht="20.100000000000001" customHeight="1">
      <c r="B32" s="1259" t="s">
        <v>24</v>
      </c>
      <c r="C32" s="1259"/>
      <c r="D32" s="964">
        <f>SUM(D27:D31)</f>
        <v>1451</v>
      </c>
      <c r="E32" s="954">
        <f t="shared" si="2"/>
        <v>13784.5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2087</v>
      </c>
      <c r="D35" s="956">
        <f>D22</f>
        <v>1779</v>
      </c>
      <c r="E35" s="956">
        <f>D32</f>
        <v>1451</v>
      </c>
    </row>
    <row r="36" spans="2:5">
      <c r="B36" s="953" t="s">
        <v>36</v>
      </c>
      <c r="C36" s="951">
        <f>C35*9.5</f>
        <v>19826.5</v>
      </c>
      <c r="D36" s="951">
        <f>D35*9.5</f>
        <v>16900.5</v>
      </c>
      <c r="E36" s="951">
        <f>E35*9.5</f>
        <v>13784.5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5317</v>
      </c>
      <c r="D38" s="378" t="s">
        <v>253</v>
      </c>
      <c r="E38" s="381">
        <f>C38*9.5</f>
        <v>50511.5</v>
      </c>
    </row>
    <row r="39" spans="2:5">
      <c r="B39" s="377" t="s">
        <v>197</v>
      </c>
      <c r="C39" s="378">
        <f>C40-C38</f>
        <v>2751</v>
      </c>
      <c r="D39" s="378" t="s">
        <v>204</v>
      </c>
      <c r="E39" s="381">
        <f>C39*9</f>
        <v>24759</v>
      </c>
    </row>
    <row r="40" spans="2:5" ht="19.5">
      <c r="B40" s="941" t="s">
        <v>201</v>
      </c>
      <c r="C40" s="380">
        <v>8068</v>
      </c>
      <c r="D40" s="380" t="s">
        <v>202</v>
      </c>
      <c r="E40" s="379">
        <f>SUM(E38+E39)</f>
        <v>75270.5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51BAC-7286-4042-B213-9B81B2ED99E6}">
  <sheetPr codeName="Sheet19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44855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256</v>
      </c>
      <c r="C7" s="975" t="s">
        <v>669</v>
      </c>
      <c r="D7" s="964">
        <v>237</v>
      </c>
      <c r="E7" s="965">
        <f t="shared" ref="E7:E12" si="0">D7*9.5</f>
        <v>2251.5</v>
      </c>
    </row>
    <row r="8" spans="2:8" ht="15" customHeight="1">
      <c r="B8" s="973" t="s">
        <v>184</v>
      </c>
      <c r="C8" s="975" t="s">
        <v>669</v>
      </c>
      <c r="D8" s="964">
        <v>271</v>
      </c>
      <c r="E8" s="965">
        <f t="shared" si="0"/>
        <v>2574.5</v>
      </c>
    </row>
    <row r="9" spans="2:8" ht="15" customHeight="1">
      <c r="B9" s="973" t="s">
        <v>332</v>
      </c>
      <c r="C9" s="975" t="s">
        <v>26</v>
      </c>
      <c r="D9" s="964">
        <v>534</v>
      </c>
      <c r="E9" s="965">
        <f t="shared" si="0"/>
        <v>5073</v>
      </c>
    </row>
    <row r="10" spans="2:8" ht="15" customHeight="1">
      <c r="B10" s="1051" t="s">
        <v>295</v>
      </c>
      <c r="C10" s="975" t="s">
        <v>26</v>
      </c>
      <c r="D10" s="943">
        <v>179</v>
      </c>
      <c r="E10" s="965">
        <f t="shared" si="0"/>
        <v>1700.5</v>
      </c>
    </row>
    <row r="11" spans="2:8" ht="15" customHeight="1">
      <c r="B11" s="1051" t="s">
        <v>329</v>
      </c>
      <c r="C11" s="975" t="s">
        <v>687</v>
      </c>
      <c r="D11" s="943">
        <v>439</v>
      </c>
      <c r="E11" s="965">
        <f t="shared" si="0"/>
        <v>4170.5</v>
      </c>
    </row>
    <row r="12" spans="2:8" ht="20.100000000000001" customHeight="1">
      <c r="B12" s="1255" t="s">
        <v>24</v>
      </c>
      <c r="C12" s="1255"/>
      <c r="D12" s="964">
        <f>SUM(D7:D11)</f>
        <v>1660</v>
      </c>
      <c r="E12" s="965">
        <f t="shared" si="0"/>
        <v>15770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82</v>
      </c>
      <c r="C17" s="975" t="s">
        <v>669</v>
      </c>
      <c r="D17" s="964">
        <v>139</v>
      </c>
      <c r="E17" s="965">
        <f t="shared" ref="E17:E22" si="1">D17*9.5</f>
        <v>1320.5</v>
      </c>
    </row>
    <row r="18" spans="2:5" ht="15" customHeight="1">
      <c r="B18" s="973" t="s">
        <v>189</v>
      </c>
      <c r="C18" s="975" t="s">
        <v>669</v>
      </c>
      <c r="D18" s="964">
        <v>310</v>
      </c>
      <c r="E18" s="965">
        <f t="shared" si="1"/>
        <v>2945</v>
      </c>
    </row>
    <row r="19" spans="2:5" ht="14.45" customHeight="1">
      <c r="B19" s="973" t="s">
        <v>238</v>
      </c>
      <c r="C19" s="975" t="s">
        <v>26</v>
      </c>
      <c r="D19" s="964">
        <v>259</v>
      </c>
      <c r="E19" s="965">
        <f t="shared" si="1"/>
        <v>2460.5</v>
      </c>
    </row>
    <row r="20" spans="2:5" ht="14.45" customHeight="1">
      <c r="B20" s="1051" t="s">
        <v>295</v>
      </c>
      <c r="C20" s="975" t="s">
        <v>26</v>
      </c>
      <c r="D20" s="964">
        <v>184</v>
      </c>
      <c r="E20" s="965">
        <f t="shared" si="1"/>
        <v>1748</v>
      </c>
    </row>
    <row r="21" spans="2:5" ht="14.45" customHeight="1">
      <c r="B21" s="1051" t="s">
        <v>245</v>
      </c>
      <c r="C21" s="975" t="s">
        <v>681</v>
      </c>
      <c r="D21" s="964">
        <v>199</v>
      </c>
      <c r="E21" s="965">
        <f t="shared" si="1"/>
        <v>1890.5</v>
      </c>
    </row>
    <row r="22" spans="2:5" ht="14.45" customHeight="1">
      <c r="B22" s="1269" t="s">
        <v>24</v>
      </c>
      <c r="C22" s="1270"/>
      <c r="D22" s="964">
        <f>SUM(D17:D21)</f>
        <v>1091</v>
      </c>
      <c r="E22" s="954">
        <f t="shared" si="1"/>
        <v>10364.5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235</v>
      </c>
      <c r="C27" s="975" t="s">
        <v>669</v>
      </c>
      <c r="D27" s="964">
        <v>384</v>
      </c>
      <c r="E27" s="965">
        <f t="shared" ref="E27:E32" si="2">D27*9.5</f>
        <v>3648</v>
      </c>
    </row>
    <row r="28" spans="2:5">
      <c r="B28" s="973" t="s">
        <v>82</v>
      </c>
      <c r="C28" s="975" t="s">
        <v>669</v>
      </c>
      <c r="D28" s="964">
        <v>303</v>
      </c>
      <c r="E28" s="965">
        <f t="shared" si="2"/>
        <v>2878.5</v>
      </c>
    </row>
    <row r="29" spans="2:5">
      <c r="B29" s="973" t="s">
        <v>675</v>
      </c>
      <c r="C29" s="975" t="s">
        <v>26</v>
      </c>
      <c r="D29" s="964">
        <v>239</v>
      </c>
      <c r="E29" s="965">
        <f>D29*9.5</f>
        <v>2270.5</v>
      </c>
    </row>
    <row r="30" spans="2:5">
      <c r="B30" s="973" t="s">
        <v>250</v>
      </c>
      <c r="C30" s="975" t="s">
        <v>26</v>
      </c>
      <c r="D30" s="964">
        <v>142</v>
      </c>
      <c r="E30" s="965">
        <f t="shared" si="2"/>
        <v>1349</v>
      </c>
    </row>
    <row r="31" spans="2:5">
      <c r="B31" s="973" t="s">
        <v>331</v>
      </c>
      <c r="C31" s="975" t="s">
        <v>667</v>
      </c>
      <c r="D31" s="964">
        <v>297</v>
      </c>
      <c r="E31" s="965">
        <f t="shared" si="2"/>
        <v>2821.5</v>
      </c>
    </row>
    <row r="32" spans="2:5" ht="20.100000000000001" customHeight="1">
      <c r="B32" s="1259" t="s">
        <v>24</v>
      </c>
      <c r="C32" s="1259"/>
      <c r="D32" s="964">
        <f>SUM(D27:D31)</f>
        <v>1365</v>
      </c>
      <c r="E32" s="954">
        <f t="shared" si="2"/>
        <v>12967.5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1660</v>
      </c>
      <c r="D35" s="956">
        <f>D22</f>
        <v>1091</v>
      </c>
      <c r="E35" s="956">
        <f>D32</f>
        <v>1365</v>
      </c>
    </row>
    <row r="36" spans="2:5">
      <c r="B36" s="953" t="s">
        <v>36</v>
      </c>
      <c r="C36" s="951">
        <f>C35*9.5</f>
        <v>15770</v>
      </c>
      <c r="D36" s="951">
        <f>D35*9.5</f>
        <v>10364.5</v>
      </c>
      <c r="E36" s="951">
        <f>E35*9.5</f>
        <v>12967.5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4116</v>
      </c>
      <c r="D38" s="378" t="s">
        <v>253</v>
      </c>
      <c r="E38" s="381">
        <f>C38*9.5</f>
        <v>39102</v>
      </c>
    </row>
    <row r="39" spans="2:5">
      <c r="B39" s="377" t="s">
        <v>197</v>
      </c>
      <c r="C39" s="378">
        <f>C40-C38</f>
        <v>2202</v>
      </c>
      <c r="D39" s="378" t="s">
        <v>204</v>
      </c>
      <c r="E39" s="381">
        <f>C39*9</f>
        <v>19818</v>
      </c>
    </row>
    <row r="40" spans="2:5" ht="19.5">
      <c r="B40" s="941" t="s">
        <v>201</v>
      </c>
      <c r="C40" s="380">
        <v>6318</v>
      </c>
      <c r="D40" s="380" t="s">
        <v>202</v>
      </c>
      <c r="E40" s="379">
        <f>SUM(E38+E39)</f>
        <v>58920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2C824-027D-400C-AB1E-9F46AC30327E}">
  <sheetPr codeName="Sheet20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44856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329</v>
      </c>
      <c r="C7" s="975" t="s">
        <v>669</v>
      </c>
      <c r="D7" s="964">
        <v>474</v>
      </c>
      <c r="E7" s="965">
        <f t="shared" ref="E7:E12" si="0">D7*9.5</f>
        <v>4503</v>
      </c>
    </row>
    <row r="8" spans="2:8" ht="15" customHeight="1">
      <c r="B8" s="973" t="s">
        <v>696</v>
      </c>
      <c r="C8" s="975" t="s">
        <v>669</v>
      </c>
      <c r="D8" s="964">
        <v>222</v>
      </c>
      <c r="E8" s="965">
        <f t="shared" si="0"/>
        <v>2109</v>
      </c>
    </row>
    <row r="9" spans="2:8" ht="15" customHeight="1">
      <c r="B9" s="973" t="s">
        <v>334</v>
      </c>
      <c r="C9" s="975" t="s">
        <v>26</v>
      </c>
      <c r="D9" s="964">
        <v>173</v>
      </c>
      <c r="E9" s="965">
        <f t="shared" si="0"/>
        <v>1643.5</v>
      </c>
    </row>
    <row r="10" spans="2:8" ht="15" customHeight="1">
      <c r="B10" s="1051" t="s">
        <v>189</v>
      </c>
      <c r="C10" s="975" t="s">
        <v>26</v>
      </c>
      <c r="D10" s="943">
        <v>323</v>
      </c>
      <c r="E10" s="965">
        <f t="shared" si="0"/>
        <v>3068.5</v>
      </c>
    </row>
    <row r="11" spans="2:8" ht="15" customHeight="1">
      <c r="B11" s="1051" t="s">
        <v>303</v>
      </c>
      <c r="C11" s="975" t="s">
        <v>687</v>
      </c>
      <c r="D11" s="943">
        <v>753</v>
      </c>
      <c r="E11" s="965">
        <f t="shared" si="0"/>
        <v>7153.5</v>
      </c>
    </row>
    <row r="12" spans="2:8" ht="20.100000000000001" customHeight="1">
      <c r="B12" s="1255" t="s">
        <v>24</v>
      </c>
      <c r="C12" s="1255"/>
      <c r="D12" s="964">
        <f>SUM(D7:D11)</f>
        <v>1945</v>
      </c>
      <c r="E12" s="965">
        <f t="shared" si="0"/>
        <v>18477.5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329</v>
      </c>
      <c r="C17" s="975" t="s">
        <v>669</v>
      </c>
      <c r="D17" s="964">
        <v>218</v>
      </c>
      <c r="E17" s="965">
        <f t="shared" ref="E17:E22" si="1">D17*9.5</f>
        <v>2071</v>
      </c>
    </row>
    <row r="18" spans="2:5" ht="15" customHeight="1">
      <c r="B18" s="973" t="s">
        <v>245</v>
      </c>
      <c r="C18" s="975" t="s">
        <v>669</v>
      </c>
      <c r="D18" s="964">
        <v>200</v>
      </c>
      <c r="E18" s="965">
        <f t="shared" si="1"/>
        <v>1900</v>
      </c>
    </row>
    <row r="19" spans="2:5" ht="14.45" customHeight="1">
      <c r="B19" s="973" t="s">
        <v>295</v>
      </c>
      <c r="C19" s="975" t="s">
        <v>26</v>
      </c>
      <c r="D19" s="964">
        <v>189</v>
      </c>
      <c r="E19" s="965">
        <f t="shared" si="1"/>
        <v>1795.5</v>
      </c>
    </row>
    <row r="20" spans="2:5" ht="14.45" customHeight="1">
      <c r="B20" s="1051" t="s">
        <v>63</v>
      </c>
      <c r="C20" s="975" t="s">
        <v>26</v>
      </c>
      <c r="D20" s="964">
        <v>350</v>
      </c>
      <c r="E20" s="965">
        <f t="shared" si="1"/>
        <v>3325</v>
      </c>
    </row>
    <row r="21" spans="2:5" ht="14.45" customHeight="1">
      <c r="B21" s="1051" t="s">
        <v>303</v>
      </c>
      <c r="C21" s="975" t="s">
        <v>681</v>
      </c>
      <c r="D21" s="964">
        <v>665</v>
      </c>
      <c r="E21" s="965">
        <f t="shared" si="1"/>
        <v>6317.5</v>
      </c>
    </row>
    <row r="22" spans="2:5" ht="14.45" customHeight="1">
      <c r="B22" s="1269" t="s">
        <v>24</v>
      </c>
      <c r="C22" s="1270"/>
      <c r="D22" s="964">
        <f>SUM(D17:D21)</f>
        <v>1622</v>
      </c>
      <c r="E22" s="954">
        <f t="shared" si="1"/>
        <v>15409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235</v>
      </c>
      <c r="C27" s="975" t="s">
        <v>669</v>
      </c>
      <c r="D27" s="964">
        <v>413</v>
      </c>
      <c r="E27" s="965">
        <f t="shared" ref="E27:E32" si="2">D27*9.5</f>
        <v>3923.5</v>
      </c>
    </row>
    <row r="28" spans="2:5">
      <c r="B28" s="973" t="s">
        <v>245</v>
      </c>
      <c r="C28" s="975" t="s">
        <v>669</v>
      </c>
      <c r="D28" s="964">
        <v>182</v>
      </c>
      <c r="E28" s="965">
        <f t="shared" si="2"/>
        <v>1729</v>
      </c>
    </row>
    <row r="29" spans="2:5">
      <c r="B29" s="973" t="s">
        <v>70</v>
      </c>
      <c r="C29" s="975" t="s">
        <v>26</v>
      </c>
      <c r="D29" s="964">
        <v>383</v>
      </c>
      <c r="E29" s="965">
        <f>D29*9.5</f>
        <v>3638.5</v>
      </c>
    </row>
    <row r="30" spans="2:5">
      <c r="B30" s="973" t="s">
        <v>63</v>
      </c>
      <c r="C30" s="975" t="s">
        <v>26</v>
      </c>
      <c r="D30" s="964">
        <v>164</v>
      </c>
      <c r="E30" s="965">
        <f t="shared" si="2"/>
        <v>1558</v>
      </c>
    </row>
    <row r="31" spans="2:5">
      <c r="B31" s="973" t="s">
        <v>250</v>
      </c>
      <c r="C31" s="975" t="s">
        <v>667</v>
      </c>
      <c r="D31" s="964">
        <v>172</v>
      </c>
      <c r="E31" s="965">
        <f t="shared" si="2"/>
        <v>1634</v>
      </c>
    </row>
    <row r="32" spans="2:5" ht="20.100000000000001" customHeight="1">
      <c r="B32" s="1259" t="s">
        <v>24</v>
      </c>
      <c r="C32" s="1259"/>
      <c r="D32" s="964">
        <f>SUM(D27:D31)</f>
        <v>1314</v>
      </c>
      <c r="E32" s="954">
        <f t="shared" si="2"/>
        <v>12483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1945</v>
      </c>
      <c r="D35" s="956">
        <f>D22</f>
        <v>1622</v>
      </c>
      <c r="E35" s="956">
        <f>D32</f>
        <v>1314</v>
      </c>
    </row>
    <row r="36" spans="2:5">
      <c r="B36" s="953" t="s">
        <v>36</v>
      </c>
      <c r="C36" s="951">
        <f>C35*9.5</f>
        <v>18477.5</v>
      </c>
      <c r="D36" s="951">
        <f>D35*9.5</f>
        <v>15409</v>
      </c>
      <c r="E36" s="951">
        <f>E35*9.5</f>
        <v>12483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4881</v>
      </c>
      <c r="D38" s="378" t="s">
        <v>253</v>
      </c>
      <c r="E38" s="381">
        <f>C38*9.5</f>
        <v>46369.5</v>
      </c>
    </row>
    <row r="39" spans="2:5">
      <c r="B39" s="377" t="s">
        <v>197</v>
      </c>
      <c r="C39" s="378">
        <f>C40-C38</f>
        <v>-6</v>
      </c>
      <c r="D39" s="378" t="s">
        <v>204</v>
      </c>
      <c r="E39" s="381">
        <f>C39*9</f>
        <v>-54</v>
      </c>
    </row>
    <row r="40" spans="2:5" ht="19.5">
      <c r="B40" s="941" t="s">
        <v>201</v>
      </c>
      <c r="C40" s="380">
        <v>4875</v>
      </c>
      <c r="D40" s="380" t="s">
        <v>202</v>
      </c>
      <c r="E40" s="379">
        <f>SUM(E38+E39)</f>
        <v>46315.5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7F08-3E95-4913-8535-0E6402D6AD02}">
  <sheetPr codeName="Sheet20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44857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329</v>
      </c>
      <c r="C7" s="975" t="s">
        <v>669</v>
      </c>
      <c r="D7" s="964">
        <v>398</v>
      </c>
      <c r="E7" s="965">
        <f t="shared" ref="E7:E12" si="0">D7*9.5</f>
        <v>3781</v>
      </c>
    </row>
    <row r="8" spans="2:8" ht="15" customHeight="1">
      <c r="B8" s="973" t="s">
        <v>301</v>
      </c>
      <c r="C8" s="975" t="s">
        <v>669</v>
      </c>
      <c r="D8" s="964">
        <v>479</v>
      </c>
      <c r="E8" s="965">
        <f t="shared" si="0"/>
        <v>4550.5</v>
      </c>
    </row>
    <row r="9" spans="2:8" ht="15" customHeight="1">
      <c r="B9" s="973" t="s">
        <v>333</v>
      </c>
      <c r="C9" s="975" t="s">
        <v>26</v>
      </c>
      <c r="D9" s="964">
        <v>231</v>
      </c>
      <c r="E9" s="965">
        <f t="shared" si="0"/>
        <v>2194.5</v>
      </c>
    </row>
    <row r="10" spans="2:8" ht="15" customHeight="1">
      <c r="B10" s="1051" t="s">
        <v>279</v>
      </c>
      <c r="C10" s="975" t="s">
        <v>26</v>
      </c>
      <c r="D10" s="943">
        <v>589</v>
      </c>
      <c r="E10" s="965">
        <f t="shared" si="0"/>
        <v>5595.5</v>
      </c>
    </row>
    <row r="11" spans="2:8" ht="15" customHeight="1">
      <c r="B11" s="1051" t="s">
        <v>70</v>
      </c>
      <c r="C11" s="975" t="s">
        <v>687</v>
      </c>
      <c r="D11" s="943">
        <v>248</v>
      </c>
      <c r="E11" s="965">
        <f t="shared" si="0"/>
        <v>2356</v>
      </c>
    </row>
    <row r="12" spans="2:8" ht="20.100000000000001" customHeight="1">
      <c r="B12" s="1255" t="s">
        <v>24</v>
      </c>
      <c r="C12" s="1255"/>
      <c r="D12" s="964">
        <f>SUM(D7:D11)</f>
        <v>1945</v>
      </c>
      <c r="E12" s="965">
        <f t="shared" si="0"/>
        <v>18477.5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696</v>
      </c>
      <c r="C17" s="975" t="s">
        <v>669</v>
      </c>
      <c r="D17" s="964">
        <v>283</v>
      </c>
      <c r="E17" s="965">
        <f t="shared" ref="E17:E22" si="1">D17*9.5</f>
        <v>2688.5</v>
      </c>
    </row>
    <row r="18" spans="2:5" ht="15" customHeight="1">
      <c r="B18" s="973" t="s">
        <v>301</v>
      </c>
      <c r="C18" s="975" t="s">
        <v>669</v>
      </c>
      <c r="D18" s="964">
        <v>435</v>
      </c>
      <c r="E18" s="965">
        <f t="shared" si="1"/>
        <v>4132.5</v>
      </c>
    </row>
    <row r="19" spans="2:5" ht="14.45" customHeight="1">
      <c r="B19" s="973" t="s">
        <v>143</v>
      </c>
      <c r="C19" s="975" t="s">
        <v>26</v>
      </c>
      <c r="D19" s="964">
        <v>464</v>
      </c>
      <c r="E19" s="965">
        <f t="shared" si="1"/>
        <v>4408</v>
      </c>
    </row>
    <row r="20" spans="2:5" ht="14.45" customHeight="1">
      <c r="B20" s="1051" t="s">
        <v>279</v>
      </c>
      <c r="C20" s="975" t="s">
        <v>26</v>
      </c>
      <c r="D20" s="964">
        <v>618</v>
      </c>
      <c r="E20" s="965">
        <f t="shared" si="1"/>
        <v>5871</v>
      </c>
    </row>
    <row r="21" spans="2:5" ht="14.45" customHeight="1">
      <c r="B21" s="1051" t="s">
        <v>82</v>
      </c>
      <c r="C21" s="975" t="s">
        <v>681</v>
      </c>
      <c r="D21" s="964">
        <v>166</v>
      </c>
      <c r="E21" s="965">
        <f t="shared" si="1"/>
        <v>1577</v>
      </c>
    </row>
    <row r="22" spans="2:5" ht="14.45" customHeight="1">
      <c r="B22" s="1269" t="s">
        <v>24</v>
      </c>
      <c r="C22" s="1270"/>
      <c r="D22" s="964">
        <f>SUM(D17:D21)</f>
        <v>1966</v>
      </c>
      <c r="E22" s="954">
        <f t="shared" si="1"/>
        <v>18677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281</v>
      </c>
      <c r="C27" s="975" t="s">
        <v>669</v>
      </c>
      <c r="D27" s="964">
        <v>158</v>
      </c>
      <c r="E27" s="965">
        <f t="shared" ref="E27:E32" si="2">D27*9.5</f>
        <v>1501</v>
      </c>
    </row>
    <row r="28" spans="2:5">
      <c r="B28" s="973" t="s">
        <v>235</v>
      </c>
      <c r="C28" s="975" t="s">
        <v>669</v>
      </c>
      <c r="D28" s="964">
        <v>287</v>
      </c>
      <c r="E28" s="965">
        <f t="shared" si="2"/>
        <v>2726.5</v>
      </c>
    </row>
    <row r="29" spans="2:5">
      <c r="B29" s="973" t="s">
        <v>245</v>
      </c>
      <c r="C29" s="975" t="s">
        <v>26</v>
      </c>
      <c r="D29" s="964">
        <v>185</v>
      </c>
      <c r="E29" s="965">
        <f>D29*9.5</f>
        <v>1757.5</v>
      </c>
    </row>
    <row r="30" spans="2:5">
      <c r="B30" s="973" t="s">
        <v>331</v>
      </c>
      <c r="C30" s="975" t="s">
        <v>26</v>
      </c>
      <c r="D30" s="964">
        <v>376</v>
      </c>
      <c r="E30" s="965">
        <f t="shared" si="2"/>
        <v>3572</v>
      </c>
    </row>
    <row r="31" spans="2:5">
      <c r="B31" s="973" t="s">
        <v>82</v>
      </c>
      <c r="C31" s="975" t="s">
        <v>667</v>
      </c>
      <c r="D31" s="964">
        <v>147</v>
      </c>
      <c r="E31" s="965">
        <f t="shared" si="2"/>
        <v>1396.5</v>
      </c>
    </row>
    <row r="32" spans="2:5" ht="20.100000000000001" customHeight="1">
      <c r="B32" s="1259" t="s">
        <v>24</v>
      </c>
      <c r="C32" s="1259"/>
      <c r="D32" s="964">
        <f>SUM(D27:D31)</f>
        <v>1153</v>
      </c>
      <c r="E32" s="954">
        <f t="shared" si="2"/>
        <v>10953.5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1945</v>
      </c>
      <c r="D35" s="956">
        <f>D22</f>
        <v>1966</v>
      </c>
      <c r="E35" s="956">
        <f>D32</f>
        <v>1153</v>
      </c>
    </row>
    <row r="36" spans="2:5">
      <c r="B36" s="953" t="s">
        <v>36</v>
      </c>
      <c r="C36" s="951">
        <f>C35*9.5</f>
        <v>18477.5</v>
      </c>
      <c r="D36" s="951">
        <f>D35*9.5</f>
        <v>18677</v>
      </c>
      <c r="E36" s="951">
        <f>E35*9.5</f>
        <v>10953.5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5064</v>
      </c>
      <c r="D38" s="378" t="s">
        <v>253</v>
      </c>
      <c r="E38" s="381">
        <f>C38*9.5</f>
        <v>48108</v>
      </c>
    </row>
    <row r="39" spans="2:5">
      <c r="B39" s="377" t="s">
        <v>197</v>
      </c>
      <c r="C39" s="378">
        <f>C40-C38</f>
        <v>141</v>
      </c>
      <c r="D39" s="378" t="s">
        <v>204</v>
      </c>
      <c r="E39" s="381">
        <f>C39*9</f>
        <v>1269</v>
      </c>
    </row>
    <row r="40" spans="2:5" ht="19.5">
      <c r="B40" s="941" t="s">
        <v>201</v>
      </c>
      <c r="C40" s="380">
        <v>5205</v>
      </c>
      <c r="D40" s="380" t="s">
        <v>202</v>
      </c>
      <c r="E40" s="379">
        <f>SUM(E38+E39)</f>
        <v>49377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0DBE5-D225-4AB1-87AB-5C177671A25C}">
  <sheetPr codeName="Sheet20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44858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260</v>
      </c>
      <c r="C7" s="975" t="s">
        <v>669</v>
      </c>
      <c r="D7" s="964">
        <v>384</v>
      </c>
      <c r="E7" s="965">
        <f t="shared" ref="E7:E12" si="0">D7*9.5</f>
        <v>3648</v>
      </c>
    </row>
    <row r="8" spans="2:8" ht="15" customHeight="1">
      <c r="B8" s="973" t="s">
        <v>334</v>
      </c>
      <c r="C8" s="975" t="s">
        <v>669</v>
      </c>
      <c r="D8" s="964">
        <v>243</v>
      </c>
      <c r="E8" s="965">
        <f t="shared" si="0"/>
        <v>2308.5</v>
      </c>
    </row>
    <row r="9" spans="2:8" ht="15" customHeight="1">
      <c r="B9" s="973" t="s">
        <v>734</v>
      </c>
      <c r="C9" s="975" t="s">
        <v>26</v>
      </c>
      <c r="D9" s="964"/>
      <c r="E9" s="965">
        <f t="shared" si="0"/>
        <v>0</v>
      </c>
      <c r="F9" s="934" t="s">
        <v>733</v>
      </c>
    </row>
    <row r="10" spans="2:8" ht="15" customHeight="1">
      <c r="B10" s="1051" t="s">
        <v>295</v>
      </c>
      <c r="C10" s="975" t="s">
        <v>26</v>
      </c>
      <c r="D10" s="943">
        <v>315</v>
      </c>
      <c r="E10" s="965">
        <f t="shared" si="0"/>
        <v>2992.5</v>
      </c>
    </row>
    <row r="11" spans="2:8" ht="15" customHeight="1">
      <c r="B11" s="1051" t="s">
        <v>696</v>
      </c>
      <c r="C11" s="975" t="s">
        <v>687</v>
      </c>
      <c r="D11" s="943">
        <v>223</v>
      </c>
      <c r="E11" s="965">
        <f t="shared" si="0"/>
        <v>2118.5</v>
      </c>
    </row>
    <row r="12" spans="2:8" ht="20.100000000000001" customHeight="1">
      <c r="B12" s="1255" t="s">
        <v>24</v>
      </c>
      <c r="C12" s="1255"/>
      <c r="D12" s="964">
        <f>SUM(D7:D11)</f>
        <v>1165</v>
      </c>
      <c r="E12" s="965">
        <f t="shared" si="0"/>
        <v>11067.5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281</v>
      </c>
      <c r="C17" s="975" t="s">
        <v>669</v>
      </c>
      <c r="D17" s="964">
        <v>352</v>
      </c>
      <c r="E17" s="965">
        <f t="shared" ref="E17:E22" si="1">D17*9.5</f>
        <v>3344</v>
      </c>
    </row>
    <row r="18" spans="2:5" ht="15" customHeight="1">
      <c r="B18" s="973" t="s">
        <v>143</v>
      </c>
      <c r="C18" s="975" t="s">
        <v>669</v>
      </c>
      <c r="D18" s="964">
        <v>400</v>
      </c>
      <c r="E18" s="965">
        <f t="shared" si="1"/>
        <v>3800</v>
      </c>
    </row>
    <row r="19" spans="2:5" ht="14.45" customHeight="1">
      <c r="B19" s="973" t="s">
        <v>678</v>
      </c>
      <c r="C19" s="975" t="s">
        <v>26</v>
      </c>
      <c r="D19" s="964">
        <v>427</v>
      </c>
      <c r="E19" s="965">
        <f t="shared" si="1"/>
        <v>4056.5</v>
      </c>
    </row>
    <row r="20" spans="2:5" ht="14.45" customHeight="1">
      <c r="B20" s="1051" t="s">
        <v>735</v>
      </c>
      <c r="C20" s="975" t="s">
        <v>26</v>
      </c>
      <c r="D20" s="964">
        <v>106</v>
      </c>
      <c r="E20" s="965">
        <f t="shared" si="1"/>
        <v>1007</v>
      </c>
    </row>
    <row r="21" spans="2:5" ht="14.45" customHeight="1">
      <c r="B21" s="1051" t="s">
        <v>332</v>
      </c>
      <c r="C21" s="975" t="s">
        <v>681</v>
      </c>
      <c r="D21" s="964">
        <v>450</v>
      </c>
      <c r="E21" s="965">
        <f t="shared" si="1"/>
        <v>4275</v>
      </c>
    </row>
    <row r="22" spans="2:5" ht="14.45" customHeight="1">
      <c r="B22" s="1269" t="s">
        <v>24</v>
      </c>
      <c r="C22" s="1270"/>
      <c r="D22" s="964">
        <f>SUM(D17:D21)</f>
        <v>1735</v>
      </c>
      <c r="E22" s="954">
        <f t="shared" si="1"/>
        <v>16482.5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12</v>
      </c>
      <c r="C27" s="975" t="s">
        <v>669</v>
      </c>
      <c r="D27" s="964">
        <v>244</v>
      </c>
      <c r="E27" s="965">
        <f t="shared" ref="E27:E32" si="2">D27*9.5</f>
        <v>2318</v>
      </c>
    </row>
    <row r="28" spans="2:5">
      <c r="B28" s="973" t="s">
        <v>278</v>
      </c>
      <c r="C28" s="975" t="s">
        <v>669</v>
      </c>
      <c r="D28" s="964">
        <v>487</v>
      </c>
      <c r="E28" s="965">
        <f t="shared" si="2"/>
        <v>4626.5</v>
      </c>
    </row>
    <row r="29" spans="2:5">
      <c r="B29" s="973" t="s">
        <v>678</v>
      </c>
      <c r="C29" s="975" t="s">
        <v>26</v>
      </c>
      <c r="D29" s="964">
        <v>212</v>
      </c>
      <c r="E29" s="965">
        <f>D29*9.5</f>
        <v>2014</v>
      </c>
    </row>
    <row r="30" spans="2:5">
      <c r="B30" s="973" t="s">
        <v>63</v>
      </c>
      <c r="C30" s="975" t="s">
        <v>26</v>
      </c>
      <c r="D30" s="964">
        <v>222</v>
      </c>
      <c r="E30" s="965">
        <f t="shared" si="2"/>
        <v>2109</v>
      </c>
    </row>
    <row r="31" spans="2:5">
      <c r="B31" s="973" t="s">
        <v>245</v>
      </c>
      <c r="C31" s="975" t="s">
        <v>667</v>
      </c>
      <c r="D31" s="964">
        <v>114</v>
      </c>
      <c r="E31" s="965">
        <f t="shared" si="2"/>
        <v>1083</v>
      </c>
    </row>
    <row r="32" spans="2:5" ht="20.100000000000001" customHeight="1">
      <c r="B32" s="1259" t="s">
        <v>24</v>
      </c>
      <c r="C32" s="1259"/>
      <c r="D32" s="964">
        <f>SUM(D27:D31)</f>
        <v>1279</v>
      </c>
      <c r="E32" s="954">
        <f t="shared" si="2"/>
        <v>12150.5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1165</v>
      </c>
      <c r="D35" s="956">
        <f>D22</f>
        <v>1735</v>
      </c>
      <c r="E35" s="956">
        <f>D32</f>
        <v>1279</v>
      </c>
    </row>
    <row r="36" spans="2:5">
      <c r="B36" s="953" t="s">
        <v>36</v>
      </c>
      <c r="C36" s="951">
        <f>C35*9.5</f>
        <v>11067.5</v>
      </c>
      <c r="D36" s="951">
        <f>D35*9.5</f>
        <v>16482.5</v>
      </c>
      <c r="E36" s="951">
        <f>E35*9.5</f>
        <v>12150.5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4179</v>
      </c>
      <c r="D38" s="378" t="s">
        <v>253</v>
      </c>
      <c r="E38" s="381">
        <f>C38*9.5</f>
        <v>39700.5</v>
      </c>
    </row>
    <row r="39" spans="2:5">
      <c r="B39" s="377" t="s">
        <v>197</v>
      </c>
      <c r="C39" s="378">
        <f>C40-C38</f>
        <v>3024</v>
      </c>
      <c r="D39" s="378" t="s">
        <v>204</v>
      </c>
      <c r="E39" s="381">
        <f>C39*9</f>
        <v>27216</v>
      </c>
    </row>
    <row r="40" spans="2:5" ht="19.5">
      <c r="B40" s="941" t="s">
        <v>201</v>
      </c>
      <c r="C40" s="380">
        <v>7203</v>
      </c>
      <c r="D40" s="380" t="s">
        <v>202</v>
      </c>
      <c r="E40" s="379">
        <f>SUM(E38+E39)</f>
        <v>66916.5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BF636-6E84-4877-B5A3-AC9E94502D1C}">
  <sheetPr codeName="Sheet203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44859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45</v>
      </c>
      <c r="C7" s="975" t="s">
        <v>669</v>
      </c>
      <c r="D7" s="964">
        <v>380</v>
      </c>
      <c r="E7" s="965">
        <f t="shared" ref="E7:E12" si="0">D7*9.5</f>
        <v>3610</v>
      </c>
    </row>
    <row r="8" spans="2:8" ht="15" customHeight="1">
      <c r="B8" s="973" t="s">
        <v>70</v>
      </c>
      <c r="C8" s="975" t="s">
        <v>669</v>
      </c>
      <c r="D8" s="964">
        <v>446</v>
      </c>
      <c r="E8" s="965">
        <f t="shared" si="0"/>
        <v>4237</v>
      </c>
    </row>
    <row r="9" spans="2:8" ht="15" customHeight="1">
      <c r="B9" s="973" t="s">
        <v>51</v>
      </c>
      <c r="C9" s="975" t="s">
        <v>26</v>
      </c>
      <c r="D9" s="964">
        <v>366</v>
      </c>
      <c r="E9" s="965">
        <f t="shared" si="0"/>
        <v>3477</v>
      </c>
    </row>
    <row r="10" spans="2:8" ht="15" customHeight="1">
      <c r="B10" s="1051" t="s">
        <v>65</v>
      </c>
      <c r="C10" s="975" t="s">
        <v>26</v>
      </c>
      <c r="D10" s="943">
        <v>379</v>
      </c>
      <c r="E10" s="965">
        <f t="shared" si="0"/>
        <v>3600.5</v>
      </c>
    </row>
    <row r="11" spans="2:8" ht="15" customHeight="1">
      <c r="B11" s="1051" t="s">
        <v>244</v>
      </c>
      <c r="C11" s="975" t="s">
        <v>687</v>
      </c>
      <c r="D11" s="943">
        <v>443</v>
      </c>
      <c r="E11" s="965">
        <f t="shared" si="0"/>
        <v>4208.5</v>
      </c>
    </row>
    <row r="12" spans="2:8" ht="20.100000000000001" customHeight="1">
      <c r="B12" s="1255" t="s">
        <v>24</v>
      </c>
      <c r="C12" s="1255"/>
      <c r="D12" s="964">
        <f>SUM(D7:D11)</f>
        <v>2014</v>
      </c>
      <c r="E12" s="965">
        <f t="shared" si="0"/>
        <v>19133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189</v>
      </c>
      <c r="C17" s="975" t="s">
        <v>669</v>
      </c>
      <c r="D17" s="964">
        <v>452</v>
      </c>
      <c r="E17" s="965">
        <f t="shared" ref="E17:E22" si="1">D17*9.5</f>
        <v>4294</v>
      </c>
    </row>
    <row r="18" spans="2:5" ht="15" customHeight="1">
      <c r="B18" s="973" t="s">
        <v>45</v>
      </c>
      <c r="C18" s="975" t="s">
        <v>669</v>
      </c>
      <c r="D18" s="964">
        <v>346</v>
      </c>
      <c r="E18" s="965">
        <f t="shared" si="1"/>
        <v>3287</v>
      </c>
    </row>
    <row r="19" spans="2:5" ht="14.45" customHeight="1">
      <c r="B19" s="973" t="s">
        <v>260</v>
      </c>
      <c r="C19" s="975" t="s">
        <v>26</v>
      </c>
      <c r="D19" s="964">
        <v>409</v>
      </c>
      <c r="E19" s="965">
        <f t="shared" si="1"/>
        <v>3885.5</v>
      </c>
    </row>
    <row r="20" spans="2:5" ht="14.45" customHeight="1">
      <c r="B20" s="1051" t="s">
        <v>65</v>
      </c>
      <c r="C20" s="975" t="s">
        <v>26</v>
      </c>
      <c r="D20" s="964">
        <v>313</v>
      </c>
      <c r="E20" s="965">
        <f t="shared" si="1"/>
        <v>2973.5</v>
      </c>
    </row>
    <row r="21" spans="2:5" ht="14.45" customHeight="1">
      <c r="B21" s="1051" t="s">
        <v>279</v>
      </c>
      <c r="C21" s="975" t="s">
        <v>681</v>
      </c>
      <c r="D21" s="964">
        <v>625</v>
      </c>
      <c r="E21" s="965">
        <f t="shared" si="1"/>
        <v>5937.5</v>
      </c>
    </row>
    <row r="22" spans="2:5" ht="14.45" customHeight="1">
      <c r="B22" s="1269" t="s">
        <v>24</v>
      </c>
      <c r="C22" s="1270"/>
      <c r="D22" s="964">
        <f>SUM(D17:D21)</f>
        <v>2145</v>
      </c>
      <c r="E22" s="954">
        <f t="shared" si="1"/>
        <v>20377.5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12</v>
      </c>
      <c r="C27" s="975" t="s">
        <v>669</v>
      </c>
      <c r="D27" s="964">
        <v>197</v>
      </c>
      <c r="E27" s="965">
        <f t="shared" ref="E27:E32" si="2">D27*9.5</f>
        <v>1871.5</v>
      </c>
    </row>
    <row r="28" spans="2:5">
      <c r="B28" s="973" t="s">
        <v>278</v>
      </c>
      <c r="C28" s="975" t="s">
        <v>669</v>
      </c>
      <c r="D28" s="964">
        <v>458</v>
      </c>
      <c r="E28" s="965">
        <f t="shared" si="2"/>
        <v>4351</v>
      </c>
    </row>
    <row r="29" spans="2:5">
      <c r="B29" s="973" t="s">
        <v>143</v>
      </c>
      <c r="C29" s="975" t="s">
        <v>26</v>
      </c>
      <c r="D29" s="964">
        <v>233</v>
      </c>
      <c r="E29" s="965">
        <f>D29*9.5</f>
        <v>2213.5</v>
      </c>
    </row>
    <row r="30" spans="2:5">
      <c r="B30" s="973" t="s">
        <v>82</v>
      </c>
      <c r="C30" s="975" t="s">
        <v>26</v>
      </c>
      <c r="D30" s="964">
        <v>237</v>
      </c>
      <c r="E30" s="965">
        <f t="shared" si="2"/>
        <v>2251.5</v>
      </c>
    </row>
    <row r="31" spans="2:5">
      <c r="B31" s="973" t="s">
        <v>331</v>
      </c>
      <c r="C31" s="975" t="s">
        <v>667</v>
      </c>
      <c r="D31" s="964">
        <v>408</v>
      </c>
      <c r="E31" s="965">
        <f t="shared" si="2"/>
        <v>3876</v>
      </c>
    </row>
    <row r="32" spans="2:5" ht="20.100000000000001" customHeight="1">
      <c r="B32" s="1259" t="s">
        <v>24</v>
      </c>
      <c r="C32" s="1259"/>
      <c r="D32" s="964">
        <f>SUM(D27:D31)</f>
        <v>1533</v>
      </c>
      <c r="E32" s="954">
        <f t="shared" si="2"/>
        <v>14563.5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2014</v>
      </c>
      <c r="D35" s="956">
        <f>D22</f>
        <v>2145</v>
      </c>
      <c r="E35" s="956">
        <f>D32</f>
        <v>1533</v>
      </c>
    </row>
    <row r="36" spans="2:5">
      <c r="B36" s="953" t="s">
        <v>36</v>
      </c>
      <c r="C36" s="951">
        <f>C35*9.5</f>
        <v>19133</v>
      </c>
      <c r="D36" s="951">
        <f>D35*9.5</f>
        <v>20377.5</v>
      </c>
      <c r="E36" s="951">
        <f>E35*9.5</f>
        <v>14563.5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5692</v>
      </c>
      <c r="D38" s="378" t="s">
        <v>253</v>
      </c>
      <c r="E38" s="381">
        <f>C38*9.5</f>
        <v>54074</v>
      </c>
    </row>
    <row r="39" spans="2:5">
      <c r="B39" s="377" t="s">
        <v>197</v>
      </c>
      <c r="C39" s="378">
        <f>C40-C38</f>
        <v>3053</v>
      </c>
      <c r="D39" s="378" t="s">
        <v>204</v>
      </c>
      <c r="E39" s="381">
        <f>C39*9</f>
        <v>27477</v>
      </c>
    </row>
    <row r="40" spans="2:5" ht="19.5">
      <c r="B40" s="941" t="s">
        <v>201</v>
      </c>
      <c r="C40" s="380">
        <v>8745</v>
      </c>
      <c r="D40" s="380" t="s">
        <v>202</v>
      </c>
      <c r="E40" s="379">
        <f>SUM(E38+E39)</f>
        <v>81551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ABAC2-E8AA-434F-948D-A339C8FFCB68}">
  <sheetPr codeName="Sheet20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44860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12</v>
      </c>
      <c r="C7" s="975" t="s">
        <v>669</v>
      </c>
      <c r="D7" s="964">
        <v>349</v>
      </c>
      <c r="E7" s="965">
        <f t="shared" ref="E7:E12" si="0">D7*9.5</f>
        <v>3315.5</v>
      </c>
    </row>
    <row r="8" spans="2:8" ht="15" customHeight="1">
      <c r="B8" s="973" t="s">
        <v>707</v>
      </c>
      <c r="C8" s="975" t="s">
        <v>669</v>
      </c>
      <c r="D8" s="964">
        <v>394</v>
      </c>
      <c r="E8" s="965">
        <f t="shared" si="0"/>
        <v>3743</v>
      </c>
    </row>
    <row r="9" spans="2:8" ht="15" customHeight="1">
      <c r="B9" s="973" t="s">
        <v>44</v>
      </c>
      <c r="C9" s="975" t="s">
        <v>26</v>
      </c>
      <c r="D9" s="964">
        <v>185</v>
      </c>
      <c r="E9" s="965">
        <f t="shared" si="0"/>
        <v>1757.5</v>
      </c>
    </row>
    <row r="10" spans="2:8" ht="15" customHeight="1">
      <c r="B10" s="1051" t="s">
        <v>245</v>
      </c>
      <c r="C10" s="975" t="s">
        <v>26</v>
      </c>
      <c r="D10" s="943">
        <v>294</v>
      </c>
      <c r="E10" s="965">
        <f t="shared" si="0"/>
        <v>2793</v>
      </c>
    </row>
    <row r="11" spans="2:8" ht="15" customHeight="1">
      <c r="B11" s="1051" t="s">
        <v>332</v>
      </c>
      <c r="C11" s="975" t="s">
        <v>687</v>
      </c>
      <c r="D11" s="943">
        <v>468</v>
      </c>
      <c r="E11" s="965">
        <f t="shared" si="0"/>
        <v>4446</v>
      </c>
    </row>
    <row r="12" spans="2:8" ht="20.100000000000001" customHeight="1">
      <c r="B12" s="1255" t="s">
        <v>24</v>
      </c>
      <c r="C12" s="1255"/>
      <c r="D12" s="964">
        <f>SUM(D7:D11)</f>
        <v>1690</v>
      </c>
      <c r="E12" s="965">
        <f t="shared" si="0"/>
        <v>16055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250</v>
      </c>
      <c r="C17" s="975" t="s">
        <v>669</v>
      </c>
      <c r="D17" s="964">
        <v>431</v>
      </c>
      <c r="E17" s="965">
        <f t="shared" ref="E17:E22" si="1">D17*9.5</f>
        <v>4094.5</v>
      </c>
    </row>
    <row r="18" spans="2:5" ht="15" customHeight="1">
      <c r="B18" s="973" t="s">
        <v>678</v>
      </c>
      <c r="C18" s="975" t="s">
        <v>669</v>
      </c>
      <c r="D18" s="964">
        <v>470</v>
      </c>
      <c r="E18" s="965">
        <f t="shared" si="1"/>
        <v>4465</v>
      </c>
    </row>
    <row r="19" spans="2:5" ht="14.45" customHeight="1">
      <c r="B19" s="973" t="s">
        <v>189</v>
      </c>
      <c r="C19" s="975" t="s">
        <v>26</v>
      </c>
      <c r="D19" s="964">
        <v>329</v>
      </c>
      <c r="E19" s="965">
        <f t="shared" si="1"/>
        <v>3125.5</v>
      </c>
    </row>
    <row r="20" spans="2:5" ht="14.45" customHeight="1">
      <c r="B20" s="1051" t="s">
        <v>334</v>
      </c>
      <c r="C20" s="975" t="s">
        <v>26</v>
      </c>
      <c r="D20" s="964">
        <v>335</v>
      </c>
      <c r="E20" s="965">
        <f t="shared" si="1"/>
        <v>3182.5</v>
      </c>
    </row>
    <row r="21" spans="2:5" ht="14.45" customHeight="1">
      <c r="B21" s="1051" t="s">
        <v>277</v>
      </c>
      <c r="C21" s="975" t="s">
        <v>681</v>
      </c>
      <c r="D21" s="964">
        <v>232</v>
      </c>
      <c r="E21" s="965">
        <f t="shared" si="1"/>
        <v>2204</v>
      </c>
    </row>
    <row r="22" spans="2:5" ht="14.45" customHeight="1">
      <c r="B22" s="1269" t="s">
        <v>24</v>
      </c>
      <c r="C22" s="1270"/>
      <c r="D22" s="964">
        <f>SUM(D17:D21)</f>
        <v>1797</v>
      </c>
      <c r="E22" s="954">
        <f t="shared" si="1"/>
        <v>17071.5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331</v>
      </c>
      <c r="C27" s="975" t="s">
        <v>669</v>
      </c>
      <c r="D27" s="964">
        <v>376</v>
      </c>
      <c r="E27" s="965">
        <f t="shared" ref="E27:E32" si="2">D27*9.5</f>
        <v>3572</v>
      </c>
    </row>
    <row r="28" spans="2:5">
      <c r="B28" s="973" t="s">
        <v>70</v>
      </c>
      <c r="C28" s="975" t="s">
        <v>669</v>
      </c>
      <c r="D28" s="964">
        <v>349</v>
      </c>
      <c r="E28" s="965">
        <f t="shared" si="2"/>
        <v>3315.5</v>
      </c>
    </row>
    <row r="29" spans="2:5">
      <c r="B29" s="973" t="s">
        <v>259</v>
      </c>
      <c r="C29" s="975" t="s">
        <v>26</v>
      </c>
      <c r="D29" s="964">
        <v>212</v>
      </c>
      <c r="E29" s="965">
        <f>D29*9.5</f>
        <v>2014</v>
      </c>
    </row>
    <row r="30" spans="2:5">
      <c r="B30" s="973" t="s">
        <v>143</v>
      </c>
      <c r="C30" s="975" t="s">
        <v>26</v>
      </c>
      <c r="D30" s="964">
        <v>213</v>
      </c>
      <c r="E30" s="965">
        <f t="shared" si="2"/>
        <v>2023.5</v>
      </c>
    </row>
    <row r="31" spans="2:5">
      <c r="B31" s="973" t="s">
        <v>260</v>
      </c>
      <c r="C31" s="975" t="s">
        <v>667</v>
      </c>
      <c r="D31" s="964">
        <v>242</v>
      </c>
      <c r="E31" s="965">
        <f t="shared" si="2"/>
        <v>2299</v>
      </c>
    </row>
    <row r="32" spans="2:5" ht="20.100000000000001" customHeight="1">
      <c r="B32" s="1259" t="s">
        <v>24</v>
      </c>
      <c r="C32" s="1259"/>
      <c r="D32" s="964">
        <f>SUM(D27:D31)</f>
        <v>1392</v>
      </c>
      <c r="E32" s="954">
        <f t="shared" si="2"/>
        <v>13224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1690</v>
      </c>
      <c r="D35" s="956">
        <f>D22</f>
        <v>1797</v>
      </c>
      <c r="E35" s="956">
        <f>D32</f>
        <v>1392</v>
      </c>
    </row>
    <row r="36" spans="2:5">
      <c r="B36" s="953" t="s">
        <v>36</v>
      </c>
      <c r="C36" s="951">
        <f>C35*9.5</f>
        <v>16055</v>
      </c>
      <c r="D36" s="951">
        <f>D35*9.5</f>
        <v>17071.5</v>
      </c>
      <c r="E36" s="951">
        <f>E35*9.5</f>
        <v>13224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4879</v>
      </c>
      <c r="D38" s="378" t="s">
        <v>253</v>
      </c>
      <c r="E38" s="381">
        <f>C38*9.5</f>
        <v>46350.5</v>
      </c>
    </row>
    <row r="39" spans="2:5">
      <c r="B39" s="377" t="s">
        <v>197</v>
      </c>
      <c r="C39" s="378">
        <f>C40-C38</f>
        <v>3109</v>
      </c>
      <c r="D39" s="378" t="s">
        <v>204</v>
      </c>
      <c r="E39" s="381">
        <f>C39*9</f>
        <v>27981</v>
      </c>
    </row>
    <row r="40" spans="2:5" ht="19.5">
      <c r="B40" s="941" t="s">
        <v>201</v>
      </c>
      <c r="C40" s="380">
        <v>7988</v>
      </c>
      <c r="D40" s="380" t="s">
        <v>202</v>
      </c>
      <c r="E40" s="379">
        <f>SUM(E38+E39)</f>
        <v>74331.5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02701-4997-4C79-A422-1EB8CD2B780C}">
  <sheetPr codeName="Sheet20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44861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205</v>
      </c>
      <c r="C7" s="975" t="s">
        <v>669</v>
      </c>
      <c r="D7" s="964">
        <v>236</v>
      </c>
      <c r="E7" s="965">
        <f t="shared" ref="E7:E12" si="0">D7*9.5</f>
        <v>2242</v>
      </c>
    </row>
    <row r="8" spans="2:8" ht="15" customHeight="1">
      <c r="B8" s="973" t="s">
        <v>82</v>
      </c>
      <c r="C8" s="975" t="s">
        <v>669</v>
      </c>
      <c r="D8" s="964">
        <v>333</v>
      </c>
      <c r="E8" s="965">
        <f t="shared" si="0"/>
        <v>3163.5</v>
      </c>
    </row>
    <row r="9" spans="2:8" ht="15" customHeight="1">
      <c r="B9" s="973" t="s">
        <v>244</v>
      </c>
      <c r="C9" s="975" t="s">
        <v>26</v>
      </c>
      <c r="D9" s="964">
        <v>442</v>
      </c>
      <c r="E9" s="965">
        <f t="shared" si="0"/>
        <v>4199</v>
      </c>
    </row>
    <row r="10" spans="2:8" ht="15" customHeight="1">
      <c r="B10" s="1051" t="s">
        <v>78</v>
      </c>
      <c r="C10" s="975" t="s">
        <v>26</v>
      </c>
      <c r="D10" s="943">
        <v>239</v>
      </c>
      <c r="E10" s="965">
        <f t="shared" si="0"/>
        <v>2270.5</v>
      </c>
    </row>
    <row r="11" spans="2:8" ht="15" customHeight="1">
      <c r="B11" s="1051" t="s">
        <v>303</v>
      </c>
      <c r="C11" s="975" t="s">
        <v>687</v>
      </c>
      <c r="D11" s="943">
        <v>791</v>
      </c>
      <c r="E11" s="965">
        <f t="shared" si="0"/>
        <v>7514.5</v>
      </c>
    </row>
    <row r="12" spans="2:8" ht="20.100000000000001" customHeight="1">
      <c r="B12" s="1255" t="s">
        <v>24</v>
      </c>
      <c r="C12" s="1255"/>
      <c r="D12" s="964">
        <f>SUM(D7:D11)</f>
        <v>2041</v>
      </c>
      <c r="E12" s="965">
        <f t="shared" si="0"/>
        <v>19389.5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70</v>
      </c>
      <c r="C17" s="975" t="s">
        <v>669</v>
      </c>
      <c r="D17" s="964">
        <v>492</v>
      </c>
      <c r="E17" s="965">
        <f t="shared" ref="E17:E22" si="1">D17*9.5</f>
        <v>4674</v>
      </c>
    </row>
    <row r="18" spans="2:5" ht="15" customHeight="1">
      <c r="B18" s="973" t="s">
        <v>143</v>
      </c>
      <c r="C18" s="975" t="s">
        <v>669</v>
      </c>
      <c r="D18" s="964">
        <v>395</v>
      </c>
      <c r="E18" s="965">
        <f t="shared" si="1"/>
        <v>3752.5</v>
      </c>
    </row>
    <row r="19" spans="2:5" ht="14.45" customHeight="1">
      <c r="B19" s="973" t="s">
        <v>188</v>
      </c>
      <c r="C19" s="975" t="s">
        <v>26</v>
      </c>
      <c r="D19" s="964">
        <v>232</v>
      </c>
      <c r="E19" s="965">
        <f t="shared" si="1"/>
        <v>2204</v>
      </c>
    </row>
    <row r="20" spans="2:5" ht="14.45" customHeight="1">
      <c r="B20" s="1051" t="s">
        <v>78</v>
      </c>
      <c r="C20" s="975" t="s">
        <v>26</v>
      </c>
      <c r="D20" s="964">
        <v>224</v>
      </c>
      <c r="E20" s="965">
        <f t="shared" si="1"/>
        <v>2128</v>
      </c>
    </row>
    <row r="21" spans="2:5" ht="14.45" customHeight="1">
      <c r="B21" s="1051" t="s">
        <v>303</v>
      </c>
      <c r="C21" s="975" t="s">
        <v>681</v>
      </c>
      <c r="D21" s="964">
        <v>763</v>
      </c>
      <c r="E21" s="965">
        <f t="shared" si="1"/>
        <v>7248.5</v>
      </c>
    </row>
    <row r="22" spans="2:5" ht="14.45" customHeight="1">
      <c r="B22" s="1269" t="s">
        <v>24</v>
      </c>
      <c r="C22" s="1270"/>
      <c r="D22" s="964">
        <f>SUM(D17:D21)</f>
        <v>2106</v>
      </c>
      <c r="E22" s="954">
        <f t="shared" si="1"/>
        <v>20007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252</v>
      </c>
      <c r="C27" s="975" t="s">
        <v>669</v>
      </c>
      <c r="D27" s="964">
        <v>194</v>
      </c>
      <c r="E27" s="965">
        <f t="shared" ref="E27:E32" si="2">D27*9.5</f>
        <v>1843</v>
      </c>
    </row>
    <row r="28" spans="2:5">
      <c r="B28" s="973" t="s">
        <v>278</v>
      </c>
      <c r="C28" s="975" t="s">
        <v>669</v>
      </c>
      <c r="D28" s="964">
        <v>372</v>
      </c>
      <c r="E28" s="965">
        <f t="shared" si="2"/>
        <v>3534</v>
      </c>
    </row>
    <row r="29" spans="2:5">
      <c r="B29" s="973" t="s">
        <v>188</v>
      </c>
      <c r="C29" s="975" t="s">
        <v>26</v>
      </c>
      <c r="D29" s="964">
        <v>109</v>
      </c>
      <c r="E29" s="965">
        <f>D29*9.5</f>
        <v>1035.5</v>
      </c>
    </row>
    <row r="30" spans="2:5">
      <c r="B30" s="973" t="s">
        <v>65</v>
      </c>
      <c r="C30" s="975" t="s">
        <v>26</v>
      </c>
      <c r="D30" s="964">
        <v>147</v>
      </c>
      <c r="E30" s="965">
        <f t="shared" si="2"/>
        <v>1396.5</v>
      </c>
    </row>
    <row r="31" spans="2:5">
      <c r="B31" s="973" t="s">
        <v>678</v>
      </c>
      <c r="C31" s="975" t="s">
        <v>667</v>
      </c>
      <c r="D31" s="964">
        <v>165</v>
      </c>
      <c r="E31" s="965">
        <f t="shared" si="2"/>
        <v>1567.5</v>
      </c>
    </row>
    <row r="32" spans="2:5" ht="20.100000000000001" customHeight="1">
      <c r="B32" s="1259" t="s">
        <v>24</v>
      </c>
      <c r="C32" s="1259"/>
      <c r="D32" s="964">
        <f>SUM(D27:D31)</f>
        <v>987</v>
      </c>
      <c r="E32" s="954">
        <f t="shared" si="2"/>
        <v>9376.5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2041</v>
      </c>
      <c r="D35" s="956">
        <f>D22</f>
        <v>2106</v>
      </c>
      <c r="E35" s="956">
        <f>D32</f>
        <v>987</v>
      </c>
    </row>
    <row r="36" spans="2:5">
      <c r="B36" s="953" t="s">
        <v>36</v>
      </c>
      <c r="C36" s="951">
        <f>C35*9.5</f>
        <v>19389.5</v>
      </c>
      <c r="D36" s="951">
        <f>D35*9.5</f>
        <v>20007</v>
      </c>
      <c r="E36" s="951">
        <f>E35*9.5</f>
        <v>9376.5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5134</v>
      </c>
      <c r="D38" s="378" t="s">
        <v>253</v>
      </c>
      <c r="E38" s="381">
        <f>C38*9.5</f>
        <v>48773</v>
      </c>
    </row>
    <row r="39" spans="2:5">
      <c r="B39" s="377" t="s">
        <v>197</v>
      </c>
      <c r="C39" s="378">
        <f>C40-C38</f>
        <v>2760</v>
      </c>
      <c r="D39" s="378" t="s">
        <v>204</v>
      </c>
      <c r="E39" s="381">
        <f>C39*9</f>
        <v>24840</v>
      </c>
    </row>
    <row r="40" spans="2:5" ht="19.5">
      <c r="B40" s="941" t="s">
        <v>201</v>
      </c>
      <c r="C40" s="380">
        <v>7894</v>
      </c>
      <c r="D40" s="380" t="s">
        <v>202</v>
      </c>
      <c r="E40" s="379">
        <f>SUM(E38+E39)</f>
        <v>73613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A3A2-4AB9-4388-84F1-10F2B7C26854}">
  <sheetPr codeName="Sheet20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44862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239</v>
      </c>
      <c r="C7" s="975" t="s">
        <v>669</v>
      </c>
      <c r="D7" s="964">
        <v>258</v>
      </c>
      <c r="E7" s="965">
        <f t="shared" ref="E7:E12" si="0">D7*9.5</f>
        <v>2451</v>
      </c>
    </row>
    <row r="8" spans="2:8" ht="15" customHeight="1">
      <c r="B8" s="973" t="s">
        <v>329</v>
      </c>
      <c r="C8" s="975" t="s">
        <v>669</v>
      </c>
      <c r="D8" s="964">
        <v>459</v>
      </c>
      <c r="E8" s="965">
        <f t="shared" si="0"/>
        <v>4360.5</v>
      </c>
    </row>
    <row r="9" spans="2:8" ht="15" customHeight="1">
      <c r="B9" s="973" t="s">
        <v>65</v>
      </c>
      <c r="C9" s="975" t="s">
        <v>26</v>
      </c>
      <c r="D9" s="964">
        <v>437</v>
      </c>
      <c r="E9" s="965">
        <f t="shared" si="0"/>
        <v>4151.5</v>
      </c>
    </row>
    <row r="10" spans="2:8" ht="15" customHeight="1">
      <c r="B10" s="1051" t="s">
        <v>184</v>
      </c>
      <c r="C10" s="975" t="s">
        <v>26</v>
      </c>
      <c r="D10" s="943">
        <v>231</v>
      </c>
      <c r="E10" s="965">
        <f t="shared" si="0"/>
        <v>2194.5</v>
      </c>
    </row>
    <row r="11" spans="2:8" ht="15" customHeight="1">
      <c r="B11" s="1051" t="s">
        <v>279</v>
      </c>
      <c r="C11" s="975" t="s">
        <v>687</v>
      </c>
      <c r="D11" s="943">
        <v>578</v>
      </c>
      <c r="E11" s="965">
        <f t="shared" si="0"/>
        <v>5491</v>
      </c>
    </row>
    <row r="12" spans="2:8" ht="20.100000000000001" customHeight="1">
      <c r="B12" s="1255" t="s">
        <v>24</v>
      </c>
      <c r="C12" s="1255"/>
      <c r="D12" s="964">
        <f>SUM(D7:D11)</f>
        <v>1963</v>
      </c>
      <c r="E12" s="965">
        <f t="shared" si="0"/>
        <v>18648.5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973" t="s">
        <v>678</v>
      </c>
      <c r="C17" s="975" t="s">
        <v>669</v>
      </c>
      <c r="D17" s="964">
        <v>386</v>
      </c>
      <c r="E17" s="965">
        <f t="shared" ref="E17:E22" si="1">D17*9.5</f>
        <v>3667</v>
      </c>
    </row>
    <row r="18" spans="2:6" ht="15" customHeight="1">
      <c r="B18" s="973" t="s">
        <v>238</v>
      </c>
      <c r="C18" s="975" t="s">
        <v>669</v>
      </c>
      <c r="D18" s="964">
        <v>244</v>
      </c>
      <c r="E18" s="965">
        <f t="shared" si="1"/>
        <v>2318</v>
      </c>
    </row>
    <row r="19" spans="2:6" ht="14.45" customHeight="1">
      <c r="B19" s="973" t="s">
        <v>65</v>
      </c>
      <c r="C19" s="975" t="s">
        <v>26</v>
      </c>
      <c r="D19" s="964">
        <v>255</v>
      </c>
      <c r="E19" s="965">
        <f t="shared" si="1"/>
        <v>2422.5</v>
      </c>
    </row>
    <row r="20" spans="2:6" ht="14.45" customHeight="1">
      <c r="B20" s="1051" t="s">
        <v>726</v>
      </c>
      <c r="C20" s="975" t="s">
        <v>26</v>
      </c>
      <c r="D20" s="964">
        <v>228</v>
      </c>
      <c r="E20" s="965">
        <f t="shared" si="1"/>
        <v>2166</v>
      </c>
    </row>
    <row r="21" spans="2:6" ht="14.45" customHeight="1">
      <c r="B21" s="1051" t="s">
        <v>748</v>
      </c>
      <c r="C21" s="975" t="s">
        <v>681</v>
      </c>
      <c r="D21" s="964">
        <v>317</v>
      </c>
      <c r="E21" s="965">
        <f t="shared" si="1"/>
        <v>3011.5</v>
      </c>
    </row>
    <row r="22" spans="2:6" ht="14.45" customHeight="1">
      <c r="B22" s="1269" t="s">
        <v>24</v>
      </c>
      <c r="C22" s="1270"/>
      <c r="D22" s="964">
        <f>SUM(D17:D21)</f>
        <v>1430</v>
      </c>
      <c r="E22" s="954">
        <f t="shared" si="1"/>
        <v>13585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685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973" t="s">
        <v>235</v>
      </c>
      <c r="C27" s="975" t="s">
        <v>669</v>
      </c>
      <c r="D27" s="964">
        <v>309</v>
      </c>
      <c r="E27" s="965">
        <f t="shared" ref="E27:E32" si="2">D27*9.5</f>
        <v>2935.5</v>
      </c>
    </row>
    <row r="28" spans="2:6">
      <c r="B28" s="973" t="s">
        <v>250</v>
      </c>
      <c r="C28" s="975" t="s">
        <v>669</v>
      </c>
      <c r="D28" s="964">
        <v>185</v>
      </c>
      <c r="E28" s="965">
        <f t="shared" si="2"/>
        <v>1757.5</v>
      </c>
    </row>
    <row r="29" spans="2:6">
      <c r="B29" s="973" t="s">
        <v>281</v>
      </c>
      <c r="C29" s="975" t="s">
        <v>26</v>
      </c>
      <c r="D29" s="964">
        <v>135</v>
      </c>
      <c r="E29" s="965">
        <f>D29*9.5</f>
        <v>1282.5</v>
      </c>
    </row>
    <row r="30" spans="2:6">
      <c r="B30" s="973" t="s">
        <v>726</v>
      </c>
      <c r="C30" s="975" t="s">
        <v>26</v>
      </c>
      <c r="D30" s="964"/>
      <c r="E30" s="965">
        <f t="shared" si="2"/>
        <v>0</v>
      </c>
      <c r="F30" s="934" t="s">
        <v>747</v>
      </c>
    </row>
    <row r="31" spans="2:6">
      <c r="B31" s="973" t="s">
        <v>748</v>
      </c>
      <c r="C31" s="975" t="s">
        <v>667</v>
      </c>
      <c r="D31" s="964"/>
      <c r="E31" s="965">
        <f t="shared" si="2"/>
        <v>0</v>
      </c>
      <c r="F31" s="934" t="s">
        <v>747</v>
      </c>
    </row>
    <row r="32" spans="2:6" ht="20.100000000000001" customHeight="1">
      <c r="B32" s="1259" t="s">
        <v>24</v>
      </c>
      <c r="C32" s="1259"/>
      <c r="D32" s="964">
        <f>SUM(D27:D31)</f>
        <v>629</v>
      </c>
      <c r="E32" s="954">
        <f t="shared" si="2"/>
        <v>5975.5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1963</v>
      </c>
      <c r="D35" s="956">
        <f>D22</f>
        <v>1430</v>
      </c>
      <c r="E35" s="956">
        <f>D32</f>
        <v>629</v>
      </c>
    </row>
    <row r="36" spans="2:5">
      <c r="B36" s="953" t="s">
        <v>36</v>
      </c>
      <c r="C36" s="951">
        <f>C35*9.5</f>
        <v>18648.5</v>
      </c>
      <c r="D36" s="951">
        <f>D35*9.5</f>
        <v>13585</v>
      </c>
      <c r="E36" s="951">
        <f>E35*9.5</f>
        <v>5975.5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4022</v>
      </c>
      <c r="D38" s="378" t="s">
        <v>253</v>
      </c>
      <c r="E38" s="381">
        <f>C38*9.5</f>
        <v>38209</v>
      </c>
    </row>
    <row r="39" spans="2:5">
      <c r="B39" s="377" t="s">
        <v>197</v>
      </c>
      <c r="C39" s="378">
        <f>C40-C38</f>
        <v>2200</v>
      </c>
      <c r="D39" s="378" t="s">
        <v>204</v>
      </c>
      <c r="E39" s="381">
        <f>C39*9</f>
        <v>19800</v>
      </c>
    </row>
    <row r="40" spans="2:5" ht="19.5">
      <c r="B40" s="941" t="s">
        <v>201</v>
      </c>
      <c r="C40" s="380">
        <v>6222</v>
      </c>
      <c r="D40" s="380" t="s">
        <v>202</v>
      </c>
      <c r="E40" s="379">
        <f>SUM(E38+E39)</f>
        <v>58009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7D9EB-4F95-48D8-AF11-728B110AF60D}">
  <sheetPr codeName="Sheet20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44863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61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333</v>
      </c>
      <c r="C7" s="975" t="s">
        <v>669</v>
      </c>
      <c r="D7" s="964">
        <v>244</v>
      </c>
      <c r="E7" s="965">
        <f t="shared" ref="E7:E12" si="0">D7*9.5</f>
        <v>2318</v>
      </c>
    </row>
    <row r="8" spans="2:8" ht="15" customHeight="1">
      <c r="B8" s="973" t="s">
        <v>189</v>
      </c>
      <c r="C8" s="975" t="s">
        <v>669</v>
      </c>
      <c r="D8" s="964">
        <v>390</v>
      </c>
      <c r="E8" s="965">
        <f t="shared" si="0"/>
        <v>3705</v>
      </c>
    </row>
    <row r="9" spans="2:8" ht="15" customHeight="1">
      <c r="B9" s="973" t="s">
        <v>184</v>
      </c>
      <c r="C9" s="975" t="s">
        <v>26</v>
      </c>
      <c r="D9" s="964">
        <v>245</v>
      </c>
      <c r="E9" s="965">
        <f t="shared" si="0"/>
        <v>2327.5</v>
      </c>
    </row>
    <row r="10" spans="2:8" ht="15" customHeight="1">
      <c r="B10" s="1051" t="s">
        <v>329</v>
      </c>
      <c r="C10" s="975" t="s">
        <v>26</v>
      </c>
      <c r="D10" s="943">
        <v>507</v>
      </c>
      <c r="E10" s="965">
        <f t="shared" si="0"/>
        <v>4816.5</v>
      </c>
    </row>
    <row r="11" spans="2:8" ht="15" customHeight="1">
      <c r="B11" s="1051" t="s">
        <v>303</v>
      </c>
      <c r="C11" s="975" t="s">
        <v>687</v>
      </c>
      <c r="D11" s="943">
        <v>795</v>
      </c>
      <c r="E11" s="965">
        <f t="shared" si="0"/>
        <v>7552.5</v>
      </c>
    </row>
    <row r="12" spans="2:8" ht="20.100000000000001" customHeight="1">
      <c r="B12" s="1255" t="s">
        <v>24</v>
      </c>
      <c r="C12" s="1255"/>
      <c r="D12" s="964">
        <f>SUM(D7:D11)</f>
        <v>2181</v>
      </c>
      <c r="E12" s="965">
        <f t="shared" si="0"/>
        <v>20719.5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143</v>
      </c>
      <c r="C17" s="975" t="s">
        <v>669</v>
      </c>
      <c r="D17" s="964">
        <v>327</v>
      </c>
      <c r="E17" s="965">
        <f t="shared" ref="E17:E22" si="1">D17*9.5</f>
        <v>3106.5</v>
      </c>
    </row>
    <row r="18" spans="2:5" ht="15" customHeight="1">
      <c r="B18" s="973" t="s">
        <v>250</v>
      </c>
      <c r="C18" s="975" t="s">
        <v>669</v>
      </c>
      <c r="D18" s="964">
        <v>300</v>
      </c>
      <c r="E18" s="965">
        <f t="shared" si="1"/>
        <v>2850</v>
      </c>
    </row>
    <row r="19" spans="2:5" ht="14.45" customHeight="1">
      <c r="B19" s="973" t="s">
        <v>332</v>
      </c>
      <c r="C19" s="975" t="s">
        <v>26</v>
      </c>
      <c r="D19" s="964">
        <v>542</v>
      </c>
      <c r="E19" s="965">
        <f t="shared" si="1"/>
        <v>5149</v>
      </c>
    </row>
    <row r="20" spans="2:5" ht="14.45" customHeight="1">
      <c r="B20" s="1051" t="s">
        <v>259</v>
      </c>
      <c r="C20" s="975" t="s">
        <v>26</v>
      </c>
      <c r="D20" s="964">
        <v>183</v>
      </c>
      <c r="E20" s="965">
        <f t="shared" si="1"/>
        <v>1738.5</v>
      </c>
    </row>
    <row r="21" spans="2:5" ht="14.45" customHeight="1">
      <c r="B21" s="1051" t="s">
        <v>303</v>
      </c>
      <c r="C21" s="975" t="s">
        <v>681</v>
      </c>
      <c r="D21" s="964">
        <v>578</v>
      </c>
      <c r="E21" s="965">
        <f t="shared" si="1"/>
        <v>5491</v>
      </c>
    </row>
    <row r="22" spans="2:5" ht="14.45" customHeight="1">
      <c r="B22" s="1269" t="s">
        <v>24</v>
      </c>
      <c r="C22" s="1270"/>
      <c r="D22" s="964">
        <f>SUM(D17:D21)</f>
        <v>1930</v>
      </c>
      <c r="E22" s="954">
        <f t="shared" si="1"/>
        <v>18335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235</v>
      </c>
      <c r="C27" s="975" t="s">
        <v>669</v>
      </c>
      <c r="D27" s="964">
        <v>318</v>
      </c>
      <c r="E27" s="965">
        <f t="shared" ref="E27:E32" si="2">D27*9.5</f>
        <v>3021</v>
      </c>
    </row>
    <row r="28" spans="2:5">
      <c r="B28" s="973" t="s">
        <v>250</v>
      </c>
      <c r="C28" s="975" t="s">
        <v>669</v>
      </c>
      <c r="D28" s="964">
        <v>134</v>
      </c>
      <c r="E28" s="965">
        <f t="shared" si="2"/>
        <v>1273</v>
      </c>
    </row>
    <row r="29" spans="2:5">
      <c r="B29" s="973" t="s">
        <v>281</v>
      </c>
      <c r="C29" s="975" t="s">
        <v>26</v>
      </c>
      <c r="D29" s="964">
        <v>210</v>
      </c>
      <c r="E29" s="965">
        <f>D29*9.5</f>
        <v>1995</v>
      </c>
    </row>
    <row r="30" spans="2:5">
      <c r="B30" s="973" t="s">
        <v>259</v>
      </c>
      <c r="C30" s="975" t="s">
        <v>26</v>
      </c>
      <c r="D30" s="964">
        <v>291</v>
      </c>
      <c r="E30" s="965">
        <f t="shared" si="2"/>
        <v>2764.5</v>
      </c>
    </row>
    <row r="31" spans="2:5">
      <c r="B31" s="973" t="s">
        <v>331</v>
      </c>
      <c r="C31" s="975" t="s">
        <v>667</v>
      </c>
      <c r="D31" s="964">
        <v>236</v>
      </c>
      <c r="E31" s="965">
        <f t="shared" si="2"/>
        <v>2242</v>
      </c>
    </row>
    <row r="32" spans="2:5" ht="20.100000000000001" customHeight="1">
      <c r="B32" s="1259" t="s">
        <v>24</v>
      </c>
      <c r="C32" s="1259"/>
      <c r="D32" s="964">
        <f>SUM(D27:D31)</f>
        <v>1189</v>
      </c>
      <c r="E32" s="954">
        <f t="shared" si="2"/>
        <v>11295.5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2181</v>
      </c>
      <c r="D35" s="956">
        <f>D22</f>
        <v>1930</v>
      </c>
      <c r="E35" s="956">
        <f>D32</f>
        <v>1189</v>
      </c>
    </row>
    <row r="36" spans="2:5">
      <c r="B36" s="953" t="s">
        <v>36</v>
      </c>
      <c r="C36" s="951">
        <f>C35*9.5</f>
        <v>20719.5</v>
      </c>
      <c r="D36" s="951">
        <f>D35*9.5</f>
        <v>18335</v>
      </c>
      <c r="E36" s="951">
        <f>E35*9.5</f>
        <v>11295.5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5300</v>
      </c>
      <c r="D38" s="378" t="s">
        <v>253</v>
      </c>
      <c r="E38" s="381">
        <f>C38*9.5</f>
        <v>50350</v>
      </c>
    </row>
    <row r="39" spans="2:5">
      <c r="B39" s="377" t="s">
        <v>197</v>
      </c>
      <c r="C39" s="378">
        <f>C40-C38</f>
        <v>96</v>
      </c>
      <c r="D39" s="378" t="s">
        <v>204</v>
      </c>
      <c r="E39" s="381">
        <f>C39*9</f>
        <v>864</v>
      </c>
    </row>
    <row r="40" spans="2:5" ht="19.5">
      <c r="B40" s="941" t="s">
        <v>201</v>
      </c>
      <c r="C40" s="380">
        <v>5396</v>
      </c>
      <c r="D40" s="380" t="s">
        <v>202</v>
      </c>
      <c r="E40" s="379">
        <f>SUM(E38+E39)</f>
        <v>51214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70C62-8984-413E-8D65-3E894502C959}">
  <sheetPr codeName="Sheet20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44864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279</v>
      </c>
      <c r="C7" s="975" t="s">
        <v>669</v>
      </c>
      <c r="D7" s="964">
        <v>731</v>
      </c>
      <c r="E7" s="965">
        <f t="shared" ref="E7:E12" si="0">D7*9.5</f>
        <v>6944.5</v>
      </c>
    </row>
    <row r="8" spans="2:8" ht="15" customHeight="1">
      <c r="B8" s="973" t="s">
        <v>189</v>
      </c>
      <c r="C8" s="975" t="s">
        <v>669</v>
      </c>
      <c r="D8" s="964">
        <v>473</v>
      </c>
      <c r="E8" s="965">
        <f t="shared" si="0"/>
        <v>4493.5</v>
      </c>
    </row>
    <row r="9" spans="2:8" ht="15" customHeight="1">
      <c r="B9" s="973" t="s">
        <v>329</v>
      </c>
      <c r="C9" s="975" t="s">
        <v>26</v>
      </c>
      <c r="D9" s="964">
        <v>523</v>
      </c>
      <c r="E9" s="965">
        <f t="shared" si="0"/>
        <v>4968.5</v>
      </c>
    </row>
    <row r="10" spans="2:8" ht="15" customHeight="1">
      <c r="B10" s="1051" t="s">
        <v>295</v>
      </c>
      <c r="C10" s="975" t="s">
        <v>26</v>
      </c>
      <c r="D10" s="943">
        <v>263</v>
      </c>
      <c r="E10" s="965">
        <f t="shared" si="0"/>
        <v>2498.5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1990</v>
      </c>
      <c r="E12" s="965">
        <f t="shared" si="0"/>
        <v>18905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973" t="s">
        <v>301</v>
      </c>
      <c r="C17" s="975" t="s">
        <v>669</v>
      </c>
      <c r="D17" s="964">
        <v>602</v>
      </c>
      <c r="E17" s="965">
        <f t="shared" ref="E17:E22" si="1">D17*9.5</f>
        <v>5719</v>
      </c>
    </row>
    <row r="18" spans="2:6" ht="15" customHeight="1">
      <c r="B18" s="973" t="s">
        <v>189</v>
      </c>
      <c r="C18" s="975" t="s">
        <v>669</v>
      </c>
      <c r="D18" s="964">
        <v>453</v>
      </c>
      <c r="E18" s="965">
        <f t="shared" si="1"/>
        <v>4303.5</v>
      </c>
    </row>
    <row r="19" spans="2:6" ht="14.45" customHeight="1">
      <c r="B19" s="973" t="s">
        <v>259</v>
      </c>
      <c r="C19" s="975" t="s">
        <v>26</v>
      </c>
      <c r="D19" s="964">
        <v>312</v>
      </c>
      <c r="E19" s="965">
        <f t="shared" si="1"/>
        <v>2964</v>
      </c>
    </row>
    <row r="20" spans="2:6" ht="14.45" customHeight="1">
      <c r="B20" s="1051" t="s">
        <v>723</v>
      </c>
      <c r="C20" s="975" t="s">
        <v>26</v>
      </c>
      <c r="D20" s="964"/>
      <c r="E20" s="965">
        <f t="shared" si="1"/>
        <v>0</v>
      </c>
      <c r="F20" s="934" t="s">
        <v>722</v>
      </c>
    </row>
    <row r="21" spans="2:6" ht="14.45" customHeight="1">
      <c r="B21" s="1051" t="s">
        <v>250</v>
      </c>
      <c r="C21" s="975" t="s">
        <v>681</v>
      </c>
      <c r="D21" s="964">
        <v>350</v>
      </c>
      <c r="E21" s="965">
        <f t="shared" si="1"/>
        <v>3325</v>
      </c>
    </row>
    <row r="22" spans="2:6" ht="14.45" customHeight="1">
      <c r="B22" s="1269" t="s">
        <v>24</v>
      </c>
      <c r="C22" s="1270"/>
      <c r="D22" s="964">
        <f>SUM(D17:D21)</f>
        <v>1717</v>
      </c>
      <c r="E22" s="954">
        <f t="shared" si="1"/>
        <v>16311.5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685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973" t="s">
        <v>301</v>
      </c>
      <c r="C27" s="975" t="s">
        <v>669</v>
      </c>
      <c r="D27" s="964">
        <v>205</v>
      </c>
      <c r="E27" s="965">
        <f t="shared" ref="E27:E32" si="2">D27*9.5</f>
        <v>1947.5</v>
      </c>
    </row>
    <row r="28" spans="2:6">
      <c r="B28" s="973" t="s">
        <v>331</v>
      </c>
      <c r="C28" s="975" t="s">
        <v>669</v>
      </c>
      <c r="D28" s="964">
        <v>390</v>
      </c>
      <c r="E28" s="965">
        <f t="shared" si="2"/>
        <v>3705</v>
      </c>
    </row>
    <row r="29" spans="2:6">
      <c r="B29" s="973" t="s">
        <v>259</v>
      </c>
      <c r="C29" s="975" t="s">
        <v>26</v>
      </c>
      <c r="D29" s="964">
        <v>212</v>
      </c>
      <c r="E29" s="965">
        <f>D29*9.5</f>
        <v>2014</v>
      </c>
    </row>
    <row r="30" spans="2:6">
      <c r="B30" s="973" t="s">
        <v>281</v>
      </c>
      <c r="C30" s="975" t="s">
        <v>26</v>
      </c>
      <c r="D30" s="964">
        <v>285</v>
      </c>
      <c r="E30" s="965">
        <f t="shared" si="2"/>
        <v>2707.5</v>
      </c>
    </row>
    <row r="31" spans="2:6">
      <c r="B31" s="973" t="s">
        <v>250</v>
      </c>
      <c r="C31" s="975" t="s">
        <v>667</v>
      </c>
      <c r="D31" s="964">
        <v>138</v>
      </c>
      <c r="E31" s="965">
        <f t="shared" si="2"/>
        <v>1311</v>
      </c>
    </row>
    <row r="32" spans="2:6" ht="20.100000000000001" customHeight="1">
      <c r="B32" s="1259" t="s">
        <v>24</v>
      </c>
      <c r="C32" s="1259"/>
      <c r="D32" s="964">
        <f>SUM(D27:D31)</f>
        <v>1230</v>
      </c>
      <c r="E32" s="954">
        <f t="shared" si="2"/>
        <v>11685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1990</v>
      </c>
      <c r="D35" s="956">
        <f>D22</f>
        <v>1717</v>
      </c>
      <c r="E35" s="956">
        <f>D32</f>
        <v>1230</v>
      </c>
    </row>
    <row r="36" spans="2:5">
      <c r="B36" s="953" t="s">
        <v>36</v>
      </c>
      <c r="C36" s="951">
        <f>C35*9.5</f>
        <v>18905</v>
      </c>
      <c r="D36" s="951">
        <f>D35*9.5</f>
        <v>16311.5</v>
      </c>
      <c r="E36" s="951">
        <f>E35*9.5</f>
        <v>11685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4937</v>
      </c>
      <c r="D38" s="378" t="s">
        <v>253</v>
      </c>
      <c r="E38" s="381">
        <f>C38*9.5</f>
        <v>46901.5</v>
      </c>
    </row>
    <row r="39" spans="2:5">
      <c r="B39" s="377" t="s">
        <v>197</v>
      </c>
      <c r="C39" s="378">
        <f>C40-C38</f>
        <v>174</v>
      </c>
      <c r="D39" s="378" t="s">
        <v>204</v>
      </c>
      <c r="E39" s="381">
        <f>C39*9</f>
        <v>1566</v>
      </c>
    </row>
    <row r="40" spans="2:5" ht="19.5">
      <c r="B40" s="941" t="s">
        <v>201</v>
      </c>
      <c r="C40" s="380">
        <v>5111</v>
      </c>
      <c r="D40" s="380" t="s">
        <v>202</v>
      </c>
      <c r="E40" s="379">
        <f>SUM(E38+E39)</f>
        <v>48467.5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D7B60-1CCC-42EF-8511-A043C34DD2A1}">
  <sheetPr codeName="Sheet20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44865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184</v>
      </c>
      <c r="C7" s="975" t="s">
        <v>669</v>
      </c>
      <c r="D7" s="964">
        <v>250</v>
      </c>
      <c r="E7" s="965">
        <f t="shared" ref="E7:E12" si="0">D7*9.5</f>
        <v>2375</v>
      </c>
    </row>
    <row r="8" spans="2:8" ht="15" customHeight="1">
      <c r="B8" s="973" t="s">
        <v>329</v>
      </c>
      <c r="C8" s="975" t="s">
        <v>669</v>
      </c>
      <c r="D8" s="964">
        <v>488</v>
      </c>
      <c r="E8" s="965">
        <f t="shared" si="0"/>
        <v>4636</v>
      </c>
    </row>
    <row r="9" spans="2:8" ht="15" customHeight="1">
      <c r="B9" s="973" t="s">
        <v>245</v>
      </c>
      <c r="C9" s="975" t="s">
        <v>26</v>
      </c>
      <c r="D9" s="964">
        <v>309</v>
      </c>
      <c r="E9" s="965">
        <f t="shared" si="0"/>
        <v>2935.5</v>
      </c>
    </row>
    <row r="10" spans="2:8" ht="15" customHeight="1">
      <c r="B10" s="1051" t="s">
        <v>334</v>
      </c>
      <c r="C10" s="975" t="s">
        <v>26</v>
      </c>
      <c r="D10" s="943">
        <v>208</v>
      </c>
      <c r="E10" s="965">
        <f t="shared" si="0"/>
        <v>1976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1255</v>
      </c>
      <c r="E12" s="965">
        <f t="shared" si="0"/>
        <v>11922.5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973" t="s">
        <v>238</v>
      </c>
      <c r="C17" s="975" t="s">
        <v>669</v>
      </c>
      <c r="D17" s="964">
        <v>300</v>
      </c>
      <c r="E17" s="965">
        <f t="shared" ref="E17:E22" si="1">D17*9.5</f>
        <v>2850</v>
      </c>
    </row>
    <row r="18" spans="2:6" ht="15" customHeight="1">
      <c r="B18" s="973" t="s">
        <v>279</v>
      </c>
      <c r="C18" s="975" t="s">
        <v>669</v>
      </c>
      <c r="D18" s="964">
        <v>604</v>
      </c>
      <c r="E18" s="965">
        <f t="shared" si="1"/>
        <v>5738</v>
      </c>
    </row>
    <row r="19" spans="2:6" ht="14.45" customHeight="1">
      <c r="B19" s="973" t="s">
        <v>753</v>
      </c>
      <c r="C19" s="975" t="s">
        <v>26</v>
      </c>
      <c r="D19" s="964">
        <v>384</v>
      </c>
      <c r="E19" s="965">
        <f t="shared" si="1"/>
        <v>3648</v>
      </c>
      <c r="F19" s="934" t="s">
        <v>720</v>
      </c>
    </row>
    <row r="20" spans="2:6" ht="14.45" customHeight="1">
      <c r="B20" s="1051" t="s">
        <v>752</v>
      </c>
      <c r="C20" s="975" t="s">
        <v>26</v>
      </c>
      <c r="D20" s="964">
        <v>240</v>
      </c>
      <c r="E20" s="965">
        <f t="shared" si="1"/>
        <v>2280</v>
      </c>
    </row>
    <row r="21" spans="2:6" ht="14.45" customHeight="1">
      <c r="B21" s="1051" t="s">
        <v>303</v>
      </c>
      <c r="C21" s="975" t="s">
        <v>681</v>
      </c>
      <c r="D21" s="964">
        <v>668</v>
      </c>
      <c r="E21" s="965">
        <f t="shared" si="1"/>
        <v>6346</v>
      </c>
    </row>
    <row r="22" spans="2:6" ht="14.45" customHeight="1">
      <c r="B22" s="1269" t="s">
        <v>24</v>
      </c>
      <c r="C22" s="1270"/>
      <c r="D22" s="964">
        <f>SUM(D17:D21)</f>
        <v>2196</v>
      </c>
      <c r="E22" s="954">
        <f t="shared" si="1"/>
        <v>20862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685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973" t="s">
        <v>278</v>
      </c>
      <c r="C27" s="975" t="s">
        <v>669</v>
      </c>
      <c r="D27" s="964">
        <v>455</v>
      </c>
      <c r="E27" s="965">
        <f t="shared" ref="E27:E32" si="2">D27*9.5</f>
        <v>4322.5</v>
      </c>
    </row>
    <row r="28" spans="2:6">
      <c r="B28" s="973" t="s">
        <v>82</v>
      </c>
      <c r="C28" s="975" t="s">
        <v>669</v>
      </c>
      <c r="D28" s="964">
        <v>244</v>
      </c>
      <c r="E28" s="965">
        <f t="shared" si="2"/>
        <v>2318</v>
      </c>
    </row>
    <row r="29" spans="2:6">
      <c r="B29" s="973" t="s">
        <v>143</v>
      </c>
      <c r="C29" s="975" t="s">
        <v>26</v>
      </c>
      <c r="D29" s="964">
        <v>240</v>
      </c>
      <c r="E29" s="965">
        <f>D29*9.5</f>
        <v>2280</v>
      </c>
    </row>
    <row r="30" spans="2:6">
      <c r="B30" s="973" t="s">
        <v>726</v>
      </c>
      <c r="C30" s="975" t="s">
        <v>26</v>
      </c>
      <c r="D30" s="964"/>
      <c r="E30" s="965">
        <f t="shared" si="2"/>
        <v>0</v>
      </c>
    </row>
    <row r="31" spans="2:6">
      <c r="B31" s="789" t="s">
        <v>303</v>
      </c>
      <c r="C31" s="975" t="s">
        <v>667</v>
      </c>
      <c r="D31" s="964">
        <v>500</v>
      </c>
      <c r="E31" s="965">
        <f t="shared" si="2"/>
        <v>4750</v>
      </c>
    </row>
    <row r="32" spans="2:6" ht="20.100000000000001" customHeight="1">
      <c r="B32" s="1259" t="s">
        <v>24</v>
      </c>
      <c r="C32" s="1259"/>
      <c r="D32" s="964">
        <f>SUM(D27:D31)</f>
        <v>1439</v>
      </c>
      <c r="E32" s="954">
        <f t="shared" si="2"/>
        <v>13670.5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1255</v>
      </c>
      <c r="D35" s="956">
        <f>D22</f>
        <v>2196</v>
      </c>
      <c r="E35" s="956">
        <f>D32</f>
        <v>1439</v>
      </c>
    </row>
    <row r="36" spans="2:5">
      <c r="B36" s="953" t="s">
        <v>36</v>
      </c>
      <c r="C36" s="951">
        <f>C35*9.5</f>
        <v>11922.5</v>
      </c>
      <c r="D36" s="951">
        <f>D35*9.5</f>
        <v>20862</v>
      </c>
      <c r="E36" s="951">
        <f>E35*9.5</f>
        <v>13670.5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4890</v>
      </c>
      <c r="D38" s="378" t="s">
        <v>253</v>
      </c>
      <c r="E38" s="381">
        <f>C38*9.5</f>
        <v>46455</v>
      </c>
    </row>
    <row r="39" spans="2:5">
      <c r="B39" s="377" t="s">
        <v>197</v>
      </c>
      <c r="C39" s="378">
        <f>C40-C38</f>
        <v>2843</v>
      </c>
      <c r="D39" s="378" t="s">
        <v>204</v>
      </c>
      <c r="E39" s="381">
        <f>C39*9</f>
        <v>25587</v>
      </c>
    </row>
    <row r="40" spans="2:5" ht="19.5">
      <c r="B40" s="941" t="s">
        <v>201</v>
      </c>
      <c r="C40" s="380">
        <v>7733</v>
      </c>
      <c r="D40" s="380" t="s">
        <v>202</v>
      </c>
      <c r="E40" s="379">
        <f>SUM(E38+E39)</f>
        <v>72042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11D5B-BF51-4E74-8537-B6634A420836}">
  <sheetPr codeName="Sheet21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44866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260</v>
      </c>
      <c r="C7" s="975" t="s">
        <v>669</v>
      </c>
      <c r="D7" s="964">
        <v>423</v>
      </c>
      <c r="E7" s="965">
        <f t="shared" ref="E7:E12" si="0">D7*9.5</f>
        <v>4018.5</v>
      </c>
    </row>
    <row r="8" spans="2:8" ht="15" customHeight="1">
      <c r="B8" s="973" t="s">
        <v>675</v>
      </c>
      <c r="C8" s="975" t="s">
        <v>669</v>
      </c>
      <c r="D8" s="964">
        <v>724</v>
      </c>
      <c r="E8" s="965">
        <f t="shared" si="0"/>
        <v>6878</v>
      </c>
    </row>
    <row r="9" spans="2:8" ht="15" customHeight="1">
      <c r="B9" s="973" t="s">
        <v>678</v>
      </c>
      <c r="C9" s="975" t="s">
        <v>26</v>
      </c>
      <c r="D9" s="964">
        <v>322</v>
      </c>
      <c r="E9" s="965">
        <f t="shared" si="0"/>
        <v>3059</v>
      </c>
    </row>
    <row r="10" spans="2:8" ht="15" customHeight="1">
      <c r="B10" s="1051" t="s">
        <v>728</v>
      </c>
      <c r="C10" s="975" t="s">
        <v>26</v>
      </c>
      <c r="D10" s="943">
        <v>212</v>
      </c>
      <c r="E10" s="965">
        <f t="shared" si="0"/>
        <v>2014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1681</v>
      </c>
      <c r="E12" s="965">
        <f t="shared" si="0"/>
        <v>15969.5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244</v>
      </c>
      <c r="C17" s="975" t="s">
        <v>669</v>
      </c>
      <c r="D17" s="964">
        <v>591</v>
      </c>
      <c r="E17" s="965">
        <f t="shared" ref="E17:E22" si="1">D17*9.5</f>
        <v>5614.5</v>
      </c>
    </row>
    <row r="18" spans="2:5" ht="15" customHeight="1">
      <c r="B18" s="973" t="s">
        <v>675</v>
      </c>
      <c r="C18" s="975" t="s">
        <v>669</v>
      </c>
      <c r="D18" s="964">
        <v>522</v>
      </c>
      <c r="E18" s="965">
        <f t="shared" si="1"/>
        <v>4959</v>
      </c>
    </row>
    <row r="19" spans="2:5" ht="14.45" customHeight="1">
      <c r="B19" s="973" t="s">
        <v>678</v>
      </c>
      <c r="C19" s="975" t="s">
        <v>26</v>
      </c>
      <c r="D19" s="964">
        <v>350</v>
      </c>
      <c r="E19" s="965">
        <f t="shared" si="1"/>
        <v>3325</v>
      </c>
    </row>
    <row r="20" spans="2:5" ht="14.45" customHeight="1">
      <c r="B20" s="1051" t="s">
        <v>758</v>
      </c>
      <c r="C20" s="975" t="s">
        <v>26</v>
      </c>
      <c r="D20" s="964"/>
      <c r="E20" s="965">
        <f t="shared" si="1"/>
        <v>0</v>
      </c>
    </row>
    <row r="21" spans="2:5" ht="14.45" customHeight="1">
      <c r="B21" s="1051" t="s">
        <v>259</v>
      </c>
      <c r="C21" s="975" t="s">
        <v>681</v>
      </c>
      <c r="D21" s="964">
        <v>350</v>
      </c>
      <c r="E21" s="965">
        <f t="shared" si="1"/>
        <v>3325</v>
      </c>
    </row>
    <row r="22" spans="2:5" ht="14.45" customHeight="1">
      <c r="B22" s="1269" t="s">
        <v>24</v>
      </c>
      <c r="C22" s="1270"/>
      <c r="D22" s="964">
        <f>SUM(D17:D21)</f>
        <v>1813</v>
      </c>
      <c r="E22" s="954">
        <f t="shared" si="1"/>
        <v>17223.5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278</v>
      </c>
      <c r="C27" s="975" t="s">
        <v>669</v>
      </c>
      <c r="D27" s="964">
        <v>424</v>
      </c>
      <c r="E27" s="965">
        <f t="shared" ref="E27:E32" si="2">D27*9.5</f>
        <v>4028</v>
      </c>
    </row>
    <row r="28" spans="2:5">
      <c r="B28" s="973" t="s">
        <v>303</v>
      </c>
      <c r="C28" s="975" t="s">
        <v>669</v>
      </c>
      <c r="D28" s="964">
        <v>431</v>
      </c>
      <c r="E28" s="965">
        <f t="shared" si="2"/>
        <v>4094.5</v>
      </c>
    </row>
    <row r="29" spans="2:5">
      <c r="B29" s="973" t="s">
        <v>334</v>
      </c>
      <c r="C29" s="975" t="s">
        <v>26</v>
      </c>
      <c r="D29" s="964">
        <v>442</v>
      </c>
      <c r="E29" s="965">
        <f>D29*9.5</f>
        <v>4199</v>
      </c>
    </row>
    <row r="30" spans="2:5">
      <c r="B30" s="973" t="s">
        <v>45</v>
      </c>
      <c r="C30" s="975" t="s">
        <v>26</v>
      </c>
      <c r="D30" s="964">
        <v>310</v>
      </c>
      <c r="E30" s="965">
        <f t="shared" si="2"/>
        <v>2945</v>
      </c>
    </row>
    <row r="31" spans="2:5">
      <c r="B31" s="789" t="s">
        <v>82</v>
      </c>
      <c r="C31" s="975" t="s">
        <v>667</v>
      </c>
      <c r="D31" s="964">
        <v>244</v>
      </c>
      <c r="E31" s="965">
        <f t="shared" si="2"/>
        <v>2318</v>
      </c>
    </row>
    <row r="32" spans="2:5" ht="20.100000000000001" customHeight="1">
      <c r="B32" s="1259" t="s">
        <v>24</v>
      </c>
      <c r="C32" s="1259"/>
      <c r="D32" s="964">
        <f>SUM(D27:D31)</f>
        <v>1851</v>
      </c>
      <c r="E32" s="954">
        <f t="shared" si="2"/>
        <v>17584.5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1681</v>
      </c>
      <c r="D35" s="956">
        <f>D22</f>
        <v>1813</v>
      </c>
      <c r="E35" s="956">
        <f>D32</f>
        <v>1851</v>
      </c>
    </row>
    <row r="36" spans="2:5">
      <c r="B36" s="953" t="s">
        <v>36</v>
      </c>
      <c r="C36" s="951">
        <f>C35*9.5</f>
        <v>15969.5</v>
      </c>
      <c r="D36" s="951">
        <f>D35*9.5</f>
        <v>17223.5</v>
      </c>
      <c r="E36" s="951">
        <f>E35*9.5</f>
        <v>17584.5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5345</v>
      </c>
      <c r="D38" s="378" t="s">
        <v>253</v>
      </c>
      <c r="E38" s="381">
        <f>C38*9.5</f>
        <v>50777.5</v>
      </c>
    </row>
    <row r="39" spans="2:5">
      <c r="B39" s="377" t="s">
        <v>197</v>
      </c>
      <c r="C39" s="378">
        <f>C40-C38</f>
        <v>3028</v>
      </c>
      <c r="D39" s="378" t="s">
        <v>204</v>
      </c>
      <c r="E39" s="381">
        <f>C39*9</f>
        <v>27252</v>
      </c>
    </row>
    <row r="40" spans="2:5" ht="19.5">
      <c r="B40" s="941" t="s">
        <v>201</v>
      </c>
      <c r="C40" s="380">
        <v>8373</v>
      </c>
      <c r="D40" s="380" t="s">
        <v>202</v>
      </c>
      <c r="E40" s="379">
        <f>SUM(E38+E39)</f>
        <v>78029.5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6B611-994B-4E1F-87AC-49CDB6928381}">
  <sheetPr codeName="Sheet21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44867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760</v>
      </c>
      <c r="C7" s="975" t="s">
        <v>669</v>
      </c>
      <c r="D7" s="964">
        <v>475</v>
      </c>
      <c r="E7" s="965">
        <f t="shared" ref="E7:E12" si="0">D7*9.5</f>
        <v>4512.5</v>
      </c>
    </row>
    <row r="8" spans="2:8" ht="15" customHeight="1">
      <c r="B8" s="973" t="s">
        <v>238</v>
      </c>
      <c r="C8" s="975" t="s">
        <v>669</v>
      </c>
      <c r="D8" s="964">
        <v>300</v>
      </c>
      <c r="E8" s="965">
        <f t="shared" si="0"/>
        <v>2850</v>
      </c>
    </row>
    <row r="9" spans="2:8" ht="15" customHeight="1">
      <c r="B9" s="973" t="s">
        <v>762</v>
      </c>
      <c r="C9" s="975" t="s">
        <v>26</v>
      </c>
      <c r="D9" s="964"/>
      <c r="E9" s="965">
        <f t="shared" si="0"/>
        <v>0</v>
      </c>
      <c r="F9" s="934" t="s">
        <v>761</v>
      </c>
    </row>
    <row r="10" spans="2:8" ht="15" customHeight="1">
      <c r="B10" s="1051" t="s">
        <v>281</v>
      </c>
      <c r="C10" s="975" t="s">
        <v>26</v>
      </c>
      <c r="D10" s="943">
        <v>426</v>
      </c>
      <c r="E10" s="965">
        <f t="shared" si="0"/>
        <v>4047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1201</v>
      </c>
      <c r="E12" s="965">
        <f t="shared" si="0"/>
        <v>11409.5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245</v>
      </c>
      <c r="C17" s="975" t="s">
        <v>669</v>
      </c>
      <c r="D17" s="964">
        <v>244</v>
      </c>
      <c r="E17" s="965">
        <f t="shared" ref="E17:E22" si="1">D17*9.5</f>
        <v>2318</v>
      </c>
    </row>
    <row r="18" spans="2:5" ht="15" customHeight="1">
      <c r="B18" s="973" t="s">
        <v>678</v>
      </c>
      <c r="C18" s="975" t="s">
        <v>669</v>
      </c>
      <c r="D18" s="964">
        <v>414</v>
      </c>
      <c r="E18" s="965">
        <f t="shared" si="1"/>
        <v>3933</v>
      </c>
    </row>
    <row r="19" spans="2:5" ht="14.45" customHeight="1">
      <c r="B19" s="973" t="s">
        <v>65</v>
      </c>
      <c r="C19" s="975" t="s">
        <v>26</v>
      </c>
      <c r="D19" s="964">
        <v>379</v>
      </c>
      <c r="E19" s="965">
        <f t="shared" si="1"/>
        <v>3600.5</v>
      </c>
    </row>
    <row r="20" spans="2:5" ht="14.45" customHeight="1">
      <c r="B20" s="1051" t="s">
        <v>252</v>
      </c>
      <c r="C20" s="975" t="s">
        <v>26</v>
      </c>
      <c r="D20" s="964">
        <v>266</v>
      </c>
      <c r="E20" s="965">
        <f t="shared" si="1"/>
        <v>2527</v>
      </c>
    </row>
    <row r="21" spans="2:5" ht="14.45" customHeight="1">
      <c r="B21" s="1051" t="s">
        <v>303</v>
      </c>
      <c r="C21" s="975" t="s">
        <v>681</v>
      </c>
      <c r="D21" s="964">
        <v>828</v>
      </c>
      <c r="E21" s="965">
        <f t="shared" si="1"/>
        <v>7866</v>
      </c>
    </row>
    <row r="22" spans="2:5" ht="14.45" customHeight="1">
      <c r="B22" s="1269" t="s">
        <v>24</v>
      </c>
      <c r="C22" s="1270"/>
      <c r="D22" s="964">
        <f>SUM(D17:D21)</f>
        <v>2131</v>
      </c>
      <c r="E22" s="954">
        <f t="shared" si="1"/>
        <v>20244.5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235</v>
      </c>
      <c r="C27" s="975" t="s">
        <v>669</v>
      </c>
      <c r="D27" s="964">
        <v>543</v>
      </c>
      <c r="E27" s="965">
        <f t="shared" ref="E27:E32" si="2">D27*9.5</f>
        <v>5158.5</v>
      </c>
    </row>
    <row r="28" spans="2:5">
      <c r="B28" s="973" t="s">
        <v>678</v>
      </c>
      <c r="C28" s="975" t="s">
        <v>669</v>
      </c>
      <c r="D28" s="964">
        <v>324</v>
      </c>
      <c r="E28" s="965">
        <f t="shared" si="2"/>
        <v>3078</v>
      </c>
    </row>
    <row r="29" spans="2:5">
      <c r="B29" s="973" t="s">
        <v>65</v>
      </c>
      <c r="C29" s="975" t="s">
        <v>26</v>
      </c>
      <c r="D29" s="964">
        <v>216</v>
      </c>
      <c r="E29" s="965">
        <f>D29*9.5</f>
        <v>2052</v>
      </c>
    </row>
    <row r="30" spans="2:5">
      <c r="B30" s="973" t="s">
        <v>333</v>
      </c>
      <c r="C30" s="975" t="s">
        <v>26</v>
      </c>
      <c r="D30" s="964">
        <v>252</v>
      </c>
      <c r="E30" s="965">
        <f t="shared" si="2"/>
        <v>2394</v>
      </c>
    </row>
    <row r="31" spans="2:5">
      <c r="B31" s="789" t="s">
        <v>303</v>
      </c>
      <c r="C31" s="975" t="s">
        <v>667</v>
      </c>
      <c r="D31" s="964">
        <v>432</v>
      </c>
      <c r="E31" s="965">
        <f t="shared" si="2"/>
        <v>4104</v>
      </c>
    </row>
    <row r="32" spans="2:5" ht="20.100000000000001" customHeight="1">
      <c r="B32" s="1259" t="s">
        <v>24</v>
      </c>
      <c r="C32" s="1259"/>
      <c r="D32" s="964">
        <f>SUM(D27:D31)</f>
        <v>1767</v>
      </c>
      <c r="E32" s="954">
        <f t="shared" si="2"/>
        <v>16786.5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1201</v>
      </c>
      <c r="D35" s="956">
        <f>D22</f>
        <v>2131</v>
      </c>
      <c r="E35" s="956">
        <f>D32</f>
        <v>1767</v>
      </c>
    </row>
    <row r="36" spans="2:5">
      <c r="B36" s="953" t="s">
        <v>36</v>
      </c>
      <c r="C36" s="951">
        <f>C35*9.5</f>
        <v>11409.5</v>
      </c>
      <c r="D36" s="951">
        <f>D35*9.5</f>
        <v>20244.5</v>
      </c>
      <c r="E36" s="951">
        <f>E35*9.5</f>
        <v>16786.5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5099</v>
      </c>
      <c r="D38" s="378" t="s">
        <v>253</v>
      </c>
      <c r="E38" s="381">
        <f>C38*9.5</f>
        <v>48440.5</v>
      </c>
    </row>
    <row r="39" spans="2:5">
      <c r="B39" s="377" t="s">
        <v>197</v>
      </c>
      <c r="C39" s="378">
        <f>C40-C38</f>
        <v>3223</v>
      </c>
      <c r="D39" s="378" t="s">
        <v>204</v>
      </c>
      <c r="E39" s="381">
        <f>C39*9</f>
        <v>29007</v>
      </c>
    </row>
    <row r="40" spans="2:5" ht="19.5">
      <c r="B40" s="941" t="s">
        <v>201</v>
      </c>
      <c r="C40" s="380">
        <v>8322</v>
      </c>
      <c r="D40" s="380" t="s">
        <v>202</v>
      </c>
      <c r="E40" s="379">
        <f>SUM(E38+E39)</f>
        <v>77447.5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FB461-7915-4C06-AA43-BFED732BF1E7}">
  <sheetPr codeName="Sheet21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44868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763</v>
      </c>
      <c r="C7" s="975" t="s">
        <v>669</v>
      </c>
      <c r="D7" s="964">
        <v>367</v>
      </c>
      <c r="E7" s="965">
        <f t="shared" ref="E7:E12" si="0">D7*9.5</f>
        <v>3486.5</v>
      </c>
    </row>
    <row r="8" spans="2:8" ht="15" customHeight="1">
      <c r="B8" s="973" t="s">
        <v>189</v>
      </c>
      <c r="C8" s="975" t="s">
        <v>669</v>
      </c>
      <c r="D8" s="964">
        <v>384</v>
      </c>
      <c r="E8" s="965">
        <f t="shared" si="0"/>
        <v>3648</v>
      </c>
    </row>
    <row r="9" spans="2:8" ht="15" customHeight="1">
      <c r="B9" s="973" t="s">
        <v>70</v>
      </c>
      <c r="C9" s="975" t="s">
        <v>26</v>
      </c>
      <c r="D9" s="964">
        <v>452</v>
      </c>
      <c r="E9" s="965">
        <f t="shared" si="0"/>
        <v>4294</v>
      </c>
    </row>
    <row r="10" spans="2:8" ht="15" customHeight="1">
      <c r="B10" s="1051" t="s">
        <v>45</v>
      </c>
      <c r="C10" s="975" t="s">
        <v>26</v>
      </c>
      <c r="D10" s="943">
        <v>420</v>
      </c>
      <c r="E10" s="965">
        <f t="shared" si="0"/>
        <v>3990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1623</v>
      </c>
      <c r="E12" s="965">
        <f t="shared" si="0"/>
        <v>15418.5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143</v>
      </c>
      <c r="C17" s="975" t="s">
        <v>669</v>
      </c>
      <c r="D17" s="964">
        <v>449</v>
      </c>
      <c r="E17" s="965">
        <f t="shared" ref="E17:E22" si="1">D17*9.5</f>
        <v>4265.5</v>
      </c>
    </row>
    <row r="18" spans="2:5" ht="15" customHeight="1">
      <c r="B18" s="973" t="s">
        <v>244</v>
      </c>
      <c r="C18" s="975" t="s">
        <v>669</v>
      </c>
      <c r="D18" s="964">
        <v>550</v>
      </c>
      <c r="E18" s="965">
        <f t="shared" si="1"/>
        <v>5225</v>
      </c>
    </row>
    <row r="19" spans="2:5" ht="14.45" customHeight="1">
      <c r="B19" s="973" t="s">
        <v>295</v>
      </c>
      <c r="C19" s="975" t="s">
        <v>26</v>
      </c>
      <c r="D19" s="964">
        <v>253</v>
      </c>
      <c r="E19" s="965">
        <f t="shared" si="1"/>
        <v>2403.5</v>
      </c>
    </row>
    <row r="20" spans="2:5" ht="14.45" customHeight="1">
      <c r="B20" s="1051" t="s">
        <v>329</v>
      </c>
      <c r="C20" s="975" t="s">
        <v>26</v>
      </c>
      <c r="D20" s="964">
        <v>360</v>
      </c>
      <c r="E20" s="965">
        <f t="shared" si="1"/>
        <v>3420</v>
      </c>
    </row>
    <row r="21" spans="2:5" ht="14.45" customHeight="1">
      <c r="B21" s="1051" t="s">
        <v>332</v>
      </c>
      <c r="C21" s="975" t="s">
        <v>681</v>
      </c>
      <c r="D21" s="964">
        <v>573</v>
      </c>
      <c r="E21" s="965">
        <f t="shared" si="1"/>
        <v>5443.5</v>
      </c>
    </row>
    <row r="22" spans="2:5" ht="14.45" customHeight="1">
      <c r="B22" s="1269" t="s">
        <v>24</v>
      </c>
      <c r="C22" s="1270"/>
      <c r="D22" s="964">
        <f>SUM(D17:D21)</f>
        <v>2185</v>
      </c>
      <c r="E22" s="954">
        <f t="shared" si="1"/>
        <v>20757.5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331</v>
      </c>
      <c r="C27" s="975" t="s">
        <v>669</v>
      </c>
      <c r="D27" s="964">
        <v>411</v>
      </c>
      <c r="E27" s="965">
        <f t="shared" ref="E27:E32" si="2">D27*9.5</f>
        <v>3904.5</v>
      </c>
    </row>
    <row r="28" spans="2:5">
      <c r="B28" s="973" t="s">
        <v>303</v>
      </c>
      <c r="C28" s="975" t="s">
        <v>669</v>
      </c>
      <c r="D28" s="964">
        <v>625</v>
      </c>
      <c r="E28" s="965">
        <f t="shared" si="2"/>
        <v>5937.5</v>
      </c>
    </row>
    <row r="29" spans="2:5">
      <c r="B29" s="973" t="s">
        <v>65</v>
      </c>
      <c r="C29" s="975" t="s">
        <v>26</v>
      </c>
      <c r="D29" s="964">
        <v>233</v>
      </c>
      <c r="E29" s="965">
        <f>D29*9.5</f>
        <v>2213.5</v>
      </c>
    </row>
    <row r="30" spans="2:5">
      <c r="B30" s="973" t="s">
        <v>63</v>
      </c>
      <c r="C30" s="975" t="s">
        <v>26</v>
      </c>
      <c r="D30" s="964">
        <v>259</v>
      </c>
      <c r="E30" s="965">
        <f t="shared" si="2"/>
        <v>2460.5</v>
      </c>
    </row>
    <row r="31" spans="2:5">
      <c r="B31" s="789" t="s">
        <v>333</v>
      </c>
      <c r="C31" s="975" t="s">
        <v>667</v>
      </c>
      <c r="D31" s="964">
        <v>260</v>
      </c>
      <c r="E31" s="965">
        <f t="shared" si="2"/>
        <v>2470</v>
      </c>
    </row>
    <row r="32" spans="2:5" ht="20.100000000000001" customHeight="1">
      <c r="B32" s="1259" t="s">
        <v>24</v>
      </c>
      <c r="C32" s="1259"/>
      <c r="D32" s="964">
        <f>SUM(D27:D31)</f>
        <v>1788</v>
      </c>
      <c r="E32" s="954">
        <f t="shared" si="2"/>
        <v>16986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1623</v>
      </c>
      <c r="D35" s="956">
        <f>D22</f>
        <v>2185</v>
      </c>
      <c r="E35" s="956">
        <f>D32</f>
        <v>1788</v>
      </c>
    </row>
    <row r="36" spans="2:5">
      <c r="B36" s="953" t="s">
        <v>36</v>
      </c>
      <c r="C36" s="951">
        <f>C35*9.5</f>
        <v>15418.5</v>
      </c>
      <c r="D36" s="951">
        <f>D35*9.5</f>
        <v>20757.5</v>
      </c>
      <c r="E36" s="951">
        <f>E35*9.5</f>
        <v>16986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5596</v>
      </c>
      <c r="D38" s="378" t="s">
        <v>253</v>
      </c>
      <c r="E38" s="381">
        <f>C38*9.5</f>
        <v>53162</v>
      </c>
    </row>
    <row r="39" spans="2:5">
      <c r="B39" s="377" t="s">
        <v>197</v>
      </c>
      <c r="C39" s="378">
        <f>C40-C38</f>
        <v>3014</v>
      </c>
      <c r="D39" s="378" t="s">
        <v>204</v>
      </c>
      <c r="E39" s="381">
        <f>C39*9</f>
        <v>27126</v>
      </c>
    </row>
    <row r="40" spans="2:5" ht="19.5">
      <c r="B40" s="941" t="s">
        <v>201</v>
      </c>
      <c r="C40" s="380">
        <v>8610</v>
      </c>
      <c r="D40" s="380" t="s">
        <v>202</v>
      </c>
      <c r="E40" s="379">
        <f>SUM(E38+E39)</f>
        <v>80288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84552-6ACC-4932-B21A-355D0E7BB82D}">
  <sheetPr codeName="Sheet213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44869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707</v>
      </c>
      <c r="C7" s="975" t="s">
        <v>669</v>
      </c>
      <c r="D7" s="964">
        <v>400</v>
      </c>
      <c r="E7" s="965">
        <f t="shared" ref="E7:E12" si="0">D7*9.5</f>
        <v>3800</v>
      </c>
    </row>
    <row r="8" spans="2:8" ht="15" customHeight="1">
      <c r="B8" s="973" t="s">
        <v>12</v>
      </c>
      <c r="C8" s="975" t="s">
        <v>669</v>
      </c>
      <c r="D8" s="964">
        <v>406</v>
      </c>
      <c r="E8" s="965">
        <f t="shared" si="0"/>
        <v>3857</v>
      </c>
    </row>
    <row r="9" spans="2:8" ht="15" customHeight="1">
      <c r="B9" s="973" t="s">
        <v>696</v>
      </c>
      <c r="C9" s="975" t="s">
        <v>26</v>
      </c>
      <c r="D9" s="964">
        <v>281</v>
      </c>
      <c r="E9" s="965">
        <f t="shared" si="0"/>
        <v>2669.5</v>
      </c>
    </row>
    <row r="10" spans="2:8" ht="15" customHeight="1">
      <c r="B10" s="1051" t="s">
        <v>276</v>
      </c>
      <c r="C10" s="975" t="s">
        <v>26</v>
      </c>
      <c r="D10" s="943">
        <v>219</v>
      </c>
      <c r="E10" s="965">
        <f t="shared" si="0"/>
        <v>2080.5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1306</v>
      </c>
      <c r="E12" s="965">
        <f t="shared" si="0"/>
        <v>12407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332</v>
      </c>
      <c r="C17" s="975" t="s">
        <v>669</v>
      </c>
      <c r="D17" s="964">
        <v>504</v>
      </c>
      <c r="E17" s="965">
        <f t="shared" ref="E17:E22" si="1">D17*9.5</f>
        <v>4788</v>
      </c>
    </row>
    <row r="18" spans="2:5" ht="15" customHeight="1">
      <c r="B18" s="973" t="s">
        <v>70</v>
      </c>
      <c r="C18" s="975" t="s">
        <v>669</v>
      </c>
      <c r="D18" s="964">
        <v>400</v>
      </c>
      <c r="E18" s="965">
        <f t="shared" si="1"/>
        <v>3800</v>
      </c>
    </row>
    <row r="19" spans="2:5" ht="14.45" customHeight="1">
      <c r="B19" s="973" t="s">
        <v>205</v>
      </c>
      <c r="C19" s="975" t="s">
        <v>26</v>
      </c>
      <c r="D19" s="964">
        <v>156</v>
      </c>
      <c r="E19" s="965">
        <f t="shared" si="1"/>
        <v>1482</v>
      </c>
    </row>
    <row r="20" spans="2:5" ht="14.45" customHeight="1">
      <c r="B20" s="1051" t="s">
        <v>238</v>
      </c>
      <c r="C20" s="975" t="s">
        <v>26</v>
      </c>
      <c r="D20" s="964">
        <v>252</v>
      </c>
      <c r="E20" s="965">
        <f t="shared" si="1"/>
        <v>2394</v>
      </c>
    </row>
    <row r="21" spans="2:5" ht="14.45" customHeight="1">
      <c r="B21" s="1051" t="s">
        <v>766</v>
      </c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1312</v>
      </c>
      <c r="E22" s="954">
        <f t="shared" si="1"/>
        <v>12464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184</v>
      </c>
      <c r="C27" s="975" t="s">
        <v>669</v>
      </c>
      <c r="D27" s="964">
        <v>178</v>
      </c>
      <c r="E27" s="965">
        <f t="shared" ref="E27:E32" si="2">D27*9.5</f>
        <v>1691</v>
      </c>
    </row>
    <row r="28" spans="2:5">
      <c r="B28" s="973" t="s">
        <v>767</v>
      </c>
      <c r="C28" s="975" t="s">
        <v>669</v>
      </c>
      <c r="D28" s="964">
        <v>415</v>
      </c>
      <c r="E28" s="965">
        <f t="shared" si="2"/>
        <v>3942.5</v>
      </c>
    </row>
    <row r="29" spans="2:5">
      <c r="B29" s="973" t="s">
        <v>281</v>
      </c>
      <c r="C29" s="975" t="s">
        <v>26</v>
      </c>
      <c r="D29" s="964">
        <v>200</v>
      </c>
      <c r="E29" s="965">
        <f>D29*9.5</f>
        <v>1900</v>
      </c>
    </row>
    <row r="30" spans="2:5">
      <c r="B30" s="973" t="s">
        <v>250</v>
      </c>
      <c r="C30" s="975" t="s">
        <v>26</v>
      </c>
      <c r="D30" s="964">
        <v>204</v>
      </c>
      <c r="E30" s="965">
        <f t="shared" si="2"/>
        <v>1938</v>
      </c>
    </row>
    <row r="31" spans="2:5">
      <c r="B31" s="789" t="s">
        <v>331</v>
      </c>
      <c r="C31" s="975" t="s">
        <v>667</v>
      </c>
      <c r="D31" s="964">
        <v>341</v>
      </c>
      <c r="E31" s="965">
        <f t="shared" si="2"/>
        <v>3239.5</v>
      </c>
    </row>
    <row r="32" spans="2:5" ht="20.100000000000001" customHeight="1">
      <c r="B32" s="1259" t="s">
        <v>24</v>
      </c>
      <c r="C32" s="1259"/>
      <c r="D32" s="964">
        <f>SUM(D27:D31)</f>
        <v>1338</v>
      </c>
      <c r="E32" s="954">
        <f t="shared" si="2"/>
        <v>12711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1306</v>
      </c>
      <c r="D35" s="956">
        <f>D22</f>
        <v>1312</v>
      </c>
      <c r="E35" s="956">
        <f>D32</f>
        <v>1338</v>
      </c>
    </row>
    <row r="36" spans="2:5">
      <c r="B36" s="953" t="s">
        <v>36</v>
      </c>
      <c r="C36" s="951">
        <f>C35*9.5</f>
        <v>12407</v>
      </c>
      <c r="D36" s="951">
        <f>D35*9.5</f>
        <v>12464</v>
      </c>
      <c r="E36" s="951">
        <f>E35*9.5</f>
        <v>12711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3956</v>
      </c>
      <c r="D38" s="378" t="s">
        <v>253</v>
      </c>
      <c r="E38" s="381">
        <f>C38*9.5</f>
        <v>37582</v>
      </c>
    </row>
    <row r="39" spans="2:5">
      <c r="B39" s="377" t="s">
        <v>197</v>
      </c>
      <c r="C39" s="378">
        <f>C40-C38</f>
        <v>2413</v>
      </c>
      <c r="D39" s="378" t="s">
        <v>204</v>
      </c>
      <c r="E39" s="381">
        <f>C39*9</f>
        <v>21717</v>
      </c>
    </row>
    <row r="40" spans="2:5" ht="19.5">
      <c r="B40" s="941" t="s">
        <v>201</v>
      </c>
      <c r="C40" s="380">
        <v>6369</v>
      </c>
      <c r="D40" s="380" t="s">
        <v>202</v>
      </c>
      <c r="E40" s="379">
        <f>SUM(E38+E39)</f>
        <v>59299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2E0F1-BB89-4D91-9115-6416C5E65BAD}">
  <sheetPr codeName="Sheet21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44870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189</v>
      </c>
      <c r="C7" s="975" t="s">
        <v>669</v>
      </c>
      <c r="D7" s="964">
        <v>389</v>
      </c>
      <c r="E7" s="965">
        <f t="shared" ref="E7:E12" si="0">D7*9.5</f>
        <v>3695.5</v>
      </c>
    </row>
    <row r="8" spans="2:8" ht="15" customHeight="1">
      <c r="B8" s="973" t="s">
        <v>276</v>
      </c>
      <c r="C8" s="975" t="s">
        <v>669</v>
      </c>
      <c r="D8" s="964">
        <v>205</v>
      </c>
      <c r="E8" s="965">
        <f t="shared" si="0"/>
        <v>1947.5</v>
      </c>
    </row>
    <row r="9" spans="2:8" ht="15" customHeight="1">
      <c r="B9" s="973" t="s">
        <v>279</v>
      </c>
      <c r="C9" s="975" t="s">
        <v>26</v>
      </c>
      <c r="D9" s="964">
        <v>694</v>
      </c>
      <c r="E9" s="965">
        <f t="shared" si="0"/>
        <v>6593</v>
      </c>
    </row>
    <row r="10" spans="2:8" ht="15" customHeight="1">
      <c r="B10" s="1051" t="s">
        <v>329</v>
      </c>
      <c r="C10" s="975" t="s">
        <v>26</v>
      </c>
      <c r="D10" s="943">
        <v>657</v>
      </c>
      <c r="E10" s="965">
        <f t="shared" si="0"/>
        <v>6241.5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1945</v>
      </c>
      <c r="E12" s="965">
        <f t="shared" si="0"/>
        <v>18477.5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973" t="s">
        <v>696</v>
      </c>
      <c r="C17" s="975" t="s">
        <v>669</v>
      </c>
      <c r="D17" s="964">
        <v>267</v>
      </c>
      <c r="E17" s="965">
        <f t="shared" ref="E17:E22" si="1">D17*9.5</f>
        <v>2536.5</v>
      </c>
    </row>
    <row r="18" spans="2:6" ht="15" customHeight="1">
      <c r="B18" s="973" t="s">
        <v>303</v>
      </c>
      <c r="C18" s="975" t="s">
        <v>669</v>
      </c>
      <c r="D18" s="964">
        <v>849</v>
      </c>
      <c r="E18" s="965">
        <f t="shared" si="1"/>
        <v>8065.5</v>
      </c>
    </row>
    <row r="19" spans="2:6" ht="14.45" customHeight="1">
      <c r="B19" s="973" t="s">
        <v>143</v>
      </c>
      <c r="C19" s="975" t="s">
        <v>26</v>
      </c>
      <c r="D19" s="964">
        <v>482</v>
      </c>
      <c r="E19" s="965">
        <f t="shared" si="1"/>
        <v>4579</v>
      </c>
    </row>
    <row r="20" spans="2:6" ht="14.45" customHeight="1">
      <c r="B20" s="1051" t="s">
        <v>334</v>
      </c>
      <c r="C20" s="975" t="s">
        <v>26</v>
      </c>
      <c r="D20" s="964">
        <v>282</v>
      </c>
      <c r="E20" s="965">
        <f t="shared" si="1"/>
        <v>2679</v>
      </c>
    </row>
    <row r="21" spans="2:6" ht="14.45" customHeight="1">
      <c r="B21" s="1051" t="s">
        <v>768</v>
      </c>
      <c r="C21" s="975" t="s">
        <v>681</v>
      </c>
      <c r="D21" s="964"/>
      <c r="E21" s="965">
        <f t="shared" si="1"/>
        <v>0</v>
      </c>
      <c r="F21" s="934" t="s">
        <v>761</v>
      </c>
    </row>
    <row r="22" spans="2:6" ht="14.45" customHeight="1">
      <c r="B22" s="1269" t="s">
        <v>24</v>
      </c>
      <c r="C22" s="1270"/>
      <c r="D22" s="964">
        <f>SUM(D17:D21)</f>
        <v>1880</v>
      </c>
      <c r="E22" s="954">
        <f t="shared" si="1"/>
        <v>17860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685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973" t="s">
        <v>44</v>
      </c>
      <c r="C27" s="975" t="s">
        <v>669</v>
      </c>
      <c r="D27" s="964">
        <v>209</v>
      </c>
      <c r="E27" s="965">
        <f t="shared" ref="E27:E32" si="2">D27*9.5</f>
        <v>1985.5</v>
      </c>
    </row>
    <row r="28" spans="2:6">
      <c r="B28" s="973" t="s">
        <v>235</v>
      </c>
      <c r="C28" s="975" t="s">
        <v>669</v>
      </c>
      <c r="D28" s="964">
        <v>365</v>
      </c>
      <c r="E28" s="965">
        <f t="shared" si="2"/>
        <v>3467.5</v>
      </c>
    </row>
    <row r="29" spans="2:6">
      <c r="B29" s="973" t="s">
        <v>250</v>
      </c>
      <c r="C29" s="975" t="s">
        <v>26</v>
      </c>
      <c r="D29" s="964">
        <v>276</v>
      </c>
      <c r="E29" s="965">
        <f>D29*9.5</f>
        <v>2622</v>
      </c>
    </row>
    <row r="30" spans="2:6">
      <c r="B30" s="973" t="s">
        <v>334</v>
      </c>
      <c r="C30" s="975" t="s">
        <v>26</v>
      </c>
      <c r="D30" s="964">
        <v>357</v>
      </c>
      <c r="E30" s="965">
        <f t="shared" si="2"/>
        <v>3391.5</v>
      </c>
    </row>
    <row r="31" spans="2:6">
      <c r="B31" s="789" t="s">
        <v>768</v>
      </c>
      <c r="C31" s="975" t="s">
        <v>667</v>
      </c>
      <c r="D31" s="964"/>
      <c r="E31" s="965">
        <f t="shared" si="2"/>
        <v>0</v>
      </c>
      <c r="F31" s="934" t="s">
        <v>761</v>
      </c>
    </row>
    <row r="32" spans="2:6" ht="20.100000000000001" customHeight="1">
      <c r="B32" s="1259" t="s">
        <v>24</v>
      </c>
      <c r="C32" s="1259"/>
      <c r="D32" s="964">
        <f>SUM(D27:D31)</f>
        <v>1207</v>
      </c>
      <c r="E32" s="954">
        <f t="shared" si="2"/>
        <v>11466.5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1945</v>
      </c>
      <c r="D35" s="956">
        <f>D22</f>
        <v>1880</v>
      </c>
      <c r="E35" s="956">
        <f>D32</f>
        <v>1207</v>
      </c>
    </row>
    <row r="36" spans="2:5">
      <c r="B36" s="953" t="s">
        <v>36</v>
      </c>
      <c r="C36" s="951">
        <f>C35*9.5</f>
        <v>18477.5</v>
      </c>
      <c r="D36" s="951">
        <f>D35*9.5</f>
        <v>17860</v>
      </c>
      <c r="E36" s="951">
        <f>E35*9.5</f>
        <v>11466.5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5032</v>
      </c>
      <c r="D38" s="378" t="s">
        <v>253</v>
      </c>
      <c r="E38" s="381">
        <f>C38*9.5</f>
        <v>47804</v>
      </c>
    </row>
    <row r="39" spans="2:5">
      <c r="B39" s="377" t="s">
        <v>197</v>
      </c>
      <c r="C39" s="378">
        <f>C40-C38</f>
        <v>157</v>
      </c>
      <c r="D39" s="378" t="s">
        <v>204</v>
      </c>
      <c r="E39" s="381">
        <f>C39*9</f>
        <v>1413</v>
      </c>
    </row>
    <row r="40" spans="2:5" ht="19.5">
      <c r="B40" s="941" t="s">
        <v>201</v>
      </c>
      <c r="C40" s="380">
        <v>5189</v>
      </c>
      <c r="D40" s="380" t="s">
        <v>202</v>
      </c>
      <c r="E40" s="379">
        <f>SUM(E38+E39)</f>
        <v>49217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87AF4-E125-4C66-A40B-1E90F4F55A44}">
  <sheetPr codeName="Sheet21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44871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279</v>
      </c>
      <c r="C7" s="975" t="s">
        <v>669</v>
      </c>
      <c r="D7" s="964">
        <v>615</v>
      </c>
      <c r="E7" s="965">
        <f t="shared" ref="E7:E12" si="0">D7*9.5</f>
        <v>5842.5</v>
      </c>
    </row>
    <row r="8" spans="2:8" ht="15" customHeight="1">
      <c r="B8" s="973" t="s">
        <v>696</v>
      </c>
      <c r="C8" s="975" t="s">
        <v>669</v>
      </c>
      <c r="D8" s="964">
        <v>320</v>
      </c>
      <c r="E8" s="965">
        <f t="shared" si="0"/>
        <v>3040</v>
      </c>
    </row>
    <row r="9" spans="2:8" ht="15" customHeight="1">
      <c r="B9" s="973" t="s">
        <v>189</v>
      </c>
      <c r="C9" s="975" t="s">
        <v>26</v>
      </c>
      <c r="D9" s="964">
        <v>449</v>
      </c>
      <c r="E9" s="965">
        <f t="shared" si="0"/>
        <v>4265.5</v>
      </c>
    </row>
    <row r="10" spans="2:8" ht="15" customHeight="1">
      <c r="B10" s="1051" t="s">
        <v>184</v>
      </c>
      <c r="C10" s="975" t="s">
        <v>26</v>
      </c>
      <c r="D10" s="943">
        <v>291</v>
      </c>
      <c r="E10" s="965">
        <f t="shared" si="0"/>
        <v>2764.5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1675</v>
      </c>
      <c r="E12" s="965">
        <f t="shared" si="0"/>
        <v>15912.5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281</v>
      </c>
      <c r="C17" s="975" t="s">
        <v>669</v>
      </c>
      <c r="D17" s="964">
        <v>405</v>
      </c>
      <c r="E17" s="965">
        <f t="shared" ref="E17:E22" si="1">D17*9.5</f>
        <v>3847.5</v>
      </c>
    </row>
    <row r="18" spans="2:5" ht="15" customHeight="1">
      <c r="B18" s="973" t="s">
        <v>82</v>
      </c>
      <c r="C18" s="975" t="s">
        <v>669</v>
      </c>
      <c r="D18" s="964">
        <v>345</v>
      </c>
      <c r="E18" s="965">
        <f t="shared" si="1"/>
        <v>3277.5</v>
      </c>
    </row>
    <row r="19" spans="2:5" ht="14.45" customHeight="1">
      <c r="B19" s="973" t="s">
        <v>301</v>
      </c>
      <c r="C19" s="975" t="s">
        <v>26</v>
      </c>
      <c r="D19" s="964">
        <v>547</v>
      </c>
      <c r="E19" s="965">
        <f t="shared" si="1"/>
        <v>5196.5</v>
      </c>
    </row>
    <row r="20" spans="2:5" ht="14.45" customHeight="1">
      <c r="B20" s="1051" t="s">
        <v>12</v>
      </c>
      <c r="C20" s="975" t="s">
        <v>26</v>
      </c>
      <c r="D20" s="964">
        <v>314</v>
      </c>
      <c r="E20" s="965">
        <f t="shared" si="1"/>
        <v>2983</v>
      </c>
    </row>
    <row r="21" spans="2:5" ht="14.45" customHeight="1">
      <c r="B21" s="1051" t="s">
        <v>329</v>
      </c>
      <c r="C21" s="975" t="s">
        <v>681</v>
      </c>
      <c r="D21" s="964">
        <v>326</v>
      </c>
      <c r="E21" s="965">
        <f t="shared" si="1"/>
        <v>3097</v>
      </c>
    </row>
    <row r="22" spans="2:5" ht="14.45" customHeight="1">
      <c r="B22" s="1269" t="s">
        <v>24</v>
      </c>
      <c r="C22" s="1270"/>
      <c r="D22" s="964">
        <f>SUM(D17:D21)</f>
        <v>1937</v>
      </c>
      <c r="E22" s="954">
        <f t="shared" si="1"/>
        <v>18401.5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250</v>
      </c>
      <c r="C27" s="975" t="s">
        <v>669</v>
      </c>
      <c r="D27" s="964">
        <v>205</v>
      </c>
      <c r="E27" s="965">
        <f t="shared" ref="E27:E32" si="2">D27*9.5</f>
        <v>1947.5</v>
      </c>
    </row>
    <row r="28" spans="2:5">
      <c r="B28" s="973" t="s">
        <v>258</v>
      </c>
      <c r="C28" s="975" t="s">
        <v>669</v>
      </c>
      <c r="D28" s="964">
        <v>249</v>
      </c>
      <c r="E28" s="965">
        <f t="shared" si="2"/>
        <v>2365.5</v>
      </c>
    </row>
    <row r="29" spans="2:5">
      <c r="B29" s="973" t="s">
        <v>769</v>
      </c>
      <c r="C29" s="975" t="s">
        <v>26</v>
      </c>
      <c r="D29" s="964">
        <v>301</v>
      </c>
      <c r="E29" s="965">
        <f>D29*9.5</f>
        <v>2859.5</v>
      </c>
    </row>
    <row r="30" spans="2:5">
      <c r="B30" s="973" t="s">
        <v>63</v>
      </c>
      <c r="C30" s="975" t="s">
        <v>26</v>
      </c>
      <c r="D30" s="964">
        <v>177</v>
      </c>
      <c r="E30" s="965">
        <f t="shared" si="2"/>
        <v>1681.5</v>
      </c>
    </row>
    <row r="31" spans="2:5">
      <c r="B31" s="789" t="s">
        <v>245</v>
      </c>
      <c r="C31" s="975" t="s">
        <v>667</v>
      </c>
      <c r="D31" s="964">
        <v>119</v>
      </c>
      <c r="E31" s="965">
        <f t="shared" si="2"/>
        <v>1130.5</v>
      </c>
    </row>
    <row r="32" spans="2:5" ht="20.100000000000001" customHeight="1">
      <c r="B32" s="1259" t="s">
        <v>24</v>
      </c>
      <c r="C32" s="1259"/>
      <c r="D32" s="964">
        <f>SUM(D27:D31)</f>
        <v>1051</v>
      </c>
      <c r="E32" s="954">
        <f t="shared" si="2"/>
        <v>9984.5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1675</v>
      </c>
      <c r="D35" s="956">
        <f>D22</f>
        <v>1937</v>
      </c>
      <c r="E35" s="956">
        <f>D32</f>
        <v>1051</v>
      </c>
    </row>
    <row r="36" spans="2:5">
      <c r="B36" s="953" t="s">
        <v>36</v>
      </c>
      <c r="C36" s="951">
        <f>C35*9.5</f>
        <v>15912.5</v>
      </c>
      <c r="D36" s="951">
        <f>D35*9.5</f>
        <v>18401.5</v>
      </c>
      <c r="E36" s="951">
        <f>E35*9.5</f>
        <v>9984.5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4663</v>
      </c>
      <c r="D38" s="378" t="s">
        <v>253</v>
      </c>
      <c r="E38" s="381">
        <f>C38*9.5</f>
        <v>44298.5</v>
      </c>
    </row>
    <row r="39" spans="2:5">
      <c r="B39" s="377" t="s">
        <v>197</v>
      </c>
      <c r="C39" s="378">
        <f>C40-C38</f>
        <v>162</v>
      </c>
      <c r="D39" s="378" t="s">
        <v>204</v>
      </c>
      <c r="E39" s="381">
        <f>C39*9</f>
        <v>1458</v>
      </c>
    </row>
    <row r="40" spans="2:5" ht="19.5">
      <c r="B40" s="941" t="s">
        <v>201</v>
      </c>
      <c r="C40" s="380">
        <v>4825</v>
      </c>
      <c r="D40" s="380" t="s">
        <v>202</v>
      </c>
      <c r="E40" s="379">
        <f>SUM(E38+E39)</f>
        <v>45756.5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5DC38-819D-4204-B7C0-777474FE5B7A}">
  <sheetPr codeName="Sheet21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44872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65</v>
      </c>
      <c r="C7" s="975" t="s">
        <v>669</v>
      </c>
      <c r="D7" s="964">
        <v>455</v>
      </c>
      <c r="E7" s="965">
        <f t="shared" ref="E7:E12" si="0">D7*9.5</f>
        <v>4322.5</v>
      </c>
    </row>
    <row r="8" spans="2:8" ht="15" customHeight="1">
      <c r="B8" s="973" t="s">
        <v>82</v>
      </c>
      <c r="C8" s="975" t="s">
        <v>669</v>
      </c>
      <c r="D8" s="964">
        <v>363</v>
      </c>
      <c r="E8" s="965">
        <f t="shared" si="0"/>
        <v>3448.5</v>
      </c>
    </row>
    <row r="9" spans="2:8" ht="15" customHeight="1">
      <c r="B9" s="973" t="s">
        <v>45</v>
      </c>
      <c r="C9" s="975" t="s">
        <v>26</v>
      </c>
      <c r="D9" s="964">
        <v>374</v>
      </c>
      <c r="E9" s="965">
        <f t="shared" si="0"/>
        <v>3553</v>
      </c>
    </row>
    <row r="10" spans="2:8" ht="15" customHeight="1">
      <c r="B10" s="1051" t="s">
        <v>329</v>
      </c>
      <c r="C10" s="975" t="s">
        <v>26</v>
      </c>
      <c r="D10" s="943">
        <v>328</v>
      </c>
      <c r="E10" s="965">
        <f t="shared" si="0"/>
        <v>3116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1520</v>
      </c>
      <c r="E12" s="965">
        <f t="shared" si="0"/>
        <v>14440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260</v>
      </c>
      <c r="C17" s="975" t="s">
        <v>669</v>
      </c>
      <c r="D17" s="964">
        <v>467</v>
      </c>
      <c r="E17" s="965">
        <f t="shared" ref="E17:E22" si="1">D17*9.5</f>
        <v>4436.5</v>
      </c>
    </row>
    <row r="18" spans="2:5" ht="15" customHeight="1">
      <c r="B18" s="973" t="s">
        <v>696</v>
      </c>
      <c r="C18" s="975" t="s">
        <v>669</v>
      </c>
      <c r="D18" s="964">
        <v>281</v>
      </c>
      <c r="E18" s="965">
        <f t="shared" si="1"/>
        <v>2669.5</v>
      </c>
    </row>
    <row r="19" spans="2:5" ht="14.45" customHeight="1">
      <c r="B19" s="973" t="s">
        <v>250</v>
      </c>
      <c r="C19" s="975" t="s">
        <v>26</v>
      </c>
      <c r="D19" s="964">
        <v>488</v>
      </c>
      <c r="E19" s="965">
        <f t="shared" si="1"/>
        <v>4636</v>
      </c>
    </row>
    <row r="20" spans="2:5" ht="14.45" customHeight="1">
      <c r="B20" s="1051" t="s">
        <v>329</v>
      </c>
      <c r="C20" s="975" t="s">
        <v>26</v>
      </c>
      <c r="D20" s="964">
        <v>355</v>
      </c>
      <c r="E20" s="965">
        <f t="shared" si="1"/>
        <v>3372.5</v>
      </c>
    </row>
    <row r="21" spans="2:5" ht="14.45" customHeight="1">
      <c r="B21" s="1051" t="s">
        <v>332</v>
      </c>
      <c r="C21" s="975" t="s">
        <v>681</v>
      </c>
      <c r="D21" s="964">
        <v>438</v>
      </c>
      <c r="E21" s="965">
        <f t="shared" si="1"/>
        <v>4161</v>
      </c>
    </row>
    <row r="22" spans="2:5" ht="14.45" customHeight="1">
      <c r="B22" s="1269" t="s">
        <v>24</v>
      </c>
      <c r="C22" s="1270"/>
      <c r="D22" s="964">
        <f>SUM(D17:D21)</f>
        <v>2029</v>
      </c>
      <c r="E22" s="954">
        <f t="shared" si="1"/>
        <v>19275.5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278</v>
      </c>
      <c r="C27" s="975" t="s">
        <v>669</v>
      </c>
      <c r="D27" s="964">
        <v>430</v>
      </c>
      <c r="E27" s="965">
        <f t="shared" ref="E27:E32" si="2">D27*9.5</f>
        <v>4085</v>
      </c>
    </row>
    <row r="28" spans="2:5">
      <c r="B28" s="973" t="s">
        <v>239</v>
      </c>
      <c r="C28" s="975" t="s">
        <v>669</v>
      </c>
      <c r="D28" s="964">
        <v>204</v>
      </c>
      <c r="E28" s="965">
        <f t="shared" si="2"/>
        <v>1938</v>
      </c>
    </row>
    <row r="29" spans="2:5">
      <c r="B29" s="973" t="s">
        <v>250</v>
      </c>
      <c r="C29" s="975" t="s">
        <v>26</v>
      </c>
      <c r="D29" s="964">
        <v>265</v>
      </c>
      <c r="E29" s="965">
        <f>D29*9.5</f>
        <v>2517.5</v>
      </c>
    </row>
    <row r="30" spans="2:5">
      <c r="B30" s="973" t="s">
        <v>44</v>
      </c>
      <c r="C30" s="975" t="s">
        <v>26</v>
      </c>
      <c r="D30" s="964">
        <v>238</v>
      </c>
      <c r="E30" s="965">
        <f t="shared" si="2"/>
        <v>2261</v>
      </c>
    </row>
    <row r="31" spans="2:5">
      <c r="B31" s="789" t="s">
        <v>252</v>
      </c>
      <c r="C31" s="975" t="s">
        <v>667</v>
      </c>
      <c r="D31" s="964">
        <v>221</v>
      </c>
      <c r="E31" s="965">
        <f t="shared" si="2"/>
        <v>2099.5</v>
      </c>
    </row>
    <row r="32" spans="2:5" ht="20.100000000000001" customHeight="1">
      <c r="B32" s="1259" t="s">
        <v>24</v>
      </c>
      <c r="C32" s="1259"/>
      <c r="D32" s="964">
        <f>SUM(D27:D31)</f>
        <v>1358</v>
      </c>
      <c r="E32" s="954">
        <f t="shared" si="2"/>
        <v>12901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1520</v>
      </c>
      <c r="D35" s="956">
        <f>D22</f>
        <v>2029</v>
      </c>
      <c r="E35" s="956">
        <f>D32</f>
        <v>1358</v>
      </c>
    </row>
    <row r="36" spans="2:5">
      <c r="B36" s="953" t="s">
        <v>36</v>
      </c>
      <c r="C36" s="951">
        <f>C35*9.5</f>
        <v>14440</v>
      </c>
      <c r="D36" s="951">
        <f>D35*9.5</f>
        <v>19275.5</v>
      </c>
      <c r="E36" s="951">
        <f>E35*9.5</f>
        <v>12901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4907</v>
      </c>
      <c r="D38" s="378" t="s">
        <v>253</v>
      </c>
      <c r="E38" s="381">
        <f>C38*9.5</f>
        <v>46616.5</v>
      </c>
    </row>
    <row r="39" spans="2:5">
      <c r="B39" s="377" t="s">
        <v>197</v>
      </c>
      <c r="C39" s="378">
        <f>C40-C38</f>
        <v>2827</v>
      </c>
      <c r="D39" s="378" t="s">
        <v>204</v>
      </c>
      <c r="E39" s="381">
        <f>C39*9</f>
        <v>25443</v>
      </c>
    </row>
    <row r="40" spans="2:5" ht="19.5">
      <c r="B40" s="941" t="s">
        <v>201</v>
      </c>
      <c r="C40" s="380">
        <v>7734</v>
      </c>
      <c r="D40" s="380" t="s">
        <v>202</v>
      </c>
      <c r="E40" s="379">
        <f>SUM(E38+E39)</f>
        <v>72059.5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B53-56FD-469E-9F28-C3AF6F61D59B}">
  <sheetPr codeName="Sheet21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44873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63</v>
      </c>
      <c r="C7" s="975" t="s">
        <v>669</v>
      </c>
      <c r="D7" s="964">
        <v>338</v>
      </c>
      <c r="E7" s="965">
        <f t="shared" ref="E7:E12" si="0">D7*9.5</f>
        <v>3211</v>
      </c>
    </row>
    <row r="8" spans="2:8" ht="15" customHeight="1">
      <c r="B8" s="973" t="s">
        <v>51</v>
      </c>
      <c r="C8" s="975" t="s">
        <v>669</v>
      </c>
      <c r="D8" s="964">
        <v>442</v>
      </c>
      <c r="E8" s="965">
        <f t="shared" si="0"/>
        <v>4199</v>
      </c>
    </row>
    <row r="9" spans="2:8" ht="15" customHeight="1">
      <c r="B9" s="973" t="s">
        <v>330</v>
      </c>
      <c r="C9" s="975" t="s">
        <v>26</v>
      </c>
      <c r="D9" s="964">
        <v>680</v>
      </c>
      <c r="E9" s="965">
        <f t="shared" si="0"/>
        <v>6460</v>
      </c>
    </row>
    <row r="10" spans="2:8" ht="15" customHeight="1">
      <c r="B10" s="1051" t="s">
        <v>245</v>
      </c>
      <c r="C10" s="975" t="s">
        <v>26</v>
      </c>
      <c r="D10" s="943">
        <v>286</v>
      </c>
      <c r="E10" s="965">
        <f t="shared" si="0"/>
        <v>2717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1746</v>
      </c>
      <c r="E12" s="965">
        <f t="shared" si="0"/>
        <v>16587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238</v>
      </c>
      <c r="C17" s="975" t="s">
        <v>669</v>
      </c>
      <c r="D17" s="964">
        <v>285</v>
      </c>
      <c r="E17" s="965">
        <f t="shared" ref="E17:E22" si="1">D17*9.5</f>
        <v>2707.5</v>
      </c>
    </row>
    <row r="18" spans="2:5" ht="15" customHeight="1">
      <c r="B18" s="973" t="s">
        <v>763</v>
      </c>
      <c r="C18" s="975" t="s">
        <v>669</v>
      </c>
      <c r="D18" s="964">
        <v>326</v>
      </c>
      <c r="E18" s="965">
        <f t="shared" si="1"/>
        <v>3097</v>
      </c>
    </row>
    <row r="19" spans="2:5" ht="14.45" customHeight="1">
      <c r="B19" s="973" t="s">
        <v>244</v>
      </c>
      <c r="C19" s="975" t="s">
        <v>26</v>
      </c>
      <c r="D19" s="964">
        <v>556</v>
      </c>
      <c r="E19" s="965">
        <f t="shared" si="1"/>
        <v>5282</v>
      </c>
    </row>
    <row r="20" spans="2:5" ht="14.45" customHeight="1">
      <c r="B20" s="1051" t="s">
        <v>239</v>
      </c>
      <c r="C20" s="975" t="s">
        <v>26</v>
      </c>
      <c r="D20" s="964">
        <v>204</v>
      </c>
      <c r="E20" s="965">
        <f t="shared" si="1"/>
        <v>1938</v>
      </c>
    </row>
    <row r="21" spans="2:5" ht="14.45" customHeight="1">
      <c r="B21" s="1051" t="s">
        <v>334</v>
      </c>
      <c r="C21" s="975" t="s">
        <v>681</v>
      </c>
      <c r="D21" s="964">
        <v>252</v>
      </c>
      <c r="E21" s="965">
        <f t="shared" si="1"/>
        <v>2394</v>
      </c>
    </row>
    <row r="22" spans="2:5" ht="14.45" customHeight="1">
      <c r="B22" s="1269" t="s">
        <v>24</v>
      </c>
      <c r="C22" s="1270"/>
      <c r="D22" s="964">
        <f>SUM(D17:D21)</f>
        <v>1623</v>
      </c>
      <c r="E22" s="954">
        <f t="shared" si="1"/>
        <v>15418.5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333</v>
      </c>
      <c r="C27" s="975" t="s">
        <v>669</v>
      </c>
      <c r="D27" s="964">
        <v>295</v>
      </c>
      <c r="E27" s="965">
        <f t="shared" ref="E27:E32" si="2">D27*9.5</f>
        <v>2802.5</v>
      </c>
    </row>
    <row r="28" spans="2:5">
      <c r="B28" s="973" t="s">
        <v>65</v>
      </c>
      <c r="C28" s="975" t="s">
        <v>669</v>
      </c>
      <c r="D28" s="964">
        <v>310</v>
      </c>
      <c r="E28" s="965">
        <f t="shared" si="2"/>
        <v>2945</v>
      </c>
    </row>
    <row r="29" spans="2:5">
      <c r="B29" s="973" t="s">
        <v>44</v>
      </c>
      <c r="C29" s="975" t="s">
        <v>26</v>
      </c>
      <c r="D29" s="964">
        <v>198</v>
      </c>
      <c r="E29" s="965">
        <f>D29*9.5</f>
        <v>1881</v>
      </c>
    </row>
    <row r="30" spans="2:5">
      <c r="B30" s="973" t="s">
        <v>70</v>
      </c>
      <c r="C30" s="975" t="s">
        <v>26</v>
      </c>
      <c r="D30" s="964">
        <v>427</v>
      </c>
      <c r="E30" s="965">
        <f t="shared" si="2"/>
        <v>4056.5</v>
      </c>
    </row>
    <row r="31" spans="2:5">
      <c r="B31" s="789" t="s">
        <v>143</v>
      </c>
      <c r="C31" s="975" t="s">
        <v>667</v>
      </c>
      <c r="D31" s="964">
        <v>269</v>
      </c>
      <c r="E31" s="965">
        <f t="shared" si="2"/>
        <v>2555.5</v>
      </c>
    </row>
    <row r="32" spans="2:5" ht="20.100000000000001" customHeight="1">
      <c r="B32" s="1259" t="s">
        <v>24</v>
      </c>
      <c r="C32" s="1259"/>
      <c r="D32" s="964">
        <f>SUM(D27:D31)</f>
        <v>1499</v>
      </c>
      <c r="E32" s="954">
        <f t="shared" si="2"/>
        <v>14240.5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1746</v>
      </c>
      <c r="D35" s="956">
        <f>D22</f>
        <v>1623</v>
      </c>
      <c r="E35" s="956">
        <f>D32</f>
        <v>1499</v>
      </c>
    </row>
    <row r="36" spans="2:5">
      <c r="B36" s="953" t="s">
        <v>36</v>
      </c>
      <c r="C36" s="951">
        <f>C35*9.5</f>
        <v>16587</v>
      </c>
      <c r="D36" s="951">
        <f>D35*9.5</f>
        <v>15418.5</v>
      </c>
      <c r="E36" s="951">
        <f>E35*9.5</f>
        <v>14240.5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4868</v>
      </c>
      <c r="D38" s="378" t="s">
        <v>253</v>
      </c>
      <c r="E38" s="381">
        <f>C38*9.5</f>
        <v>46246</v>
      </c>
    </row>
    <row r="39" spans="2:5">
      <c r="B39" s="377" t="s">
        <v>197</v>
      </c>
      <c r="C39" s="378">
        <f>C40-C38</f>
        <v>3283</v>
      </c>
      <c r="D39" s="378" t="s">
        <v>204</v>
      </c>
      <c r="E39" s="381">
        <f>C39*9</f>
        <v>29547</v>
      </c>
    </row>
    <row r="40" spans="2:5" ht="19.5">
      <c r="B40" s="941" t="s">
        <v>201</v>
      </c>
      <c r="C40" s="380">
        <v>8151</v>
      </c>
      <c r="D40" s="380" t="s">
        <v>202</v>
      </c>
      <c r="E40" s="379">
        <f>SUM(E38+E39)</f>
        <v>75793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67D70-0385-42EB-9F4B-6236CE185198}">
  <sheetPr codeName="Sheet21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44874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65</v>
      </c>
      <c r="C7" s="975" t="s">
        <v>669</v>
      </c>
      <c r="D7" s="964">
        <v>550</v>
      </c>
      <c r="E7" s="965">
        <f t="shared" ref="E7:E12" si="0">D7*9.5</f>
        <v>5225</v>
      </c>
    </row>
    <row r="8" spans="2:8" ht="15" customHeight="1">
      <c r="B8" s="973" t="s">
        <v>184</v>
      </c>
      <c r="C8" s="975" t="s">
        <v>669</v>
      </c>
      <c r="D8" s="964">
        <v>262</v>
      </c>
      <c r="E8" s="965">
        <f t="shared" si="0"/>
        <v>2489</v>
      </c>
    </row>
    <row r="9" spans="2:8" ht="15" customHeight="1">
      <c r="B9" s="973" t="s">
        <v>295</v>
      </c>
      <c r="C9" s="975" t="s">
        <v>26</v>
      </c>
      <c r="D9" s="964">
        <v>206</v>
      </c>
      <c r="E9" s="965">
        <f t="shared" si="0"/>
        <v>1957</v>
      </c>
    </row>
    <row r="10" spans="2:8" ht="15" customHeight="1">
      <c r="B10" s="1051" t="s">
        <v>770</v>
      </c>
      <c r="C10" s="975" t="s">
        <v>26</v>
      </c>
      <c r="D10" s="943">
        <v>348</v>
      </c>
      <c r="E10" s="965">
        <f t="shared" si="0"/>
        <v>3306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1366</v>
      </c>
      <c r="E12" s="965">
        <f t="shared" si="0"/>
        <v>12977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143</v>
      </c>
      <c r="C17" s="975" t="s">
        <v>669</v>
      </c>
      <c r="D17" s="964">
        <v>450</v>
      </c>
      <c r="E17" s="965">
        <f t="shared" ref="E17:E22" si="1">D17*9.5</f>
        <v>4275</v>
      </c>
    </row>
    <row r="18" spans="2:5" ht="15" customHeight="1">
      <c r="B18" s="973" t="s">
        <v>65</v>
      </c>
      <c r="C18" s="975" t="s">
        <v>669</v>
      </c>
      <c r="D18" s="964">
        <v>380</v>
      </c>
      <c r="E18" s="965">
        <f t="shared" si="1"/>
        <v>3610</v>
      </c>
    </row>
    <row r="19" spans="2:5" ht="14.45" customHeight="1">
      <c r="B19" s="973" t="s">
        <v>678</v>
      </c>
      <c r="C19" s="975" t="s">
        <v>26</v>
      </c>
      <c r="D19" s="964">
        <v>468</v>
      </c>
      <c r="E19" s="965">
        <f t="shared" si="1"/>
        <v>4446</v>
      </c>
    </row>
    <row r="20" spans="2:5" ht="14.45" customHeight="1">
      <c r="B20" s="1051" t="s">
        <v>334</v>
      </c>
      <c r="C20" s="975" t="s">
        <v>26</v>
      </c>
      <c r="D20" s="964">
        <v>387</v>
      </c>
      <c r="E20" s="965">
        <f t="shared" si="1"/>
        <v>3676.5</v>
      </c>
    </row>
    <row r="21" spans="2:5" ht="14.45" customHeight="1">
      <c r="B21" s="1051" t="s">
        <v>45</v>
      </c>
      <c r="C21" s="975" t="s">
        <v>681</v>
      </c>
      <c r="D21" s="964">
        <v>350</v>
      </c>
      <c r="E21" s="965">
        <f t="shared" si="1"/>
        <v>3325</v>
      </c>
    </row>
    <row r="22" spans="2:5" ht="14.45" customHeight="1">
      <c r="B22" s="1269" t="s">
        <v>24</v>
      </c>
      <c r="C22" s="1270"/>
      <c r="D22" s="964">
        <f>SUM(D17:D21)</f>
        <v>2035</v>
      </c>
      <c r="E22" s="954">
        <f t="shared" si="1"/>
        <v>19332.5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235</v>
      </c>
      <c r="C27" s="975" t="s">
        <v>669</v>
      </c>
      <c r="D27" s="964">
        <v>588</v>
      </c>
      <c r="E27" s="965">
        <f t="shared" ref="E27:E32" si="2">D27*9.5</f>
        <v>5586</v>
      </c>
    </row>
    <row r="28" spans="2:5">
      <c r="B28" s="973" t="s">
        <v>143</v>
      </c>
      <c r="C28" s="975" t="s">
        <v>669</v>
      </c>
      <c r="D28" s="964">
        <v>223</v>
      </c>
      <c r="E28" s="965">
        <f t="shared" si="2"/>
        <v>2118.5</v>
      </c>
    </row>
    <row r="29" spans="2:5">
      <c r="B29" s="973" t="s">
        <v>260</v>
      </c>
      <c r="C29" s="975" t="s">
        <v>26</v>
      </c>
      <c r="D29" s="964">
        <v>300</v>
      </c>
      <c r="E29" s="965">
        <f>D29*9.5</f>
        <v>2850</v>
      </c>
    </row>
    <row r="30" spans="2:5">
      <c r="B30" s="973" t="s">
        <v>678</v>
      </c>
      <c r="C30" s="975" t="s">
        <v>26</v>
      </c>
      <c r="D30" s="964">
        <v>238</v>
      </c>
      <c r="E30" s="965">
        <f t="shared" si="2"/>
        <v>2261</v>
      </c>
    </row>
    <row r="31" spans="2:5">
      <c r="B31" s="789" t="s">
        <v>45</v>
      </c>
      <c r="C31" s="975" t="s">
        <v>667</v>
      </c>
      <c r="D31" s="964">
        <v>217</v>
      </c>
      <c r="E31" s="965">
        <f t="shared" si="2"/>
        <v>2061.5</v>
      </c>
    </row>
    <row r="32" spans="2:5" ht="20.100000000000001" customHeight="1">
      <c r="B32" s="1259" t="s">
        <v>24</v>
      </c>
      <c r="C32" s="1259"/>
      <c r="D32" s="964">
        <f>SUM(D27:D31)</f>
        <v>1566</v>
      </c>
      <c r="E32" s="954">
        <f t="shared" si="2"/>
        <v>14877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1366</v>
      </c>
      <c r="D35" s="956">
        <f>D22</f>
        <v>2035</v>
      </c>
      <c r="E35" s="956">
        <f>D32</f>
        <v>1566</v>
      </c>
    </row>
    <row r="36" spans="2:5">
      <c r="B36" s="953" t="s">
        <v>36</v>
      </c>
      <c r="C36" s="951">
        <f>C35*9.5</f>
        <v>12977</v>
      </c>
      <c r="D36" s="951">
        <f>D35*9.5</f>
        <v>19332.5</v>
      </c>
      <c r="E36" s="951">
        <f>E35*9.5</f>
        <v>14877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4967</v>
      </c>
      <c r="D38" s="378" t="s">
        <v>253</v>
      </c>
      <c r="E38" s="381">
        <f>C38*9.5</f>
        <v>47186.5</v>
      </c>
    </row>
    <row r="39" spans="2:5">
      <c r="B39" s="377" t="s">
        <v>197</v>
      </c>
      <c r="C39" s="378">
        <f>C40-C38</f>
        <v>3132</v>
      </c>
      <c r="D39" s="378" t="s">
        <v>204</v>
      </c>
      <c r="E39" s="381">
        <f>C39*9</f>
        <v>28188</v>
      </c>
    </row>
    <row r="40" spans="2:5" ht="19.5">
      <c r="B40" s="941" t="s">
        <v>201</v>
      </c>
      <c r="C40" s="380">
        <v>8099</v>
      </c>
      <c r="D40" s="380" t="s">
        <v>202</v>
      </c>
      <c r="E40" s="379">
        <f>SUM(E38+E39)</f>
        <v>75374.5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5CBED-08EB-4C3F-A0F1-20081877CE28}">
  <sheetPr codeName="Sheet21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44875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252</v>
      </c>
      <c r="C7" s="975" t="s">
        <v>669</v>
      </c>
      <c r="D7" s="964">
        <v>312</v>
      </c>
      <c r="E7" s="965">
        <f t="shared" ref="E7:E12" si="0">D7*9.5</f>
        <v>2964</v>
      </c>
    </row>
    <row r="8" spans="2:8" ht="15" customHeight="1">
      <c r="B8" s="973" t="s">
        <v>281</v>
      </c>
      <c r="C8" s="975" t="s">
        <v>669</v>
      </c>
      <c r="D8" s="964">
        <v>408</v>
      </c>
      <c r="E8" s="965">
        <f t="shared" si="0"/>
        <v>3876</v>
      </c>
    </row>
    <row r="9" spans="2:8" ht="15" customHeight="1">
      <c r="B9" s="973" t="s">
        <v>78</v>
      </c>
      <c r="C9" s="975" t="s">
        <v>26</v>
      </c>
      <c r="D9" s="964">
        <v>361</v>
      </c>
      <c r="E9" s="965">
        <f t="shared" si="0"/>
        <v>3429.5</v>
      </c>
    </row>
    <row r="10" spans="2:8" ht="15" customHeight="1">
      <c r="B10" s="1051" t="s">
        <v>70</v>
      </c>
      <c r="C10" s="975" t="s">
        <v>26</v>
      </c>
      <c r="D10" s="943">
        <v>410</v>
      </c>
      <c r="E10" s="965">
        <f t="shared" si="0"/>
        <v>3895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1491</v>
      </c>
      <c r="E12" s="965">
        <f t="shared" si="0"/>
        <v>14164.5</v>
      </c>
    </row>
    <row r="14" spans="2:8" ht="19.5">
      <c r="B14" s="941" t="s">
        <v>671</v>
      </c>
      <c r="C14" s="1256" t="s">
        <v>46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973" t="s">
        <v>44</v>
      </c>
      <c r="C17" s="975" t="s">
        <v>669</v>
      </c>
      <c r="D17" s="964">
        <v>297</v>
      </c>
      <c r="E17" s="965">
        <f t="shared" ref="E17:E22" si="1">D17*9.5</f>
        <v>2821.5</v>
      </c>
    </row>
    <row r="18" spans="2:6" ht="15" customHeight="1">
      <c r="B18" s="973" t="s">
        <v>279</v>
      </c>
      <c r="C18" s="975" t="s">
        <v>669</v>
      </c>
      <c r="D18" s="964">
        <v>749</v>
      </c>
      <c r="E18" s="965">
        <f t="shared" si="1"/>
        <v>7115.5</v>
      </c>
    </row>
    <row r="19" spans="2:6" ht="14.45" customHeight="1">
      <c r="B19" s="973" t="s">
        <v>82</v>
      </c>
      <c r="C19" s="975" t="s">
        <v>26</v>
      </c>
      <c r="D19" s="964">
        <v>300</v>
      </c>
      <c r="E19" s="965">
        <f t="shared" si="1"/>
        <v>2850</v>
      </c>
    </row>
    <row r="20" spans="2:6" ht="14.45" customHeight="1">
      <c r="B20" s="1051" t="s">
        <v>678</v>
      </c>
      <c r="C20" s="975" t="s">
        <v>26</v>
      </c>
      <c r="D20" s="964">
        <v>388</v>
      </c>
      <c r="E20" s="965">
        <f t="shared" si="1"/>
        <v>3686</v>
      </c>
    </row>
    <row r="21" spans="2:6" ht="14.45" customHeight="1">
      <c r="B21" s="1051" t="s">
        <v>675</v>
      </c>
      <c r="C21" s="975" t="s">
        <v>681</v>
      </c>
      <c r="D21" s="964">
        <v>630</v>
      </c>
      <c r="E21" s="965">
        <f t="shared" si="1"/>
        <v>5985</v>
      </c>
    </row>
    <row r="22" spans="2:6" ht="14.45" customHeight="1">
      <c r="B22" s="1269" t="s">
        <v>24</v>
      </c>
      <c r="C22" s="1270"/>
      <c r="D22" s="964">
        <f>SUM(D17:D21)</f>
        <v>2364</v>
      </c>
      <c r="E22" s="954">
        <f t="shared" si="1"/>
        <v>22458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685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973" t="s">
        <v>278</v>
      </c>
      <c r="C27" s="975" t="s">
        <v>669</v>
      </c>
      <c r="D27" s="964">
        <v>415</v>
      </c>
      <c r="E27" s="965">
        <f t="shared" ref="E27:E32" si="2">D27*9.5</f>
        <v>3942.5</v>
      </c>
    </row>
    <row r="28" spans="2:6">
      <c r="B28" s="973" t="s">
        <v>65</v>
      </c>
      <c r="C28" s="975" t="s">
        <v>669</v>
      </c>
      <c r="D28" s="964">
        <v>244</v>
      </c>
      <c r="E28" s="965">
        <f t="shared" si="2"/>
        <v>2318</v>
      </c>
    </row>
    <row r="29" spans="2:6">
      <c r="B29" s="973" t="s">
        <v>768</v>
      </c>
      <c r="C29" s="975" t="s">
        <v>26</v>
      </c>
      <c r="D29" s="964"/>
      <c r="E29" s="965">
        <f>D29*9.5</f>
        <v>0</v>
      </c>
      <c r="F29" s="934" t="s">
        <v>761</v>
      </c>
    </row>
    <row r="30" spans="2:6">
      <c r="B30" s="973" t="s">
        <v>678</v>
      </c>
      <c r="C30" s="975" t="s">
        <v>26</v>
      </c>
      <c r="D30" s="964">
        <v>154</v>
      </c>
      <c r="E30" s="965">
        <f t="shared" si="2"/>
        <v>1463</v>
      </c>
    </row>
    <row r="31" spans="2:6">
      <c r="B31" s="789" t="s">
        <v>331</v>
      </c>
      <c r="C31" s="975" t="s">
        <v>667</v>
      </c>
      <c r="D31" s="964">
        <v>386</v>
      </c>
      <c r="E31" s="965">
        <f t="shared" si="2"/>
        <v>3667</v>
      </c>
    </row>
    <row r="32" spans="2:6" ht="20.100000000000001" customHeight="1">
      <c r="B32" s="1259" t="s">
        <v>24</v>
      </c>
      <c r="C32" s="1259"/>
      <c r="D32" s="964">
        <f>SUM(D27:D31)</f>
        <v>1199</v>
      </c>
      <c r="E32" s="954">
        <f t="shared" si="2"/>
        <v>11390.5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1491</v>
      </c>
      <c r="D35" s="956">
        <f>D22</f>
        <v>2364</v>
      </c>
      <c r="E35" s="956">
        <f>D32</f>
        <v>1199</v>
      </c>
    </row>
    <row r="36" spans="2:5">
      <c r="B36" s="953" t="s">
        <v>36</v>
      </c>
      <c r="C36" s="951">
        <f>C35*9.5</f>
        <v>14164.5</v>
      </c>
      <c r="D36" s="951">
        <f>D35*9.5</f>
        <v>22458</v>
      </c>
      <c r="E36" s="951">
        <f>E35*9.5</f>
        <v>11390.5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5054</v>
      </c>
      <c r="D38" s="378" t="s">
        <v>253</v>
      </c>
      <c r="E38" s="381">
        <f>C38*9.5</f>
        <v>48013</v>
      </c>
    </row>
    <row r="39" spans="2:5">
      <c r="B39" s="377" t="s">
        <v>197</v>
      </c>
      <c r="C39" s="378">
        <f>C40-C38</f>
        <v>2908</v>
      </c>
      <c r="D39" s="378" t="s">
        <v>204</v>
      </c>
      <c r="E39" s="381">
        <f>C39*9</f>
        <v>26172</v>
      </c>
    </row>
    <row r="40" spans="2:5" ht="19.5">
      <c r="B40" s="941" t="s">
        <v>201</v>
      </c>
      <c r="C40" s="380">
        <v>7962</v>
      </c>
      <c r="D40" s="380" t="s">
        <v>202</v>
      </c>
      <c r="E40" s="379">
        <f>SUM(E38+E39)</f>
        <v>74185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74A4-3686-40F0-94B8-9CD979CFA4CF}">
  <sheetPr codeName="Sheet22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44876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763</v>
      </c>
      <c r="C7" s="975" t="s">
        <v>669</v>
      </c>
      <c r="D7" s="964">
        <v>279</v>
      </c>
      <c r="E7" s="965">
        <f t="shared" ref="E7:E12" si="0">D7*9.5</f>
        <v>2650.5</v>
      </c>
    </row>
    <row r="8" spans="2:8" ht="15" customHeight="1">
      <c r="B8" s="973" t="s">
        <v>332</v>
      </c>
      <c r="C8" s="975" t="s">
        <v>669</v>
      </c>
      <c r="D8" s="964">
        <v>598</v>
      </c>
      <c r="E8" s="965">
        <f t="shared" si="0"/>
        <v>5681</v>
      </c>
    </row>
    <row r="9" spans="2:8" ht="15" customHeight="1">
      <c r="B9" s="973" t="s">
        <v>259</v>
      </c>
      <c r="C9" s="975" t="s">
        <v>26</v>
      </c>
      <c r="D9" s="964">
        <v>313</v>
      </c>
      <c r="E9" s="965">
        <f t="shared" si="0"/>
        <v>2973.5</v>
      </c>
    </row>
    <row r="10" spans="2:8" ht="15" customHeight="1">
      <c r="B10" s="1051" t="s">
        <v>189</v>
      </c>
      <c r="C10" s="975" t="s">
        <v>26</v>
      </c>
      <c r="D10" s="943">
        <v>430</v>
      </c>
      <c r="E10" s="965">
        <f t="shared" si="0"/>
        <v>4085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1620</v>
      </c>
      <c r="E12" s="965">
        <f t="shared" si="0"/>
        <v>15390</v>
      </c>
    </row>
    <row r="14" spans="2:8" ht="19.5">
      <c r="B14" s="941" t="s">
        <v>671</v>
      </c>
      <c r="C14" s="1256" t="s">
        <v>73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51</v>
      </c>
      <c r="C17" s="975" t="s">
        <v>669</v>
      </c>
      <c r="D17" s="964">
        <v>426</v>
      </c>
      <c r="E17" s="965">
        <f t="shared" ref="E17:E22" si="1">D17*9.5</f>
        <v>4047</v>
      </c>
    </row>
    <row r="18" spans="2:5" ht="15" customHeight="1">
      <c r="B18" s="973" t="s">
        <v>303</v>
      </c>
      <c r="C18" s="975" t="s">
        <v>669</v>
      </c>
      <c r="D18" s="964">
        <v>777</v>
      </c>
      <c r="E18" s="965">
        <f t="shared" si="1"/>
        <v>7381.5</v>
      </c>
    </row>
    <row r="19" spans="2:5" ht="14.45" customHeight="1">
      <c r="B19" s="973" t="s">
        <v>63</v>
      </c>
      <c r="C19" s="975" t="s">
        <v>26</v>
      </c>
      <c r="D19" s="964">
        <v>293</v>
      </c>
      <c r="E19" s="965">
        <f t="shared" si="1"/>
        <v>2783.5</v>
      </c>
    </row>
    <row r="20" spans="2:5" ht="14.45" customHeight="1">
      <c r="B20" s="1051" t="s">
        <v>238</v>
      </c>
      <c r="C20" s="975" t="s">
        <v>26</v>
      </c>
      <c r="D20" s="964">
        <v>214</v>
      </c>
      <c r="E20" s="965">
        <f t="shared" si="1"/>
        <v>2033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1710</v>
      </c>
      <c r="E22" s="954">
        <f t="shared" si="1"/>
        <v>16245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235</v>
      </c>
      <c r="C27" s="975" t="s">
        <v>669</v>
      </c>
      <c r="D27" s="964">
        <v>468</v>
      </c>
      <c r="E27" s="965">
        <f t="shared" ref="E27:E32" si="2">D27*9.5</f>
        <v>4446</v>
      </c>
    </row>
    <row r="28" spans="2:5">
      <c r="B28" s="973" t="s">
        <v>303</v>
      </c>
      <c r="C28" s="975" t="s">
        <v>669</v>
      </c>
      <c r="D28" s="964">
        <v>382</v>
      </c>
      <c r="E28" s="965">
        <f t="shared" si="2"/>
        <v>3629</v>
      </c>
    </row>
    <row r="29" spans="2:5">
      <c r="B29" s="973" t="s">
        <v>250</v>
      </c>
      <c r="C29" s="975" t="s">
        <v>26</v>
      </c>
      <c r="D29" s="964">
        <v>288</v>
      </c>
      <c r="E29" s="965">
        <f>D29*9.5</f>
        <v>2736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1138</v>
      </c>
      <c r="E32" s="954">
        <f t="shared" si="2"/>
        <v>10811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1620</v>
      </c>
      <c r="D35" s="956">
        <f>D22</f>
        <v>1710</v>
      </c>
      <c r="E35" s="956">
        <f>D32</f>
        <v>1138</v>
      </c>
    </row>
    <row r="36" spans="2:5">
      <c r="B36" s="953" t="s">
        <v>36</v>
      </c>
      <c r="C36" s="951">
        <f>C35*9.5</f>
        <v>15390</v>
      </c>
      <c r="D36" s="951">
        <f>D35*9.5</f>
        <v>16245</v>
      </c>
      <c r="E36" s="951">
        <f>E35*9.5</f>
        <v>10811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4468</v>
      </c>
      <c r="D38" s="378" t="s">
        <v>253</v>
      </c>
      <c r="E38" s="381">
        <f>C38*9.5</f>
        <v>42446</v>
      </c>
    </row>
    <row r="39" spans="2:5">
      <c r="B39" s="377" t="s">
        <v>197</v>
      </c>
      <c r="C39" s="378">
        <f>C40-C38</f>
        <v>245</v>
      </c>
      <c r="D39" s="378" t="s">
        <v>204</v>
      </c>
      <c r="E39" s="381">
        <f>C39*9</f>
        <v>2205</v>
      </c>
    </row>
    <row r="40" spans="2:5" ht="19.5">
      <c r="B40" s="941" t="s">
        <v>201</v>
      </c>
      <c r="C40" s="380">
        <v>4713</v>
      </c>
      <c r="D40" s="380" t="s">
        <v>202</v>
      </c>
      <c r="E40" s="379">
        <f>SUM(E38+E39)</f>
        <v>44651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60F8A-2140-4645-AE21-0348B3E7ACF8}">
  <sheetPr codeName="Sheet22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44877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329</v>
      </c>
      <c r="C7" s="975" t="s">
        <v>669</v>
      </c>
      <c r="D7" s="964">
        <v>673</v>
      </c>
      <c r="E7" s="965">
        <f t="shared" ref="E7:E12" si="0">D7*9.5</f>
        <v>6393.5</v>
      </c>
    </row>
    <row r="8" spans="2:8" ht="15" customHeight="1">
      <c r="B8" s="973" t="s">
        <v>260</v>
      </c>
      <c r="C8" s="975" t="s">
        <v>669</v>
      </c>
      <c r="D8" s="964">
        <v>416</v>
      </c>
      <c r="E8" s="965">
        <f t="shared" si="0"/>
        <v>3952</v>
      </c>
    </row>
    <row r="9" spans="2:8" ht="15" customHeight="1">
      <c r="B9" s="973" t="s">
        <v>771</v>
      </c>
      <c r="C9" s="975" t="s">
        <v>26</v>
      </c>
      <c r="D9" s="964">
        <v>301</v>
      </c>
      <c r="E9" s="965">
        <f t="shared" si="0"/>
        <v>2859.5</v>
      </c>
    </row>
    <row r="10" spans="2:8" ht="15" customHeight="1">
      <c r="B10" s="1051" t="s">
        <v>279</v>
      </c>
      <c r="C10" s="975" t="s">
        <v>26</v>
      </c>
      <c r="D10" s="943">
        <v>646</v>
      </c>
      <c r="E10" s="965">
        <f t="shared" si="0"/>
        <v>6137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2036</v>
      </c>
      <c r="E12" s="965">
        <f t="shared" si="0"/>
        <v>19342</v>
      </c>
    </row>
    <row r="14" spans="2:8" ht="19.5">
      <c r="B14" s="941" t="s">
        <v>671</v>
      </c>
      <c r="C14" s="1256" t="s">
        <v>73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696</v>
      </c>
      <c r="C17" s="975" t="s">
        <v>669</v>
      </c>
      <c r="D17" s="964">
        <v>198</v>
      </c>
      <c r="E17" s="965">
        <f t="shared" ref="E17:E22" si="1">D17*9.5</f>
        <v>1881</v>
      </c>
    </row>
    <row r="18" spans="2:5" ht="15" customHeight="1">
      <c r="B18" s="973" t="s">
        <v>189</v>
      </c>
      <c r="C18" s="975" t="s">
        <v>669</v>
      </c>
      <c r="D18" s="964">
        <v>376</v>
      </c>
      <c r="E18" s="965">
        <f t="shared" si="1"/>
        <v>3572</v>
      </c>
    </row>
    <row r="19" spans="2:5" ht="14.45" customHeight="1">
      <c r="B19" s="973" t="s">
        <v>252</v>
      </c>
      <c r="C19" s="975" t="s">
        <v>26</v>
      </c>
      <c r="D19" s="964">
        <v>243</v>
      </c>
      <c r="E19" s="965">
        <f t="shared" si="1"/>
        <v>2308.5</v>
      </c>
    </row>
    <row r="20" spans="2:5" ht="14.45" customHeight="1">
      <c r="B20" s="1051" t="s">
        <v>279</v>
      </c>
      <c r="C20" s="975" t="s">
        <v>26</v>
      </c>
      <c r="D20" s="964">
        <v>575</v>
      </c>
      <c r="E20" s="965">
        <f t="shared" si="1"/>
        <v>5462.5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1392</v>
      </c>
      <c r="E22" s="954">
        <f t="shared" si="1"/>
        <v>13224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235</v>
      </c>
      <c r="C27" s="975" t="s">
        <v>669</v>
      </c>
      <c r="D27" s="964">
        <v>415</v>
      </c>
      <c r="E27" s="965">
        <f t="shared" ref="E27:E32" si="2">D27*9.5</f>
        <v>3942.5</v>
      </c>
    </row>
    <row r="28" spans="2:5">
      <c r="B28" s="973" t="s">
        <v>772</v>
      </c>
      <c r="C28" s="975" t="s">
        <v>669</v>
      </c>
      <c r="D28" s="964">
        <v>205</v>
      </c>
      <c r="E28" s="965">
        <f t="shared" si="2"/>
        <v>1947.5</v>
      </c>
    </row>
    <row r="29" spans="2:5">
      <c r="B29" s="973" t="s">
        <v>252</v>
      </c>
      <c r="C29" s="975" t="s">
        <v>26</v>
      </c>
      <c r="D29" s="964">
        <v>225</v>
      </c>
      <c r="E29" s="965">
        <f>D29*9.5</f>
        <v>2137.5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845</v>
      </c>
      <c r="E32" s="954">
        <f t="shared" si="2"/>
        <v>8027.5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2036</v>
      </c>
      <c r="D35" s="956">
        <f>D22</f>
        <v>1392</v>
      </c>
      <c r="E35" s="956">
        <f>D32</f>
        <v>845</v>
      </c>
    </row>
    <row r="36" spans="2:5">
      <c r="B36" s="953" t="s">
        <v>36</v>
      </c>
      <c r="C36" s="951">
        <f>C35*9.5</f>
        <v>19342</v>
      </c>
      <c r="D36" s="951">
        <f>D35*9.5</f>
        <v>13224</v>
      </c>
      <c r="E36" s="951">
        <f>E35*9.5</f>
        <v>8027.5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4273</v>
      </c>
      <c r="D38" s="378" t="s">
        <v>253</v>
      </c>
      <c r="E38" s="381">
        <f>C38*9.5</f>
        <v>40593.5</v>
      </c>
    </row>
    <row r="39" spans="2:5">
      <c r="B39" s="377" t="s">
        <v>197</v>
      </c>
      <c r="C39" s="378">
        <f>C40-C38</f>
        <v>107</v>
      </c>
      <c r="D39" s="378" t="s">
        <v>204</v>
      </c>
      <c r="E39" s="381">
        <f>C39*9</f>
        <v>963</v>
      </c>
    </row>
    <row r="40" spans="2:5" ht="19.5">
      <c r="B40" s="941" t="s">
        <v>201</v>
      </c>
      <c r="C40" s="380">
        <v>4380</v>
      </c>
      <c r="D40" s="380" t="s">
        <v>202</v>
      </c>
      <c r="E40" s="379">
        <f>SUM(E38+E39)</f>
        <v>41556.5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7145F-CF49-4230-9CE2-005CF6683DC8}">
  <sheetPr codeName="Sheet22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44878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973" t="s">
        <v>70</v>
      </c>
      <c r="C7" s="975" t="s">
        <v>669</v>
      </c>
      <c r="D7" s="964">
        <v>473</v>
      </c>
      <c r="E7" s="965">
        <f t="shared" ref="E7:E12" si="0">D7*9.5</f>
        <v>4493.5</v>
      </c>
    </row>
    <row r="8" spans="2:8" ht="15" customHeight="1">
      <c r="B8" s="973" t="s">
        <v>329</v>
      </c>
      <c r="C8" s="975" t="s">
        <v>669</v>
      </c>
      <c r="D8" s="964">
        <v>533</v>
      </c>
      <c r="E8" s="965">
        <f t="shared" si="0"/>
        <v>5063.5</v>
      </c>
    </row>
    <row r="9" spans="2:8" ht="15" customHeight="1">
      <c r="B9" s="973" t="s">
        <v>333</v>
      </c>
      <c r="C9" s="975" t="s">
        <v>26</v>
      </c>
      <c r="D9" s="964">
        <v>290</v>
      </c>
      <c r="E9" s="965">
        <f t="shared" si="0"/>
        <v>2755</v>
      </c>
    </row>
    <row r="10" spans="2:8" ht="15" customHeight="1">
      <c r="B10" s="1051" t="s">
        <v>279</v>
      </c>
      <c r="C10" s="975" t="s">
        <v>26</v>
      </c>
      <c r="D10" s="943">
        <v>600</v>
      </c>
      <c r="E10" s="965">
        <f t="shared" si="0"/>
        <v>5700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1896</v>
      </c>
      <c r="E12" s="965">
        <f t="shared" si="0"/>
        <v>18012</v>
      </c>
    </row>
    <row r="14" spans="2:8" ht="19.5">
      <c r="B14" s="941" t="s">
        <v>671</v>
      </c>
      <c r="C14" s="1256" t="s">
        <v>73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973" t="s">
        <v>82</v>
      </c>
      <c r="C17" s="975" t="s">
        <v>669</v>
      </c>
      <c r="D17" s="964">
        <v>369</v>
      </c>
      <c r="E17" s="965">
        <f t="shared" ref="E17:E22" si="1">D17*9.5</f>
        <v>3505.5</v>
      </c>
    </row>
    <row r="18" spans="2:5" ht="15" customHeight="1">
      <c r="B18" s="973" t="s">
        <v>675</v>
      </c>
      <c r="C18" s="975" t="s">
        <v>669</v>
      </c>
      <c r="D18" s="964">
        <v>772</v>
      </c>
      <c r="E18" s="965">
        <f t="shared" si="1"/>
        <v>7334</v>
      </c>
    </row>
    <row r="19" spans="2:5" ht="14.45" customHeight="1">
      <c r="B19" s="973" t="s">
        <v>250</v>
      </c>
      <c r="C19" s="975" t="s">
        <v>26</v>
      </c>
      <c r="D19" s="964">
        <v>495</v>
      </c>
      <c r="E19" s="965">
        <f t="shared" si="1"/>
        <v>4702.5</v>
      </c>
    </row>
    <row r="20" spans="2:5" ht="14.45" customHeight="1">
      <c r="B20" s="1051" t="s">
        <v>245</v>
      </c>
      <c r="C20" s="975" t="s">
        <v>26</v>
      </c>
      <c r="D20" s="964">
        <v>300</v>
      </c>
      <c r="E20" s="965">
        <f t="shared" si="1"/>
        <v>2850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1936</v>
      </c>
      <c r="E22" s="954">
        <f t="shared" si="1"/>
        <v>18392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773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973" t="s">
        <v>769</v>
      </c>
      <c r="C27" s="975" t="s">
        <v>669</v>
      </c>
      <c r="D27" s="964">
        <v>388</v>
      </c>
      <c r="E27" s="965">
        <f t="shared" ref="E27:E32" si="2">D27*9.5</f>
        <v>3686</v>
      </c>
    </row>
    <row r="28" spans="2:5">
      <c r="B28" s="973" t="s">
        <v>235</v>
      </c>
      <c r="C28" s="975" t="s">
        <v>669</v>
      </c>
      <c r="D28" s="964">
        <v>577</v>
      </c>
      <c r="E28" s="965">
        <f t="shared" si="2"/>
        <v>5481.5</v>
      </c>
    </row>
    <row r="29" spans="2:5">
      <c r="B29" s="973" t="s">
        <v>239</v>
      </c>
      <c r="C29" s="975" t="s">
        <v>26</v>
      </c>
      <c r="D29" s="964">
        <v>196</v>
      </c>
      <c r="E29" s="965">
        <f>D29*9.5</f>
        <v>1862</v>
      </c>
    </row>
    <row r="30" spans="2:5">
      <c r="B30" s="973" t="s">
        <v>63</v>
      </c>
      <c r="C30" s="975" t="s">
        <v>26</v>
      </c>
      <c r="D30" s="964">
        <v>266</v>
      </c>
      <c r="E30" s="965">
        <f t="shared" si="2"/>
        <v>2527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1427</v>
      </c>
      <c r="E32" s="954">
        <f t="shared" si="2"/>
        <v>13556.5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1896</v>
      </c>
      <c r="D35" s="956">
        <f>D22</f>
        <v>1936</v>
      </c>
      <c r="E35" s="956">
        <f>D32</f>
        <v>1427</v>
      </c>
    </row>
    <row r="36" spans="2:5">
      <c r="B36" s="953" t="s">
        <v>36</v>
      </c>
      <c r="C36" s="951">
        <f>C35*9.5</f>
        <v>18012</v>
      </c>
      <c r="D36" s="951">
        <f>D35*9.5</f>
        <v>18392</v>
      </c>
      <c r="E36" s="951">
        <f>E35*9.5</f>
        <v>13556.5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5259</v>
      </c>
      <c r="D38" s="378" t="s">
        <v>253</v>
      </c>
      <c r="E38" s="381">
        <f>C38*9.5</f>
        <v>49960.5</v>
      </c>
    </row>
    <row r="39" spans="2:5">
      <c r="B39" s="377" t="s">
        <v>197</v>
      </c>
      <c r="C39" s="378">
        <f>C40-C38</f>
        <v>259</v>
      </c>
      <c r="D39" s="378" t="s">
        <v>204</v>
      </c>
      <c r="E39" s="381">
        <f>C39*9</f>
        <v>2331</v>
      </c>
    </row>
    <row r="40" spans="2:5" ht="19.5">
      <c r="B40" s="941" t="s">
        <v>201</v>
      </c>
      <c r="C40" s="380">
        <v>5518</v>
      </c>
      <c r="D40" s="380" t="s">
        <v>202</v>
      </c>
      <c r="E40" s="379">
        <f>SUM(E38+E39)</f>
        <v>52291.5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8436D-9D82-4B07-AB70-77FF455C2CF3}">
  <sheetPr codeName="Sheet223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44879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250</v>
      </c>
      <c r="C7" s="630" t="s">
        <v>669</v>
      </c>
      <c r="D7" s="964">
        <v>465</v>
      </c>
      <c r="E7" s="965">
        <f t="shared" ref="E7:E12" si="0">D7*9.5</f>
        <v>4417.5</v>
      </c>
    </row>
    <row r="8" spans="2:8" ht="15" customHeight="1">
      <c r="B8" s="630" t="s">
        <v>329</v>
      </c>
      <c r="C8" s="630" t="s">
        <v>669</v>
      </c>
      <c r="D8" s="964">
        <v>578</v>
      </c>
      <c r="E8" s="965">
        <f t="shared" si="0"/>
        <v>5491</v>
      </c>
    </row>
    <row r="9" spans="2:8" ht="15" customHeight="1">
      <c r="B9" s="973" t="s">
        <v>243</v>
      </c>
      <c r="C9" s="973" t="s">
        <v>26</v>
      </c>
      <c r="D9" s="964">
        <v>641</v>
      </c>
      <c r="E9" s="965">
        <f t="shared" si="0"/>
        <v>6089.5</v>
      </c>
    </row>
    <row r="10" spans="2:8" ht="15" customHeight="1">
      <c r="B10" s="973" t="s">
        <v>696</v>
      </c>
      <c r="C10" s="973" t="s">
        <v>26</v>
      </c>
      <c r="D10" s="943">
        <v>324</v>
      </c>
      <c r="E10" s="965">
        <f t="shared" si="0"/>
        <v>3078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2008</v>
      </c>
      <c r="E12" s="965">
        <f t="shared" si="0"/>
        <v>19076</v>
      </c>
    </row>
    <row r="14" spans="2:8" ht="19.5">
      <c r="B14" s="941" t="s">
        <v>671</v>
      </c>
      <c r="C14" s="1256" t="s">
        <v>73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260</v>
      </c>
      <c r="C17" s="630" t="s">
        <v>669</v>
      </c>
      <c r="D17" s="964">
        <v>408</v>
      </c>
      <c r="E17" s="965">
        <f t="shared" ref="E17:E22" si="1">D17*9.5</f>
        <v>3876</v>
      </c>
    </row>
    <row r="18" spans="2:5" ht="15" customHeight="1">
      <c r="B18" s="630" t="s">
        <v>244</v>
      </c>
      <c r="C18" s="630" t="s">
        <v>669</v>
      </c>
      <c r="D18" s="964">
        <v>517</v>
      </c>
      <c r="E18" s="965">
        <f t="shared" si="1"/>
        <v>4911.5</v>
      </c>
    </row>
    <row r="19" spans="2:5" ht="14.45" customHeight="1">
      <c r="B19" s="973" t="s">
        <v>279</v>
      </c>
      <c r="C19" s="973" t="s">
        <v>26</v>
      </c>
      <c r="D19" s="964">
        <v>574</v>
      </c>
      <c r="E19" s="965">
        <f t="shared" si="1"/>
        <v>5453</v>
      </c>
    </row>
    <row r="20" spans="2:5" ht="14.45" customHeight="1">
      <c r="B20" s="973" t="s">
        <v>238</v>
      </c>
      <c r="C20" s="973" t="s">
        <v>26</v>
      </c>
      <c r="D20" s="964">
        <v>350</v>
      </c>
      <c r="E20" s="965">
        <f t="shared" si="1"/>
        <v>3325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1849</v>
      </c>
      <c r="E22" s="954">
        <f t="shared" si="1"/>
        <v>17565.5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70</v>
      </c>
      <c r="C27" s="630" t="s">
        <v>669</v>
      </c>
      <c r="D27" s="964">
        <v>436</v>
      </c>
      <c r="E27" s="965">
        <f t="shared" ref="E27:E32" si="2">D27*9.5</f>
        <v>4142</v>
      </c>
    </row>
    <row r="28" spans="2:5">
      <c r="B28" s="630" t="s">
        <v>278</v>
      </c>
      <c r="C28" s="630" t="s">
        <v>669</v>
      </c>
      <c r="D28" s="964">
        <v>421</v>
      </c>
      <c r="E28" s="965">
        <f t="shared" si="2"/>
        <v>3999.5</v>
      </c>
    </row>
    <row r="29" spans="2:5">
      <c r="B29" s="973" t="s">
        <v>774</v>
      </c>
      <c r="C29" s="973" t="s">
        <v>26</v>
      </c>
      <c r="D29" s="964">
        <v>301</v>
      </c>
      <c r="E29" s="965">
        <f t="shared" si="2"/>
        <v>2859.5</v>
      </c>
    </row>
    <row r="30" spans="2:5">
      <c r="B30" s="973" t="s">
        <v>238</v>
      </c>
      <c r="C30" s="975" t="s">
        <v>26</v>
      </c>
      <c r="D30" s="964">
        <v>99</v>
      </c>
      <c r="E30" s="965">
        <f t="shared" si="2"/>
        <v>940.5</v>
      </c>
    </row>
    <row r="31" spans="2:5">
      <c r="B31" s="789" t="s">
        <v>258</v>
      </c>
      <c r="C31" s="975" t="s">
        <v>667</v>
      </c>
      <c r="D31" s="964">
        <v>124</v>
      </c>
      <c r="E31" s="965">
        <f t="shared" si="2"/>
        <v>1178</v>
      </c>
    </row>
    <row r="32" spans="2:5" ht="20.100000000000001" customHeight="1">
      <c r="B32" s="1259" t="s">
        <v>24</v>
      </c>
      <c r="C32" s="1259"/>
      <c r="D32" s="964">
        <f>SUM(D27:D31)</f>
        <v>1381</v>
      </c>
      <c r="E32" s="954">
        <f t="shared" si="2"/>
        <v>13119.5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2008</v>
      </c>
      <c r="D35" s="956">
        <f>D22</f>
        <v>1849</v>
      </c>
      <c r="E35" s="956">
        <f>D32</f>
        <v>1381</v>
      </c>
    </row>
    <row r="36" spans="2:5">
      <c r="B36" s="953" t="s">
        <v>36</v>
      </c>
      <c r="C36" s="951">
        <f>C35*9.5</f>
        <v>19076</v>
      </c>
      <c r="D36" s="951">
        <f>D35*9.5</f>
        <v>17565.5</v>
      </c>
      <c r="E36" s="951">
        <f>E35*9.5</f>
        <v>13119.5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5238</v>
      </c>
      <c r="D38" s="378" t="s">
        <v>253</v>
      </c>
      <c r="E38" s="381">
        <f>C38*9.5</f>
        <v>49761</v>
      </c>
    </row>
    <row r="39" spans="2:5">
      <c r="B39" s="377" t="s">
        <v>197</v>
      </c>
      <c r="C39" s="378">
        <f>C40-C38</f>
        <v>2592</v>
      </c>
      <c r="D39" s="378" t="s">
        <v>204</v>
      </c>
      <c r="E39" s="381">
        <f>C39*9</f>
        <v>23328</v>
      </c>
    </row>
    <row r="40" spans="2:5" ht="19.5">
      <c r="B40" s="941" t="s">
        <v>201</v>
      </c>
      <c r="C40" s="380">
        <v>7830</v>
      </c>
      <c r="D40" s="380" t="s">
        <v>202</v>
      </c>
      <c r="E40" s="379">
        <f>SUM(E38+E39)</f>
        <v>73089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E88F9-6B25-4C8F-BBC5-87FE4D40A34B}">
  <sheetPr codeName="Sheet22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44880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252</v>
      </c>
      <c r="C7" s="630" t="s">
        <v>669</v>
      </c>
      <c r="D7" s="964">
        <v>388</v>
      </c>
      <c r="E7" s="965">
        <f t="shared" ref="E7:E12" si="0">D7*9.5</f>
        <v>3686</v>
      </c>
    </row>
    <row r="8" spans="2:8" ht="15" customHeight="1">
      <c r="B8" s="630" t="s">
        <v>65</v>
      </c>
      <c r="C8" s="630" t="s">
        <v>669</v>
      </c>
      <c r="D8" s="964">
        <v>520</v>
      </c>
      <c r="E8" s="965">
        <f t="shared" si="0"/>
        <v>4940</v>
      </c>
    </row>
    <row r="9" spans="2:8" ht="15" customHeight="1">
      <c r="B9" s="973" t="s">
        <v>63</v>
      </c>
      <c r="C9" s="973" t="s">
        <v>26</v>
      </c>
      <c r="D9" s="964">
        <v>333</v>
      </c>
      <c r="E9" s="965">
        <f t="shared" si="0"/>
        <v>3163.5</v>
      </c>
    </row>
    <row r="10" spans="2:8" ht="15" customHeight="1">
      <c r="B10" s="973" t="s">
        <v>281</v>
      </c>
      <c r="C10" s="973" t="s">
        <v>26</v>
      </c>
      <c r="D10" s="943">
        <v>482</v>
      </c>
      <c r="E10" s="965">
        <f t="shared" si="0"/>
        <v>4579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1723</v>
      </c>
      <c r="E12" s="965">
        <f t="shared" si="0"/>
        <v>16368.5</v>
      </c>
    </row>
    <row r="14" spans="2:8" ht="19.5">
      <c r="B14" s="941" t="s">
        <v>671</v>
      </c>
      <c r="C14" s="1256" t="s">
        <v>73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205</v>
      </c>
      <c r="C17" s="630" t="s">
        <v>669</v>
      </c>
      <c r="D17" s="964">
        <v>264</v>
      </c>
      <c r="E17" s="965">
        <f t="shared" ref="E17:E22" si="1">D17*9.5</f>
        <v>2508</v>
      </c>
    </row>
    <row r="18" spans="2:5" ht="15" customHeight="1">
      <c r="B18" s="630" t="s">
        <v>260</v>
      </c>
      <c r="C18" s="630" t="s">
        <v>669</v>
      </c>
      <c r="D18" s="964">
        <v>407</v>
      </c>
      <c r="E18" s="965">
        <f t="shared" si="1"/>
        <v>3866.5</v>
      </c>
    </row>
    <row r="19" spans="2:5" ht="14.45" customHeight="1">
      <c r="B19" s="973" t="s">
        <v>245</v>
      </c>
      <c r="C19" s="973" t="s">
        <v>26</v>
      </c>
      <c r="D19" s="964">
        <v>178</v>
      </c>
      <c r="E19" s="965">
        <f t="shared" si="1"/>
        <v>1691</v>
      </c>
    </row>
    <row r="20" spans="2:5" ht="14.45" customHeight="1">
      <c r="B20" s="973" t="s">
        <v>332</v>
      </c>
      <c r="C20" s="973" t="s">
        <v>26</v>
      </c>
      <c r="D20" s="964">
        <v>586</v>
      </c>
      <c r="E20" s="965">
        <f t="shared" si="1"/>
        <v>5567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1435</v>
      </c>
      <c r="E22" s="954">
        <f t="shared" si="1"/>
        <v>13632.5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45</v>
      </c>
      <c r="C27" s="630" t="s">
        <v>669</v>
      </c>
      <c r="D27" s="964">
        <v>301</v>
      </c>
      <c r="E27" s="965">
        <f t="shared" ref="E27:E32" si="2">D27*9.5</f>
        <v>2859.5</v>
      </c>
    </row>
    <row r="28" spans="2:5">
      <c r="B28" s="630" t="s">
        <v>235</v>
      </c>
      <c r="C28" s="630" t="s">
        <v>669</v>
      </c>
      <c r="D28" s="964">
        <v>573</v>
      </c>
      <c r="E28" s="965">
        <f t="shared" si="2"/>
        <v>5443.5</v>
      </c>
    </row>
    <row r="29" spans="2:5">
      <c r="B29" s="973" t="s">
        <v>245</v>
      </c>
      <c r="C29" s="973" t="s">
        <v>26</v>
      </c>
      <c r="D29" s="964">
        <v>261</v>
      </c>
      <c r="E29" s="965">
        <f t="shared" si="2"/>
        <v>2479.5</v>
      </c>
    </row>
    <row r="30" spans="2:5">
      <c r="B30" s="973" t="s">
        <v>188</v>
      </c>
      <c r="C30" s="975" t="s">
        <v>26</v>
      </c>
      <c r="D30" s="964">
        <v>131</v>
      </c>
      <c r="E30" s="965">
        <f t="shared" si="2"/>
        <v>1244.5</v>
      </c>
    </row>
    <row r="31" spans="2:5">
      <c r="B31" s="789" t="s">
        <v>333</v>
      </c>
      <c r="C31" s="975" t="s">
        <v>667</v>
      </c>
      <c r="D31" s="964">
        <v>264</v>
      </c>
      <c r="E31" s="965">
        <f t="shared" si="2"/>
        <v>2508</v>
      </c>
    </row>
    <row r="32" spans="2:5" ht="20.100000000000001" customHeight="1">
      <c r="B32" s="1259" t="s">
        <v>24</v>
      </c>
      <c r="C32" s="1259"/>
      <c r="D32" s="964">
        <f>SUM(D27:D31)</f>
        <v>1530</v>
      </c>
      <c r="E32" s="954">
        <f t="shared" si="2"/>
        <v>14535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1723</v>
      </c>
      <c r="D35" s="956">
        <f>D22</f>
        <v>1435</v>
      </c>
      <c r="E35" s="956">
        <f>D32</f>
        <v>1530</v>
      </c>
    </row>
    <row r="36" spans="2:5">
      <c r="B36" s="953" t="s">
        <v>36</v>
      </c>
      <c r="C36" s="951">
        <f>C35*9.5</f>
        <v>16368.5</v>
      </c>
      <c r="D36" s="951">
        <f>D35*9.5</f>
        <v>13632.5</v>
      </c>
      <c r="E36" s="951">
        <f>E35*9.5</f>
        <v>14535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4688</v>
      </c>
      <c r="D38" s="378" t="s">
        <v>253</v>
      </c>
      <c r="E38" s="381">
        <f>C38*9.5</f>
        <v>44536</v>
      </c>
    </row>
    <row r="39" spans="2:5">
      <c r="B39" s="377" t="s">
        <v>197</v>
      </c>
      <c r="C39" s="378">
        <f>C40-C38</f>
        <v>2502</v>
      </c>
      <c r="D39" s="378" t="s">
        <v>204</v>
      </c>
      <c r="E39" s="381">
        <f>C39*9</f>
        <v>22518</v>
      </c>
    </row>
    <row r="40" spans="2:5" ht="19.5">
      <c r="B40" s="941" t="s">
        <v>201</v>
      </c>
      <c r="C40" s="380">
        <v>7190</v>
      </c>
      <c r="D40" s="380" t="s">
        <v>202</v>
      </c>
      <c r="E40" s="379">
        <f>SUM(E38+E39)</f>
        <v>67054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B227-1ACC-4283-8619-65022B119755}">
  <sheetPr codeName="Sheet22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44881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0"/>
      <c r="C7" s="630" t="s">
        <v>669</v>
      </c>
      <c r="D7" s="964"/>
      <c r="E7" s="965">
        <f t="shared" ref="E7:E12" si="0">D7*9.5</f>
        <v>0</v>
      </c>
    </row>
    <row r="8" spans="2:8" ht="15" customHeight="1">
      <c r="B8" s="630" t="s">
        <v>65</v>
      </c>
      <c r="C8" s="630" t="s">
        <v>669</v>
      </c>
      <c r="D8" s="964">
        <v>518</v>
      </c>
      <c r="E8" s="965">
        <f t="shared" si="0"/>
        <v>4921</v>
      </c>
    </row>
    <row r="9" spans="2:8" ht="15" customHeight="1">
      <c r="B9" s="973" t="s">
        <v>51</v>
      </c>
      <c r="C9" s="973" t="s">
        <v>26</v>
      </c>
      <c r="D9" s="964">
        <v>476</v>
      </c>
      <c r="E9" s="965">
        <f t="shared" si="0"/>
        <v>4522</v>
      </c>
    </row>
    <row r="10" spans="2:8" ht="15" customHeight="1">
      <c r="B10" s="973" t="s">
        <v>696</v>
      </c>
      <c r="C10" s="973" t="s">
        <v>26</v>
      </c>
      <c r="D10" s="943">
        <v>322</v>
      </c>
      <c r="E10" s="965">
        <f t="shared" si="0"/>
        <v>3059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1316</v>
      </c>
      <c r="E12" s="965">
        <f t="shared" si="0"/>
        <v>12502</v>
      </c>
    </row>
    <row r="14" spans="2:8" ht="19.5">
      <c r="B14" s="941" t="s">
        <v>671</v>
      </c>
      <c r="C14" s="1256" t="s">
        <v>73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334</v>
      </c>
      <c r="C17" s="630" t="s">
        <v>669</v>
      </c>
      <c r="D17" s="964">
        <v>479</v>
      </c>
      <c r="E17" s="965">
        <f t="shared" ref="E17:E22" si="1">D17*9.5</f>
        <v>4550.5</v>
      </c>
    </row>
    <row r="18" spans="2:5" ht="15" customHeight="1">
      <c r="B18" s="630" t="s">
        <v>189</v>
      </c>
      <c r="C18" s="630" t="s">
        <v>669</v>
      </c>
      <c r="D18" s="964">
        <v>454</v>
      </c>
      <c r="E18" s="965">
        <f t="shared" si="1"/>
        <v>4313</v>
      </c>
    </row>
    <row r="19" spans="2:5" ht="14.45" customHeight="1">
      <c r="B19" s="973" t="s">
        <v>763</v>
      </c>
      <c r="C19" s="973" t="s">
        <v>26</v>
      </c>
      <c r="D19" s="964">
        <v>302</v>
      </c>
      <c r="E19" s="965">
        <f t="shared" si="1"/>
        <v>2869</v>
      </c>
    </row>
    <row r="20" spans="2:5" ht="14.45" customHeight="1">
      <c r="B20" s="973" t="s">
        <v>675</v>
      </c>
      <c r="C20" s="973" t="s">
        <v>26</v>
      </c>
      <c r="D20" s="964">
        <v>776</v>
      </c>
      <c r="E20" s="965">
        <f t="shared" si="1"/>
        <v>7372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2011</v>
      </c>
      <c r="E22" s="954">
        <f t="shared" si="1"/>
        <v>19104.5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256</v>
      </c>
      <c r="C27" s="630" t="s">
        <v>669</v>
      </c>
      <c r="D27" s="964">
        <v>238</v>
      </c>
      <c r="E27" s="965">
        <f t="shared" ref="E27:E32" si="2">D27*9.5</f>
        <v>2261</v>
      </c>
    </row>
    <row r="28" spans="2:5">
      <c r="B28" s="630" t="s">
        <v>278</v>
      </c>
      <c r="C28" s="630" t="s">
        <v>669</v>
      </c>
      <c r="D28" s="964">
        <v>500</v>
      </c>
      <c r="E28" s="965">
        <f t="shared" si="2"/>
        <v>4750</v>
      </c>
    </row>
    <row r="29" spans="2:5">
      <c r="B29" s="973" t="s">
        <v>303</v>
      </c>
      <c r="C29" s="973" t="s">
        <v>26</v>
      </c>
      <c r="D29" s="964">
        <v>546</v>
      </c>
      <c r="E29" s="965">
        <f t="shared" si="2"/>
        <v>5187</v>
      </c>
    </row>
    <row r="30" spans="2:5">
      <c r="B30" s="973" t="s">
        <v>82</v>
      </c>
      <c r="C30" s="975" t="s">
        <v>26</v>
      </c>
      <c r="D30" s="964">
        <v>282</v>
      </c>
      <c r="E30" s="965">
        <f t="shared" si="2"/>
        <v>2679</v>
      </c>
    </row>
    <row r="31" spans="2:5">
      <c r="B31" s="789" t="s">
        <v>331</v>
      </c>
      <c r="C31" s="975" t="s">
        <v>667</v>
      </c>
      <c r="D31" s="964">
        <v>435</v>
      </c>
      <c r="E31" s="965">
        <f t="shared" si="2"/>
        <v>4132.5</v>
      </c>
    </row>
    <row r="32" spans="2:5" ht="20.100000000000001" customHeight="1">
      <c r="B32" s="1259" t="s">
        <v>24</v>
      </c>
      <c r="C32" s="1259"/>
      <c r="D32" s="964">
        <f>SUM(D27:D31)</f>
        <v>2001</v>
      </c>
      <c r="E32" s="954">
        <f t="shared" si="2"/>
        <v>19009.5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1316</v>
      </c>
      <c r="D35" s="956">
        <f>D22</f>
        <v>2011</v>
      </c>
      <c r="E35" s="956">
        <f>D32</f>
        <v>2001</v>
      </c>
    </row>
    <row r="36" spans="2:5">
      <c r="B36" s="953" t="s">
        <v>36</v>
      </c>
      <c r="C36" s="951">
        <f>C35*9.5</f>
        <v>12502</v>
      </c>
      <c r="D36" s="951">
        <f>D35*9.5</f>
        <v>19104.5</v>
      </c>
      <c r="E36" s="951">
        <f>E35*9.5</f>
        <v>19009.5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5328</v>
      </c>
      <c r="D38" s="378" t="s">
        <v>253</v>
      </c>
      <c r="E38" s="381">
        <f>C38*9.5</f>
        <v>50616</v>
      </c>
    </row>
    <row r="39" spans="2:5">
      <c r="B39" s="377" t="s">
        <v>197</v>
      </c>
      <c r="C39" s="378">
        <f>C40-C38</f>
        <v>2866</v>
      </c>
      <c r="D39" s="378" t="s">
        <v>204</v>
      </c>
      <c r="E39" s="381">
        <f>C39*9</f>
        <v>25794</v>
      </c>
    </row>
    <row r="40" spans="2:5" ht="19.5">
      <c r="B40" s="941" t="s">
        <v>201</v>
      </c>
      <c r="C40" s="380">
        <v>8194</v>
      </c>
      <c r="D40" s="380" t="s">
        <v>202</v>
      </c>
      <c r="E40" s="379">
        <f>SUM(E38+E39)</f>
        <v>76410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1863D-9B3F-4BCC-A1C4-784203285632}">
  <sheetPr codeName="Sheet22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44882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252</v>
      </c>
      <c r="C7" s="630" t="s">
        <v>669</v>
      </c>
      <c r="D7" s="964">
        <v>377</v>
      </c>
      <c r="E7" s="965">
        <f t="shared" ref="E7:E12" si="0">D7*9.5</f>
        <v>3581.5</v>
      </c>
    </row>
    <row r="8" spans="2:8" ht="15" customHeight="1">
      <c r="B8" s="630" t="s">
        <v>333</v>
      </c>
      <c r="C8" s="630" t="s">
        <v>669</v>
      </c>
      <c r="D8" s="964">
        <v>388</v>
      </c>
      <c r="E8" s="965">
        <f t="shared" si="0"/>
        <v>3686</v>
      </c>
    </row>
    <row r="9" spans="2:8" ht="15" customHeight="1">
      <c r="B9" s="973" t="s">
        <v>189</v>
      </c>
      <c r="C9" s="973" t="s">
        <v>26</v>
      </c>
      <c r="D9" s="964">
        <v>497</v>
      </c>
      <c r="E9" s="965">
        <f t="shared" si="0"/>
        <v>4721.5</v>
      </c>
    </row>
    <row r="10" spans="2:8" ht="15" customHeight="1">
      <c r="B10" s="973" t="s">
        <v>256</v>
      </c>
      <c r="C10" s="973" t="s">
        <v>26</v>
      </c>
      <c r="D10" s="943">
        <v>300</v>
      </c>
      <c r="E10" s="965">
        <f t="shared" si="0"/>
        <v>2850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1562</v>
      </c>
      <c r="E12" s="965">
        <f t="shared" si="0"/>
        <v>14839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303</v>
      </c>
      <c r="C17" s="630" t="s">
        <v>669</v>
      </c>
      <c r="D17" s="964">
        <v>927</v>
      </c>
      <c r="E17" s="965">
        <f t="shared" ref="E17:E22" si="1">D17*9.5</f>
        <v>8806.5</v>
      </c>
    </row>
    <row r="18" spans="2:5" ht="15" customHeight="1">
      <c r="B18" s="1130"/>
      <c r="C18" s="630" t="s">
        <v>669</v>
      </c>
      <c r="D18" s="964"/>
      <c r="E18" s="965">
        <f t="shared" si="1"/>
        <v>0</v>
      </c>
    </row>
    <row r="19" spans="2:5" ht="14.45" customHeight="1">
      <c r="B19" s="973" t="s">
        <v>65</v>
      </c>
      <c r="C19" s="973" t="s">
        <v>26</v>
      </c>
      <c r="D19" s="964">
        <v>400</v>
      </c>
      <c r="E19" s="965">
        <f t="shared" si="1"/>
        <v>3800</v>
      </c>
    </row>
    <row r="20" spans="2:5" ht="14.45" customHeight="1">
      <c r="B20" s="973" t="s">
        <v>53</v>
      </c>
      <c r="C20" s="973" t="s">
        <v>26</v>
      </c>
      <c r="D20" s="964">
        <v>295</v>
      </c>
      <c r="E20" s="965">
        <f t="shared" si="1"/>
        <v>2802.5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1622</v>
      </c>
      <c r="E22" s="954">
        <f t="shared" si="1"/>
        <v>15409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773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303</v>
      </c>
      <c r="C27" s="630" t="s">
        <v>669</v>
      </c>
      <c r="D27" s="964">
        <v>442</v>
      </c>
      <c r="E27" s="965">
        <f t="shared" ref="E27:E32" si="2">D27*9.5</f>
        <v>4199</v>
      </c>
    </row>
    <row r="28" spans="2:5">
      <c r="B28" s="630" t="s">
        <v>278</v>
      </c>
      <c r="C28" s="630" t="s">
        <v>669</v>
      </c>
      <c r="D28" s="964">
        <v>490</v>
      </c>
      <c r="E28" s="965">
        <f t="shared" si="2"/>
        <v>4655</v>
      </c>
    </row>
    <row r="29" spans="2:5">
      <c r="B29" s="973" t="s">
        <v>12</v>
      </c>
      <c r="C29" s="973" t="s">
        <v>26</v>
      </c>
      <c r="D29" s="964">
        <v>267</v>
      </c>
      <c r="E29" s="965">
        <f t="shared" si="2"/>
        <v>2536.5</v>
      </c>
    </row>
    <row r="30" spans="2:5">
      <c r="B30" s="973" t="s">
        <v>65</v>
      </c>
      <c r="C30" s="975" t="s">
        <v>26</v>
      </c>
      <c r="D30" s="964">
        <v>159</v>
      </c>
      <c r="E30" s="965">
        <f t="shared" si="2"/>
        <v>1510.5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1358</v>
      </c>
      <c r="E32" s="954">
        <f t="shared" si="2"/>
        <v>12901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1562</v>
      </c>
      <c r="D35" s="956">
        <f>D22</f>
        <v>1622</v>
      </c>
      <c r="E35" s="956">
        <f>D32</f>
        <v>1358</v>
      </c>
    </row>
    <row r="36" spans="2:5">
      <c r="B36" s="953" t="s">
        <v>36</v>
      </c>
      <c r="C36" s="951">
        <f>C35*9.5</f>
        <v>14839</v>
      </c>
      <c r="D36" s="951">
        <f>D35*9.5</f>
        <v>15409</v>
      </c>
      <c r="E36" s="951">
        <f>E35*9.5</f>
        <v>12901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4542</v>
      </c>
      <c r="D38" s="378" t="s">
        <v>253</v>
      </c>
      <c r="E38" s="381">
        <f>C38*9.5</f>
        <v>43149</v>
      </c>
    </row>
    <row r="39" spans="2:5">
      <c r="B39" s="377" t="s">
        <v>197</v>
      </c>
      <c r="C39" s="378">
        <f>C40-C38</f>
        <v>2387</v>
      </c>
      <c r="D39" s="378" t="s">
        <v>204</v>
      </c>
      <c r="E39" s="381">
        <f>C39*9</f>
        <v>21483</v>
      </c>
    </row>
    <row r="40" spans="2:5" ht="19.5">
      <c r="B40" s="941" t="s">
        <v>201</v>
      </c>
      <c r="C40" s="380">
        <v>6929</v>
      </c>
      <c r="D40" s="380" t="s">
        <v>202</v>
      </c>
      <c r="E40" s="379">
        <f>SUM(E38+E39)</f>
        <v>64632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18CE0-66BA-4442-A5BD-DD5A0E4A1902}">
  <sheetPr codeName="Sheet22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44883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12</v>
      </c>
      <c r="C7" s="630" t="s">
        <v>669</v>
      </c>
      <c r="D7" s="964">
        <v>427</v>
      </c>
      <c r="E7" s="965">
        <f t="shared" ref="E7:E12" si="0">D7*9.5</f>
        <v>4056.5</v>
      </c>
    </row>
    <row r="8" spans="2:8" ht="15" customHeight="1">
      <c r="B8" s="630" t="s">
        <v>332</v>
      </c>
      <c r="C8" s="630" t="s">
        <v>669</v>
      </c>
      <c r="D8" s="964">
        <v>582</v>
      </c>
      <c r="E8" s="965">
        <f t="shared" si="0"/>
        <v>5529</v>
      </c>
    </row>
    <row r="9" spans="2:8" ht="15" customHeight="1">
      <c r="B9" s="973" t="s">
        <v>53</v>
      </c>
      <c r="C9" s="973" t="s">
        <v>26</v>
      </c>
      <c r="D9" s="964">
        <v>336</v>
      </c>
      <c r="E9" s="965">
        <f t="shared" si="0"/>
        <v>3192</v>
      </c>
    </row>
    <row r="10" spans="2:8" ht="15" customHeight="1">
      <c r="B10" s="973" t="s">
        <v>45</v>
      </c>
      <c r="C10" s="973" t="s">
        <v>26</v>
      </c>
      <c r="D10" s="943">
        <v>444</v>
      </c>
      <c r="E10" s="965">
        <f t="shared" si="0"/>
        <v>4218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1789</v>
      </c>
      <c r="E12" s="965">
        <f t="shared" si="0"/>
        <v>16995.5</v>
      </c>
    </row>
    <row r="14" spans="2:8" ht="19.5">
      <c r="B14" s="941" t="s">
        <v>671</v>
      </c>
      <c r="C14" s="1256" t="s">
        <v>73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78</v>
      </c>
      <c r="C17" s="630" t="s">
        <v>669</v>
      </c>
      <c r="D17" s="964">
        <v>397</v>
      </c>
      <c r="E17" s="965">
        <f t="shared" ref="E17:E22" si="1">D17*9.5</f>
        <v>3771.5</v>
      </c>
    </row>
    <row r="18" spans="2:5" ht="15" customHeight="1">
      <c r="B18" s="1132" t="s">
        <v>334</v>
      </c>
      <c r="C18" s="630" t="s">
        <v>669</v>
      </c>
      <c r="D18" s="964">
        <v>367</v>
      </c>
      <c r="E18" s="965">
        <f t="shared" si="1"/>
        <v>3486.5</v>
      </c>
    </row>
    <row r="19" spans="2:5" ht="14.45" customHeight="1">
      <c r="B19" s="973" t="s">
        <v>239</v>
      </c>
      <c r="C19" s="973" t="s">
        <v>26</v>
      </c>
      <c r="D19" s="964">
        <v>225</v>
      </c>
      <c r="E19" s="965">
        <f t="shared" si="1"/>
        <v>2137.5</v>
      </c>
    </row>
    <row r="20" spans="2:5" ht="14.45" customHeight="1">
      <c r="B20" s="973" t="s">
        <v>252</v>
      </c>
      <c r="C20" s="973" t="s">
        <v>26</v>
      </c>
      <c r="D20" s="964">
        <v>312</v>
      </c>
      <c r="E20" s="965">
        <f t="shared" si="1"/>
        <v>2964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1301</v>
      </c>
      <c r="E22" s="954">
        <f t="shared" si="1"/>
        <v>12359.5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685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188</v>
      </c>
      <c r="C27" s="630" t="s">
        <v>669</v>
      </c>
      <c r="D27" s="964">
        <v>156</v>
      </c>
      <c r="E27" s="965">
        <f t="shared" ref="E27:E32" si="2">D27*9.5</f>
        <v>1482</v>
      </c>
    </row>
    <row r="28" spans="2:5">
      <c r="B28" s="630" t="s">
        <v>235</v>
      </c>
      <c r="C28" s="630" t="s">
        <v>669</v>
      </c>
      <c r="D28" s="964">
        <v>415</v>
      </c>
      <c r="E28" s="965">
        <f t="shared" si="2"/>
        <v>3942.5</v>
      </c>
    </row>
    <row r="29" spans="2:5">
      <c r="B29" s="973" t="s">
        <v>239</v>
      </c>
      <c r="C29" s="973" t="s">
        <v>26</v>
      </c>
      <c r="D29" s="964">
        <v>112</v>
      </c>
      <c r="E29" s="965">
        <f t="shared" si="2"/>
        <v>1064</v>
      </c>
    </row>
    <row r="30" spans="2:5">
      <c r="B30" s="973" t="s">
        <v>252</v>
      </c>
      <c r="C30" s="975" t="s">
        <v>26</v>
      </c>
      <c r="D30" s="964">
        <v>176</v>
      </c>
      <c r="E30" s="965">
        <f t="shared" si="2"/>
        <v>1672</v>
      </c>
    </row>
    <row r="31" spans="2:5">
      <c r="B31" s="1133" t="s">
        <v>331</v>
      </c>
      <c r="C31" s="975" t="s">
        <v>667</v>
      </c>
      <c r="D31" s="964">
        <v>374</v>
      </c>
      <c r="E31" s="965">
        <f t="shared" si="2"/>
        <v>3553</v>
      </c>
    </row>
    <row r="32" spans="2:5" ht="20.100000000000001" customHeight="1">
      <c r="B32" s="1259" t="s">
        <v>24</v>
      </c>
      <c r="C32" s="1259"/>
      <c r="D32" s="964">
        <f>SUM(D27:D31)</f>
        <v>1233</v>
      </c>
      <c r="E32" s="954">
        <f t="shared" si="2"/>
        <v>11713.5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1789</v>
      </c>
      <c r="D35" s="956">
        <f>D22</f>
        <v>1301</v>
      </c>
      <c r="E35" s="956">
        <f>D32</f>
        <v>1233</v>
      </c>
    </row>
    <row r="36" spans="2:5">
      <c r="B36" s="953" t="s">
        <v>36</v>
      </c>
      <c r="C36" s="951">
        <f>C35*9.5</f>
        <v>16995.5</v>
      </c>
      <c r="D36" s="951">
        <f>D35*9.5</f>
        <v>12359.5</v>
      </c>
      <c r="E36" s="951">
        <f>E35*9.5</f>
        <v>11713.5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4323</v>
      </c>
      <c r="D38" s="378" t="s">
        <v>253</v>
      </c>
      <c r="E38" s="381">
        <f>C38*9.5</f>
        <v>41068.5</v>
      </c>
    </row>
    <row r="39" spans="2:5">
      <c r="B39" s="377" t="s">
        <v>197</v>
      </c>
      <c r="C39" s="378">
        <f>C40-C38</f>
        <v>2092</v>
      </c>
      <c r="D39" s="378" t="s">
        <v>204</v>
      </c>
      <c r="E39" s="381">
        <f>C39*9</f>
        <v>18828</v>
      </c>
    </row>
    <row r="40" spans="2:5" ht="19.5">
      <c r="B40" s="941" t="s">
        <v>201</v>
      </c>
      <c r="C40" s="380">
        <v>6415</v>
      </c>
      <c r="D40" s="380" t="s">
        <v>202</v>
      </c>
      <c r="E40" s="379">
        <f>SUM(E38+E39)</f>
        <v>59896.5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7C98D-1142-46FB-8746-BC3242837549}">
  <sheetPr codeName="Sheet22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44884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333</v>
      </c>
      <c r="C7" s="630" t="s">
        <v>669</v>
      </c>
      <c r="D7" s="964">
        <v>331</v>
      </c>
      <c r="E7" s="965">
        <f t="shared" ref="E7:E12" si="0">D7*9.5</f>
        <v>3144.5</v>
      </c>
    </row>
    <row r="8" spans="2:8" ht="15" customHeight="1">
      <c r="B8" s="630" t="s">
        <v>303</v>
      </c>
      <c r="C8" s="630" t="s">
        <v>669</v>
      </c>
      <c r="D8" s="964">
        <v>946</v>
      </c>
      <c r="E8" s="965">
        <f t="shared" si="0"/>
        <v>8987</v>
      </c>
    </row>
    <row r="9" spans="2:8" ht="15" customHeight="1">
      <c r="B9" s="973" t="s">
        <v>78</v>
      </c>
      <c r="C9" s="973" t="s">
        <v>26</v>
      </c>
      <c r="D9" s="964">
        <v>357</v>
      </c>
      <c r="E9" s="965">
        <f t="shared" si="0"/>
        <v>3391.5</v>
      </c>
    </row>
    <row r="10" spans="2:8" ht="15" customHeight="1">
      <c r="B10" s="973" t="s">
        <v>70</v>
      </c>
      <c r="C10" s="973" t="s">
        <v>26</v>
      </c>
      <c r="D10" s="943">
        <v>474</v>
      </c>
      <c r="E10" s="965">
        <f t="shared" si="0"/>
        <v>4503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2108</v>
      </c>
      <c r="E12" s="965">
        <f t="shared" si="0"/>
        <v>20026</v>
      </c>
    </row>
    <row r="14" spans="2:8" ht="19.5">
      <c r="B14" s="941" t="s">
        <v>671</v>
      </c>
      <c r="C14" s="1256" t="s">
        <v>73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630" t="s">
        <v>250</v>
      </c>
      <c r="C17" s="630" t="s">
        <v>669</v>
      </c>
      <c r="D17" s="964">
        <v>170</v>
      </c>
      <c r="E17" s="965">
        <f t="shared" ref="E17:E22" si="1">D17*9.5</f>
        <v>1615</v>
      </c>
    </row>
    <row r="18" spans="2:6" ht="15" customHeight="1">
      <c r="B18" s="1132" t="s">
        <v>82</v>
      </c>
      <c r="C18" s="630" t="s">
        <v>669</v>
      </c>
      <c r="D18" s="964">
        <v>269</v>
      </c>
      <c r="E18" s="965">
        <f t="shared" si="1"/>
        <v>2555.5</v>
      </c>
    </row>
    <row r="19" spans="2:6" ht="14.45" customHeight="1">
      <c r="B19" s="973" t="s">
        <v>779</v>
      </c>
      <c r="C19" s="973" t="s">
        <v>26</v>
      </c>
      <c r="D19" s="964"/>
      <c r="E19" s="965">
        <f t="shared" si="1"/>
        <v>0</v>
      </c>
      <c r="F19" s="934" t="s">
        <v>722</v>
      </c>
    </row>
    <row r="20" spans="2:6" ht="14.45" customHeight="1">
      <c r="B20" s="973" t="s">
        <v>143</v>
      </c>
      <c r="C20" s="973" t="s">
        <v>26</v>
      </c>
      <c r="D20" s="964">
        <v>450</v>
      </c>
      <c r="E20" s="965">
        <f t="shared" si="1"/>
        <v>4275</v>
      </c>
    </row>
    <row r="21" spans="2:6" ht="14.45" customHeight="1">
      <c r="B21" s="1063"/>
      <c r="C21" s="975" t="s">
        <v>681</v>
      </c>
      <c r="D21" s="964"/>
      <c r="E21" s="965">
        <f t="shared" si="1"/>
        <v>0</v>
      </c>
    </row>
    <row r="22" spans="2:6" ht="14.45" customHeight="1">
      <c r="B22" s="1269" t="s">
        <v>24</v>
      </c>
      <c r="C22" s="1270"/>
      <c r="D22" s="964">
        <f>SUM(D17:D21)</f>
        <v>889</v>
      </c>
      <c r="E22" s="954">
        <f t="shared" si="1"/>
        <v>8445.5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685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630" t="s">
        <v>250</v>
      </c>
      <c r="C27" s="630" t="s">
        <v>669</v>
      </c>
      <c r="D27" s="964">
        <v>500</v>
      </c>
      <c r="E27" s="965">
        <f t="shared" ref="E27:E32" si="2">D27*9.5</f>
        <v>4750</v>
      </c>
    </row>
    <row r="28" spans="2:6">
      <c r="B28" s="630" t="s">
        <v>281</v>
      </c>
      <c r="C28" s="630" t="s">
        <v>669</v>
      </c>
      <c r="D28" s="964">
        <v>363</v>
      </c>
      <c r="E28" s="965">
        <f t="shared" si="2"/>
        <v>3448.5</v>
      </c>
    </row>
    <row r="29" spans="2:6">
      <c r="B29" s="973" t="s">
        <v>44</v>
      </c>
      <c r="C29" s="973" t="s">
        <v>26</v>
      </c>
      <c r="D29" s="964">
        <v>268</v>
      </c>
      <c r="E29" s="965">
        <f t="shared" si="2"/>
        <v>2546</v>
      </c>
    </row>
    <row r="30" spans="2:6">
      <c r="B30" s="973" t="s">
        <v>143</v>
      </c>
      <c r="C30" s="975" t="s">
        <v>26</v>
      </c>
      <c r="D30" s="964">
        <v>316</v>
      </c>
      <c r="E30" s="965">
        <f t="shared" si="2"/>
        <v>3002</v>
      </c>
    </row>
    <row r="31" spans="2:6">
      <c r="B31" s="1133" t="s">
        <v>235</v>
      </c>
      <c r="C31" s="975" t="s">
        <v>667</v>
      </c>
      <c r="D31" s="964">
        <v>456</v>
      </c>
      <c r="E31" s="965">
        <f t="shared" si="2"/>
        <v>4332</v>
      </c>
    </row>
    <row r="32" spans="2:6" ht="20.100000000000001" customHeight="1">
      <c r="B32" s="1259" t="s">
        <v>24</v>
      </c>
      <c r="C32" s="1259"/>
      <c r="D32" s="964">
        <f>SUM(D27:D31)</f>
        <v>1903</v>
      </c>
      <c r="E32" s="954">
        <f t="shared" si="2"/>
        <v>18078.5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2108</v>
      </c>
      <c r="D35" s="956">
        <f>D22</f>
        <v>889</v>
      </c>
      <c r="E35" s="956">
        <f>D32</f>
        <v>1903</v>
      </c>
    </row>
    <row r="36" spans="2:5">
      <c r="B36" s="953" t="s">
        <v>36</v>
      </c>
      <c r="C36" s="951">
        <f>C35*9.5</f>
        <v>20026</v>
      </c>
      <c r="D36" s="951">
        <f>D35*9.5</f>
        <v>8445.5</v>
      </c>
      <c r="E36" s="951">
        <f>E35*9.5</f>
        <v>18078.5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4900</v>
      </c>
      <c r="D38" s="378" t="s">
        <v>253</v>
      </c>
      <c r="E38" s="381">
        <f>C38*9.5</f>
        <v>46550</v>
      </c>
    </row>
    <row r="39" spans="2:5">
      <c r="B39" s="377" t="s">
        <v>197</v>
      </c>
      <c r="C39" s="378">
        <f>C40-C38</f>
        <v>214</v>
      </c>
      <c r="D39" s="378" t="s">
        <v>204</v>
      </c>
      <c r="E39" s="381">
        <f>C39*9</f>
        <v>1926</v>
      </c>
    </row>
    <row r="40" spans="2:5" ht="19.5">
      <c r="B40" s="941" t="s">
        <v>201</v>
      </c>
      <c r="C40" s="380">
        <v>5114</v>
      </c>
      <c r="D40" s="380" t="s">
        <v>202</v>
      </c>
      <c r="E40" s="379">
        <f>SUM(E38+E39)</f>
        <v>48476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4EBF-0D91-4E7D-AA0D-04B9B439E581}">
  <sheetPr codeName="Sheet22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44885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333</v>
      </c>
      <c r="C7" s="630" t="s">
        <v>669</v>
      </c>
      <c r="D7" s="964">
        <v>350</v>
      </c>
      <c r="E7" s="965">
        <f t="shared" ref="E7:E12" si="0">D7*9.5</f>
        <v>3325</v>
      </c>
    </row>
    <row r="8" spans="2:8" ht="15" customHeight="1">
      <c r="B8" s="630" t="s">
        <v>279</v>
      </c>
      <c r="C8" s="630" t="s">
        <v>669</v>
      </c>
      <c r="D8" s="964">
        <v>845</v>
      </c>
      <c r="E8" s="965">
        <f t="shared" si="0"/>
        <v>8027.5</v>
      </c>
    </row>
    <row r="9" spans="2:8" ht="15" customHeight="1">
      <c r="B9" s="973" t="s">
        <v>189</v>
      </c>
      <c r="C9" s="973" t="s">
        <v>26</v>
      </c>
      <c r="D9" s="964">
        <v>547</v>
      </c>
      <c r="E9" s="965">
        <f t="shared" si="0"/>
        <v>5196.5</v>
      </c>
    </row>
    <row r="10" spans="2:8" ht="15" customHeight="1">
      <c r="B10" s="973" t="s">
        <v>329</v>
      </c>
      <c r="C10" s="973" t="s">
        <v>26</v>
      </c>
      <c r="D10" s="943">
        <v>564</v>
      </c>
      <c r="E10" s="965">
        <f t="shared" si="0"/>
        <v>5358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2306</v>
      </c>
      <c r="E12" s="965">
        <f t="shared" si="0"/>
        <v>21907</v>
      </c>
    </row>
    <row r="14" spans="2:8" ht="19.5">
      <c r="B14" s="941" t="s">
        <v>671</v>
      </c>
      <c r="C14" s="1256" t="s">
        <v>73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250</v>
      </c>
      <c r="C17" s="630" t="s">
        <v>669</v>
      </c>
      <c r="D17" s="964">
        <v>543</v>
      </c>
      <c r="E17" s="965">
        <f t="shared" ref="E17:E22" si="1">D17*9.5</f>
        <v>5158.5</v>
      </c>
    </row>
    <row r="18" spans="2:5" ht="15" customHeight="1">
      <c r="B18" s="1132" t="s">
        <v>63</v>
      </c>
      <c r="C18" s="630" t="s">
        <v>669</v>
      </c>
      <c r="D18" s="964">
        <v>371</v>
      </c>
      <c r="E18" s="965">
        <f t="shared" si="1"/>
        <v>3524.5</v>
      </c>
    </row>
    <row r="19" spans="2:5" ht="14.45" customHeight="1">
      <c r="B19" s="973" t="s">
        <v>239</v>
      </c>
      <c r="C19" s="973" t="s">
        <v>26</v>
      </c>
      <c r="D19" s="964">
        <v>304</v>
      </c>
      <c r="E19" s="965">
        <f t="shared" si="1"/>
        <v>2888</v>
      </c>
    </row>
    <row r="20" spans="2:5" ht="14.45" customHeight="1">
      <c r="B20" s="973" t="s">
        <v>334</v>
      </c>
      <c r="C20" s="973" t="s">
        <v>26</v>
      </c>
      <c r="D20" s="964">
        <v>437</v>
      </c>
      <c r="E20" s="965">
        <f t="shared" si="1"/>
        <v>4151.5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1655</v>
      </c>
      <c r="E22" s="954">
        <f t="shared" si="1"/>
        <v>15722.5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773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769</v>
      </c>
      <c r="C27" s="630" t="s">
        <v>669</v>
      </c>
      <c r="D27" s="964">
        <v>370</v>
      </c>
      <c r="E27" s="965">
        <f t="shared" ref="E27:E32" si="2">D27*9.5</f>
        <v>3515</v>
      </c>
    </row>
    <row r="28" spans="2:5">
      <c r="B28" s="630" t="s">
        <v>235</v>
      </c>
      <c r="C28" s="630" t="s">
        <v>669</v>
      </c>
      <c r="D28" s="964">
        <v>629</v>
      </c>
      <c r="E28" s="965">
        <f t="shared" si="2"/>
        <v>5975.5</v>
      </c>
    </row>
    <row r="29" spans="2:5">
      <c r="B29" s="973" t="s">
        <v>281</v>
      </c>
      <c r="C29" s="973" t="s">
        <v>26</v>
      </c>
      <c r="D29" s="964">
        <v>329</v>
      </c>
      <c r="E29" s="965">
        <f t="shared" si="2"/>
        <v>3125.5</v>
      </c>
    </row>
    <row r="30" spans="2:5">
      <c r="B30" s="973" t="s">
        <v>44</v>
      </c>
      <c r="C30" s="975" t="s">
        <v>26</v>
      </c>
      <c r="D30" s="964">
        <v>219</v>
      </c>
      <c r="E30" s="965">
        <f t="shared" si="2"/>
        <v>2080.5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1547</v>
      </c>
      <c r="E32" s="954">
        <f t="shared" si="2"/>
        <v>14696.5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2306</v>
      </c>
      <c r="D35" s="956">
        <f>D22</f>
        <v>1655</v>
      </c>
      <c r="E35" s="956">
        <f>D32</f>
        <v>1547</v>
      </c>
    </row>
    <row r="36" spans="2:5">
      <c r="B36" s="953" t="s">
        <v>36</v>
      </c>
      <c r="C36" s="951">
        <f>C35*9.5</f>
        <v>21907</v>
      </c>
      <c r="D36" s="951">
        <f>D35*9.5</f>
        <v>15722.5</v>
      </c>
      <c r="E36" s="951">
        <f>E35*9.5</f>
        <v>14696.5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5508</v>
      </c>
      <c r="D38" s="378" t="s">
        <v>253</v>
      </c>
      <c r="E38" s="381">
        <f>C38*9.5</f>
        <v>52326</v>
      </c>
    </row>
    <row r="39" spans="2:5">
      <c r="B39" s="377" t="s">
        <v>197</v>
      </c>
      <c r="C39" s="378">
        <f>C40-C38</f>
        <v>244</v>
      </c>
      <c r="D39" s="378" t="s">
        <v>204</v>
      </c>
      <c r="E39" s="381">
        <f>C39*9</f>
        <v>2196</v>
      </c>
    </row>
    <row r="40" spans="2:5" ht="19.5">
      <c r="B40" s="941" t="s">
        <v>201</v>
      </c>
      <c r="C40" s="380">
        <v>5752</v>
      </c>
      <c r="D40" s="380" t="s">
        <v>202</v>
      </c>
      <c r="E40" s="379">
        <f>SUM(E38+E39)</f>
        <v>54522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6B611-C726-4E60-9C03-816CCA759BD1}">
  <sheetPr codeName="Sheet23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44886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780</v>
      </c>
      <c r="C7" s="630" t="s">
        <v>669</v>
      </c>
      <c r="D7" s="964">
        <v>431</v>
      </c>
      <c r="E7" s="965">
        <f t="shared" ref="E7:E12" si="0">D7*9.5</f>
        <v>4094.5</v>
      </c>
    </row>
    <row r="8" spans="2:8" ht="15" customHeight="1">
      <c r="B8" s="630" t="s">
        <v>51</v>
      </c>
      <c r="C8" s="630" t="s">
        <v>669</v>
      </c>
      <c r="D8" s="964">
        <v>526</v>
      </c>
      <c r="E8" s="965">
        <f t="shared" si="0"/>
        <v>4997</v>
      </c>
    </row>
    <row r="9" spans="2:8" ht="15" customHeight="1">
      <c r="B9" s="973" t="s">
        <v>332</v>
      </c>
      <c r="C9" s="973" t="s">
        <v>26</v>
      </c>
      <c r="D9" s="964">
        <v>611</v>
      </c>
      <c r="E9" s="965">
        <f t="shared" si="0"/>
        <v>5804.5</v>
      </c>
    </row>
    <row r="10" spans="2:8" ht="15" customHeight="1">
      <c r="B10" s="973" t="s">
        <v>781</v>
      </c>
      <c r="C10" s="973" t="s">
        <v>26</v>
      </c>
      <c r="D10" s="943"/>
      <c r="E10" s="965">
        <f t="shared" si="0"/>
        <v>0</v>
      </c>
      <c r="F10" s="934" t="s">
        <v>722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1568</v>
      </c>
      <c r="E12" s="965">
        <f t="shared" si="0"/>
        <v>14896</v>
      </c>
    </row>
    <row r="14" spans="2:8" ht="19.5">
      <c r="B14" s="941" t="s">
        <v>671</v>
      </c>
      <c r="C14" s="1256" t="s">
        <v>73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630" t="s">
        <v>763</v>
      </c>
      <c r="C17" s="630" t="s">
        <v>669</v>
      </c>
      <c r="D17" s="964">
        <v>175</v>
      </c>
      <c r="E17" s="965">
        <f t="shared" ref="E17:E22" si="1">D17*9.5</f>
        <v>1662.5</v>
      </c>
    </row>
    <row r="18" spans="2:6" ht="15" customHeight="1">
      <c r="B18" s="1132" t="s">
        <v>244</v>
      </c>
      <c r="C18" s="630" t="s">
        <v>669</v>
      </c>
      <c r="D18" s="964">
        <v>534</v>
      </c>
      <c r="E18" s="965">
        <f t="shared" si="1"/>
        <v>5073</v>
      </c>
    </row>
    <row r="19" spans="2:6" ht="14.45" customHeight="1">
      <c r="B19" s="973" t="s">
        <v>238</v>
      </c>
      <c r="C19" s="973" t="s">
        <v>26</v>
      </c>
      <c r="D19" s="964">
        <v>332</v>
      </c>
      <c r="E19" s="965">
        <f t="shared" si="1"/>
        <v>3154</v>
      </c>
    </row>
    <row r="20" spans="2:6" ht="14.45" customHeight="1">
      <c r="B20" s="973" t="s">
        <v>65</v>
      </c>
      <c r="C20" s="973" t="s">
        <v>26</v>
      </c>
      <c r="D20" s="964">
        <v>331</v>
      </c>
      <c r="E20" s="965">
        <f t="shared" si="1"/>
        <v>3144.5</v>
      </c>
    </row>
    <row r="21" spans="2:6" ht="14.45" customHeight="1">
      <c r="B21" s="1063"/>
      <c r="C21" s="975" t="s">
        <v>681</v>
      </c>
      <c r="D21" s="964"/>
      <c r="E21" s="965">
        <f t="shared" si="1"/>
        <v>0</v>
      </c>
    </row>
    <row r="22" spans="2:6" ht="14.45" customHeight="1">
      <c r="B22" s="1269" t="s">
        <v>24</v>
      </c>
      <c r="C22" s="1270"/>
      <c r="D22" s="964">
        <f>SUM(D17:D21)</f>
        <v>1372</v>
      </c>
      <c r="E22" s="954">
        <f t="shared" si="1"/>
        <v>13034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773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630" t="s">
        <v>782</v>
      </c>
      <c r="C27" s="630" t="s">
        <v>669</v>
      </c>
      <c r="D27" s="964"/>
      <c r="E27" s="965">
        <f t="shared" ref="E27:E32" si="2">D27*9.5</f>
        <v>0</v>
      </c>
      <c r="F27" s="934" t="s">
        <v>761</v>
      </c>
    </row>
    <row r="28" spans="2:6">
      <c r="B28" s="630" t="s">
        <v>258</v>
      </c>
      <c r="C28" s="630" t="s">
        <v>669</v>
      </c>
      <c r="D28" s="964">
        <v>310</v>
      </c>
      <c r="E28" s="965">
        <f t="shared" si="2"/>
        <v>2945</v>
      </c>
    </row>
    <row r="29" spans="2:6">
      <c r="B29" s="973" t="s">
        <v>143</v>
      </c>
      <c r="C29" s="973" t="s">
        <v>26</v>
      </c>
      <c r="D29" s="964">
        <v>367</v>
      </c>
      <c r="E29" s="965">
        <f t="shared" si="2"/>
        <v>3486.5</v>
      </c>
    </row>
    <row r="30" spans="2:6">
      <c r="B30" s="973" t="s">
        <v>245</v>
      </c>
      <c r="C30" s="975" t="s">
        <v>26</v>
      </c>
      <c r="D30" s="964">
        <v>158</v>
      </c>
      <c r="E30" s="965">
        <f t="shared" si="2"/>
        <v>1501</v>
      </c>
    </row>
    <row r="31" spans="2:6">
      <c r="B31" s="1128"/>
      <c r="C31" s="975" t="s">
        <v>667</v>
      </c>
      <c r="D31" s="964"/>
      <c r="E31" s="965">
        <f t="shared" si="2"/>
        <v>0</v>
      </c>
    </row>
    <row r="32" spans="2:6" ht="20.100000000000001" customHeight="1">
      <c r="B32" s="1259" t="s">
        <v>24</v>
      </c>
      <c r="C32" s="1259"/>
      <c r="D32" s="964">
        <f>SUM(D27:D31)</f>
        <v>835</v>
      </c>
      <c r="E32" s="954">
        <f t="shared" si="2"/>
        <v>7932.5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1568</v>
      </c>
      <c r="D35" s="956">
        <f>D22</f>
        <v>1372</v>
      </c>
      <c r="E35" s="956">
        <f>D32</f>
        <v>835</v>
      </c>
    </row>
    <row r="36" spans="2:5">
      <c r="B36" s="953" t="s">
        <v>36</v>
      </c>
      <c r="C36" s="951">
        <f>C35*9.5</f>
        <v>14896</v>
      </c>
      <c r="D36" s="951">
        <f>D35*9.5</f>
        <v>13034</v>
      </c>
      <c r="E36" s="951">
        <f>E35*9.5</f>
        <v>7932.5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3775</v>
      </c>
      <c r="D38" s="378" t="s">
        <v>253</v>
      </c>
      <c r="E38" s="381">
        <f>C38*9.5</f>
        <v>35862.5</v>
      </c>
    </row>
    <row r="39" spans="2:5">
      <c r="B39" s="377" t="s">
        <v>197</v>
      </c>
      <c r="C39" s="378">
        <f>C40-C38</f>
        <v>2930</v>
      </c>
      <c r="D39" s="378" t="s">
        <v>204</v>
      </c>
      <c r="E39" s="381">
        <f>C39*9</f>
        <v>26370</v>
      </c>
    </row>
    <row r="40" spans="2:5" ht="19.5">
      <c r="B40" s="941" t="s">
        <v>201</v>
      </c>
      <c r="C40" s="380">
        <v>6705</v>
      </c>
      <c r="D40" s="380" t="s">
        <v>202</v>
      </c>
      <c r="E40" s="379">
        <f>SUM(E38+E39)</f>
        <v>62232.5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79E47-D4DD-4A75-ADF6-4E0AC22D1ED2}">
  <sheetPr codeName="Sheet23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44887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256</v>
      </c>
      <c r="C7" s="630" t="s">
        <v>669</v>
      </c>
      <c r="D7" s="964">
        <v>328</v>
      </c>
      <c r="E7" s="965">
        <f t="shared" ref="E7:E12" si="0">D7*9.5</f>
        <v>3116</v>
      </c>
    </row>
    <row r="8" spans="2:8" ht="15" customHeight="1">
      <c r="B8" s="630" t="s">
        <v>189</v>
      </c>
      <c r="C8" s="630" t="s">
        <v>669</v>
      </c>
      <c r="D8" s="964">
        <v>424</v>
      </c>
      <c r="E8" s="965">
        <f t="shared" si="0"/>
        <v>4028</v>
      </c>
    </row>
    <row r="9" spans="2:8" ht="15" customHeight="1">
      <c r="B9" s="973" t="s">
        <v>696</v>
      </c>
      <c r="C9" s="973" t="s">
        <v>26</v>
      </c>
      <c r="D9" s="964">
        <v>238</v>
      </c>
      <c r="E9" s="965">
        <f t="shared" si="0"/>
        <v>2261</v>
      </c>
    </row>
    <row r="10" spans="2:8" ht="15" customHeight="1">
      <c r="B10" s="973" t="s">
        <v>243</v>
      </c>
      <c r="C10" s="973" t="s">
        <v>26</v>
      </c>
      <c r="D10" s="943">
        <v>654</v>
      </c>
      <c r="E10" s="965">
        <f t="shared" si="0"/>
        <v>6213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1644</v>
      </c>
      <c r="E12" s="965">
        <f t="shared" si="0"/>
        <v>15618</v>
      </c>
    </row>
    <row r="14" spans="2:8" ht="19.5">
      <c r="B14" s="941" t="s">
        <v>671</v>
      </c>
      <c r="C14" s="1256" t="s">
        <v>73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82</v>
      </c>
      <c r="C17" s="630" t="s">
        <v>669</v>
      </c>
      <c r="D17" s="964">
        <v>347</v>
      </c>
      <c r="E17" s="965">
        <f t="shared" ref="E17:E22" si="1">D17*9.5</f>
        <v>3296.5</v>
      </c>
    </row>
    <row r="18" spans="2:5" ht="15" customHeight="1">
      <c r="B18" s="1132" t="s">
        <v>12</v>
      </c>
      <c r="C18" s="630" t="s">
        <v>669</v>
      </c>
      <c r="D18" s="964">
        <v>269</v>
      </c>
      <c r="E18" s="965">
        <f t="shared" si="1"/>
        <v>2555.5</v>
      </c>
    </row>
    <row r="19" spans="2:5" ht="14.45" customHeight="1">
      <c r="B19" s="973" t="s">
        <v>252</v>
      </c>
      <c r="C19" s="973" t="s">
        <v>26</v>
      </c>
      <c r="D19" s="964">
        <v>212</v>
      </c>
      <c r="E19" s="965">
        <f t="shared" si="1"/>
        <v>2014</v>
      </c>
    </row>
    <row r="20" spans="2:5" ht="14.45" customHeight="1">
      <c r="B20" s="973" t="s">
        <v>53</v>
      </c>
      <c r="C20" s="973" t="s">
        <v>26</v>
      </c>
      <c r="D20" s="964">
        <v>230</v>
      </c>
      <c r="E20" s="965">
        <f t="shared" si="1"/>
        <v>2185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1058</v>
      </c>
      <c r="E22" s="954">
        <f t="shared" si="1"/>
        <v>10051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773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45</v>
      </c>
      <c r="C27" s="630" t="s">
        <v>669</v>
      </c>
      <c r="D27" s="964">
        <v>250</v>
      </c>
      <c r="E27" s="965">
        <f t="shared" ref="E27:E32" si="2">D27*9.5</f>
        <v>2375</v>
      </c>
    </row>
    <row r="28" spans="2:5">
      <c r="B28" s="630" t="s">
        <v>278</v>
      </c>
      <c r="C28" s="630" t="s">
        <v>669</v>
      </c>
      <c r="D28" s="964">
        <v>408</v>
      </c>
      <c r="E28" s="965">
        <f t="shared" si="2"/>
        <v>3876</v>
      </c>
    </row>
    <row r="29" spans="2:5">
      <c r="B29" s="973" t="s">
        <v>303</v>
      </c>
      <c r="C29" s="973" t="s">
        <v>26</v>
      </c>
      <c r="D29" s="964">
        <v>485</v>
      </c>
      <c r="E29" s="965">
        <f t="shared" si="2"/>
        <v>4607.5</v>
      </c>
    </row>
    <row r="30" spans="2:5">
      <c r="B30" s="973" t="s">
        <v>70</v>
      </c>
      <c r="C30" s="975" t="s">
        <v>26</v>
      </c>
      <c r="D30" s="964">
        <v>292</v>
      </c>
      <c r="E30" s="965">
        <f t="shared" si="2"/>
        <v>2774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1435</v>
      </c>
      <c r="E32" s="954">
        <f t="shared" si="2"/>
        <v>13632.5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1644</v>
      </c>
      <c r="D35" s="956">
        <f>D22</f>
        <v>1058</v>
      </c>
      <c r="E35" s="956">
        <f>D32</f>
        <v>1435</v>
      </c>
    </row>
    <row r="36" spans="2:5">
      <c r="B36" s="953" t="s">
        <v>36</v>
      </c>
      <c r="C36" s="951">
        <f>C35*9.5</f>
        <v>15618</v>
      </c>
      <c r="D36" s="951">
        <f>D35*9.5</f>
        <v>10051</v>
      </c>
      <c r="E36" s="951">
        <f>E35*9.5</f>
        <v>13632.5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4137</v>
      </c>
      <c r="D38" s="378" t="s">
        <v>253</v>
      </c>
      <c r="E38" s="381">
        <f>C38*9.5</f>
        <v>39301.5</v>
      </c>
    </row>
    <row r="39" spans="2:5">
      <c r="B39" s="377" t="s">
        <v>197</v>
      </c>
      <c r="C39" s="378">
        <f>C40-C38</f>
        <v>2082</v>
      </c>
      <c r="D39" s="378" t="s">
        <v>204</v>
      </c>
      <c r="E39" s="381">
        <f>C39*9</f>
        <v>18738</v>
      </c>
    </row>
    <row r="40" spans="2:5" ht="19.5">
      <c r="B40" s="941" t="s">
        <v>201</v>
      </c>
      <c r="C40" s="380">
        <v>6219</v>
      </c>
      <c r="D40" s="380" t="s">
        <v>202</v>
      </c>
      <c r="E40" s="379">
        <f>SUM(E38+E39)</f>
        <v>58039.5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9372C-4E87-4A63-8594-A395C508ED2D}">
  <sheetPr codeName="Sheet23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44892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783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0"/>
      <c r="C7" s="630" t="s">
        <v>669</v>
      </c>
      <c r="D7" s="964"/>
      <c r="E7" s="965">
        <f t="shared" ref="E7:E12" si="0">D7*9.5</f>
        <v>0</v>
      </c>
    </row>
    <row r="8" spans="2:8" ht="15" customHeight="1">
      <c r="B8" s="1130"/>
      <c r="C8" s="630" t="s">
        <v>669</v>
      </c>
      <c r="D8" s="964"/>
      <c r="E8" s="965">
        <f t="shared" si="0"/>
        <v>0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0</v>
      </c>
      <c r="E12" s="965">
        <f t="shared" si="0"/>
        <v>0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250</v>
      </c>
      <c r="C17" s="630" t="s">
        <v>669</v>
      </c>
      <c r="D17" s="964">
        <v>97</v>
      </c>
      <c r="E17" s="965">
        <f t="shared" ref="E17:E22" si="1">D17*9.5</f>
        <v>921.5</v>
      </c>
    </row>
    <row r="18" spans="2:5" ht="15" customHeight="1">
      <c r="B18" s="1132" t="s">
        <v>239</v>
      </c>
      <c r="C18" s="630" t="s">
        <v>669</v>
      </c>
      <c r="D18" s="964">
        <v>274</v>
      </c>
      <c r="E18" s="965">
        <f t="shared" si="1"/>
        <v>2603</v>
      </c>
    </row>
    <row r="19" spans="2:5" ht="14.45" customHeight="1">
      <c r="B19" s="973" t="s">
        <v>12</v>
      </c>
      <c r="C19" s="973" t="s">
        <v>26</v>
      </c>
      <c r="D19" s="964">
        <v>327</v>
      </c>
      <c r="E19" s="965">
        <f t="shared" si="1"/>
        <v>3106.5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698</v>
      </c>
      <c r="E22" s="954">
        <f t="shared" si="1"/>
        <v>6631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769</v>
      </c>
      <c r="C27" s="630" t="s">
        <v>669</v>
      </c>
      <c r="D27" s="964">
        <v>376</v>
      </c>
      <c r="E27" s="965">
        <f t="shared" ref="E27:E32" si="2">D27*9.5</f>
        <v>3572</v>
      </c>
    </row>
    <row r="28" spans="2:5">
      <c r="B28" s="630" t="s">
        <v>771</v>
      </c>
      <c r="C28" s="630" t="s">
        <v>669</v>
      </c>
      <c r="D28" s="964">
        <v>339</v>
      </c>
      <c r="E28" s="965">
        <f t="shared" si="2"/>
        <v>3220.5</v>
      </c>
    </row>
    <row r="29" spans="2:5">
      <c r="B29" s="973" t="s">
        <v>252</v>
      </c>
      <c r="C29" s="973" t="s">
        <v>26</v>
      </c>
      <c r="D29" s="964">
        <v>291</v>
      </c>
      <c r="E29" s="965">
        <f t="shared" si="2"/>
        <v>2764.5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1006</v>
      </c>
      <c r="E32" s="954">
        <f t="shared" si="2"/>
        <v>9557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0</v>
      </c>
      <c r="D35" s="956">
        <f>D22</f>
        <v>698</v>
      </c>
      <c r="E35" s="956">
        <f>D32</f>
        <v>1006</v>
      </c>
    </row>
    <row r="36" spans="2:5">
      <c r="B36" s="953" t="s">
        <v>36</v>
      </c>
      <c r="C36" s="951">
        <f>C35*9.5</f>
        <v>0</v>
      </c>
      <c r="D36" s="951">
        <f>D35*9.5</f>
        <v>6631</v>
      </c>
      <c r="E36" s="951">
        <f>E35*9.5</f>
        <v>9557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1704</v>
      </c>
      <c r="D38" s="378" t="s">
        <v>253</v>
      </c>
      <c r="E38" s="381">
        <f>C38*9.5</f>
        <v>16188</v>
      </c>
    </row>
    <row r="39" spans="2:5">
      <c r="B39" s="377" t="s">
        <v>197</v>
      </c>
      <c r="C39" s="378">
        <f>C40-C38</f>
        <v>314</v>
      </c>
      <c r="D39" s="378" t="s">
        <v>204</v>
      </c>
      <c r="E39" s="381">
        <f>C39*9</f>
        <v>2826</v>
      </c>
    </row>
    <row r="40" spans="2:5" ht="19.5">
      <c r="B40" s="941" t="s">
        <v>201</v>
      </c>
      <c r="C40" s="380">
        <v>2018</v>
      </c>
      <c r="D40" s="380" t="s">
        <v>202</v>
      </c>
      <c r="E40" s="379">
        <f>SUM(E38+E39)</f>
        <v>19014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9207E-EBA9-4B09-923B-771733214684}">
  <sheetPr codeName="Sheet233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44893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189</v>
      </c>
      <c r="C7" s="630" t="s">
        <v>669</v>
      </c>
      <c r="D7" s="964">
        <v>497</v>
      </c>
      <c r="E7" s="965">
        <f t="shared" ref="E7:E12" si="0">D7*9.5</f>
        <v>4721.5</v>
      </c>
    </row>
    <row r="8" spans="2:8" ht="15" customHeight="1">
      <c r="B8" s="1132" t="s">
        <v>329</v>
      </c>
      <c r="C8" s="630" t="s">
        <v>669</v>
      </c>
      <c r="D8" s="964">
        <v>725</v>
      </c>
      <c r="E8" s="965">
        <f t="shared" si="0"/>
        <v>6887.5</v>
      </c>
    </row>
    <row r="9" spans="2:8" ht="15" customHeight="1">
      <c r="B9" s="975" t="s">
        <v>303</v>
      </c>
      <c r="C9" s="973" t="s">
        <v>26</v>
      </c>
      <c r="D9" s="964">
        <v>854</v>
      </c>
      <c r="E9" s="965">
        <f t="shared" si="0"/>
        <v>8113</v>
      </c>
    </row>
    <row r="10" spans="2:8" ht="15" customHeight="1">
      <c r="B10" s="975" t="s">
        <v>260</v>
      </c>
      <c r="C10" s="973" t="s">
        <v>26</v>
      </c>
      <c r="D10" s="943">
        <v>438</v>
      </c>
      <c r="E10" s="965">
        <f t="shared" si="0"/>
        <v>4161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2514</v>
      </c>
      <c r="E12" s="965">
        <f t="shared" si="0"/>
        <v>23883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238</v>
      </c>
      <c r="C17" s="630" t="s">
        <v>669</v>
      </c>
      <c r="D17" s="964">
        <v>323</v>
      </c>
      <c r="E17" s="965">
        <f t="shared" ref="E17:E22" si="1">D17*9.5</f>
        <v>3068.5</v>
      </c>
    </row>
    <row r="18" spans="2:5" ht="15" customHeight="1">
      <c r="B18" s="1132" t="s">
        <v>78</v>
      </c>
      <c r="C18" s="630" t="s">
        <v>669</v>
      </c>
      <c r="D18" s="964">
        <v>451</v>
      </c>
      <c r="E18" s="965">
        <f t="shared" si="1"/>
        <v>4284.5</v>
      </c>
    </row>
    <row r="19" spans="2:5" ht="14.45" customHeight="1">
      <c r="B19" s="973" t="s">
        <v>303</v>
      </c>
      <c r="C19" s="973" t="s">
        <v>26</v>
      </c>
      <c r="D19" s="964">
        <v>862</v>
      </c>
      <c r="E19" s="965">
        <f t="shared" si="1"/>
        <v>8189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1636</v>
      </c>
      <c r="E22" s="954">
        <f t="shared" si="1"/>
        <v>15542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252</v>
      </c>
      <c r="C27" s="630" t="s">
        <v>669</v>
      </c>
      <c r="D27" s="964">
        <v>290</v>
      </c>
      <c r="E27" s="965">
        <f t="shared" ref="E27:E32" si="2">D27*9.5</f>
        <v>2755</v>
      </c>
    </row>
    <row r="28" spans="2:5">
      <c r="B28" s="630" t="s">
        <v>278</v>
      </c>
      <c r="C28" s="630" t="s">
        <v>669</v>
      </c>
      <c r="D28" s="964">
        <v>481</v>
      </c>
      <c r="E28" s="965">
        <f t="shared" si="2"/>
        <v>4569.5</v>
      </c>
    </row>
    <row r="29" spans="2:5">
      <c r="B29" s="973" t="s">
        <v>188</v>
      </c>
      <c r="C29" s="973" t="s">
        <v>26</v>
      </c>
      <c r="D29" s="964">
        <v>247</v>
      </c>
      <c r="E29" s="965">
        <f t="shared" si="2"/>
        <v>2346.5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1018</v>
      </c>
      <c r="E32" s="954">
        <f t="shared" si="2"/>
        <v>9671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2514</v>
      </c>
      <c r="D35" s="956">
        <f>D22</f>
        <v>1636</v>
      </c>
      <c r="E35" s="956">
        <f>D32</f>
        <v>1018</v>
      </c>
    </row>
    <row r="36" spans="2:5">
      <c r="B36" s="953" t="s">
        <v>36</v>
      </c>
      <c r="C36" s="951">
        <f>C35*9.5</f>
        <v>23883</v>
      </c>
      <c r="D36" s="951">
        <f>D35*9.5</f>
        <v>15542</v>
      </c>
      <c r="E36" s="951">
        <f>E35*9.5</f>
        <v>9671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5168</v>
      </c>
      <c r="D38" s="378" t="s">
        <v>253</v>
      </c>
      <c r="E38" s="381">
        <f>C38*9.5</f>
        <v>49096</v>
      </c>
    </row>
    <row r="39" spans="2:5">
      <c r="B39" s="377" t="s">
        <v>197</v>
      </c>
      <c r="C39" s="378">
        <f>C40-C38</f>
        <v>3073</v>
      </c>
      <c r="D39" s="378" t="s">
        <v>204</v>
      </c>
      <c r="E39" s="381">
        <f>C39*9</f>
        <v>27657</v>
      </c>
    </row>
    <row r="40" spans="2:5" ht="19.5">
      <c r="B40" s="941" t="s">
        <v>201</v>
      </c>
      <c r="C40" s="380">
        <v>8241</v>
      </c>
      <c r="D40" s="380" t="s">
        <v>202</v>
      </c>
      <c r="E40" s="379">
        <f>SUM(E38+E39)</f>
        <v>76753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95AF8-445A-4EF2-8583-5124C2EA1853}">
  <sheetPr codeName="Sheet23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44894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763</v>
      </c>
      <c r="C7" s="630" t="s">
        <v>669</v>
      </c>
      <c r="D7" s="964">
        <v>393</v>
      </c>
      <c r="E7" s="965">
        <f t="shared" ref="E7:E12" si="0">D7*9.5</f>
        <v>3733.5</v>
      </c>
    </row>
    <row r="8" spans="2:8" ht="15" customHeight="1">
      <c r="B8" s="1132" t="s">
        <v>260</v>
      </c>
      <c r="C8" s="630" t="s">
        <v>669</v>
      </c>
      <c r="D8" s="964">
        <v>409</v>
      </c>
      <c r="E8" s="965">
        <f t="shared" si="0"/>
        <v>3885.5</v>
      </c>
    </row>
    <row r="9" spans="2:8" ht="15" customHeight="1">
      <c r="B9" s="975" t="s">
        <v>244</v>
      </c>
      <c r="C9" s="973" t="s">
        <v>26</v>
      </c>
      <c r="D9" s="964">
        <v>597</v>
      </c>
      <c r="E9" s="965">
        <f t="shared" si="0"/>
        <v>5671.5</v>
      </c>
    </row>
    <row r="10" spans="2:8" ht="15" customHeight="1">
      <c r="B10" s="975" t="s">
        <v>12</v>
      </c>
      <c r="C10" s="973" t="s">
        <v>26</v>
      </c>
      <c r="D10" s="943">
        <v>447</v>
      </c>
      <c r="E10" s="965">
        <f t="shared" si="0"/>
        <v>4246.5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1846</v>
      </c>
      <c r="E12" s="965">
        <f t="shared" si="0"/>
        <v>17537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630" t="s">
        <v>332</v>
      </c>
      <c r="C17" s="630" t="s">
        <v>669</v>
      </c>
      <c r="D17" s="964">
        <v>640</v>
      </c>
      <c r="E17" s="965">
        <f t="shared" ref="E17:E22" si="1">D17*9.5</f>
        <v>6080</v>
      </c>
    </row>
    <row r="18" spans="2:6" ht="15" customHeight="1">
      <c r="B18" s="1132" t="s">
        <v>184</v>
      </c>
      <c r="C18" s="630" t="s">
        <v>669</v>
      </c>
      <c r="D18" s="964">
        <v>378</v>
      </c>
      <c r="E18" s="965">
        <f t="shared" si="1"/>
        <v>3591</v>
      </c>
    </row>
    <row r="19" spans="2:6" ht="14.45" customHeight="1">
      <c r="B19" s="973" t="s">
        <v>245</v>
      </c>
      <c r="C19" s="973" t="s">
        <v>26</v>
      </c>
      <c r="D19" s="964">
        <v>319</v>
      </c>
      <c r="E19" s="965">
        <f t="shared" si="1"/>
        <v>3030.5</v>
      </c>
    </row>
    <row r="20" spans="2:6" ht="14.45" customHeight="1">
      <c r="B20" s="972"/>
      <c r="C20" s="973" t="s">
        <v>26</v>
      </c>
      <c r="D20" s="964"/>
      <c r="E20" s="965">
        <f t="shared" si="1"/>
        <v>0</v>
      </c>
    </row>
    <row r="21" spans="2:6" ht="14.45" customHeight="1">
      <c r="B21" s="1063"/>
      <c r="C21" s="975" t="s">
        <v>681</v>
      </c>
      <c r="D21" s="964"/>
      <c r="E21" s="965">
        <f t="shared" si="1"/>
        <v>0</v>
      </c>
    </row>
    <row r="22" spans="2:6" ht="14.45" customHeight="1">
      <c r="B22" s="1269" t="s">
        <v>24</v>
      </c>
      <c r="C22" s="1270"/>
      <c r="D22" s="964">
        <f>SUM(D17:D21)</f>
        <v>1337</v>
      </c>
      <c r="E22" s="954">
        <f t="shared" si="1"/>
        <v>12701.5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165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630" t="s">
        <v>784</v>
      </c>
      <c r="C27" s="630" t="s">
        <v>669</v>
      </c>
      <c r="D27" s="964"/>
      <c r="E27" s="965">
        <f t="shared" ref="E27:E32" si="2">D27*9.5</f>
        <v>0</v>
      </c>
      <c r="F27" s="934" t="s">
        <v>722</v>
      </c>
    </row>
    <row r="28" spans="2:6">
      <c r="B28" s="630" t="s">
        <v>278</v>
      </c>
      <c r="C28" s="630" t="s">
        <v>669</v>
      </c>
      <c r="D28" s="964">
        <v>530</v>
      </c>
      <c r="E28" s="965">
        <f t="shared" si="2"/>
        <v>5035</v>
      </c>
    </row>
    <row r="29" spans="2:6">
      <c r="B29" s="973" t="s">
        <v>281</v>
      </c>
      <c r="C29" s="973" t="s">
        <v>26</v>
      </c>
      <c r="D29" s="964">
        <v>380</v>
      </c>
      <c r="E29" s="965">
        <f t="shared" si="2"/>
        <v>3610</v>
      </c>
    </row>
    <row r="30" spans="2:6">
      <c r="B30" s="972"/>
      <c r="C30" s="975" t="s">
        <v>26</v>
      </c>
      <c r="D30" s="964"/>
      <c r="E30" s="965">
        <f t="shared" si="2"/>
        <v>0</v>
      </c>
    </row>
    <row r="31" spans="2:6">
      <c r="B31" s="1128"/>
      <c r="C31" s="975" t="s">
        <v>667</v>
      </c>
      <c r="D31" s="964"/>
      <c r="E31" s="965">
        <f t="shared" si="2"/>
        <v>0</v>
      </c>
    </row>
    <row r="32" spans="2:6" ht="20.100000000000001" customHeight="1">
      <c r="B32" s="1259" t="s">
        <v>24</v>
      </c>
      <c r="C32" s="1259"/>
      <c r="D32" s="964">
        <f>SUM(D27:D31)</f>
        <v>910</v>
      </c>
      <c r="E32" s="954">
        <f t="shared" si="2"/>
        <v>8645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1846</v>
      </c>
      <c r="D35" s="956">
        <f>D22</f>
        <v>1337</v>
      </c>
      <c r="E35" s="956">
        <f>D32</f>
        <v>910</v>
      </c>
    </row>
    <row r="36" spans="2:5">
      <c r="B36" s="953" t="s">
        <v>36</v>
      </c>
      <c r="C36" s="951">
        <f>C35*9.5</f>
        <v>17537</v>
      </c>
      <c r="D36" s="951">
        <f>D35*9.5</f>
        <v>12701.5</v>
      </c>
      <c r="E36" s="951">
        <f>E35*9.5</f>
        <v>8645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4093</v>
      </c>
      <c r="D38" s="378" t="s">
        <v>253</v>
      </c>
      <c r="E38" s="381">
        <f>C38*9.5</f>
        <v>38883.5</v>
      </c>
    </row>
    <row r="39" spans="2:5">
      <c r="B39" s="377" t="s">
        <v>197</v>
      </c>
      <c r="C39" s="378">
        <f>C40-C38</f>
        <v>3875</v>
      </c>
      <c r="D39" s="378" t="s">
        <v>204</v>
      </c>
      <c r="E39" s="381">
        <f>C39*9</f>
        <v>34875</v>
      </c>
    </row>
    <row r="40" spans="2:5" ht="19.5">
      <c r="B40" s="941" t="s">
        <v>201</v>
      </c>
      <c r="C40" s="380">
        <v>7968</v>
      </c>
      <c r="D40" s="380" t="s">
        <v>202</v>
      </c>
      <c r="E40" s="379">
        <f>SUM(E38+E39)</f>
        <v>73758.5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EA327-D5B8-463C-A1D3-7EBA9A84CFCC}">
  <sheetPr codeName="Sheet23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44895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205</v>
      </c>
      <c r="C7" s="630" t="s">
        <v>669</v>
      </c>
      <c r="D7" s="964">
        <v>310</v>
      </c>
      <c r="E7" s="965">
        <f t="shared" ref="E7:E12" si="0">D7*9.5</f>
        <v>2945</v>
      </c>
    </row>
    <row r="8" spans="2:8" ht="15" customHeight="1">
      <c r="B8" s="1132" t="s">
        <v>711</v>
      </c>
      <c r="C8" s="630" t="s">
        <v>669</v>
      </c>
      <c r="D8" s="964">
        <v>863</v>
      </c>
      <c r="E8" s="965">
        <f t="shared" si="0"/>
        <v>8198.5</v>
      </c>
    </row>
    <row r="9" spans="2:8" ht="15" customHeight="1">
      <c r="B9" s="975" t="s">
        <v>82</v>
      </c>
      <c r="C9" s="973" t="s">
        <v>26</v>
      </c>
      <c r="D9" s="964">
        <v>431</v>
      </c>
      <c r="E9" s="965">
        <f t="shared" si="0"/>
        <v>4094.5</v>
      </c>
    </row>
    <row r="10" spans="2:8" ht="15" customHeight="1">
      <c r="B10" s="975" t="s">
        <v>707</v>
      </c>
      <c r="C10" s="973" t="s">
        <v>26</v>
      </c>
      <c r="D10" s="943">
        <v>436</v>
      </c>
      <c r="E10" s="965">
        <f t="shared" si="0"/>
        <v>4142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2040</v>
      </c>
      <c r="E12" s="965">
        <f t="shared" si="0"/>
        <v>19380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245</v>
      </c>
      <c r="C17" s="630" t="s">
        <v>669</v>
      </c>
      <c r="D17" s="964">
        <v>262</v>
      </c>
      <c r="E17" s="965">
        <f t="shared" ref="E17:E22" si="1">D17*9.5</f>
        <v>2489</v>
      </c>
    </row>
    <row r="18" spans="2:5" ht="15" customHeight="1">
      <c r="B18" s="1132" t="s">
        <v>785</v>
      </c>
      <c r="C18" s="630" t="s">
        <v>669</v>
      </c>
      <c r="D18" s="964">
        <v>548</v>
      </c>
      <c r="E18" s="965">
        <f t="shared" si="1"/>
        <v>5206</v>
      </c>
    </row>
    <row r="19" spans="2:5" ht="14.45" customHeight="1">
      <c r="B19" s="973" t="s">
        <v>281</v>
      </c>
      <c r="C19" s="973" t="s">
        <v>26</v>
      </c>
      <c r="D19" s="964">
        <v>486</v>
      </c>
      <c r="E19" s="965">
        <f t="shared" si="1"/>
        <v>4617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1296</v>
      </c>
      <c r="E22" s="954">
        <f t="shared" si="1"/>
        <v>12312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763</v>
      </c>
      <c r="C27" s="630" t="s">
        <v>669</v>
      </c>
      <c r="D27" s="964">
        <v>290</v>
      </c>
      <c r="E27" s="965">
        <f t="shared" ref="E27:E32" si="2">D27*9.5</f>
        <v>2755</v>
      </c>
    </row>
    <row r="28" spans="2:5">
      <c r="B28" s="630" t="s">
        <v>235</v>
      </c>
      <c r="C28" s="630" t="s">
        <v>669</v>
      </c>
      <c r="D28" s="964">
        <v>667</v>
      </c>
      <c r="E28" s="965">
        <f t="shared" si="2"/>
        <v>6336.5</v>
      </c>
    </row>
    <row r="29" spans="2:5">
      <c r="B29" s="973" t="s">
        <v>260</v>
      </c>
      <c r="C29" s="973" t="s">
        <v>26</v>
      </c>
      <c r="D29" s="964">
        <v>295</v>
      </c>
      <c r="E29" s="965">
        <f t="shared" si="2"/>
        <v>2802.5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1252</v>
      </c>
      <c r="E32" s="954">
        <f t="shared" si="2"/>
        <v>11894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2040</v>
      </c>
      <c r="D35" s="956">
        <f>D22</f>
        <v>1296</v>
      </c>
      <c r="E35" s="956">
        <f>D32</f>
        <v>1252</v>
      </c>
    </row>
    <row r="36" spans="2:5">
      <c r="B36" s="953" t="s">
        <v>36</v>
      </c>
      <c r="C36" s="951">
        <f>C35*9.5</f>
        <v>19380</v>
      </c>
      <c r="D36" s="951">
        <f>D35*9.5</f>
        <v>12312</v>
      </c>
      <c r="E36" s="951">
        <f>E35*9.5</f>
        <v>11894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4588</v>
      </c>
      <c r="D38" s="378" t="s">
        <v>253</v>
      </c>
      <c r="E38" s="381">
        <f>C38*9.5</f>
        <v>43586</v>
      </c>
    </row>
    <row r="39" spans="2:5">
      <c r="B39" s="377" t="s">
        <v>197</v>
      </c>
      <c r="C39" s="378">
        <f>C40-C38</f>
        <v>4140</v>
      </c>
      <c r="D39" s="378" t="s">
        <v>204</v>
      </c>
      <c r="E39" s="381">
        <f>C39*9</f>
        <v>37260</v>
      </c>
    </row>
    <row r="40" spans="2:5" ht="19.5">
      <c r="B40" s="941" t="s">
        <v>201</v>
      </c>
      <c r="C40" s="380">
        <v>8728</v>
      </c>
      <c r="D40" s="380" t="s">
        <v>202</v>
      </c>
      <c r="E40" s="379">
        <f>SUM(E38+E39)</f>
        <v>80846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1CF31-70B3-445C-81E7-F15C1B0B1D87}">
  <sheetPr codeName="Sheet23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44896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65</v>
      </c>
      <c r="C7" s="630" t="s">
        <v>669</v>
      </c>
      <c r="D7" s="964">
        <v>503</v>
      </c>
      <c r="E7" s="965">
        <f t="shared" ref="E7:E12" si="0">D7*9.5</f>
        <v>4778.5</v>
      </c>
    </row>
    <row r="8" spans="2:8" ht="15" customHeight="1">
      <c r="B8" s="1132" t="s">
        <v>332</v>
      </c>
      <c r="C8" s="630" t="s">
        <v>669</v>
      </c>
      <c r="D8" s="964">
        <v>649</v>
      </c>
      <c r="E8" s="965">
        <f t="shared" si="0"/>
        <v>6165.5</v>
      </c>
    </row>
    <row r="9" spans="2:8" ht="15" customHeight="1">
      <c r="B9" s="975" t="s">
        <v>250</v>
      </c>
      <c r="C9" s="973" t="s">
        <v>26</v>
      </c>
      <c r="D9" s="964">
        <v>444</v>
      </c>
      <c r="E9" s="965">
        <f t="shared" si="0"/>
        <v>4218</v>
      </c>
    </row>
    <row r="10" spans="2:8" ht="15" customHeight="1">
      <c r="B10" s="975" t="s">
        <v>45</v>
      </c>
      <c r="C10" s="973" t="s">
        <v>26</v>
      </c>
      <c r="D10" s="943">
        <v>521</v>
      </c>
      <c r="E10" s="965">
        <f t="shared" si="0"/>
        <v>4949.5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2117</v>
      </c>
      <c r="E12" s="965">
        <f t="shared" si="0"/>
        <v>20111.5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65</v>
      </c>
      <c r="C17" s="630" t="s">
        <v>669</v>
      </c>
      <c r="D17" s="964">
        <v>461</v>
      </c>
      <c r="E17" s="965">
        <f t="shared" ref="E17:E22" si="1">D17*9.5</f>
        <v>4379.5</v>
      </c>
    </row>
    <row r="18" spans="2:5" ht="15" customHeight="1">
      <c r="B18" s="1132" t="s">
        <v>189</v>
      </c>
      <c r="C18" s="630" t="s">
        <v>669</v>
      </c>
      <c r="D18" s="964">
        <v>473</v>
      </c>
      <c r="E18" s="965">
        <f t="shared" si="1"/>
        <v>4493.5</v>
      </c>
    </row>
    <row r="19" spans="2:5" ht="14.45" customHeight="1">
      <c r="B19" s="973" t="s">
        <v>244</v>
      </c>
      <c r="C19" s="973" t="s">
        <v>26</v>
      </c>
      <c r="D19" s="964">
        <v>637</v>
      </c>
      <c r="E19" s="965">
        <f t="shared" si="1"/>
        <v>6051.5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1571</v>
      </c>
      <c r="E22" s="954">
        <f t="shared" si="1"/>
        <v>14924.5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678</v>
      </c>
      <c r="C27" s="630" t="s">
        <v>669</v>
      </c>
      <c r="D27" s="964">
        <v>362</v>
      </c>
      <c r="E27" s="965">
        <f t="shared" ref="E27:E32" si="2">D27*9.5</f>
        <v>3439</v>
      </c>
    </row>
    <row r="28" spans="2:5">
      <c r="B28" s="630" t="s">
        <v>331</v>
      </c>
      <c r="C28" s="630" t="s">
        <v>669</v>
      </c>
      <c r="D28" s="964">
        <v>528</v>
      </c>
      <c r="E28" s="965">
        <f t="shared" si="2"/>
        <v>5016</v>
      </c>
    </row>
    <row r="29" spans="2:5">
      <c r="B29" s="789" t="s">
        <v>303</v>
      </c>
      <c r="C29" s="973" t="s">
        <v>26</v>
      </c>
      <c r="D29" s="964">
        <v>677</v>
      </c>
      <c r="E29" s="965">
        <f t="shared" si="2"/>
        <v>6431.5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1567</v>
      </c>
      <c r="E32" s="954">
        <f t="shared" si="2"/>
        <v>14886.5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2117</v>
      </c>
      <c r="D35" s="956">
        <f>D22</f>
        <v>1571</v>
      </c>
      <c r="E35" s="956">
        <f>D32</f>
        <v>1567</v>
      </c>
    </row>
    <row r="36" spans="2:5">
      <c r="B36" s="953" t="s">
        <v>36</v>
      </c>
      <c r="C36" s="951">
        <f>C35*9.5</f>
        <v>20111.5</v>
      </c>
      <c r="D36" s="951">
        <f>D35*9.5</f>
        <v>14924.5</v>
      </c>
      <c r="E36" s="951">
        <f>E35*9.5</f>
        <v>14886.5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5255</v>
      </c>
      <c r="D38" s="378" t="s">
        <v>253</v>
      </c>
      <c r="E38" s="381">
        <f>C38*9.5</f>
        <v>49922.5</v>
      </c>
    </row>
    <row r="39" spans="2:5">
      <c r="B39" s="377" t="s">
        <v>197</v>
      </c>
      <c r="C39" s="378">
        <f>C40-C38</f>
        <v>3684</v>
      </c>
      <c r="D39" s="378" t="s">
        <v>204</v>
      </c>
      <c r="E39" s="381">
        <f>C39*9</f>
        <v>33156</v>
      </c>
    </row>
    <row r="40" spans="2:5" ht="19.5">
      <c r="B40" s="941" t="s">
        <v>201</v>
      </c>
      <c r="C40" s="380">
        <v>8939</v>
      </c>
      <c r="D40" s="380" t="s">
        <v>202</v>
      </c>
      <c r="E40" s="379">
        <f>SUM(E38+E39)</f>
        <v>83078.5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1F8F5-D898-460C-90FE-2ECE97A9E39D}">
  <sheetPr codeName="Sheet23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44897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787</v>
      </c>
      <c r="C7" s="630" t="s">
        <v>669</v>
      </c>
      <c r="D7" s="964">
        <v>437</v>
      </c>
      <c r="E7" s="965">
        <f t="shared" ref="E7:E12" si="0">D7*9.5</f>
        <v>4151.5</v>
      </c>
    </row>
    <row r="8" spans="2:8" ht="15" customHeight="1">
      <c r="B8" s="1132" t="s">
        <v>256</v>
      </c>
      <c r="C8" s="630" t="s">
        <v>669</v>
      </c>
      <c r="D8" s="964">
        <v>264</v>
      </c>
      <c r="E8" s="965">
        <f t="shared" si="0"/>
        <v>2508</v>
      </c>
    </row>
    <row r="9" spans="2:8" ht="15" customHeight="1">
      <c r="B9" s="975" t="s">
        <v>678</v>
      </c>
      <c r="C9" s="973" t="s">
        <v>26</v>
      </c>
      <c r="D9" s="964">
        <v>463</v>
      </c>
      <c r="E9" s="965">
        <f t="shared" si="0"/>
        <v>4398.5</v>
      </c>
    </row>
    <row r="10" spans="2:8" ht="15" customHeight="1">
      <c r="B10" s="975" t="s">
        <v>788</v>
      </c>
      <c r="C10" s="973" t="s">
        <v>26</v>
      </c>
      <c r="D10" s="943">
        <v>475</v>
      </c>
      <c r="E10" s="965">
        <f t="shared" si="0"/>
        <v>4512.5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1639</v>
      </c>
      <c r="E12" s="965">
        <f t="shared" si="0"/>
        <v>15570.5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238</v>
      </c>
      <c r="C17" s="630" t="s">
        <v>669</v>
      </c>
      <c r="D17" s="964">
        <v>320</v>
      </c>
      <c r="E17" s="965">
        <f t="shared" ref="E17:E22" si="1">D17*9.5</f>
        <v>3040</v>
      </c>
    </row>
    <row r="18" spans="2:5" ht="15" customHeight="1">
      <c r="B18" s="1132" t="s">
        <v>256</v>
      </c>
      <c r="C18" s="630" t="s">
        <v>669</v>
      </c>
      <c r="D18" s="964">
        <v>273</v>
      </c>
      <c r="E18" s="965">
        <f t="shared" si="1"/>
        <v>2593.5</v>
      </c>
    </row>
    <row r="19" spans="2:5" ht="14.45" customHeight="1">
      <c r="B19" s="973" t="s">
        <v>65</v>
      </c>
      <c r="C19" s="973" t="s">
        <v>26</v>
      </c>
      <c r="D19" s="964">
        <v>477</v>
      </c>
      <c r="E19" s="965">
        <f t="shared" si="1"/>
        <v>4531.5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1070</v>
      </c>
      <c r="E22" s="954">
        <f t="shared" si="1"/>
        <v>10165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675</v>
      </c>
      <c r="C27" s="630" t="s">
        <v>669</v>
      </c>
      <c r="D27" s="964">
        <v>575</v>
      </c>
      <c r="E27" s="965">
        <f t="shared" ref="E27:E32" si="2">D27*9.5</f>
        <v>5462.5</v>
      </c>
    </row>
    <row r="28" spans="2:5">
      <c r="B28" s="630" t="s">
        <v>334</v>
      </c>
      <c r="C28" s="630" t="s">
        <v>669</v>
      </c>
      <c r="D28" s="964">
        <v>497</v>
      </c>
      <c r="E28" s="965">
        <f t="shared" si="2"/>
        <v>4721.5</v>
      </c>
    </row>
    <row r="29" spans="2:5">
      <c r="B29" s="789" t="s">
        <v>143</v>
      </c>
      <c r="C29" s="973" t="s">
        <v>26</v>
      </c>
      <c r="D29" s="964">
        <v>364</v>
      </c>
      <c r="E29" s="965">
        <f t="shared" si="2"/>
        <v>3458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1436</v>
      </c>
      <c r="E32" s="954">
        <f t="shared" si="2"/>
        <v>13642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1639</v>
      </c>
      <c r="D35" s="956">
        <f>D22</f>
        <v>1070</v>
      </c>
      <c r="E35" s="956">
        <f>D32</f>
        <v>1436</v>
      </c>
    </row>
    <row r="36" spans="2:5">
      <c r="B36" s="953" t="s">
        <v>36</v>
      </c>
      <c r="C36" s="951">
        <f>C35*9.5</f>
        <v>15570.5</v>
      </c>
      <c r="D36" s="951">
        <f>D35*9.5</f>
        <v>10165</v>
      </c>
      <c r="E36" s="951">
        <f>E35*9.5</f>
        <v>13642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4145</v>
      </c>
      <c r="D38" s="378" t="s">
        <v>253</v>
      </c>
      <c r="E38" s="381">
        <f>C38*9.5</f>
        <v>39377.5</v>
      </c>
    </row>
    <row r="39" spans="2:5">
      <c r="B39" s="377" t="s">
        <v>197</v>
      </c>
      <c r="C39" s="378">
        <f>C40-C38</f>
        <v>3017</v>
      </c>
      <c r="D39" s="378" t="s">
        <v>204</v>
      </c>
      <c r="E39" s="381">
        <f>C39*9</f>
        <v>27153</v>
      </c>
    </row>
    <row r="40" spans="2:5" ht="19.5">
      <c r="B40" s="941" t="s">
        <v>201</v>
      </c>
      <c r="C40" s="380">
        <v>7162</v>
      </c>
      <c r="D40" s="380" t="s">
        <v>202</v>
      </c>
      <c r="E40" s="379">
        <f>SUM(E38+E39)</f>
        <v>66530.5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0E0DA-E12A-4EB5-AF7A-9623B466BE37}">
  <sheetPr codeName="Sheet23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44898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329</v>
      </c>
      <c r="C7" s="630" t="s">
        <v>669</v>
      </c>
      <c r="D7" s="964">
        <v>750</v>
      </c>
      <c r="E7" s="965">
        <f t="shared" ref="E7:E12" si="0">D7*9.5</f>
        <v>7125</v>
      </c>
    </row>
    <row r="8" spans="2:8" ht="15" customHeight="1">
      <c r="B8" s="1132" t="s">
        <v>143</v>
      </c>
      <c r="C8" s="630" t="s">
        <v>669</v>
      </c>
      <c r="D8" s="964">
        <v>559</v>
      </c>
      <c r="E8" s="965">
        <f t="shared" si="0"/>
        <v>5310.5</v>
      </c>
    </row>
    <row r="9" spans="2:8" ht="15" customHeight="1">
      <c r="B9" s="975" t="s">
        <v>184</v>
      </c>
      <c r="C9" s="973" t="s">
        <v>26</v>
      </c>
      <c r="D9" s="964">
        <v>350</v>
      </c>
      <c r="E9" s="965">
        <f t="shared" si="0"/>
        <v>3325</v>
      </c>
    </row>
    <row r="10" spans="2:8" ht="15" customHeight="1">
      <c r="B10" s="975" t="s">
        <v>303</v>
      </c>
      <c r="C10" s="973" t="s">
        <v>26</v>
      </c>
      <c r="D10" s="943">
        <v>992</v>
      </c>
      <c r="E10" s="965">
        <f t="shared" si="0"/>
        <v>9424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2651</v>
      </c>
      <c r="E12" s="965">
        <f t="shared" si="0"/>
        <v>25184.5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252</v>
      </c>
      <c r="C17" s="630" t="s">
        <v>669</v>
      </c>
      <c r="D17" s="964">
        <v>351</v>
      </c>
      <c r="E17" s="965">
        <f t="shared" ref="E17:E22" si="1">D17*9.5</f>
        <v>3334.5</v>
      </c>
    </row>
    <row r="18" spans="2:5" ht="15" customHeight="1">
      <c r="B18" s="1132" t="s">
        <v>334</v>
      </c>
      <c r="C18" s="630" t="s">
        <v>669</v>
      </c>
      <c r="D18" s="964">
        <v>674</v>
      </c>
      <c r="E18" s="965">
        <f t="shared" si="1"/>
        <v>6403</v>
      </c>
    </row>
    <row r="19" spans="2:5" ht="14.45" customHeight="1">
      <c r="B19" s="973" t="s">
        <v>239</v>
      </c>
      <c r="C19" s="973" t="s">
        <v>26</v>
      </c>
      <c r="D19" s="964">
        <v>401</v>
      </c>
      <c r="E19" s="965">
        <f t="shared" si="1"/>
        <v>3809.5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1426</v>
      </c>
      <c r="E22" s="954">
        <f t="shared" si="1"/>
        <v>13547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678</v>
      </c>
      <c r="C27" s="630" t="s">
        <v>669</v>
      </c>
      <c r="D27" s="964">
        <v>450</v>
      </c>
      <c r="E27" s="965">
        <f t="shared" ref="E27:E32" si="2">D27*9.5</f>
        <v>4275</v>
      </c>
    </row>
    <row r="28" spans="2:5">
      <c r="B28" s="630" t="s">
        <v>331</v>
      </c>
      <c r="C28" s="630" t="s">
        <v>669</v>
      </c>
      <c r="D28" s="964">
        <v>484</v>
      </c>
      <c r="E28" s="965">
        <f t="shared" si="2"/>
        <v>4598</v>
      </c>
    </row>
    <row r="29" spans="2:5">
      <c r="B29" s="789" t="s">
        <v>250</v>
      </c>
      <c r="C29" s="973" t="s">
        <v>26</v>
      </c>
      <c r="D29" s="964">
        <v>332</v>
      </c>
      <c r="E29" s="965">
        <f t="shared" si="2"/>
        <v>3154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1266</v>
      </c>
      <c r="E32" s="954">
        <f t="shared" si="2"/>
        <v>12027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2651</v>
      </c>
      <c r="D35" s="956">
        <f>D22</f>
        <v>1426</v>
      </c>
      <c r="E35" s="956">
        <f>D32</f>
        <v>1266</v>
      </c>
    </row>
    <row r="36" spans="2:5">
      <c r="B36" s="953" t="s">
        <v>36</v>
      </c>
      <c r="C36" s="951">
        <f>C35*9.5</f>
        <v>25184.5</v>
      </c>
      <c r="D36" s="951">
        <f>D35*9.5</f>
        <v>13547</v>
      </c>
      <c r="E36" s="951">
        <f>E35*9.5</f>
        <v>12027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5343</v>
      </c>
      <c r="D38" s="378" t="s">
        <v>253</v>
      </c>
      <c r="E38" s="381">
        <f>C38*9.5</f>
        <v>50758.5</v>
      </c>
    </row>
    <row r="39" spans="2:5">
      <c r="B39" s="377" t="s">
        <v>197</v>
      </c>
      <c r="C39" s="378">
        <f>C40-C38</f>
        <v>804</v>
      </c>
      <c r="D39" s="378" t="s">
        <v>204</v>
      </c>
      <c r="E39" s="381">
        <f>C39*9</f>
        <v>7236</v>
      </c>
    </row>
    <row r="40" spans="2:5" ht="19.5">
      <c r="B40" s="941" t="s">
        <v>201</v>
      </c>
      <c r="C40" s="380">
        <v>6147</v>
      </c>
      <c r="D40" s="380" t="s">
        <v>202</v>
      </c>
      <c r="E40" s="379">
        <f>SUM(E38+E39)</f>
        <v>57994.5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ECE90-8484-4DE3-A99B-BB546B2C7ABF}">
  <sheetPr codeName="Sheet23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44899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678</v>
      </c>
      <c r="C7" s="630" t="s">
        <v>669</v>
      </c>
      <c r="D7" s="964">
        <v>593</v>
      </c>
      <c r="E7" s="965">
        <f t="shared" ref="E7:E12" si="0">D7*9.5</f>
        <v>5633.5</v>
      </c>
    </row>
    <row r="8" spans="2:8" ht="15" customHeight="1">
      <c r="B8" s="1132" t="s">
        <v>329</v>
      </c>
      <c r="C8" s="630" t="s">
        <v>669</v>
      </c>
      <c r="D8" s="964">
        <v>752</v>
      </c>
      <c r="E8" s="965">
        <f t="shared" si="0"/>
        <v>7144</v>
      </c>
    </row>
    <row r="9" spans="2:8" ht="15" customHeight="1">
      <c r="B9" s="975" t="s">
        <v>279</v>
      </c>
      <c r="C9" s="973" t="s">
        <v>26</v>
      </c>
      <c r="D9" s="964">
        <v>975</v>
      </c>
      <c r="E9" s="965">
        <f t="shared" si="0"/>
        <v>9262.5</v>
      </c>
    </row>
    <row r="10" spans="2:8" ht="15" customHeight="1">
      <c r="B10" s="975" t="s">
        <v>70</v>
      </c>
      <c r="C10" s="973" t="s">
        <v>26</v>
      </c>
      <c r="D10" s="943">
        <v>634</v>
      </c>
      <c r="E10" s="965">
        <f t="shared" si="0"/>
        <v>6023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2954</v>
      </c>
      <c r="E12" s="965">
        <f t="shared" si="0"/>
        <v>28063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65</v>
      </c>
      <c r="C17" s="630" t="s">
        <v>669</v>
      </c>
      <c r="D17" s="964">
        <v>640</v>
      </c>
      <c r="E17" s="965">
        <f t="shared" ref="E17:E22" si="1">D17*9.5</f>
        <v>6080</v>
      </c>
    </row>
    <row r="18" spans="2:5" ht="15" customHeight="1">
      <c r="B18" s="1132" t="s">
        <v>281</v>
      </c>
      <c r="C18" s="630" t="s">
        <v>669</v>
      </c>
      <c r="D18" s="964">
        <v>482</v>
      </c>
      <c r="E18" s="965">
        <f t="shared" si="1"/>
        <v>4579</v>
      </c>
    </row>
    <row r="19" spans="2:5" ht="14.45" customHeight="1">
      <c r="B19" s="973" t="s">
        <v>250</v>
      </c>
      <c r="C19" s="973" t="s">
        <v>26</v>
      </c>
      <c r="D19" s="964">
        <v>600</v>
      </c>
      <c r="E19" s="965">
        <f t="shared" si="1"/>
        <v>5700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1722</v>
      </c>
      <c r="E22" s="954">
        <f t="shared" si="1"/>
        <v>16359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301</v>
      </c>
      <c r="C27" s="630" t="s">
        <v>669</v>
      </c>
      <c r="D27" s="964">
        <v>433</v>
      </c>
      <c r="E27" s="965">
        <f t="shared" ref="E27:E32" si="2">D27*9.5</f>
        <v>4113.5</v>
      </c>
    </row>
    <row r="28" spans="2:5">
      <c r="B28" s="630" t="s">
        <v>235</v>
      </c>
      <c r="C28" s="630" t="s">
        <v>669</v>
      </c>
      <c r="D28" s="964">
        <v>727</v>
      </c>
      <c r="E28" s="965">
        <f t="shared" si="2"/>
        <v>6906.5</v>
      </c>
    </row>
    <row r="29" spans="2:5">
      <c r="B29" s="789" t="s">
        <v>44</v>
      </c>
      <c r="C29" s="973" t="s">
        <v>26</v>
      </c>
      <c r="D29" s="964">
        <v>325</v>
      </c>
      <c r="E29" s="965">
        <f t="shared" si="2"/>
        <v>3087.5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1485</v>
      </c>
      <c r="E32" s="954">
        <f t="shared" si="2"/>
        <v>14107.5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2954</v>
      </c>
      <c r="D35" s="956">
        <f>D22</f>
        <v>1722</v>
      </c>
      <c r="E35" s="956">
        <f>D32</f>
        <v>1485</v>
      </c>
    </row>
    <row r="36" spans="2:5">
      <c r="B36" s="953" t="s">
        <v>36</v>
      </c>
      <c r="C36" s="951">
        <f>C35*9.5</f>
        <v>28063</v>
      </c>
      <c r="D36" s="951">
        <f>D35*9.5</f>
        <v>16359</v>
      </c>
      <c r="E36" s="951">
        <f>E35*9.5</f>
        <v>14107.5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6161</v>
      </c>
      <c r="D38" s="378" t="s">
        <v>253</v>
      </c>
      <c r="E38" s="381">
        <f>C38*9.5</f>
        <v>58529.5</v>
      </c>
    </row>
    <row r="39" spans="2:5">
      <c r="B39" s="377" t="s">
        <v>197</v>
      </c>
      <c r="C39" s="378">
        <f>C40-C38</f>
        <v>673</v>
      </c>
      <c r="D39" s="378" t="s">
        <v>204</v>
      </c>
      <c r="E39" s="381">
        <f>C39*9</f>
        <v>6057</v>
      </c>
    </row>
    <row r="40" spans="2:5" ht="19.5">
      <c r="B40" s="941" t="s">
        <v>201</v>
      </c>
      <c r="C40" s="380">
        <v>6834</v>
      </c>
      <c r="D40" s="380" t="s">
        <v>202</v>
      </c>
      <c r="E40" s="379">
        <f>SUM(E38+E39)</f>
        <v>64586.5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BC687-6EAA-48B8-BB90-27EC23B0625C}">
  <sheetPr codeName="Sheet24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44900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184</v>
      </c>
      <c r="C7" s="630" t="s">
        <v>669</v>
      </c>
      <c r="D7" s="964">
        <v>345</v>
      </c>
      <c r="E7" s="965">
        <f t="shared" ref="E7:E12" si="0">D7*9.5</f>
        <v>3277.5</v>
      </c>
    </row>
    <row r="8" spans="2:8" ht="15" customHeight="1">
      <c r="B8" s="1132" t="s">
        <v>675</v>
      </c>
      <c r="C8" s="630" t="s">
        <v>669</v>
      </c>
      <c r="D8" s="964">
        <v>930</v>
      </c>
      <c r="E8" s="965">
        <f t="shared" si="0"/>
        <v>8835</v>
      </c>
    </row>
    <row r="9" spans="2:8" ht="15" customHeight="1">
      <c r="B9" s="975" t="s">
        <v>78</v>
      </c>
      <c r="C9" s="973" t="s">
        <v>26</v>
      </c>
      <c r="D9" s="964">
        <v>485</v>
      </c>
      <c r="E9" s="965">
        <f t="shared" si="0"/>
        <v>4607.5</v>
      </c>
    </row>
    <row r="10" spans="2:8" ht="15" customHeight="1">
      <c r="B10" s="975" t="s">
        <v>332</v>
      </c>
      <c r="C10" s="973" t="s">
        <v>26</v>
      </c>
      <c r="D10" s="943">
        <v>744</v>
      </c>
      <c r="E10" s="965">
        <f t="shared" si="0"/>
        <v>7068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2504</v>
      </c>
      <c r="E12" s="965">
        <f t="shared" si="0"/>
        <v>23788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188</v>
      </c>
      <c r="C17" s="630" t="s">
        <v>669</v>
      </c>
      <c r="D17" s="964">
        <v>331</v>
      </c>
      <c r="E17" s="965">
        <f t="shared" ref="E17:E22" si="1">D17*9.5</f>
        <v>3144.5</v>
      </c>
    </row>
    <row r="18" spans="2:5" ht="15" customHeight="1">
      <c r="B18" s="1132" t="s">
        <v>82</v>
      </c>
      <c r="C18" s="630" t="s">
        <v>669</v>
      </c>
      <c r="D18" s="964">
        <v>370</v>
      </c>
      <c r="E18" s="965">
        <f t="shared" si="1"/>
        <v>3515</v>
      </c>
    </row>
    <row r="19" spans="2:5" ht="14.45" customHeight="1">
      <c r="B19" s="973" t="s">
        <v>244</v>
      </c>
      <c r="C19" s="973" t="s">
        <v>26</v>
      </c>
      <c r="D19" s="964">
        <v>716</v>
      </c>
      <c r="E19" s="965">
        <f t="shared" si="1"/>
        <v>6802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1417</v>
      </c>
      <c r="E22" s="954">
        <f t="shared" si="1"/>
        <v>13461.5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205</v>
      </c>
      <c r="C27" s="630" t="s">
        <v>669</v>
      </c>
      <c r="D27" s="964">
        <v>211</v>
      </c>
      <c r="E27" s="965">
        <f t="shared" ref="E27:E32" si="2">D27*9.5</f>
        <v>2004.5</v>
      </c>
    </row>
    <row r="28" spans="2:5">
      <c r="B28" s="630" t="s">
        <v>278</v>
      </c>
      <c r="C28" s="630" t="s">
        <v>669</v>
      </c>
      <c r="D28" s="964">
        <v>524</v>
      </c>
      <c r="E28" s="965">
        <f t="shared" si="2"/>
        <v>4978</v>
      </c>
    </row>
    <row r="29" spans="2:5">
      <c r="B29" s="789" t="s">
        <v>70</v>
      </c>
      <c r="C29" s="973" t="s">
        <v>26</v>
      </c>
      <c r="D29" s="964">
        <v>513</v>
      </c>
      <c r="E29" s="965">
        <f t="shared" si="2"/>
        <v>4873.5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1248</v>
      </c>
      <c r="E32" s="954">
        <f t="shared" si="2"/>
        <v>11856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2504</v>
      </c>
      <c r="D35" s="956">
        <f>D22</f>
        <v>1417</v>
      </c>
      <c r="E35" s="956">
        <f>D32</f>
        <v>1248</v>
      </c>
    </row>
    <row r="36" spans="2:5">
      <c r="B36" s="953" t="s">
        <v>36</v>
      </c>
      <c r="C36" s="951">
        <f>C35*9.5</f>
        <v>23788</v>
      </c>
      <c r="D36" s="951">
        <f>D35*9.5</f>
        <v>13461.5</v>
      </c>
      <c r="E36" s="951">
        <f>E35*9.5</f>
        <v>11856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5169</v>
      </c>
      <c r="D38" s="378" t="s">
        <v>253</v>
      </c>
      <c r="E38" s="381">
        <f>C38*9.5</f>
        <v>49105.5</v>
      </c>
    </row>
    <row r="39" spans="2:5">
      <c r="B39" s="377" t="s">
        <v>197</v>
      </c>
      <c r="C39" s="378">
        <f>C40-C38</f>
        <v>3700</v>
      </c>
      <c r="D39" s="378" t="s">
        <v>204</v>
      </c>
      <c r="E39" s="381">
        <f>C39*9</f>
        <v>33300</v>
      </c>
    </row>
    <row r="40" spans="2:5" ht="19.5">
      <c r="B40" s="941" t="s">
        <v>201</v>
      </c>
      <c r="C40" s="380">
        <v>8869</v>
      </c>
      <c r="D40" s="380" t="s">
        <v>202</v>
      </c>
      <c r="E40" s="379">
        <f>SUM(E38+E39)</f>
        <v>82405.5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6DAE9-5DBD-498D-AB8C-3637E7D7B5F4}">
  <sheetPr codeName="Sheet24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44901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12</v>
      </c>
      <c r="C7" s="630" t="s">
        <v>669</v>
      </c>
      <c r="D7" s="964">
        <v>528</v>
      </c>
      <c r="E7" s="965">
        <f t="shared" ref="E7:E12" si="0">D7*9.5</f>
        <v>5016</v>
      </c>
    </row>
    <row r="8" spans="2:8" ht="15" customHeight="1">
      <c r="B8" s="1132" t="s">
        <v>678</v>
      </c>
      <c r="C8" s="630" t="s">
        <v>669</v>
      </c>
      <c r="D8" s="964">
        <v>501</v>
      </c>
      <c r="E8" s="965">
        <f t="shared" si="0"/>
        <v>4759.5</v>
      </c>
    </row>
    <row r="9" spans="2:8" ht="15" customHeight="1">
      <c r="B9" s="975" t="s">
        <v>45</v>
      </c>
      <c r="C9" s="973" t="s">
        <v>26</v>
      </c>
      <c r="D9" s="964">
        <v>550</v>
      </c>
      <c r="E9" s="965">
        <f t="shared" si="0"/>
        <v>5225</v>
      </c>
    </row>
    <row r="10" spans="2:8" ht="15" customHeight="1">
      <c r="B10" s="975" t="s">
        <v>239</v>
      </c>
      <c r="C10" s="973" t="s">
        <v>26</v>
      </c>
      <c r="D10" s="943">
        <v>357</v>
      </c>
      <c r="E10" s="965">
        <f t="shared" si="0"/>
        <v>3391.5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1936</v>
      </c>
      <c r="E12" s="965">
        <f t="shared" si="0"/>
        <v>18392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630" t="s">
        <v>238</v>
      </c>
      <c r="C17" s="630" t="s">
        <v>669</v>
      </c>
      <c r="D17" s="964">
        <v>371</v>
      </c>
      <c r="E17" s="965">
        <f t="shared" ref="E17:E22" si="1">D17*9.5</f>
        <v>3524.5</v>
      </c>
    </row>
    <row r="18" spans="2:6" ht="15" customHeight="1">
      <c r="B18" s="1132" t="s">
        <v>252</v>
      </c>
      <c r="C18" s="630" t="s">
        <v>669</v>
      </c>
      <c r="D18" s="964">
        <v>354</v>
      </c>
      <c r="E18" s="965">
        <f t="shared" si="1"/>
        <v>3363</v>
      </c>
    </row>
    <row r="19" spans="2:6" ht="14.45" customHeight="1">
      <c r="B19" s="973" t="s">
        <v>245</v>
      </c>
      <c r="C19" s="973" t="s">
        <v>26</v>
      </c>
      <c r="D19" s="964">
        <v>309</v>
      </c>
      <c r="E19" s="965">
        <f t="shared" si="1"/>
        <v>2935.5</v>
      </c>
    </row>
    <row r="20" spans="2:6" ht="14.45" customHeight="1">
      <c r="B20" s="972"/>
      <c r="C20" s="973" t="s">
        <v>26</v>
      </c>
      <c r="D20" s="964"/>
      <c r="E20" s="965">
        <f t="shared" si="1"/>
        <v>0</v>
      </c>
    </row>
    <row r="21" spans="2:6" ht="14.45" customHeight="1">
      <c r="B21" s="1063"/>
      <c r="C21" s="975" t="s">
        <v>681</v>
      </c>
      <c r="D21" s="964"/>
      <c r="E21" s="965">
        <f t="shared" si="1"/>
        <v>0</v>
      </c>
    </row>
    <row r="22" spans="2:6" ht="14.45" customHeight="1">
      <c r="B22" s="1269" t="s">
        <v>24</v>
      </c>
      <c r="C22" s="1270"/>
      <c r="D22" s="964">
        <f>SUM(D17:D21)</f>
        <v>1034</v>
      </c>
      <c r="E22" s="954">
        <f t="shared" si="1"/>
        <v>9823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165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630" t="s">
        <v>250</v>
      </c>
      <c r="C27" s="630" t="s">
        <v>669</v>
      </c>
      <c r="D27" s="964">
        <v>528</v>
      </c>
      <c r="E27" s="965">
        <f t="shared" ref="E27:E32" si="2">D27*9.5</f>
        <v>5016</v>
      </c>
    </row>
    <row r="28" spans="2:6">
      <c r="B28" s="630" t="s">
        <v>333</v>
      </c>
      <c r="C28" s="630" t="s">
        <v>669</v>
      </c>
      <c r="D28" s="964">
        <v>380</v>
      </c>
      <c r="E28" s="965">
        <f t="shared" si="2"/>
        <v>3610</v>
      </c>
    </row>
    <row r="29" spans="2:6">
      <c r="B29" s="789" t="s">
        <v>789</v>
      </c>
      <c r="C29" s="973" t="s">
        <v>26</v>
      </c>
      <c r="D29" s="964"/>
      <c r="E29" s="965">
        <f t="shared" si="2"/>
        <v>0</v>
      </c>
      <c r="F29" s="934" t="s">
        <v>722</v>
      </c>
    </row>
    <row r="30" spans="2:6">
      <c r="B30" s="972"/>
      <c r="C30" s="975" t="s">
        <v>26</v>
      </c>
      <c r="D30" s="964"/>
      <c r="E30" s="965">
        <f t="shared" si="2"/>
        <v>0</v>
      </c>
    </row>
    <row r="31" spans="2:6">
      <c r="B31" s="1128"/>
      <c r="C31" s="975" t="s">
        <v>667</v>
      </c>
      <c r="D31" s="964"/>
      <c r="E31" s="965">
        <f t="shared" si="2"/>
        <v>0</v>
      </c>
    </row>
    <row r="32" spans="2:6" ht="20.100000000000001" customHeight="1">
      <c r="B32" s="1259" t="s">
        <v>24</v>
      </c>
      <c r="C32" s="1259"/>
      <c r="D32" s="964">
        <f>SUM(D27:D31)</f>
        <v>908</v>
      </c>
      <c r="E32" s="954">
        <f t="shared" si="2"/>
        <v>8626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1936</v>
      </c>
      <c r="D35" s="956">
        <f>D22</f>
        <v>1034</v>
      </c>
      <c r="E35" s="956">
        <f>D32</f>
        <v>908</v>
      </c>
    </row>
    <row r="36" spans="2:5">
      <c r="B36" s="953" t="s">
        <v>36</v>
      </c>
      <c r="C36" s="951">
        <f>C35*9.5</f>
        <v>18392</v>
      </c>
      <c r="D36" s="951">
        <f>D35*9.5</f>
        <v>9823</v>
      </c>
      <c r="E36" s="951">
        <f>E35*9.5</f>
        <v>8626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3878</v>
      </c>
      <c r="D38" s="378" t="s">
        <v>253</v>
      </c>
      <c r="E38" s="381">
        <f>C38*9.5</f>
        <v>36841</v>
      </c>
    </row>
    <row r="39" spans="2:5">
      <c r="B39" s="377" t="s">
        <v>197</v>
      </c>
      <c r="C39" s="378">
        <f>C40-C38</f>
        <v>4160</v>
      </c>
      <c r="D39" s="378" t="s">
        <v>204</v>
      </c>
      <c r="E39" s="381">
        <f>C39*9</f>
        <v>37440</v>
      </c>
    </row>
    <row r="40" spans="2:5" ht="19.5">
      <c r="B40" s="941" t="s">
        <v>201</v>
      </c>
      <c r="C40" s="380">
        <v>8038</v>
      </c>
      <c r="D40" s="380" t="s">
        <v>202</v>
      </c>
      <c r="E40" s="379">
        <f>SUM(E38+E39)</f>
        <v>74281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0B5B9-F8C5-4FDD-8EF7-0161413343B1}">
  <sheetPr codeName="Sheet24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44902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763</v>
      </c>
      <c r="C7" s="630" t="s">
        <v>669</v>
      </c>
      <c r="D7" s="964">
        <v>408</v>
      </c>
      <c r="E7" s="965">
        <f t="shared" ref="E7:E12" si="0">D7*9.5</f>
        <v>3876</v>
      </c>
    </row>
    <row r="8" spans="2:8" ht="15" customHeight="1">
      <c r="B8" s="1132" t="s">
        <v>65</v>
      </c>
      <c r="C8" s="630" t="s">
        <v>669</v>
      </c>
      <c r="D8" s="964">
        <v>240</v>
      </c>
      <c r="E8" s="965">
        <f t="shared" si="0"/>
        <v>2280</v>
      </c>
    </row>
    <row r="9" spans="2:8" ht="15" customHeight="1">
      <c r="B9" s="975" t="s">
        <v>143</v>
      </c>
      <c r="C9" s="973" t="s">
        <v>26</v>
      </c>
      <c r="D9" s="964">
        <v>600</v>
      </c>
      <c r="E9" s="965">
        <f t="shared" si="0"/>
        <v>5700</v>
      </c>
    </row>
    <row r="10" spans="2:8" ht="15" customHeight="1">
      <c r="B10" s="975" t="s">
        <v>696</v>
      </c>
      <c r="C10" s="973" t="s">
        <v>26</v>
      </c>
      <c r="D10" s="943">
        <v>366</v>
      </c>
      <c r="E10" s="965">
        <f t="shared" si="0"/>
        <v>3477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1614</v>
      </c>
      <c r="E12" s="965">
        <f t="shared" si="0"/>
        <v>15333</v>
      </c>
    </row>
    <row r="14" spans="2:8" ht="19.5">
      <c r="B14" s="941" t="s">
        <v>671</v>
      </c>
      <c r="C14" s="1256" t="s">
        <v>73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65</v>
      </c>
      <c r="C17" s="630" t="s">
        <v>669</v>
      </c>
      <c r="D17" s="964">
        <v>526</v>
      </c>
      <c r="E17" s="965">
        <f t="shared" ref="E17:E22" si="1">D17*9.5</f>
        <v>4997</v>
      </c>
    </row>
    <row r="18" spans="2:5" ht="15" customHeight="1">
      <c r="B18" s="1132" t="s">
        <v>252</v>
      </c>
      <c r="C18" s="630" t="s">
        <v>669</v>
      </c>
      <c r="D18" s="964">
        <v>343</v>
      </c>
      <c r="E18" s="965">
        <f t="shared" si="1"/>
        <v>3258.5</v>
      </c>
    </row>
    <row r="19" spans="2:5" ht="14.45" customHeight="1">
      <c r="B19" s="973" t="s">
        <v>189</v>
      </c>
      <c r="C19" s="973" t="s">
        <v>26</v>
      </c>
      <c r="D19" s="964">
        <v>427</v>
      </c>
      <c r="E19" s="965">
        <f t="shared" si="1"/>
        <v>4056.5</v>
      </c>
    </row>
    <row r="20" spans="2:5" ht="14.45" customHeight="1">
      <c r="B20" s="975" t="s">
        <v>12</v>
      </c>
      <c r="C20" s="973" t="s">
        <v>26</v>
      </c>
      <c r="D20" s="964">
        <v>210</v>
      </c>
      <c r="E20" s="965">
        <f t="shared" si="1"/>
        <v>1995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1506</v>
      </c>
      <c r="E22" s="954">
        <f t="shared" si="1"/>
        <v>14307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675</v>
      </c>
      <c r="C27" s="630" t="s">
        <v>669</v>
      </c>
      <c r="D27" s="964">
        <v>641</v>
      </c>
      <c r="E27" s="965">
        <f t="shared" ref="E27:E32" si="2">D27*9.5</f>
        <v>6089.5</v>
      </c>
    </row>
    <row r="28" spans="2:5">
      <c r="B28" s="630" t="s">
        <v>334</v>
      </c>
      <c r="C28" s="630" t="s">
        <v>669</v>
      </c>
      <c r="D28" s="964">
        <v>542</v>
      </c>
      <c r="E28" s="965">
        <f t="shared" si="2"/>
        <v>5149</v>
      </c>
    </row>
    <row r="29" spans="2:5">
      <c r="B29" s="789" t="s">
        <v>12</v>
      </c>
      <c r="C29" s="973" t="s">
        <v>26</v>
      </c>
      <c r="D29" s="964">
        <v>224</v>
      </c>
      <c r="E29" s="965">
        <f t="shared" si="2"/>
        <v>2128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1407</v>
      </c>
      <c r="E32" s="954">
        <f t="shared" si="2"/>
        <v>13366.5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1614</v>
      </c>
      <c r="D35" s="956">
        <f>D22</f>
        <v>1506</v>
      </c>
      <c r="E35" s="956">
        <f>D32</f>
        <v>1407</v>
      </c>
    </row>
    <row r="36" spans="2:5">
      <c r="B36" s="953" t="s">
        <v>36</v>
      </c>
      <c r="C36" s="951">
        <f>C35*9.5</f>
        <v>15333</v>
      </c>
      <c r="D36" s="951">
        <f>D35*9.5</f>
        <v>14307</v>
      </c>
      <c r="E36" s="951">
        <f>E35*9.5</f>
        <v>13366.5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4527</v>
      </c>
      <c r="D38" s="378" t="s">
        <v>253</v>
      </c>
      <c r="E38" s="381">
        <f>C38*9.5</f>
        <v>43006.5</v>
      </c>
    </row>
    <row r="39" spans="2:5">
      <c r="B39" s="377" t="s">
        <v>197</v>
      </c>
      <c r="C39" s="378">
        <f>C40-C38</f>
        <v>3154</v>
      </c>
      <c r="D39" s="378" t="s">
        <v>204</v>
      </c>
      <c r="E39" s="381">
        <f>C39*9</f>
        <v>28386</v>
      </c>
    </row>
    <row r="40" spans="2:5" ht="19.5">
      <c r="B40" s="941" t="s">
        <v>201</v>
      </c>
      <c r="C40" s="380">
        <v>7681</v>
      </c>
      <c r="D40" s="380" t="s">
        <v>202</v>
      </c>
      <c r="E40" s="379">
        <f>SUM(E38+E39)</f>
        <v>71392.5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0E917-9217-4A90-8169-1FFAC11471D3}">
  <sheetPr codeName="Sheet243">
    <pageSetUpPr fitToPage="1"/>
  </sheetPr>
  <dimension ref="B2:H50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44903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250</v>
      </c>
      <c r="C7" s="630" t="s">
        <v>669</v>
      </c>
      <c r="D7" s="964">
        <v>450</v>
      </c>
      <c r="E7" s="965">
        <f t="shared" ref="E7:E15" si="0">D7*9.5</f>
        <v>4275</v>
      </c>
    </row>
    <row r="8" spans="2:8" ht="15" customHeight="1">
      <c r="B8" s="1132" t="s">
        <v>281</v>
      </c>
      <c r="C8" s="630" t="s">
        <v>669</v>
      </c>
      <c r="D8" s="964">
        <v>423</v>
      </c>
      <c r="E8" s="965">
        <f t="shared" si="0"/>
        <v>4018.5</v>
      </c>
    </row>
    <row r="9" spans="2:8" ht="15" customHeight="1">
      <c r="B9" s="975" t="s">
        <v>70</v>
      </c>
      <c r="C9" s="630" t="s">
        <v>669</v>
      </c>
      <c r="D9" s="964">
        <v>523</v>
      </c>
      <c r="E9" s="965">
        <f t="shared" si="0"/>
        <v>4968.5</v>
      </c>
    </row>
    <row r="10" spans="2:8" ht="15" customHeight="1">
      <c r="B10" s="975" t="s">
        <v>65</v>
      </c>
      <c r="C10" s="630" t="s">
        <v>669</v>
      </c>
      <c r="D10" s="943">
        <v>373</v>
      </c>
      <c r="E10" s="965">
        <f t="shared" si="0"/>
        <v>3543.5</v>
      </c>
    </row>
    <row r="11" spans="2:8" ht="15" customHeight="1">
      <c r="B11" s="975" t="s">
        <v>307</v>
      </c>
      <c r="C11" s="973" t="s">
        <v>26</v>
      </c>
      <c r="D11" s="943">
        <v>367</v>
      </c>
      <c r="E11" s="965">
        <f t="shared" si="0"/>
        <v>3486.5</v>
      </c>
    </row>
    <row r="12" spans="2:8" ht="15" customHeight="1">
      <c r="B12" s="975" t="s">
        <v>329</v>
      </c>
      <c r="C12" s="973" t="s">
        <v>26</v>
      </c>
      <c r="D12" s="943">
        <v>735</v>
      </c>
      <c r="E12" s="965">
        <f t="shared" si="0"/>
        <v>6982.5</v>
      </c>
    </row>
    <row r="13" spans="2:8" ht="15" customHeight="1">
      <c r="B13" s="975" t="s">
        <v>63</v>
      </c>
      <c r="C13" s="973" t="s">
        <v>26</v>
      </c>
      <c r="D13" s="943">
        <v>226</v>
      </c>
      <c r="E13" s="965">
        <f t="shared" si="0"/>
        <v>2147</v>
      </c>
    </row>
    <row r="14" spans="2:8" ht="15" customHeight="1">
      <c r="B14" s="1063"/>
      <c r="C14" s="975" t="s">
        <v>687</v>
      </c>
      <c r="D14" s="943"/>
      <c r="E14" s="965">
        <f t="shared" si="0"/>
        <v>0</v>
      </c>
    </row>
    <row r="15" spans="2:8" ht="20.100000000000001" customHeight="1">
      <c r="B15" s="1255" t="s">
        <v>24</v>
      </c>
      <c r="C15" s="1255"/>
      <c r="D15" s="964">
        <f>SUM(D7:D14)</f>
        <v>3097</v>
      </c>
      <c r="E15" s="965">
        <f t="shared" si="0"/>
        <v>29421.5</v>
      </c>
    </row>
    <row r="17" spans="2:5" ht="19.5">
      <c r="B17" s="941" t="s">
        <v>671</v>
      </c>
      <c r="C17" s="1256" t="s">
        <v>73</v>
      </c>
      <c r="D17" s="1257"/>
      <c r="E17" s="1258"/>
    </row>
    <row r="18" spans="2:5" ht="15" customHeight="1">
      <c r="B18" s="1251" t="s">
        <v>0</v>
      </c>
      <c r="C18" s="1251" t="s">
        <v>1</v>
      </c>
      <c r="D18" s="1252" t="s">
        <v>40</v>
      </c>
      <c r="E18" s="1253" t="s">
        <v>31</v>
      </c>
    </row>
    <row r="19" spans="2:5" s="974" customFormat="1">
      <c r="B19" s="1251"/>
      <c r="C19" s="1251"/>
      <c r="D19" s="1252"/>
      <c r="E19" s="1254"/>
    </row>
    <row r="20" spans="2:5" ht="14.45" customHeight="1">
      <c r="B20" s="630" t="s">
        <v>250</v>
      </c>
      <c r="C20" s="630" t="s">
        <v>669</v>
      </c>
      <c r="D20" s="964">
        <v>547</v>
      </c>
      <c r="E20" s="965">
        <f t="shared" ref="E20:E28" si="1">D20*9.5</f>
        <v>5196.5</v>
      </c>
    </row>
    <row r="21" spans="2:5" ht="15" customHeight="1">
      <c r="B21" s="1132" t="s">
        <v>331</v>
      </c>
      <c r="C21" s="630" t="s">
        <v>669</v>
      </c>
      <c r="D21" s="964">
        <v>561</v>
      </c>
      <c r="E21" s="965">
        <f t="shared" si="1"/>
        <v>5329.5</v>
      </c>
    </row>
    <row r="22" spans="2:5" ht="14.45" customHeight="1">
      <c r="B22" s="975" t="s">
        <v>70</v>
      </c>
      <c r="C22" s="630" t="s">
        <v>669</v>
      </c>
      <c r="D22" s="964">
        <v>453</v>
      </c>
      <c r="E22" s="965">
        <f t="shared" si="1"/>
        <v>4303.5</v>
      </c>
    </row>
    <row r="23" spans="2:5" ht="14.45" customHeight="1">
      <c r="B23" s="975" t="s">
        <v>791</v>
      </c>
      <c r="C23" s="630" t="s">
        <v>669</v>
      </c>
      <c r="D23" s="964">
        <v>760</v>
      </c>
      <c r="E23" s="965">
        <f t="shared" si="1"/>
        <v>7220</v>
      </c>
    </row>
    <row r="24" spans="2:5" ht="14.45" customHeight="1">
      <c r="B24" s="975" t="s">
        <v>260</v>
      </c>
      <c r="C24" s="973" t="s">
        <v>26</v>
      </c>
      <c r="D24" s="964">
        <v>331</v>
      </c>
      <c r="E24" s="965">
        <f t="shared" si="1"/>
        <v>3144.5</v>
      </c>
    </row>
    <row r="25" spans="2:5" ht="14.45" customHeight="1">
      <c r="B25" s="975" t="s">
        <v>329</v>
      </c>
      <c r="C25" s="973" t="s">
        <v>26</v>
      </c>
      <c r="D25" s="964">
        <v>544</v>
      </c>
      <c r="E25" s="965">
        <f t="shared" si="1"/>
        <v>5168</v>
      </c>
    </row>
    <row r="26" spans="2:5" ht="14.45" customHeight="1">
      <c r="B26" s="975" t="s">
        <v>63</v>
      </c>
      <c r="C26" s="973" t="s">
        <v>26</v>
      </c>
      <c r="D26" s="964">
        <v>322</v>
      </c>
      <c r="E26" s="965">
        <f t="shared" si="1"/>
        <v>3059</v>
      </c>
    </row>
    <row r="27" spans="2:5" ht="14.45" customHeight="1">
      <c r="B27" s="1063"/>
      <c r="C27" s="975" t="s">
        <v>681</v>
      </c>
      <c r="D27" s="964"/>
      <c r="E27" s="965">
        <f t="shared" si="1"/>
        <v>0</v>
      </c>
    </row>
    <row r="28" spans="2:5" ht="14.45" customHeight="1">
      <c r="B28" s="1269" t="s">
        <v>24</v>
      </c>
      <c r="C28" s="1270"/>
      <c r="D28" s="964">
        <f>SUM(D20:D27)</f>
        <v>3518</v>
      </c>
      <c r="E28" s="954">
        <f t="shared" si="1"/>
        <v>33421</v>
      </c>
    </row>
    <row r="29" spans="2:5">
      <c r="B29" s="944"/>
      <c r="C29" s="944"/>
      <c r="D29" s="945"/>
      <c r="E29" s="945"/>
    </row>
    <row r="30" spans="2:5" ht="19.5">
      <c r="B30" s="946" t="s">
        <v>665</v>
      </c>
      <c r="C30" s="1264" t="s">
        <v>677</v>
      </c>
      <c r="D30" s="1265"/>
      <c r="E30" s="1266"/>
    </row>
    <row r="31" spans="2:5" ht="15" customHeight="1">
      <c r="B31" s="1251" t="s">
        <v>0</v>
      </c>
      <c r="C31" s="1251" t="s">
        <v>1</v>
      </c>
      <c r="D31" s="1252" t="s">
        <v>40</v>
      </c>
      <c r="E31" s="1253" t="s">
        <v>31</v>
      </c>
    </row>
    <row r="32" spans="2:5">
      <c r="B32" s="1251"/>
      <c r="C32" s="1251"/>
      <c r="D32" s="1252"/>
      <c r="E32" s="1254"/>
    </row>
    <row r="33" spans="2:5">
      <c r="B33" s="1128"/>
      <c r="C33" s="630" t="s">
        <v>669</v>
      </c>
      <c r="D33" s="964"/>
      <c r="E33" s="965">
        <f t="shared" ref="E33:E38" si="2">D33*9.5</f>
        <v>0</v>
      </c>
    </row>
    <row r="34" spans="2:5">
      <c r="B34" s="972"/>
      <c r="C34" s="630" t="s">
        <v>669</v>
      </c>
      <c r="D34" s="964"/>
      <c r="E34" s="965">
        <f t="shared" si="2"/>
        <v>0</v>
      </c>
    </row>
    <row r="35" spans="2:5">
      <c r="B35" s="1128"/>
      <c r="C35" s="973" t="s">
        <v>26</v>
      </c>
      <c r="D35" s="964"/>
      <c r="E35" s="965">
        <f t="shared" si="2"/>
        <v>0</v>
      </c>
    </row>
    <row r="36" spans="2:5">
      <c r="B36" s="972"/>
      <c r="C36" s="975" t="s">
        <v>26</v>
      </c>
      <c r="D36" s="964"/>
      <c r="E36" s="965">
        <f t="shared" si="2"/>
        <v>0</v>
      </c>
    </row>
    <row r="37" spans="2:5">
      <c r="B37" s="1128"/>
      <c r="C37" s="975" t="s">
        <v>667</v>
      </c>
      <c r="D37" s="964"/>
      <c r="E37" s="965">
        <f t="shared" si="2"/>
        <v>0</v>
      </c>
    </row>
    <row r="38" spans="2:5" ht="20.100000000000001" customHeight="1">
      <c r="B38" s="1259" t="s">
        <v>24</v>
      </c>
      <c r="C38" s="1259"/>
      <c r="D38" s="964">
        <f>SUM(D33:D37)</f>
        <v>0</v>
      </c>
      <c r="E38" s="954">
        <f t="shared" si="2"/>
        <v>0</v>
      </c>
    </row>
    <row r="39" spans="2:5" ht="19.5">
      <c r="B39" s="1260" t="s">
        <v>200</v>
      </c>
      <c r="C39" s="1260"/>
      <c r="D39" s="1260"/>
      <c r="E39" s="1260"/>
    </row>
    <row r="40" spans="2:5">
      <c r="B40" s="950"/>
      <c r="C40" s="952" t="s">
        <v>34</v>
      </c>
      <c r="D40" s="952" t="s">
        <v>35</v>
      </c>
      <c r="E40" s="952" t="s">
        <v>37</v>
      </c>
    </row>
    <row r="41" spans="2:5">
      <c r="B41" s="953" t="s">
        <v>39</v>
      </c>
      <c r="C41" s="955">
        <f>D15</f>
        <v>3097</v>
      </c>
      <c r="D41" s="956">
        <f>D28</f>
        <v>3518</v>
      </c>
      <c r="E41" s="956">
        <f>D38</f>
        <v>0</v>
      </c>
    </row>
    <row r="42" spans="2:5">
      <c r="B42" s="953" t="s">
        <v>36</v>
      </c>
      <c r="C42" s="951">
        <f>C41*9.5</f>
        <v>29421.5</v>
      </c>
      <c r="D42" s="951">
        <f>D41*9.5</f>
        <v>33421</v>
      </c>
      <c r="E42" s="951">
        <f>E41*9.5</f>
        <v>0</v>
      </c>
    </row>
    <row r="43" spans="2:5" ht="19.5">
      <c r="B43" s="1261" t="s">
        <v>199</v>
      </c>
      <c r="C43" s="1262"/>
      <c r="D43" s="1262"/>
      <c r="E43" s="1263"/>
    </row>
    <row r="44" spans="2:5">
      <c r="B44" s="377" t="s">
        <v>198</v>
      </c>
      <c r="C44" s="378">
        <f>C41+D41+E41</f>
        <v>6615</v>
      </c>
      <c r="D44" s="378" t="s">
        <v>253</v>
      </c>
      <c r="E44" s="381">
        <f>C44*9.5</f>
        <v>62842.5</v>
      </c>
    </row>
    <row r="45" spans="2:5">
      <c r="B45" s="377" t="s">
        <v>197</v>
      </c>
      <c r="C45" s="378">
        <f>C46-C44</f>
        <v>2724</v>
      </c>
      <c r="D45" s="378" t="s">
        <v>204</v>
      </c>
      <c r="E45" s="381">
        <f>C45*9</f>
        <v>24516</v>
      </c>
    </row>
    <row r="46" spans="2:5" ht="19.5">
      <c r="B46" s="941" t="s">
        <v>201</v>
      </c>
      <c r="C46" s="380">
        <v>9339</v>
      </c>
      <c r="D46" s="380" t="s">
        <v>202</v>
      </c>
      <c r="E46" s="379">
        <f>SUM(E44+E45)</f>
        <v>87358.5</v>
      </c>
    </row>
    <row r="48" spans="2:5">
      <c r="B48" s="938" t="s">
        <v>5</v>
      </c>
      <c r="C48" s="947"/>
    </row>
    <row r="49" spans="2:3">
      <c r="B49" s="948" t="s">
        <v>4</v>
      </c>
      <c r="C49" s="949"/>
    </row>
    <row r="50" spans="2:3">
      <c r="B50" s="948" t="s">
        <v>25</v>
      </c>
      <c r="C50" s="949"/>
    </row>
  </sheetData>
  <mergeCells count="22">
    <mergeCell ref="B38:C38"/>
    <mergeCell ref="B39:E39"/>
    <mergeCell ref="B43:E43"/>
    <mergeCell ref="B28:C28"/>
    <mergeCell ref="C30:E30"/>
    <mergeCell ref="B31:B32"/>
    <mergeCell ref="C31:C32"/>
    <mergeCell ref="D31:D32"/>
    <mergeCell ref="E31:E32"/>
    <mergeCell ref="B15:C15"/>
    <mergeCell ref="C17:E17"/>
    <mergeCell ref="B18:B19"/>
    <mergeCell ref="C18:C19"/>
    <mergeCell ref="D18:D19"/>
    <mergeCell ref="E18:E19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67018-1FAD-4DEC-B83A-B8C2AC98D34D}">
  <sheetPr codeName="Sheet244">
    <pageSetUpPr fitToPage="1"/>
  </sheetPr>
  <dimension ref="B2:H30"/>
  <sheetViews>
    <sheetView workbookViewId="0"/>
  </sheetViews>
  <sheetFormatPr defaultColWidth="9.140625" defaultRowHeight="15"/>
  <cols>
    <col min="1" max="1" width="9.140625" style="934"/>
    <col min="2" max="2" width="42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44908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303</v>
      </c>
      <c r="C7" s="630" t="s">
        <v>669</v>
      </c>
      <c r="D7" s="964">
        <v>78</v>
      </c>
      <c r="E7" s="965">
        <f t="shared" ref="E7:E16" si="0">D7*9.5</f>
        <v>741</v>
      </c>
    </row>
    <row r="8" spans="2:8" ht="15" customHeight="1">
      <c r="B8" s="1132" t="s">
        <v>260</v>
      </c>
      <c r="C8" s="630" t="s">
        <v>669</v>
      </c>
      <c r="D8" s="964">
        <v>197</v>
      </c>
      <c r="E8" s="965">
        <f t="shared" si="0"/>
        <v>1871.5</v>
      </c>
    </row>
    <row r="9" spans="2:8" ht="15" customHeight="1">
      <c r="B9" s="975" t="s">
        <v>256</v>
      </c>
      <c r="C9" s="630" t="s">
        <v>669</v>
      </c>
      <c r="D9" s="964">
        <v>83</v>
      </c>
      <c r="E9" s="965">
        <f t="shared" si="0"/>
        <v>788.5</v>
      </c>
    </row>
    <row r="10" spans="2:8" ht="15" customHeight="1">
      <c r="B10" s="975" t="s">
        <v>675</v>
      </c>
      <c r="C10" s="630" t="s">
        <v>669</v>
      </c>
      <c r="D10" s="964">
        <v>259</v>
      </c>
      <c r="E10" s="965">
        <f t="shared" si="0"/>
        <v>2460.5</v>
      </c>
    </row>
    <row r="11" spans="2:8" ht="15" customHeight="1">
      <c r="B11" s="975" t="s">
        <v>252</v>
      </c>
      <c r="C11" s="630" t="s">
        <v>669</v>
      </c>
      <c r="D11" s="964">
        <v>274</v>
      </c>
      <c r="E11" s="965">
        <f t="shared" si="0"/>
        <v>2603</v>
      </c>
    </row>
    <row r="12" spans="2:8" ht="15" customHeight="1">
      <c r="B12" s="975" t="s">
        <v>279</v>
      </c>
      <c r="C12" s="630" t="s">
        <v>669</v>
      </c>
      <c r="D12" s="964">
        <v>71</v>
      </c>
      <c r="E12" s="965">
        <f t="shared" si="0"/>
        <v>674.5</v>
      </c>
    </row>
    <row r="13" spans="2:8" ht="15" customHeight="1">
      <c r="B13" s="975" t="s">
        <v>771</v>
      </c>
      <c r="C13" s="630" t="s">
        <v>669</v>
      </c>
      <c r="D13" s="964">
        <v>277</v>
      </c>
      <c r="E13" s="965">
        <f t="shared" si="0"/>
        <v>2631.5</v>
      </c>
    </row>
    <row r="14" spans="2:8" ht="15" customHeight="1">
      <c r="B14" s="975" t="s">
        <v>331</v>
      </c>
      <c r="C14" s="630" t="s">
        <v>669</v>
      </c>
      <c r="D14" s="964">
        <v>291</v>
      </c>
      <c r="E14" s="965">
        <f t="shared" si="0"/>
        <v>2764.5</v>
      </c>
    </row>
    <row r="15" spans="2:8" ht="15" customHeight="1">
      <c r="B15" s="975" t="s">
        <v>235</v>
      </c>
      <c r="C15" s="630" t="s">
        <v>669</v>
      </c>
      <c r="D15" s="943">
        <v>153</v>
      </c>
      <c r="E15" s="965">
        <f t="shared" si="0"/>
        <v>1453.5</v>
      </c>
    </row>
    <row r="16" spans="2:8" ht="15" customHeight="1">
      <c r="B16" s="975" t="s">
        <v>796</v>
      </c>
      <c r="C16" s="630" t="s">
        <v>669</v>
      </c>
      <c r="D16" s="943">
        <v>120</v>
      </c>
      <c r="E16" s="965">
        <f t="shared" si="0"/>
        <v>1140</v>
      </c>
    </row>
    <row r="17" spans="2:5" ht="20.100000000000001" customHeight="1">
      <c r="B17" s="1255" t="s">
        <v>24</v>
      </c>
      <c r="C17" s="1255"/>
      <c r="D17" s="964">
        <f>SUM(D7:D16)</f>
        <v>1803</v>
      </c>
      <c r="E17" s="965">
        <f>D17*9.5</f>
        <v>17128.5</v>
      </c>
    </row>
    <row r="19" spans="2:5" ht="19.5">
      <c r="B19" s="1260" t="s">
        <v>200</v>
      </c>
      <c r="C19" s="1260"/>
      <c r="D19" s="1260"/>
      <c r="E19" s="1260"/>
    </row>
    <row r="20" spans="2:5">
      <c r="B20" s="950"/>
      <c r="C20" s="952" t="s">
        <v>34</v>
      </c>
      <c r="D20" s="1141" t="s">
        <v>35</v>
      </c>
      <c r="E20" s="1141" t="s">
        <v>37</v>
      </c>
    </row>
    <row r="21" spans="2:5">
      <c r="B21" s="953" t="s">
        <v>39</v>
      </c>
      <c r="C21" s="955">
        <f>D17</f>
        <v>1803</v>
      </c>
      <c r="D21" s="1142" t="e">
        <f>#REF!</f>
        <v>#REF!</v>
      </c>
      <c r="E21" s="1142" t="e">
        <f>#REF!</f>
        <v>#REF!</v>
      </c>
    </row>
    <row r="22" spans="2:5">
      <c r="B22" s="953" t="s">
        <v>36</v>
      </c>
      <c r="C22" s="951">
        <f>C21*9.5</f>
        <v>17128.5</v>
      </c>
      <c r="D22" s="1143" t="e">
        <f>D21*9.5</f>
        <v>#REF!</v>
      </c>
      <c r="E22" s="1143" t="e">
        <f>E21*9.5</f>
        <v>#REF!</v>
      </c>
    </row>
    <row r="23" spans="2:5" ht="19.5">
      <c r="B23" s="1261" t="s">
        <v>199</v>
      </c>
      <c r="C23" s="1262"/>
      <c r="D23" s="1262"/>
      <c r="E23" s="1263"/>
    </row>
    <row r="24" spans="2:5" ht="38.25" customHeight="1">
      <c r="B24" s="377" t="s">
        <v>198</v>
      </c>
      <c r="C24" s="1144">
        <f>C21</f>
        <v>1803</v>
      </c>
      <c r="D24" s="378" t="s">
        <v>253</v>
      </c>
      <c r="E24" s="381">
        <f>C24*9.5</f>
        <v>17128.5</v>
      </c>
    </row>
    <row r="25" spans="2:5">
      <c r="B25" s="377" t="s">
        <v>197</v>
      </c>
      <c r="C25" s="378"/>
      <c r="D25" s="378" t="s">
        <v>204</v>
      </c>
      <c r="E25" s="381">
        <f>C25*9</f>
        <v>0</v>
      </c>
    </row>
    <row r="26" spans="2:5" ht="19.5">
      <c r="B26" s="941" t="s">
        <v>201</v>
      </c>
      <c r="C26" s="380"/>
      <c r="D26" s="380" t="s">
        <v>202</v>
      </c>
      <c r="E26" s="379">
        <f>SUM(E24+E25)</f>
        <v>17128.5</v>
      </c>
    </row>
    <row r="28" spans="2:5">
      <c r="B28" s="938" t="s">
        <v>5</v>
      </c>
      <c r="C28" s="947"/>
    </row>
    <row r="29" spans="2:5">
      <c r="B29" s="948" t="s">
        <v>4</v>
      </c>
      <c r="C29" s="949"/>
    </row>
    <row r="30" spans="2:5">
      <c r="B30" s="948" t="s">
        <v>25</v>
      </c>
      <c r="C30" s="949"/>
    </row>
  </sheetData>
  <mergeCells count="10">
    <mergeCell ref="B19:E19"/>
    <mergeCell ref="B23:E23"/>
    <mergeCell ref="B17:C17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0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0B0C2-A179-46F2-9E7E-EF2A904EABB8}">
  <sheetPr codeName="Sheet24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44934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783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0" t="s">
        <v>763</v>
      </c>
      <c r="C7" s="630" t="s">
        <v>669</v>
      </c>
      <c r="D7" s="964"/>
      <c r="E7" s="965">
        <f t="shared" ref="E7:E12" si="0">D7*9.5</f>
        <v>0</v>
      </c>
    </row>
    <row r="8" spans="2:8" ht="15" customHeight="1">
      <c r="B8" s="1130" t="s">
        <v>65</v>
      </c>
      <c r="C8" s="630" t="s">
        <v>669</v>
      </c>
      <c r="D8" s="964"/>
      <c r="E8" s="965">
        <f t="shared" si="0"/>
        <v>0</v>
      </c>
    </row>
    <row r="9" spans="2:8" ht="15" customHeight="1">
      <c r="B9" s="972" t="s">
        <v>143</v>
      </c>
      <c r="C9" s="973" t="s">
        <v>26</v>
      </c>
      <c r="D9" s="964"/>
      <c r="E9" s="965">
        <f t="shared" si="0"/>
        <v>0</v>
      </c>
    </row>
    <row r="10" spans="2:8" ht="15" customHeight="1">
      <c r="B10" s="972" t="s">
        <v>696</v>
      </c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0</v>
      </c>
      <c r="E12" s="965">
        <f t="shared" si="0"/>
        <v>0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239</v>
      </c>
      <c r="C17" s="630" t="s">
        <v>669</v>
      </c>
      <c r="D17" s="964">
        <v>126</v>
      </c>
      <c r="E17" s="965">
        <f t="shared" ref="E17:E22" si="1">D17*9.5</f>
        <v>1197</v>
      </c>
    </row>
    <row r="18" spans="2:5" ht="15" customHeight="1">
      <c r="B18" s="1132" t="s">
        <v>279</v>
      </c>
      <c r="C18" s="630" t="s">
        <v>669</v>
      </c>
      <c r="D18" s="964">
        <v>526</v>
      </c>
      <c r="E18" s="965">
        <f t="shared" si="1"/>
        <v>4997</v>
      </c>
    </row>
    <row r="19" spans="2:5" ht="14.45" customHeight="1">
      <c r="B19" s="973" t="s">
        <v>678</v>
      </c>
      <c r="C19" s="973" t="s">
        <v>26</v>
      </c>
      <c r="D19" s="964">
        <v>208</v>
      </c>
      <c r="E19" s="965">
        <f t="shared" si="1"/>
        <v>1976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860</v>
      </c>
      <c r="E22" s="954">
        <f t="shared" si="1"/>
        <v>8170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164</v>
      </c>
      <c r="C27" s="630" t="s">
        <v>669</v>
      </c>
      <c r="D27" s="964">
        <v>388</v>
      </c>
      <c r="E27" s="965">
        <f t="shared" ref="E27:E32" si="2">D27*9.5</f>
        <v>3686</v>
      </c>
    </row>
    <row r="28" spans="2:5">
      <c r="B28" s="630" t="s">
        <v>331</v>
      </c>
      <c r="C28" s="630" t="s">
        <v>669</v>
      </c>
      <c r="D28" s="964">
        <v>381</v>
      </c>
      <c r="E28" s="965">
        <f t="shared" si="2"/>
        <v>3619.5</v>
      </c>
    </row>
    <row r="29" spans="2:5">
      <c r="B29" s="789" t="s">
        <v>281</v>
      </c>
      <c r="C29" s="973" t="s">
        <v>26</v>
      </c>
      <c r="D29" s="964">
        <v>230</v>
      </c>
      <c r="E29" s="965">
        <f t="shared" si="2"/>
        <v>2185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999</v>
      </c>
      <c r="E32" s="954">
        <f t="shared" si="2"/>
        <v>9490.5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0</v>
      </c>
      <c r="D35" s="956">
        <f>D22</f>
        <v>860</v>
      </c>
      <c r="E35" s="956">
        <f>D32</f>
        <v>999</v>
      </c>
    </row>
    <row r="36" spans="2:5">
      <c r="B36" s="953" t="s">
        <v>36</v>
      </c>
      <c r="C36" s="951">
        <f>C35*9.5</f>
        <v>0</v>
      </c>
      <c r="D36" s="951">
        <f>D35*9.5</f>
        <v>8170</v>
      </c>
      <c r="E36" s="951">
        <f>E35*9.5</f>
        <v>9490.5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1859</v>
      </c>
      <c r="D38" s="378" t="s">
        <v>253</v>
      </c>
      <c r="E38" s="381">
        <f>C38*9.5</f>
        <v>17660.5</v>
      </c>
    </row>
    <row r="39" spans="2:5">
      <c r="B39" s="377" t="s">
        <v>197</v>
      </c>
      <c r="C39" s="378">
        <f>C40-C38</f>
        <v>45</v>
      </c>
      <c r="D39" s="378" t="s">
        <v>204</v>
      </c>
      <c r="E39" s="381">
        <f>C39*9</f>
        <v>405</v>
      </c>
    </row>
    <row r="40" spans="2:5" ht="19.5">
      <c r="B40" s="941" t="s">
        <v>201</v>
      </c>
      <c r="C40" s="380">
        <v>1904</v>
      </c>
      <c r="D40" s="380" t="s">
        <v>202</v>
      </c>
      <c r="E40" s="379">
        <f>SUM(E38+E39)</f>
        <v>18065.5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1BE6-4BC2-4031-B268-0A0CD856262D}">
  <sheetPr codeName="Sheet24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44935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711</v>
      </c>
      <c r="C7" s="630" t="s">
        <v>669</v>
      </c>
      <c r="D7" s="964">
        <v>723</v>
      </c>
      <c r="E7" s="965">
        <f t="shared" ref="E7:E12" si="0">D7*9.5</f>
        <v>6868.5</v>
      </c>
    </row>
    <row r="8" spans="2:8" ht="15" customHeight="1">
      <c r="B8" s="1132" t="s">
        <v>329</v>
      </c>
      <c r="C8" s="630" t="s">
        <v>669</v>
      </c>
      <c r="D8" s="964">
        <v>335</v>
      </c>
      <c r="E8" s="965">
        <f t="shared" si="0"/>
        <v>3182.5</v>
      </c>
    </row>
    <row r="9" spans="2:8" ht="15" customHeight="1">
      <c r="B9" s="975" t="s">
        <v>189</v>
      </c>
      <c r="C9" s="973" t="s">
        <v>26</v>
      </c>
      <c r="D9" s="964">
        <v>215</v>
      </c>
      <c r="E9" s="965">
        <f t="shared" si="0"/>
        <v>2042.5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1273</v>
      </c>
      <c r="E12" s="965">
        <f t="shared" si="0"/>
        <v>12093.5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279</v>
      </c>
      <c r="C17" s="630" t="s">
        <v>669</v>
      </c>
      <c r="D17" s="964">
        <v>543</v>
      </c>
      <c r="E17" s="965">
        <f t="shared" ref="E17:E22" si="1">D17*9.5</f>
        <v>5158.5</v>
      </c>
    </row>
    <row r="18" spans="2:5" ht="15" customHeight="1">
      <c r="B18" s="1132" t="s">
        <v>332</v>
      </c>
      <c r="C18" s="630" t="s">
        <v>669</v>
      </c>
      <c r="D18" s="964">
        <v>278</v>
      </c>
      <c r="E18" s="965">
        <f t="shared" si="1"/>
        <v>2641</v>
      </c>
    </row>
    <row r="19" spans="2:5" ht="14.45" customHeight="1">
      <c r="B19" s="973" t="s">
        <v>70</v>
      </c>
      <c r="C19" s="973" t="s">
        <v>26</v>
      </c>
      <c r="D19" s="964">
        <v>216</v>
      </c>
      <c r="E19" s="965">
        <f t="shared" si="1"/>
        <v>2052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1037</v>
      </c>
      <c r="E22" s="954">
        <f t="shared" si="1"/>
        <v>9851.5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817</v>
      </c>
      <c r="C27" s="630" t="s">
        <v>669</v>
      </c>
      <c r="D27" s="964">
        <v>221</v>
      </c>
      <c r="E27" s="965">
        <f t="shared" ref="E27:E32" si="2">D27*9.5</f>
        <v>2099.5</v>
      </c>
    </row>
    <row r="28" spans="2:5">
      <c r="B28" s="630" t="s">
        <v>818</v>
      </c>
      <c r="C28" s="630" t="s">
        <v>669</v>
      </c>
      <c r="D28" s="964">
        <v>296</v>
      </c>
      <c r="E28" s="965">
        <f t="shared" si="2"/>
        <v>2812</v>
      </c>
    </row>
    <row r="29" spans="2:5">
      <c r="B29" s="789" t="s">
        <v>12</v>
      </c>
      <c r="C29" s="973" t="s">
        <v>26</v>
      </c>
      <c r="D29" s="964">
        <v>199</v>
      </c>
      <c r="E29" s="965">
        <f t="shared" si="2"/>
        <v>1890.5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716</v>
      </c>
      <c r="E32" s="954">
        <f t="shared" si="2"/>
        <v>6802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1273</v>
      </c>
      <c r="D35" s="956">
        <f>D22</f>
        <v>1037</v>
      </c>
      <c r="E35" s="956">
        <f>D32</f>
        <v>716</v>
      </c>
    </row>
    <row r="36" spans="2:5">
      <c r="B36" s="953" t="s">
        <v>36</v>
      </c>
      <c r="C36" s="951">
        <f>C35*9.5</f>
        <v>12093.5</v>
      </c>
      <c r="D36" s="951">
        <f>D35*9.5</f>
        <v>9851.5</v>
      </c>
      <c r="E36" s="951">
        <f>E35*9.5</f>
        <v>6802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3026</v>
      </c>
      <c r="D38" s="378" t="s">
        <v>253</v>
      </c>
      <c r="E38" s="381">
        <f>C38*9.5</f>
        <v>28747</v>
      </c>
    </row>
    <row r="39" spans="2:5">
      <c r="B39" s="377" t="s">
        <v>197</v>
      </c>
      <c r="C39" s="378">
        <f>C40-C38</f>
        <v>2899</v>
      </c>
      <c r="D39" s="378" t="s">
        <v>204</v>
      </c>
      <c r="E39" s="381">
        <f>C39*9</f>
        <v>26091</v>
      </c>
    </row>
    <row r="40" spans="2:5" ht="19.5">
      <c r="B40" s="941" t="s">
        <v>201</v>
      </c>
      <c r="C40" s="380">
        <v>5925</v>
      </c>
      <c r="D40" s="380" t="s">
        <v>202</v>
      </c>
      <c r="E40" s="379">
        <f>SUM(E38+E39)</f>
        <v>54838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B446-420A-49CD-A45D-A9419613319D}">
  <sheetPr codeName="Sheet24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44936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250</v>
      </c>
      <c r="C7" s="630" t="s">
        <v>669</v>
      </c>
      <c r="D7" s="964">
        <v>456</v>
      </c>
      <c r="E7" s="965">
        <f t="shared" ref="E7:E12" si="0">D7*9.5</f>
        <v>4332</v>
      </c>
    </row>
    <row r="8" spans="2:8" ht="15" customHeight="1">
      <c r="B8" s="1132" t="s">
        <v>238</v>
      </c>
      <c r="C8" s="630" t="s">
        <v>669</v>
      </c>
      <c r="D8" s="964">
        <v>266</v>
      </c>
      <c r="E8" s="965">
        <f t="shared" si="0"/>
        <v>2527</v>
      </c>
    </row>
    <row r="9" spans="2:8" ht="15" customHeight="1">
      <c r="B9" s="975" t="s">
        <v>45</v>
      </c>
      <c r="C9" s="973" t="s">
        <v>26</v>
      </c>
      <c r="D9" s="964">
        <v>451</v>
      </c>
      <c r="E9" s="965">
        <f t="shared" si="0"/>
        <v>4284.5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1173</v>
      </c>
      <c r="E12" s="965">
        <f t="shared" si="0"/>
        <v>11143.5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78</v>
      </c>
      <c r="C17" s="630" t="s">
        <v>669</v>
      </c>
      <c r="D17" s="964">
        <v>266</v>
      </c>
      <c r="E17" s="965">
        <f t="shared" ref="E17:E22" si="1">D17*9.5</f>
        <v>2527</v>
      </c>
    </row>
    <row r="18" spans="2:5" ht="15" customHeight="1">
      <c r="B18" s="1132" t="s">
        <v>244</v>
      </c>
      <c r="C18" s="630" t="s">
        <v>669</v>
      </c>
      <c r="D18" s="964">
        <v>442</v>
      </c>
      <c r="E18" s="965">
        <f t="shared" si="1"/>
        <v>4199</v>
      </c>
    </row>
    <row r="19" spans="2:5" ht="14.45" customHeight="1">
      <c r="B19" s="973" t="s">
        <v>711</v>
      </c>
      <c r="C19" s="973" t="s">
        <v>26</v>
      </c>
      <c r="D19" s="964">
        <v>850</v>
      </c>
      <c r="E19" s="965">
        <f t="shared" si="1"/>
        <v>8075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1558</v>
      </c>
      <c r="E22" s="954">
        <f t="shared" si="1"/>
        <v>14801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303</v>
      </c>
      <c r="C27" s="630" t="s">
        <v>669</v>
      </c>
      <c r="D27" s="964">
        <v>698</v>
      </c>
      <c r="E27" s="965">
        <f t="shared" ref="E27:E32" si="2">D27*9.5</f>
        <v>6631</v>
      </c>
    </row>
    <row r="28" spans="2:5">
      <c r="B28" s="630" t="s">
        <v>235</v>
      </c>
      <c r="C28" s="630" t="s">
        <v>669</v>
      </c>
      <c r="D28" s="964">
        <v>291</v>
      </c>
      <c r="E28" s="965">
        <f t="shared" si="2"/>
        <v>2764.5</v>
      </c>
    </row>
    <row r="29" spans="2:5">
      <c r="B29" s="789" t="s">
        <v>711</v>
      </c>
      <c r="C29" s="973" t="s">
        <v>26</v>
      </c>
      <c r="D29" s="964">
        <v>323</v>
      </c>
      <c r="E29" s="965">
        <f t="shared" si="2"/>
        <v>3068.5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1312</v>
      </c>
      <c r="E32" s="954">
        <f t="shared" si="2"/>
        <v>12464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1173</v>
      </c>
      <c r="D35" s="956">
        <f>D22</f>
        <v>1558</v>
      </c>
      <c r="E35" s="956">
        <f>D32</f>
        <v>1312</v>
      </c>
    </row>
    <row r="36" spans="2:5">
      <c r="B36" s="953" t="s">
        <v>36</v>
      </c>
      <c r="C36" s="951">
        <f>C35*9.5</f>
        <v>11143.5</v>
      </c>
      <c r="D36" s="951">
        <f>D35*9.5</f>
        <v>14801</v>
      </c>
      <c r="E36" s="951">
        <f>E35*9.5</f>
        <v>12464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4043</v>
      </c>
      <c r="D38" s="378" t="s">
        <v>253</v>
      </c>
      <c r="E38" s="381">
        <f>C38*9.5</f>
        <v>38408.5</v>
      </c>
    </row>
    <row r="39" spans="2:5">
      <c r="B39" s="377" t="s">
        <v>197</v>
      </c>
      <c r="C39" s="378">
        <f>C40-C38</f>
        <v>3521</v>
      </c>
      <c r="D39" s="378" t="s">
        <v>204</v>
      </c>
      <c r="E39" s="381">
        <f>C39*9</f>
        <v>31689</v>
      </c>
    </row>
    <row r="40" spans="2:5" ht="19.5">
      <c r="B40" s="941" t="s">
        <v>201</v>
      </c>
      <c r="C40" s="380">
        <v>7564</v>
      </c>
      <c r="D40" s="380" t="s">
        <v>202</v>
      </c>
      <c r="E40" s="379">
        <f>SUM(E38+E39)</f>
        <v>70097.5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784E8-DC5C-4D7C-A817-573D51FCA926}">
  <sheetPr codeName="Sheet24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44937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260</v>
      </c>
      <c r="C7" s="630" t="s">
        <v>669</v>
      </c>
      <c r="D7" s="964">
        <v>453</v>
      </c>
      <c r="E7" s="965">
        <f t="shared" ref="E7:E12" si="0">D7*9.5</f>
        <v>4303.5</v>
      </c>
    </row>
    <row r="8" spans="2:8" ht="15" customHeight="1">
      <c r="B8" s="1132" t="s">
        <v>252</v>
      </c>
      <c r="C8" s="630" t="s">
        <v>669</v>
      </c>
      <c r="D8" s="964">
        <v>297</v>
      </c>
      <c r="E8" s="965">
        <f t="shared" si="0"/>
        <v>2821.5</v>
      </c>
    </row>
    <row r="9" spans="2:8" ht="15" customHeight="1">
      <c r="B9" s="975" t="s">
        <v>65</v>
      </c>
      <c r="C9" s="973" t="s">
        <v>26</v>
      </c>
      <c r="D9" s="964">
        <v>426</v>
      </c>
      <c r="E9" s="965">
        <f t="shared" si="0"/>
        <v>4047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1176</v>
      </c>
      <c r="E12" s="965">
        <f t="shared" si="0"/>
        <v>11172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691</v>
      </c>
      <c r="C17" s="630" t="s">
        <v>669</v>
      </c>
      <c r="D17" s="964">
        <v>235</v>
      </c>
      <c r="E17" s="965">
        <f t="shared" ref="E17:E22" si="1">D17*9.5</f>
        <v>2232.5</v>
      </c>
    </row>
    <row r="18" spans="2:5" ht="15" customHeight="1">
      <c r="B18" s="1132" t="s">
        <v>205</v>
      </c>
      <c r="C18" s="630" t="s">
        <v>669</v>
      </c>
      <c r="D18" s="964">
        <v>183</v>
      </c>
      <c r="E18" s="965">
        <f t="shared" si="1"/>
        <v>1738.5</v>
      </c>
    </row>
    <row r="19" spans="2:5" ht="14.45" customHeight="1">
      <c r="B19" s="973" t="s">
        <v>281</v>
      </c>
      <c r="C19" s="973" t="s">
        <v>26</v>
      </c>
      <c r="D19" s="964">
        <v>386</v>
      </c>
      <c r="E19" s="965">
        <f t="shared" si="1"/>
        <v>3667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804</v>
      </c>
      <c r="E22" s="954">
        <f t="shared" si="1"/>
        <v>7638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303</v>
      </c>
      <c r="C27" s="630" t="s">
        <v>669</v>
      </c>
      <c r="D27" s="964">
        <v>630</v>
      </c>
      <c r="E27" s="965">
        <f t="shared" ref="E27:E32" si="2">D27*9.5</f>
        <v>5985</v>
      </c>
    </row>
    <row r="28" spans="2:5">
      <c r="B28" s="630" t="s">
        <v>278</v>
      </c>
      <c r="C28" s="630" t="s">
        <v>669</v>
      </c>
      <c r="D28" s="964">
        <v>532</v>
      </c>
      <c r="E28" s="965">
        <f t="shared" si="2"/>
        <v>5054</v>
      </c>
    </row>
    <row r="29" spans="2:5">
      <c r="B29" s="789" t="s">
        <v>696</v>
      </c>
      <c r="C29" s="973" t="s">
        <v>26</v>
      </c>
      <c r="D29" s="964">
        <v>199</v>
      </c>
      <c r="E29" s="965">
        <f t="shared" si="2"/>
        <v>1890.5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1361</v>
      </c>
      <c r="E32" s="954">
        <f t="shared" si="2"/>
        <v>12929.5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1176</v>
      </c>
      <c r="D35" s="956">
        <f>D22</f>
        <v>804</v>
      </c>
      <c r="E35" s="956">
        <f>D32</f>
        <v>1361</v>
      </c>
    </row>
    <row r="36" spans="2:5">
      <c r="B36" s="953" t="s">
        <v>36</v>
      </c>
      <c r="C36" s="951">
        <f>C35*9.5</f>
        <v>11172</v>
      </c>
      <c r="D36" s="951">
        <f>D35*9.5</f>
        <v>7638</v>
      </c>
      <c r="E36" s="951">
        <f>E35*9.5</f>
        <v>12929.5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3341</v>
      </c>
      <c r="D38" s="378" t="s">
        <v>253</v>
      </c>
      <c r="E38" s="381">
        <f>C38*9.5</f>
        <v>31739.5</v>
      </c>
    </row>
    <row r="39" spans="2:5">
      <c r="B39" s="377" t="s">
        <v>197</v>
      </c>
      <c r="C39" s="378">
        <f>C40-C38</f>
        <v>4154</v>
      </c>
      <c r="D39" s="378" t="s">
        <v>204</v>
      </c>
      <c r="E39" s="381">
        <f>C39*9</f>
        <v>37386</v>
      </c>
    </row>
    <row r="40" spans="2:5" ht="19.5">
      <c r="B40" s="941" t="s">
        <v>201</v>
      </c>
      <c r="C40" s="380">
        <v>7495</v>
      </c>
      <c r="D40" s="380" t="s">
        <v>202</v>
      </c>
      <c r="E40" s="379">
        <f>SUM(E38+E39)</f>
        <v>69125.5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0BDE8-51F6-487D-82FB-9F93750B8011}">
  <sheetPr codeName="Sheet24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44938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728</v>
      </c>
      <c r="C7" s="630" t="s">
        <v>669</v>
      </c>
      <c r="D7" s="964">
        <v>270</v>
      </c>
      <c r="E7" s="965">
        <f t="shared" ref="E7:E12" si="0">D7*9.5</f>
        <v>2565</v>
      </c>
    </row>
    <row r="8" spans="2:8" ht="15" customHeight="1">
      <c r="B8" s="1132" t="s">
        <v>256</v>
      </c>
      <c r="C8" s="630" t="s">
        <v>669</v>
      </c>
      <c r="D8" s="964">
        <v>255</v>
      </c>
      <c r="E8" s="965">
        <f t="shared" si="0"/>
        <v>2422.5</v>
      </c>
    </row>
    <row r="9" spans="2:8" ht="15" customHeight="1">
      <c r="B9" s="975" t="s">
        <v>303</v>
      </c>
      <c r="C9" s="973" t="s">
        <v>26</v>
      </c>
      <c r="D9" s="964">
        <v>759</v>
      </c>
      <c r="E9" s="965">
        <f t="shared" si="0"/>
        <v>7210.5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1284</v>
      </c>
      <c r="E12" s="965">
        <f t="shared" si="0"/>
        <v>12198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184</v>
      </c>
      <c r="C17" s="630" t="s">
        <v>669</v>
      </c>
      <c r="D17" s="964">
        <v>247</v>
      </c>
      <c r="E17" s="965">
        <f t="shared" ref="E17:E22" si="1">D17*9.5</f>
        <v>2346.5</v>
      </c>
    </row>
    <row r="18" spans="2:5" ht="15" customHeight="1">
      <c r="B18" s="1132" t="s">
        <v>65</v>
      </c>
      <c r="C18" s="630" t="s">
        <v>669</v>
      </c>
      <c r="D18" s="964">
        <v>370</v>
      </c>
      <c r="E18" s="965">
        <f t="shared" si="1"/>
        <v>3515</v>
      </c>
    </row>
    <row r="19" spans="2:5" ht="14.45" customHeight="1">
      <c r="B19" s="973" t="s">
        <v>45</v>
      </c>
      <c r="C19" s="973" t="s">
        <v>26</v>
      </c>
      <c r="D19" s="964">
        <v>424</v>
      </c>
      <c r="E19" s="965">
        <f t="shared" si="1"/>
        <v>4028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1041</v>
      </c>
      <c r="E22" s="954">
        <f t="shared" si="1"/>
        <v>9889.5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250</v>
      </c>
      <c r="C27" s="630" t="s">
        <v>669</v>
      </c>
      <c r="D27" s="964">
        <v>486</v>
      </c>
      <c r="E27" s="965">
        <f t="shared" ref="E27:E32" si="2">D27*9.5</f>
        <v>4617</v>
      </c>
    </row>
    <row r="28" spans="2:5">
      <c r="B28" s="630" t="s">
        <v>278</v>
      </c>
      <c r="C28" s="630" t="s">
        <v>669</v>
      </c>
      <c r="D28" s="964">
        <v>484</v>
      </c>
      <c r="E28" s="965">
        <f t="shared" si="2"/>
        <v>4598</v>
      </c>
    </row>
    <row r="29" spans="2:5">
      <c r="B29" s="789" t="s">
        <v>281</v>
      </c>
      <c r="C29" s="973" t="s">
        <v>26</v>
      </c>
      <c r="D29" s="964">
        <v>390</v>
      </c>
      <c r="E29" s="965">
        <f t="shared" si="2"/>
        <v>3705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1360</v>
      </c>
      <c r="E32" s="954">
        <f t="shared" si="2"/>
        <v>12920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1284</v>
      </c>
      <c r="D35" s="956">
        <f>D22</f>
        <v>1041</v>
      </c>
      <c r="E35" s="956">
        <f>D32</f>
        <v>1360</v>
      </c>
    </row>
    <row r="36" spans="2:5">
      <c r="B36" s="953" t="s">
        <v>36</v>
      </c>
      <c r="C36" s="951">
        <f>C35*9.5</f>
        <v>12198</v>
      </c>
      <c r="D36" s="951">
        <f>D35*9.5</f>
        <v>9889.5</v>
      </c>
      <c r="E36" s="951">
        <f>E35*9.5</f>
        <v>12920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3685</v>
      </c>
      <c r="D38" s="378" t="s">
        <v>253</v>
      </c>
      <c r="E38" s="381">
        <f>C38*9.5</f>
        <v>35007.5</v>
      </c>
    </row>
    <row r="39" spans="2:5">
      <c r="B39" s="377" t="s">
        <v>197</v>
      </c>
      <c r="C39" s="378">
        <f>C40-C38</f>
        <v>4168</v>
      </c>
      <c r="D39" s="378" t="s">
        <v>204</v>
      </c>
      <c r="E39" s="381">
        <f>C39*9</f>
        <v>37512</v>
      </c>
    </row>
    <row r="40" spans="2:5" ht="19.5">
      <c r="B40" s="941" t="s">
        <v>201</v>
      </c>
      <c r="C40" s="380">
        <v>7853</v>
      </c>
      <c r="D40" s="380" t="s">
        <v>202</v>
      </c>
      <c r="E40" s="379">
        <f>SUM(E38+E39)</f>
        <v>72519.5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F1115-6E68-4153-A14A-EE31A52BDAD4}">
  <sheetPr codeName="Sheet25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44939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82</v>
      </c>
      <c r="C7" s="630" t="s">
        <v>669</v>
      </c>
      <c r="D7" s="964">
        <v>407</v>
      </c>
      <c r="E7" s="965">
        <f t="shared" ref="E7:E12" si="0">D7*9.5</f>
        <v>3866.5</v>
      </c>
    </row>
    <row r="8" spans="2:8" ht="15" customHeight="1">
      <c r="B8" s="1132" t="s">
        <v>252</v>
      </c>
      <c r="C8" s="630" t="s">
        <v>669</v>
      </c>
      <c r="D8" s="964">
        <v>300</v>
      </c>
      <c r="E8" s="965">
        <f t="shared" si="0"/>
        <v>2850</v>
      </c>
    </row>
    <row r="9" spans="2:8" ht="15" customHeight="1">
      <c r="B9" s="975" t="s">
        <v>822</v>
      </c>
      <c r="C9" s="973" t="s">
        <v>26</v>
      </c>
      <c r="D9" s="964">
        <v>258</v>
      </c>
      <c r="E9" s="965">
        <f t="shared" si="0"/>
        <v>2451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965</v>
      </c>
      <c r="E12" s="965">
        <f t="shared" si="0"/>
        <v>9167.5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260</v>
      </c>
      <c r="C17" s="630" t="s">
        <v>669</v>
      </c>
      <c r="D17" s="964">
        <v>419</v>
      </c>
      <c r="E17" s="965">
        <f t="shared" ref="E17:E22" si="1">D17*9.5</f>
        <v>3980.5</v>
      </c>
    </row>
    <row r="18" spans="2:5" ht="15" customHeight="1">
      <c r="B18" s="1132" t="s">
        <v>252</v>
      </c>
      <c r="C18" s="630" t="s">
        <v>669</v>
      </c>
      <c r="D18" s="964">
        <v>269</v>
      </c>
      <c r="E18" s="965">
        <f t="shared" si="1"/>
        <v>2555.5</v>
      </c>
    </row>
    <row r="19" spans="2:5" ht="14.45" customHeight="1">
      <c r="B19" s="973" t="s">
        <v>244</v>
      </c>
      <c r="C19" s="973" t="s">
        <v>26</v>
      </c>
      <c r="D19" s="964">
        <v>507</v>
      </c>
      <c r="E19" s="965">
        <f t="shared" si="1"/>
        <v>4816.5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1195</v>
      </c>
      <c r="E22" s="954">
        <f t="shared" si="1"/>
        <v>11352.5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678</v>
      </c>
      <c r="C27" s="630" t="s">
        <v>669</v>
      </c>
      <c r="D27" s="964">
        <v>272</v>
      </c>
      <c r="E27" s="965">
        <f t="shared" ref="E27:E32" si="2">D27*9.5</f>
        <v>2584</v>
      </c>
    </row>
    <row r="28" spans="2:5">
      <c r="B28" s="630" t="s">
        <v>796</v>
      </c>
      <c r="C28" s="630" t="s">
        <v>669</v>
      </c>
      <c r="D28" s="964">
        <v>248</v>
      </c>
      <c r="E28" s="965">
        <f t="shared" si="2"/>
        <v>2356</v>
      </c>
    </row>
    <row r="29" spans="2:5">
      <c r="B29" s="789" t="s">
        <v>330</v>
      </c>
      <c r="C29" s="973" t="s">
        <v>26</v>
      </c>
      <c r="D29" s="964">
        <v>488</v>
      </c>
      <c r="E29" s="965">
        <f t="shared" si="2"/>
        <v>4636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1008</v>
      </c>
      <c r="E32" s="954">
        <f t="shared" si="2"/>
        <v>9576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965</v>
      </c>
      <c r="D35" s="956">
        <f>D22</f>
        <v>1195</v>
      </c>
      <c r="E35" s="956">
        <f>D32</f>
        <v>1008</v>
      </c>
    </row>
    <row r="36" spans="2:5">
      <c r="B36" s="953" t="s">
        <v>36</v>
      </c>
      <c r="C36" s="951">
        <f>C35*9.5</f>
        <v>9167.5</v>
      </c>
      <c r="D36" s="951">
        <f>D35*9.5</f>
        <v>11352.5</v>
      </c>
      <c r="E36" s="951">
        <f>E35*9.5</f>
        <v>9576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3168</v>
      </c>
      <c r="D38" s="378" t="s">
        <v>253</v>
      </c>
      <c r="E38" s="381">
        <f>C38*9.5</f>
        <v>30096</v>
      </c>
    </row>
    <row r="39" spans="2:5">
      <c r="B39" s="377" t="s">
        <v>197</v>
      </c>
      <c r="C39" s="378">
        <f>C40-C38</f>
        <v>3199</v>
      </c>
      <c r="D39" s="378" t="s">
        <v>204</v>
      </c>
      <c r="E39" s="381">
        <f>C39*9</f>
        <v>28791</v>
      </c>
    </row>
    <row r="40" spans="2:5" ht="19.5">
      <c r="B40" s="941" t="s">
        <v>201</v>
      </c>
      <c r="C40" s="380">
        <v>6367</v>
      </c>
      <c r="D40" s="380" t="s">
        <v>202</v>
      </c>
      <c r="E40" s="379">
        <f>SUM(E38+E39)</f>
        <v>58887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54D2-37C8-4D19-882F-5EC2609B93BE}">
  <sheetPr codeName="Sheet25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44942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783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0"/>
      <c r="C7" s="630" t="s">
        <v>669</v>
      </c>
      <c r="D7" s="964"/>
      <c r="E7" s="965">
        <f t="shared" ref="E7:E12" si="0">D7*9.5</f>
        <v>0</v>
      </c>
    </row>
    <row r="8" spans="2:8" ht="15" customHeight="1">
      <c r="B8" s="1130"/>
      <c r="C8" s="630" t="s">
        <v>669</v>
      </c>
      <c r="D8" s="964"/>
      <c r="E8" s="965">
        <f t="shared" si="0"/>
        <v>0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0</v>
      </c>
      <c r="E12" s="965">
        <f t="shared" si="0"/>
        <v>0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184</v>
      </c>
      <c r="C17" s="630" t="s">
        <v>669</v>
      </c>
      <c r="D17" s="964">
        <v>296</v>
      </c>
      <c r="E17" s="965">
        <f t="shared" ref="E17:E22" si="1">D17*9.5</f>
        <v>2812</v>
      </c>
    </row>
    <row r="18" spans="2:5" ht="15" customHeight="1">
      <c r="B18" s="1132" t="s">
        <v>65</v>
      </c>
      <c r="C18" s="630" t="s">
        <v>669</v>
      </c>
      <c r="D18" s="964">
        <v>537</v>
      </c>
      <c r="E18" s="965">
        <f t="shared" si="1"/>
        <v>5101.5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833</v>
      </c>
      <c r="E22" s="954">
        <f t="shared" si="1"/>
        <v>7913.5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45</v>
      </c>
      <c r="C27" s="630" t="s">
        <v>669</v>
      </c>
      <c r="D27" s="964">
        <v>466</v>
      </c>
      <c r="E27" s="965">
        <f t="shared" ref="E27:E32" si="2">D27*9.5</f>
        <v>4427</v>
      </c>
    </row>
    <row r="28" spans="2:5">
      <c r="B28" s="630" t="s">
        <v>331</v>
      </c>
      <c r="C28" s="630" t="s">
        <v>669</v>
      </c>
      <c r="D28" s="964">
        <v>523</v>
      </c>
      <c r="E28" s="965">
        <f t="shared" si="2"/>
        <v>4968.5</v>
      </c>
    </row>
    <row r="29" spans="2:5">
      <c r="B29" s="789" t="s">
        <v>281</v>
      </c>
      <c r="C29" s="973" t="s">
        <v>26</v>
      </c>
      <c r="D29" s="964">
        <v>457</v>
      </c>
      <c r="E29" s="965">
        <f t="shared" si="2"/>
        <v>4341.5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1446</v>
      </c>
      <c r="E32" s="954">
        <f t="shared" si="2"/>
        <v>13737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0</v>
      </c>
      <c r="D35" s="956">
        <f>D22</f>
        <v>833</v>
      </c>
      <c r="E35" s="956">
        <f>D32</f>
        <v>1446</v>
      </c>
    </row>
    <row r="36" spans="2:5">
      <c r="B36" s="953" t="s">
        <v>36</v>
      </c>
      <c r="C36" s="951">
        <f>C35*9.5</f>
        <v>0</v>
      </c>
      <c r="D36" s="951">
        <f>D35*9.5</f>
        <v>7913.5</v>
      </c>
      <c r="E36" s="951">
        <f>E35*9.5</f>
        <v>13737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2279</v>
      </c>
      <c r="D38" s="378" t="s">
        <v>253</v>
      </c>
      <c r="E38" s="381">
        <f>C38*9.5</f>
        <v>21650.5</v>
      </c>
    </row>
    <row r="39" spans="2:5">
      <c r="B39" s="377" t="s">
        <v>197</v>
      </c>
      <c r="C39" s="378">
        <f>C40-C38</f>
        <v>307</v>
      </c>
      <c r="D39" s="378" t="s">
        <v>204</v>
      </c>
      <c r="E39" s="381">
        <f>C39*9</f>
        <v>2763</v>
      </c>
    </row>
    <row r="40" spans="2:5" ht="19.5">
      <c r="B40" s="941" t="s">
        <v>201</v>
      </c>
      <c r="C40" s="380">
        <v>2586</v>
      </c>
      <c r="D40" s="380" t="s">
        <v>202</v>
      </c>
      <c r="E40" s="379">
        <f>SUM(E38+E39)</f>
        <v>24413.5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28E70-D59E-4848-AFA2-B897B5411E9B}">
  <sheetPr codeName="Sheet25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44943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74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329</v>
      </c>
      <c r="C7" s="630" t="s">
        <v>669</v>
      </c>
      <c r="D7" s="964">
        <v>651</v>
      </c>
      <c r="E7" s="965">
        <f t="shared" ref="E7:E12" si="0">D7*9.5</f>
        <v>6184.5</v>
      </c>
    </row>
    <row r="8" spans="2:8" ht="15" customHeight="1">
      <c r="B8" s="1132" t="s">
        <v>250</v>
      </c>
      <c r="C8" s="630" t="s">
        <v>669</v>
      </c>
      <c r="D8" s="964">
        <v>496</v>
      </c>
      <c r="E8" s="965">
        <f t="shared" si="0"/>
        <v>4712</v>
      </c>
    </row>
    <row r="9" spans="2:8" ht="15" customHeight="1">
      <c r="B9" s="975" t="s">
        <v>65</v>
      </c>
      <c r="C9" s="973" t="s">
        <v>26</v>
      </c>
      <c r="D9" s="964">
        <v>350</v>
      </c>
      <c r="E9" s="965">
        <f t="shared" si="0"/>
        <v>3325</v>
      </c>
    </row>
    <row r="10" spans="2:8" ht="15" customHeight="1">
      <c r="B10" s="975" t="s">
        <v>332</v>
      </c>
      <c r="C10" s="973" t="s">
        <v>26</v>
      </c>
      <c r="D10" s="943">
        <v>101</v>
      </c>
      <c r="E10" s="965">
        <f t="shared" si="0"/>
        <v>959.5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1598</v>
      </c>
      <c r="E12" s="965">
        <f t="shared" si="0"/>
        <v>15181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259</v>
      </c>
      <c r="C17" s="630" t="s">
        <v>669</v>
      </c>
      <c r="D17" s="964">
        <v>365</v>
      </c>
      <c r="E17" s="965">
        <f t="shared" ref="E17:E22" si="1">D17*9.5</f>
        <v>3467.5</v>
      </c>
    </row>
    <row r="18" spans="2:5" ht="15" customHeight="1">
      <c r="B18" s="1132" t="s">
        <v>696</v>
      </c>
      <c r="C18" s="630" t="s">
        <v>669</v>
      </c>
      <c r="D18" s="964">
        <v>296</v>
      </c>
      <c r="E18" s="965">
        <f t="shared" si="1"/>
        <v>2812</v>
      </c>
    </row>
    <row r="19" spans="2:5" ht="14.45" customHeight="1">
      <c r="B19" s="975" t="s">
        <v>239</v>
      </c>
      <c r="C19" s="973" t="s">
        <v>26</v>
      </c>
      <c r="D19" s="964">
        <v>200</v>
      </c>
      <c r="E19" s="965">
        <f t="shared" si="1"/>
        <v>1900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861</v>
      </c>
      <c r="E22" s="954">
        <f t="shared" si="1"/>
        <v>8179.5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256</v>
      </c>
      <c r="C27" s="630" t="s">
        <v>669</v>
      </c>
      <c r="D27" s="964">
        <v>244</v>
      </c>
      <c r="E27" s="965">
        <f t="shared" ref="E27:E32" si="2">D27*9.5</f>
        <v>2318</v>
      </c>
    </row>
    <row r="28" spans="2:5">
      <c r="B28" s="630" t="s">
        <v>258</v>
      </c>
      <c r="C28" s="630" t="s">
        <v>669</v>
      </c>
      <c r="D28" s="964">
        <v>339</v>
      </c>
      <c r="E28" s="965">
        <f t="shared" si="2"/>
        <v>3220.5</v>
      </c>
    </row>
    <row r="29" spans="2:5">
      <c r="B29" s="789" t="s">
        <v>239</v>
      </c>
      <c r="C29" s="973" t="s">
        <v>26</v>
      </c>
      <c r="D29" s="964">
        <v>265</v>
      </c>
      <c r="E29" s="965">
        <f t="shared" si="2"/>
        <v>2517.5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848</v>
      </c>
      <c r="E32" s="954">
        <f t="shared" si="2"/>
        <v>8056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1598</v>
      </c>
      <c r="D35" s="956">
        <f>D22</f>
        <v>861</v>
      </c>
      <c r="E35" s="956">
        <f>D32</f>
        <v>848</v>
      </c>
    </row>
    <row r="36" spans="2:5">
      <c r="B36" s="953" t="s">
        <v>36</v>
      </c>
      <c r="C36" s="951">
        <f>C35*9.5</f>
        <v>15181</v>
      </c>
      <c r="D36" s="951">
        <f>D35*9.5</f>
        <v>8179.5</v>
      </c>
      <c r="E36" s="951">
        <f>E35*9.5</f>
        <v>8056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3307</v>
      </c>
      <c r="D38" s="378" t="s">
        <v>253</v>
      </c>
      <c r="E38" s="381">
        <f>C38*9.5</f>
        <v>31416.5</v>
      </c>
    </row>
    <row r="39" spans="2:5">
      <c r="B39" s="377" t="s">
        <v>197</v>
      </c>
      <c r="C39" s="378">
        <f>C40-C38</f>
        <v>4434</v>
      </c>
      <c r="D39" s="378" t="s">
        <v>204</v>
      </c>
      <c r="E39" s="381">
        <f>C39*9</f>
        <v>39906</v>
      </c>
    </row>
    <row r="40" spans="2:5" ht="19.5">
      <c r="B40" s="941" t="s">
        <v>201</v>
      </c>
      <c r="C40" s="380">
        <v>7741</v>
      </c>
      <c r="D40" s="380" t="s">
        <v>202</v>
      </c>
      <c r="E40" s="379">
        <f>SUM(E38+E39)</f>
        <v>71322.5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562DB-E8D2-48FB-8600-6CBD8BF6DA33}">
  <sheetPr codeName="Sheet253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44944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78</v>
      </c>
      <c r="C7" s="630" t="s">
        <v>669</v>
      </c>
      <c r="D7" s="964">
        <v>480</v>
      </c>
      <c r="E7" s="965">
        <f t="shared" ref="E7:E11" si="0">D7*9.5</f>
        <v>4560</v>
      </c>
    </row>
    <row r="8" spans="2:8" ht="15" customHeight="1">
      <c r="B8" s="1132" t="s">
        <v>329</v>
      </c>
      <c r="C8" s="630" t="s">
        <v>669</v>
      </c>
      <c r="D8" s="964">
        <v>643</v>
      </c>
      <c r="E8" s="965">
        <f t="shared" si="0"/>
        <v>6108.5</v>
      </c>
    </row>
    <row r="9" spans="2:8" ht="15" customHeight="1">
      <c r="B9" s="975" t="s">
        <v>279</v>
      </c>
      <c r="C9" s="973" t="s">
        <v>26</v>
      </c>
      <c r="D9" s="964">
        <v>573</v>
      </c>
      <c r="E9" s="965">
        <f t="shared" si="0"/>
        <v>5443.5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1696</v>
      </c>
      <c r="E12" s="965">
        <f>SUM(E7:E11)</f>
        <v>16112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82</v>
      </c>
      <c r="C17" s="630" t="s">
        <v>669</v>
      </c>
      <c r="D17" s="964">
        <v>386</v>
      </c>
      <c r="E17" s="965">
        <f t="shared" ref="E17:E21" si="1">D17*9.5</f>
        <v>3667</v>
      </c>
    </row>
    <row r="18" spans="2:5" ht="15" customHeight="1">
      <c r="B18" s="1132" t="s">
        <v>45</v>
      </c>
      <c r="C18" s="630" t="s">
        <v>669</v>
      </c>
      <c r="D18" s="964">
        <v>421</v>
      </c>
      <c r="E18" s="965">
        <f t="shared" si="1"/>
        <v>3999.5</v>
      </c>
    </row>
    <row r="19" spans="2:5" ht="14.45" customHeight="1">
      <c r="B19" s="975" t="s">
        <v>53</v>
      </c>
      <c r="C19" s="973" t="s">
        <v>26</v>
      </c>
      <c r="D19" s="964">
        <v>264</v>
      </c>
      <c r="E19" s="965">
        <f>D19*10</f>
        <v>2640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1071</v>
      </c>
      <c r="E22" s="954">
        <f>SUM(E17:E21)</f>
        <v>10306.5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12</v>
      </c>
      <c r="C27" s="630" t="s">
        <v>669</v>
      </c>
      <c r="D27" s="964">
        <v>322</v>
      </c>
      <c r="E27" s="965">
        <f t="shared" ref="E27:E31" si="2">D27*9.5</f>
        <v>3059</v>
      </c>
    </row>
    <row r="28" spans="2:5">
      <c r="B28" s="630" t="s">
        <v>235</v>
      </c>
      <c r="C28" s="630" t="s">
        <v>669</v>
      </c>
      <c r="D28" s="964">
        <v>515</v>
      </c>
      <c r="E28" s="965">
        <f t="shared" si="2"/>
        <v>4892.5</v>
      </c>
    </row>
    <row r="29" spans="2:5">
      <c r="B29" s="789" t="s">
        <v>53</v>
      </c>
      <c r="C29" s="973" t="s">
        <v>26</v>
      </c>
      <c r="D29" s="964">
        <v>274</v>
      </c>
      <c r="E29" s="965">
        <f>D29*10</f>
        <v>2740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1111</v>
      </c>
      <c r="E32" s="954">
        <f>SUM(E27:E31)</f>
        <v>10691.5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1696</v>
      </c>
      <c r="D35" s="956">
        <f>D22</f>
        <v>1071</v>
      </c>
      <c r="E35" s="956">
        <f>D32</f>
        <v>1111</v>
      </c>
    </row>
    <row r="36" spans="2:5">
      <c r="B36" s="953" t="s">
        <v>36</v>
      </c>
      <c r="C36" s="951">
        <f>C35*9.5</f>
        <v>16112</v>
      </c>
      <c r="D36" s="951">
        <f>D35*9.5</f>
        <v>10174.5</v>
      </c>
      <c r="E36" s="951">
        <f>E35*9.5</f>
        <v>10554.5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3878</v>
      </c>
      <c r="D38" s="378" t="s">
        <v>253</v>
      </c>
      <c r="E38" s="381">
        <f>SUM(E12,E22,E32)</f>
        <v>37110</v>
      </c>
    </row>
    <row r="39" spans="2:5">
      <c r="B39" s="377" t="s">
        <v>197</v>
      </c>
      <c r="C39" s="378">
        <f>C40-C38</f>
        <v>4575</v>
      </c>
      <c r="D39" s="378" t="s">
        <v>204</v>
      </c>
      <c r="E39" s="381">
        <f>C39*9</f>
        <v>41175</v>
      </c>
    </row>
    <row r="40" spans="2:5" ht="19.5">
      <c r="B40" s="941" t="s">
        <v>201</v>
      </c>
      <c r="C40" s="380">
        <v>8453</v>
      </c>
      <c r="D40" s="380" t="s">
        <v>202</v>
      </c>
      <c r="E40" s="379">
        <f>SUM(E38+E39)</f>
        <v>78285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16DB4-D4E1-4374-87FC-3332C6D8F6E5}">
  <sheetPr codeName="Sheet25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44945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252</v>
      </c>
      <c r="C7" s="630" t="s">
        <v>669</v>
      </c>
      <c r="D7" s="964">
        <v>268</v>
      </c>
      <c r="E7" s="965">
        <f t="shared" ref="E7:E11" si="0">D7*9.5</f>
        <v>2546</v>
      </c>
    </row>
    <row r="8" spans="2:8" ht="15" customHeight="1">
      <c r="B8" s="1132" t="s">
        <v>256</v>
      </c>
      <c r="C8" s="630" t="s">
        <v>669</v>
      </c>
      <c r="D8" s="964">
        <v>275</v>
      </c>
      <c r="E8" s="965">
        <f t="shared" si="0"/>
        <v>2612.5</v>
      </c>
    </row>
    <row r="9" spans="2:8" ht="15" customHeight="1">
      <c r="B9" s="975" t="s">
        <v>281</v>
      </c>
      <c r="C9" s="973" t="s">
        <v>26</v>
      </c>
      <c r="D9" s="964">
        <v>339</v>
      </c>
      <c r="E9" s="965">
        <f t="shared" si="0"/>
        <v>3220.5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882</v>
      </c>
      <c r="E12" s="965">
        <f>SUM(E7:E11)</f>
        <v>8379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329</v>
      </c>
      <c r="C17" s="630" t="s">
        <v>669</v>
      </c>
      <c r="D17" s="964">
        <v>615</v>
      </c>
      <c r="E17" s="965">
        <f t="shared" ref="E17:E21" si="1">D17*9.5</f>
        <v>5842.5</v>
      </c>
    </row>
    <row r="18" spans="2:5" ht="15" customHeight="1">
      <c r="B18" s="1132" t="s">
        <v>256</v>
      </c>
      <c r="C18" s="630" t="s">
        <v>669</v>
      </c>
      <c r="D18" s="964">
        <v>244</v>
      </c>
      <c r="E18" s="965">
        <f t="shared" si="1"/>
        <v>2318</v>
      </c>
    </row>
    <row r="19" spans="2:5" ht="14.45" customHeight="1">
      <c r="B19" s="975" t="s">
        <v>189</v>
      </c>
      <c r="C19" s="973" t="s">
        <v>26</v>
      </c>
      <c r="D19" s="964">
        <v>317</v>
      </c>
      <c r="E19" s="965">
        <f t="shared" si="1"/>
        <v>3011.5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1176</v>
      </c>
      <c r="E22" s="954">
        <f>SUM(E17:E21)</f>
        <v>11172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70</v>
      </c>
      <c r="C27" s="630" t="s">
        <v>669</v>
      </c>
      <c r="D27" s="964">
        <v>491</v>
      </c>
      <c r="E27" s="965">
        <f t="shared" ref="E27:E31" si="2">D27*9.5</f>
        <v>4664.5</v>
      </c>
    </row>
    <row r="28" spans="2:5">
      <c r="B28" s="630" t="s">
        <v>278</v>
      </c>
      <c r="C28" s="630" t="s">
        <v>669</v>
      </c>
      <c r="D28" s="964">
        <v>508</v>
      </c>
      <c r="E28" s="965">
        <f t="shared" si="2"/>
        <v>4826</v>
      </c>
    </row>
    <row r="29" spans="2:5">
      <c r="B29" s="789" t="s">
        <v>53</v>
      </c>
      <c r="C29" s="973" t="s">
        <v>26</v>
      </c>
      <c r="D29" s="964">
        <v>250</v>
      </c>
      <c r="E29" s="965">
        <f>D29*10</f>
        <v>2500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1249</v>
      </c>
      <c r="E32" s="954">
        <f>SUM(E27:E31)</f>
        <v>11990.5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882</v>
      </c>
      <c r="D35" s="956">
        <f>D22</f>
        <v>1176</v>
      </c>
      <c r="E35" s="956">
        <f>D32</f>
        <v>1249</v>
      </c>
    </row>
    <row r="36" spans="2:5">
      <c r="B36" s="953" t="s">
        <v>36</v>
      </c>
      <c r="C36" s="951">
        <f>C35*9.5</f>
        <v>8379</v>
      </c>
      <c r="D36" s="951">
        <f>D35*9.5</f>
        <v>11172</v>
      </c>
      <c r="E36" s="951">
        <f>E35*9.5</f>
        <v>11865.5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3307</v>
      </c>
      <c r="D38" s="378" t="s">
        <v>253</v>
      </c>
      <c r="E38" s="381">
        <f>SUM(E12,E22,E32)</f>
        <v>31541.5</v>
      </c>
    </row>
    <row r="39" spans="2:5">
      <c r="B39" s="377" t="s">
        <v>197</v>
      </c>
      <c r="C39" s="378">
        <f>C40-C38</f>
        <v>4484</v>
      </c>
      <c r="D39" s="378" t="s">
        <v>204</v>
      </c>
      <c r="E39" s="381">
        <f>C39*9</f>
        <v>40356</v>
      </c>
    </row>
    <row r="40" spans="2:5" ht="19.5">
      <c r="B40" s="941" t="s">
        <v>201</v>
      </c>
      <c r="C40" s="380">
        <v>7791</v>
      </c>
      <c r="D40" s="380" t="s">
        <v>202</v>
      </c>
      <c r="E40" s="379">
        <f>SUM(E38+E39)</f>
        <v>71897.5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8FC44-1BD2-41ED-8815-801B1C94593B}">
  <sheetPr codeName="Sheet25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44946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45</v>
      </c>
      <c r="C7" s="630" t="s">
        <v>669</v>
      </c>
      <c r="D7" s="964">
        <v>416</v>
      </c>
      <c r="E7" s="965">
        <f t="shared" ref="E7:E12" si="0">D7*9.5</f>
        <v>3952</v>
      </c>
    </row>
    <row r="8" spans="2:8" ht="15" customHeight="1">
      <c r="B8" s="1132" t="s">
        <v>78</v>
      </c>
      <c r="C8" s="630" t="s">
        <v>669</v>
      </c>
      <c r="D8" s="964">
        <v>447</v>
      </c>
      <c r="E8" s="965">
        <f t="shared" si="0"/>
        <v>4246.5</v>
      </c>
    </row>
    <row r="9" spans="2:8" ht="15" customHeight="1">
      <c r="B9" s="975" t="s">
        <v>65</v>
      </c>
      <c r="C9" s="973" t="s">
        <v>26</v>
      </c>
      <c r="D9" s="964">
        <v>387</v>
      </c>
      <c r="E9" s="965">
        <f t="shared" si="0"/>
        <v>3676.5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1250</v>
      </c>
      <c r="E12" s="965">
        <f t="shared" si="0"/>
        <v>11875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250</v>
      </c>
      <c r="C17" s="630" t="s">
        <v>669</v>
      </c>
      <c r="D17" s="964">
        <v>472</v>
      </c>
      <c r="E17" s="965">
        <f t="shared" ref="E17:E22" si="1">D17*9.5</f>
        <v>4484</v>
      </c>
    </row>
    <row r="18" spans="2:5" ht="15" customHeight="1">
      <c r="B18" s="1132" t="s">
        <v>260</v>
      </c>
      <c r="C18" s="630" t="s">
        <v>669</v>
      </c>
      <c r="D18" s="964">
        <v>432</v>
      </c>
      <c r="E18" s="965">
        <f t="shared" si="1"/>
        <v>4104</v>
      </c>
    </row>
    <row r="19" spans="2:5" ht="14.45" customHeight="1">
      <c r="B19" s="975" t="s">
        <v>279</v>
      </c>
      <c r="C19" s="973" t="s">
        <v>26</v>
      </c>
      <c r="D19" s="964">
        <v>472</v>
      </c>
      <c r="E19" s="965">
        <f t="shared" si="1"/>
        <v>4484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1376</v>
      </c>
      <c r="E22" s="954">
        <f t="shared" si="1"/>
        <v>13072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250</v>
      </c>
      <c r="C27" s="630" t="s">
        <v>669</v>
      </c>
      <c r="D27" s="964">
        <v>350</v>
      </c>
      <c r="E27" s="965">
        <f t="shared" ref="E27:E32" si="2">D27*9.5</f>
        <v>3325</v>
      </c>
    </row>
    <row r="28" spans="2:5">
      <c r="B28" s="630" t="s">
        <v>333</v>
      </c>
      <c r="C28" s="630" t="s">
        <v>669</v>
      </c>
      <c r="D28" s="964">
        <v>337</v>
      </c>
      <c r="E28" s="965">
        <f t="shared" si="2"/>
        <v>3201.5</v>
      </c>
    </row>
    <row r="29" spans="2:5">
      <c r="B29" s="789" t="s">
        <v>244</v>
      </c>
      <c r="C29" s="973" t="s">
        <v>26</v>
      </c>
      <c r="D29" s="964">
        <v>281</v>
      </c>
      <c r="E29" s="965">
        <f t="shared" si="2"/>
        <v>2669.5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968</v>
      </c>
      <c r="E32" s="954">
        <f t="shared" si="2"/>
        <v>9196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1250</v>
      </c>
      <c r="D35" s="956">
        <f>D22</f>
        <v>1376</v>
      </c>
      <c r="E35" s="956">
        <f>D32</f>
        <v>968</v>
      </c>
    </row>
    <row r="36" spans="2:5">
      <c r="B36" s="953" t="s">
        <v>36</v>
      </c>
      <c r="C36" s="951">
        <f>C35*9.5</f>
        <v>11875</v>
      </c>
      <c r="D36" s="951">
        <f>D35*9.5</f>
        <v>13072</v>
      </c>
      <c r="E36" s="951">
        <f>E35*9.5</f>
        <v>9196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3594</v>
      </c>
      <c r="D38" s="378" t="s">
        <v>253</v>
      </c>
      <c r="E38" s="381">
        <f>C38*9.5</f>
        <v>34143</v>
      </c>
    </row>
    <row r="39" spans="2:5">
      <c r="B39" s="377" t="s">
        <v>197</v>
      </c>
      <c r="C39" s="378">
        <f>C40-C38</f>
        <v>3469</v>
      </c>
      <c r="D39" s="378" t="s">
        <v>204</v>
      </c>
      <c r="E39" s="381">
        <f>C39*9</f>
        <v>31221</v>
      </c>
    </row>
    <row r="40" spans="2:5" ht="19.5">
      <c r="B40" s="941" t="s">
        <v>201</v>
      </c>
      <c r="C40" s="380">
        <v>7063</v>
      </c>
      <c r="D40" s="380" t="s">
        <v>202</v>
      </c>
      <c r="E40" s="379">
        <f>SUM(E38+E39)</f>
        <v>65364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DC408-DD3E-4E5D-B859-770CDDD81FE0}">
  <sheetPr codeName="Sheet25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44947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331</v>
      </c>
      <c r="C7" s="630" t="s">
        <v>669</v>
      </c>
      <c r="D7" s="964">
        <v>282</v>
      </c>
      <c r="E7" s="965">
        <f t="shared" ref="E7:E12" si="0">D7*9.5</f>
        <v>2679</v>
      </c>
    </row>
    <row r="8" spans="2:8" ht="15" customHeight="1">
      <c r="B8" s="1132" t="s">
        <v>329</v>
      </c>
      <c r="C8" s="630" t="s">
        <v>669</v>
      </c>
      <c r="D8" s="964">
        <v>766</v>
      </c>
      <c r="E8" s="965">
        <f t="shared" si="0"/>
        <v>7277</v>
      </c>
    </row>
    <row r="9" spans="2:8" ht="15" customHeight="1">
      <c r="B9" s="975" t="s">
        <v>70</v>
      </c>
      <c r="C9" s="973" t="s">
        <v>26</v>
      </c>
      <c r="D9" s="964">
        <v>494</v>
      </c>
      <c r="E9" s="965">
        <f t="shared" si="0"/>
        <v>4693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1542</v>
      </c>
      <c r="E12" s="965">
        <f t="shared" si="0"/>
        <v>14649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65</v>
      </c>
      <c r="C17" s="630" t="s">
        <v>669</v>
      </c>
      <c r="D17" s="964">
        <v>315</v>
      </c>
      <c r="E17" s="965">
        <f t="shared" ref="E17:E22" si="1">D17*9.5</f>
        <v>2992.5</v>
      </c>
    </row>
    <row r="18" spans="2:5" ht="15" customHeight="1">
      <c r="B18" s="1132" t="s">
        <v>189</v>
      </c>
      <c r="C18" s="630" t="s">
        <v>669</v>
      </c>
      <c r="D18" s="964">
        <v>312</v>
      </c>
      <c r="E18" s="965">
        <f t="shared" si="1"/>
        <v>2964</v>
      </c>
    </row>
    <row r="19" spans="2:5" ht="14.45" customHeight="1">
      <c r="B19" s="975" t="s">
        <v>303</v>
      </c>
      <c r="C19" s="973" t="s">
        <v>26</v>
      </c>
      <c r="D19" s="964">
        <v>867</v>
      </c>
      <c r="E19" s="965">
        <f t="shared" si="1"/>
        <v>8236.5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1494</v>
      </c>
      <c r="E22" s="954">
        <f t="shared" si="1"/>
        <v>14193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252</v>
      </c>
      <c r="C27" s="630" t="s">
        <v>669</v>
      </c>
      <c r="D27" s="964">
        <v>308</v>
      </c>
      <c r="E27" s="965">
        <f t="shared" ref="E27:E32" si="2">D27*9.5</f>
        <v>2926</v>
      </c>
    </row>
    <row r="28" spans="2:5">
      <c r="B28" s="630" t="s">
        <v>235</v>
      </c>
      <c r="C28" s="630" t="s">
        <v>669</v>
      </c>
      <c r="D28" s="964">
        <v>450</v>
      </c>
      <c r="E28" s="965">
        <f t="shared" si="2"/>
        <v>4275</v>
      </c>
    </row>
    <row r="29" spans="2:5">
      <c r="B29" s="789" t="s">
        <v>696</v>
      </c>
      <c r="C29" s="973" t="s">
        <v>26</v>
      </c>
      <c r="D29" s="964">
        <v>214</v>
      </c>
      <c r="E29" s="965">
        <f t="shared" si="2"/>
        <v>2033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972</v>
      </c>
      <c r="E32" s="954">
        <f t="shared" si="2"/>
        <v>9234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1542</v>
      </c>
      <c r="D35" s="956">
        <f>D22</f>
        <v>1494</v>
      </c>
      <c r="E35" s="956">
        <f>D32</f>
        <v>972</v>
      </c>
    </row>
    <row r="36" spans="2:5">
      <c r="B36" s="953" t="s">
        <v>36</v>
      </c>
      <c r="C36" s="951">
        <f>C35*9.5</f>
        <v>14649</v>
      </c>
      <c r="D36" s="951">
        <f>D35*9.5</f>
        <v>14193</v>
      </c>
      <c r="E36" s="951">
        <f>E35*9.5</f>
        <v>9234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4008</v>
      </c>
      <c r="D38" s="378" t="s">
        <v>253</v>
      </c>
      <c r="E38" s="381">
        <f>C38*9.5</f>
        <v>38076</v>
      </c>
    </row>
    <row r="39" spans="2:5">
      <c r="B39" s="377" t="s">
        <v>197</v>
      </c>
      <c r="C39" s="378">
        <f>C40-C38</f>
        <v>184</v>
      </c>
      <c r="D39" s="378" t="s">
        <v>204</v>
      </c>
      <c r="E39" s="381">
        <f>C39*9</f>
        <v>1656</v>
      </c>
    </row>
    <row r="40" spans="2:5" ht="19.5">
      <c r="B40" s="941" t="s">
        <v>201</v>
      </c>
      <c r="C40" s="380">
        <v>4192</v>
      </c>
      <c r="D40" s="380" t="s">
        <v>202</v>
      </c>
      <c r="E40" s="379">
        <f>SUM(E38+E39)</f>
        <v>39732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C9EFD-6FF8-4618-8BC6-E9E036B183CB}">
  <sheetPr codeName="Sheet25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44948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329</v>
      </c>
      <c r="C7" s="630" t="s">
        <v>669</v>
      </c>
      <c r="D7" s="964">
        <v>789</v>
      </c>
      <c r="E7" s="965">
        <f t="shared" ref="E7:E12" si="0">D7*9.5</f>
        <v>7495.5</v>
      </c>
    </row>
    <row r="8" spans="2:8" ht="15" customHeight="1">
      <c r="B8" s="1132" t="s">
        <v>252</v>
      </c>
      <c r="C8" s="630" t="s">
        <v>669</v>
      </c>
      <c r="D8" s="964">
        <v>291</v>
      </c>
      <c r="E8" s="965">
        <f t="shared" si="0"/>
        <v>2764.5</v>
      </c>
    </row>
    <row r="9" spans="2:8" ht="15" customHeight="1">
      <c r="B9" s="975" t="s">
        <v>281</v>
      </c>
      <c r="C9" s="973" t="s">
        <v>26</v>
      </c>
      <c r="D9" s="964">
        <v>478</v>
      </c>
      <c r="E9" s="965">
        <f t="shared" si="0"/>
        <v>4541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1558</v>
      </c>
      <c r="E12" s="965">
        <f t="shared" si="0"/>
        <v>14801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678</v>
      </c>
      <c r="C17" s="630" t="s">
        <v>669</v>
      </c>
      <c r="D17" s="964">
        <v>450</v>
      </c>
      <c r="E17" s="965">
        <f t="shared" ref="E17:E22" si="1">D17*9.5</f>
        <v>4275</v>
      </c>
    </row>
    <row r="18" spans="2:5" ht="15" customHeight="1">
      <c r="B18" s="1132" t="s">
        <v>239</v>
      </c>
      <c r="C18" s="630" t="s">
        <v>669</v>
      </c>
      <c r="D18" s="964">
        <v>244</v>
      </c>
      <c r="E18" s="965">
        <f t="shared" si="1"/>
        <v>2318</v>
      </c>
    </row>
    <row r="19" spans="2:5" ht="14.45" customHeight="1">
      <c r="B19" s="975" t="s">
        <v>82</v>
      </c>
      <c r="C19" s="973" t="s">
        <v>26</v>
      </c>
      <c r="D19" s="964">
        <v>356</v>
      </c>
      <c r="E19" s="965">
        <f t="shared" si="1"/>
        <v>3382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1050</v>
      </c>
      <c r="E22" s="954">
        <f t="shared" si="1"/>
        <v>9975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164</v>
      </c>
      <c r="C27" s="630" t="s">
        <v>669</v>
      </c>
      <c r="D27" s="964">
        <v>454</v>
      </c>
      <c r="E27" s="965">
        <f t="shared" ref="E27:E32" si="2">D27*9.5</f>
        <v>4313</v>
      </c>
    </row>
    <row r="28" spans="2:5">
      <c r="B28" s="630" t="s">
        <v>796</v>
      </c>
      <c r="C28" s="630" t="s">
        <v>669</v>
      </c>
      <c r="D28" s="964">
        <v>321</v>
      </c>
      <c r="E28" s="965">
        <f t="shared" si="2"/>
        <v>3049.5</v>
      </c>
    </row>
    <row r="29" spans="2:5">
      <c r="B29" s="789" t="s">
        <v>184</v>
      </c>
      <c r="C29" s="973" t="s">
        <v>26</v>
      </c>
      <c r="D29" s="964">
        <v>372</v>
      </c>
      <c r="E29" s="965">
        <f t="shared" si="2"/>
        <v>3534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1147</v>
      </c>
      <c r="E32" s="954">
        <f t="shared" si="2"/>
        <v>10896.5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1558</v>
      </c>
      <c r="D35" s="956">
        <f>D22</f>
        <v>1050</v>
      </c>
      <c r="E35" s="956">
        <f>D32</f>
        <v>1147</v>
      </c>
    </row>
    <row r="36" spans="2:5">
      <c r="B36" s="953" t="s">
        <v>36</v>
      </c>
      <c r="C36" s="951">
        <f>C35*9.5</f>
        <v>14801</v>
      </c>
      <c r="D36" s="951">
        <f>D35*9.5</f>
        <v>9975</v>
      </c>
      <c r="E36" s="951">
        <f>E35*9.5</f>
        <v>10896.5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3755</v>
      </c>
      <c r="D38" s="378" t="s">
        <v>253</v>
      </c>
      <c r="E38" s="381">
        <f>C38*9.5</f>
        <v>35672.5</v>
      </c>
    </row>
    <row r="39" spans="2:5">
      <c r="B39" s="377" t="s">
        <v>197</v>
      </c>
      <c r="C39" s="378">
        <f>C40-C38</f>
        <v>315</v>
      </c>
      <c r="D39" s="378" t="s">
        <v>204</v>
      </c>
      <c r="E39" s="381">
        <f>C39*9</f>
        <v>2835</v>
      </c>
    </row>
    <row r="40" spans="2:5" ht="19.5">
      <c r="B40" s="941" t="s">
        <v>201</v>
      </c>
      <c r="C40" s="380">
        <v>4070</v>
      </c>
      <c r="D40" s="380" t="s">
        <v>202</v>
      </c>
      <c r="E40" s="379">
        <f>SUM(E38+E39)</f>
        <v>38507.5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FE0D4-4712-43F1-893E-A7B1AD849E9D}">
  <sheetPr codeName="Sheet25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44949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184</v>
      </c>
      <c r="C7" s="630" t="s">
        <v>669</v>
      </c>
      <c r="D7" s="964">
        <v>315</v>
      </c>
      <c r="E7" s="965">
        <f t="shared" ref="E7:E12" si="0">D7*9.5</f>
        <v>2992.5</v>
      </c>
    </row>
    <row r="8" spans="2:8" ht="15" customHeight="1">
      <c r="B8" s="1132" t="s">
        <v>65</v>
      </c>
      <c r="C8" s="630" t="s">
        <v>669</v>
      </c>
      <c r="D8" s="964">
        <v>452</v>
      </c>
      <c r="E8" s="965">
        <f t="shared" si="0"/>
        <v>4294</v>
      </c>
    </row>
    <row r="9" spans="2:8" ht="15" customHeight="1">
      <c r="B9" s="975" t="s">
        <v>45</v>
      </c>
      <c r="C9" s="973" t="s">
        <v>26</v>
      </c>
      <c r="D9" s="964">
        <v>428</v>
      </c>
      <c r="E9" s="965">
        <f t="shared" si="0"/>
        <v>4066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1195</v>
      </c>
      <c r="E12" s="965">
        <f t="shared" si="0"/>
        <v>11352.5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252</v>
      </c>
      <c r="C17" s="630" t="s">
        <v>669</v>
      </c>
      <c r="D17" s="964">
        <v>259</v>
      </c>
      <c r="E17" s="965">
        <f t="shared" ref="E17:E22" si="1">D17*9.5</f>
        <v>2460.5</v>
      </c>
    </row>
    <row r="18" spans="2:5" ht="15" customHeight="1">
      <c r="B18" s="1132" t="s">
        <v>189</v>
      </c>
      <c r="C18" s="630" t="s">
        <v>669</v>
      </c>
      <c r="D18" s="964">
        <v>405</v>
      </c>
      <c r="E18" s="965">
        <f t="shared" si="1"/>
        <v>3847.5</v>
      </c>
    </row>
    <row r="19" spans="2:5" ht="14.45" customHeight="1">
      <c r="B19" s="975" t="s">
        <v>244</v>
      </c>
      <c r="C19" s="973" t="s">
        <v>26</v>
      </c>
      <c r="D19" s="964">
        <v>502</v>
      </c>
      <c r="E19" s="965">
        <f t="shared" si="1"/>
        <v>4769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1166</v>
      </c>
      <c r="E22" s="954">
        <f t="shared" si="1"/>
        <v>11077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281</v>
      </c>
      <c r="C27" s="630" t="s">
        <v>669</v>
      </c>
      <c r="D27" s="964">
        <v>403</v>
      </c>
      <c r="E27" s="965">
        <f t="shared" ref="E27:E32" si="2">D27*9.5</f>
        <v>3828.5</v>
      </c>
    </row>
    <row r="28" spans="2:5">
      <c r="B28" s="630" t="s">
        <v>334</v>
      </c>
      <c r="C28" s="630" t="s">
        <v>669</v>
      </c>
      <c r="D28" s="964">
        <v>619</v>
      </c>
      <c r="E28" s="965">
        <f t="shared" si="2"/>
        <v>5880.5</v>
      </c>
    </row>
    <row r="29" spans="2:5">
      <c r="B29" s="789" t="s">
        <v>678</v>
      </c>
      <c r="C29" s="973" t="s">
        <v>26</v>
      </c>
      <c r="D29" s="964">
        <v>401</v>
      </c>
      <c r="E29" s="965">
        <f t="shared" si="2"/>
        <v>3809.5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1423</v>
      </c>
      <c r="E32" s="954">
        <f t="shared" si="2"/>
        <v>13518.5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1195</v>
      </c>
      <c r="D35" s="956">
        <f>D22</f>
        <v>1166</v>
      </c>
      <c r="E35" s="956">
        <f>D32</f>
        <v>1423</v>
      </c>
    </row>
    <row r="36" spans="2:5">
      <c r="B36" s="953" t="s">
        <v>36</v>
      </c>
      <c r="C36" s="951">
        <f>C35*9.5</f>
        <v>11352.5</v>
      </c>
      <c r="D36" s="951">
        <f>D35*9.5</f>
        <v>11077</v>
      </c>
      <c r="E36" s="951">
        <f>E35*9.5</f>
        <v>13518.5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3784</v>
      </c>
      <c r="D38" s="378" t="s">
        <v>253</v>
      </c>
      <c r="E38" s="381">
        <f>C38*9.5</f>
        <v>35948</v>
      </c>
    </row>
    <row r="39" spans="2:5">
      <c r="B39" s="377" t="s">
        <v>197</v>
      </c>
      <c r="C39" s="378">
        <f>C40-C38</f>
        <v>4011</v>
      </c>
      <c r="D39" s="378" t="s">
        <v>204</v>
      </c>
      <c r="E39" s="381">
        <f>C39*9</f>
        <v>36099</v>
      </c>
    </row>
    <row r="40" spans="2:5" ht="19.5">
      <c r="B40" s="941" t="s">
        <v>201</v>
      </c>
      <c r="C40" s="380">
        <v>7795</v>
      </c>
      <c r="D40" s="380" t="s">
        <v>202</v>
      </c>
      <c r="E40" s="379">
        <f>SUM(E38+E39)</f>
        <v>72047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A8BCC-8A1D-4B06-AE97-AA494BF46C86}">
  <sheetPr codeName="Sheet25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44950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329</v>
      </c>
      <c r="C7" s="630" t="s">
        <v>669</v>
      </c>
      <c r="D7" s="964">
        <v>756</v>
      </c>
      <c r="E7" s="965">
        <f t="shared" ref="E7:E12" si="0">D7*9.5</f>
        <v>7182</v>
      </c>
    </row>
    <row r="8" spans="2:8" ht="15" customHeight="1">
      <c r="B8" s="1132" t="s">
        <v>82</v>
      </c>
      <c r="C8" s="630" t="s">
        <v>669</v>
      </c>
      <c r="D8" s="964">
        <v>403</v>
      </c>
      <c r="E8" s="965">
        <f t="shared" si="0"/>
        <v>3828.5</v>
      </c>
    </row>
    <row r="9" spans="2:8" ht="15" customHeight="1">
      <c r="B9" s="975" t="s">
        <v>205</v>
      </c>
      <c r="C9" s="973" t="s">
        <v>26</v>
      </c>
      <c r="D9" s="964">
        <v>229</v>
      </c>
      <c r="E9" s="965">
        <f t="shared" si="0"/>
        <v>2175.5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1388</v>
      </c>
      <c r="E12" s="965">
        <f t="shared" si="0"/>
        <v>13186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78</v>
      </c>
      <c r="C17" s="630" t="s">
        <v>669</v>
      </c>
      <c r="D17" s="964">
        <v>393</v>
      </c>
      <c r="E17" s="965">
        <f t="shared" ref="E17:E22" si="1">D17*9.5</f>
        <v>3733.5</v>
      </c>
    </row>
    <row r="18" spans="2:5" ht="15" customHeight="1">
      <c r="B18" s="1132" t="s">
        <v>802</v>
      </c>
      <c r="C18" s="630" t="s">
        <v>669</v>
      </c>
      <c r="D18" s="964">
        <v>338</v>
      </c>
      <c r="E18" s="965">
        <f t="shared" si="1"/>
        <v>3211</v>
      </c>
    </row>
    <row r="19" spans="2:5" ht="14.45" customHeight="1">
      <c r="B19" s="975" t="s">
        <v>65</v>
      </c>
      <c r="C19" s="973" t="s">
        <v>26</v>
      </c>
      <c r="D19" s="964">
        <v>412</v>
      </c>
      <c r="E19" s="965">
        <f t="shared" si="1"/>
        <v>3914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1143</v>
      </c>
      <c r="E22" s="954">
        <f t="shared" si="1"/>
        <v>10858.5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250</v>
      </c>
      <c r="C27" s="630" t="s">
        <v>669</v>
      </c>
      <c r="D27" s="964">
        <v>566</v>
      </c>
      <c r="E27" s="965">
        <f t="shared" ref="E27:E32" si="2">D27*9.5</f>
        <v>5377</v>
      </c>
    </row>
    <row r="28" spans="2:5">
      <c r="B28" s="630" t="s">
        <v>331</v>
      </c>
      <c r="C28" s="630" t="s">
        <v>669</v>
      </c>
      <c r="D28" s="964">
        <v>496</v>
      </c>
      <c r="E28" s="965">
        <f t="shared" si="2"/>
        <v>4712</v>
      </c>
    </row>
    <row r="29" spans="2:5">
      <c r="B29" s="789" t="s">
        <v>45</v>
      </c>
      <c r="C29" s="973" t="s">
        <v>26</v>
      </c>
      <c r="D29" s="964">
        <v>388</v>
      </c>
      <c r="E29" s="965">
        <f t="shared" si="2"/>
        <v>3686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1450</v>
      </c>
      <c r="E32" s="954">
        <f t="shared" si="2"/>
        <v>13775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1388</v>
      </c>
      <c r="D35" s="956">
        <f>D22</f>
        <v>1143</v>
      </c>
      <c r="E35" s="956">
        <f>D32</f>
        <v>1450</v>
      </c>
    </row>
    <row r="36" spans="2:5">
      <c r="B36" s="953" t="s">
        <v>36</v>
      </c>
      <c r="C36" s="951">
        <f>C35*9.5</f>
        <v>13186</v>
      </c>
      <c r="D36" s="951">
        <f>D35*9.5</f>
        <v>10858.5</v>
      </c>
      <c r="E36" s="951">
        <f>E35*9.5</f>
        <v>13775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3981</v>
      </c>
      <c r="D38" s="378" t="s">
        <v>253</v>
      </c>
      <c r="E38" s="381">
        <f>C38*9.5</f>
        <v>37819.5</v>
      </c>
    </row>
    <row r="39" spans="2:5">
      <c r="B39" s="377" t="s">
        <v>197</v>
      </c>
      <c r="C39" s="378">
        <f>C40-C38</f>
        <v>4624</v>
      </c>
      <c r="D39" s="378" t="s">
        <v>204</v>
      </c>
      <c r="E39" s="381">
        <f>C39*9</f>
        <v>41616</v>
      </c>
    </row>
    <row r="40" spans="2:5" ht="19.5">
      <c r="B40" s="941" t="s">
        <v>201</v>
      </c>
      <c r="C40" s="380">
        <v>8605</v>
      </c>
      <c r="D40" s="380" t="s">
        <v>202</v>
      </c>
      <c r="E40" s="379">
        <f>SUM(E38+E39)</f>
        <v>79435.5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3362-F7B0-4FBF-8183-4BF0182BB3D9}">
  <sheetPr codeName="Sheet26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44951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279</v>
      </c>
      <c r="C7" s="630" t="s">
        <v>669</v>
      </c>
      <c r="D7" s="964">
        <v>722</v>
      </c>
      <c r="E7" s="965">
        <f t="shared" ref="E7:E12" si="0">D7*9.5</f>
        <v>6859</v>
      </c>
    </row>
    <row r="8" spans="2:8" ht="15" customHeight="1">
      <c r="B8" s="1132" t="s">
        <v>826</v>
      </c>
      <c r="C8" s="630" t="s">
        <v>669</v>
      </c>
      <c r="D8" s="964">
        <v>550</v>
      </c>
      <c r="E8" s="965">
        <f t="shared" si="0"/>
        <v>5225</v>
      </c>
    </row>
    <row r="9" spans="2:8" ht="15" customHeight="1">
      <c r="B9" s="975" t="s">
        <v>44</v>
      </c>
      <c r="C9" s="973" t="s">
        <v>26</v>
      </c>
      <c r="D9" s="964">
        <v>224</v>
      </c>
      <c r="E9" s="965">
        <f t="shared" si="0"/>
        <v>2128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1496</v>
      </c>
      <c r="E12" s="965">
        <f t="shared" si="0"/>
        <v>14212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250</v>
      </c>
      <c r="C17" s="630" t="s">
        <v>669</v>
      </c>
      <c r="D17" s="964">
        <v>513</v>
      </c>
      <c r="E17" s="965">
        <f t="shared" ref="E17:E22" si="1">D17*9.5</f>
        <v>4873.5</v>
      </c>
    </row>
    <row r="18" spans="2:5" ht="15" customHeight="1">
      <c r="B18" s="1132" t="s">
        <v>281</v>
      </c>
      <c r="C18" s="630" t="s">
        <v>669</v>
      </c>
      <c r="D18" s="964">
        <v>414</v>
      </c>
      <c r="E18" s="965">
        <f t="shared" si="1"/>
        <v>3933</v>
      </c>
    </row>
    <row r="19" spans="2:5" ht="14.45" customHeight="1">
      <c r="B19" s="975" t="s">
        <v>827</v>
      </c>
      <c r="C19" s="973" t="s">
        <v>26</v>
      </c>
      <c r="D19" s="964">
        <v>250</v>
      </c>
      <c r="E19" s="965">
        <f t="shared" si="1"/>
        <v>2375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1177</v>
      </c>
      <c r="E22" s="954">
        <f t="shared" si="1"/>
        <v>11181.5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250</v>
      </c>
      <c r="C27" s="630" t="s">
        <v>669</v>
      </c>
      <c r="D27" s="964">
        <v>596</v>
      </c>
      <c r="E27" s="965">
        <f t="shared" ref="E27:E32" si="2">D27*9.5</f>
        <v>5662</v>
      </c>
    </row>
    <row r="28" spans="2:5">
      <c r="B28" s="630" t="s">
        <v>278</v>
      </c>
      <c r="C28" s="630" t="s">
        <v>669</v>
      </c>
      <c r="D28" s="964">
        <v>660</v>
      </c>
      <c r="E28" s="965">
        <f t="shared" si="2"/>
        <v>6270</v>
      </c>
    </row>
    <row r="29" spans="2:5">
      <c r="B29" s="789" t="s">
        <v>256</v>
      </c>
      <c r="C29" s="973" t="s">
        <v>26</v>
      </c>
      <c r="D29" s="964">
        <v>277</v>
      </c>
      <c r="E29" s="965">
        <f t="shared" si="2"/>
        <v>2631.5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1533</v>
      </c>
      <c r="E32" s="954">
        <f t="shared" si="2"/>
        <v>14563.5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1496</v>
      </c>
      <c r="D35" s="956">
        <f>D22</f>
        <v>1177</v>
      </c>
      <c r="E35" s="956">
        <f>D32</f>
        <v>1533</v>
      </c>
    </row>
    <row r="36" spans="2:5">
      <c r="B36" s="953" t="s">
        <v>36</v>
      </c>
      <c r="C36" s="951">
        <f>C35*9.5</f>
        <v>14212</v>
      </c>
      <c r="D36" s="951">
        <f>D35*9.5</f>
        <v>11181.5</v>
      </c>
      <c r="E36" s="951">
        <f>E35*9.5</f>
        <v>14563.5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4206</v>
      </c>
      <c r="D38" s="378" t="s">
        <v>253</v>
      </c>
      <c r="E38" s="381">
        <f>C38*9.5</f>
        <v>39957</v>
      </c>
    </row>
    <row r="39" spans="2:5">
      <c r="B39" s="377" t="s">
        <v>197</v>
      </c>
      <c r="C39" s="378">
        <f>C40-C38</f>
        <v>4766</v>
      </c>
      <c r="D39" s="378" t="s">
        <v>204</v>
      </c>
      <c r="E39" s="381">
        <f>C39*9</f>
        <v>42894</v>
      </c>
    </row>
    <row r="40" spans="2:5" ht="19.5">
      <c r="B40" s="941" t="s">
        <v>201</v>
      </c>
      <c r="C40" s="380">
        <v>8972</v>
      </c>
      <c r="D40" s="380" t="s">
        <v>202</v>
      </c>
      <c r="E40" s="379">
        <f>SUM(E38+E39)</f>
        <v>82851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F497E-465F-4024-A2A0-454ED202DA9F}">
  <sheetPr codeName="Sheet26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44952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295</v>
      </c>
      <c r="C7" s="630" t="s">
        <v>669</v>
      </c>
      <c r="D7" s="964">
        <v>242</v>
      </c>
      <c r="E7" s="965">
        <f t="shared" ref="E7:E12" si="0">D7*9.5</f>
        <v>2299</v>
      </c>
    </row>
    <row r="8" spans="2:8" ht="15" customHeight="1">
      <c r="B8" s="1132" t="s">
        <v>244</v>
      </c>
      <c r="C8" s="630" t="s">
        <v>669</v>
      </c>
      <c r="D8" s="964">
        <v>572</v>
      </c>
      <c r="E8" s="965">
        <f t="shared" si="0"/>
        <v>5434</v>
      </c>
    </row>
    <row r="9" spans="2:8" ht="15" customHeight="1">
      <c r="B9" s="975" t="s">
        <v>828</v>
      </c>
      <c r="C9" s="973" t="s">
        <v>26</v>
      </c>
      <c r="D9" s="964"/>
      <c r="E9" s="965">
        <f t="shared" si="0"/>
        <v>0</v>
      </c>
      <c r="F9" s="936" t="s">
        <v>761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814</v>
      </c>
      <c r="E12" s="965">
        <f t="shared" si="0"/>
        <v>7733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184</v>
      </c>
      <c r="C17" s="630" t="s">
        <v>669</v>
      </c>
      <c r="D17" s="964">
        <v>296</v>
      </c>
      <c r="E17" s="965">
        <f t="shared" ref="E17:E22" si="1">D17*9.5</f>
        <v>2812</v>
      </c>
    </row>
    <row r="18" spans="2:5" ht="15" customHeight="1">
      <c r="B18" s="1132" t="s">
        <v>65</v>
      </c>
      <c r="C18" s="630" t="s">
        <v>669</v>
      </c>
      <c r="D18" s="964">
        <v>404</v>
      </c>
      <c r="E18" s="965">
        <f t="shared" si="1"/>
        <v>3838</v>
      </c>
    </row>
    <row r="19" spans="2:5" ht="14.45" customHeight="1">
      <c r="B19" s="975" t="s">
        <v>189</v>
      </c>
      <c r="C19" s="973" t="s">
        <v>26</v>
      </c>
      <c r="D19" s="964">
        <v>270</v>
      </c>
      <c r="E19" s="965">
        <f t="shared" si="1"/>
        <v>2565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970</v>
      </c>
      <c r="E22" s="954">
        <f t="shared" si="1"/>
        <v>9215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65</v>
      </c>
      <c r="C27" s="630" t="s">
        <v>669</v>
      </c>
      <c r="D27" s="964">
        <v>400</v>
      </c>
      <c r="E27" s="965">
        <f t="shared" ref="E27:E32" si="2">D27*9.5</f>
        <v>3800</v>
      </c>
    </row>
    <row r="28" spans="2:5">
      <c r="B28" s="630" t="s">
        <v>235</v>
      </c>
      <c r="C28" s="630" t="s">
        <v>669</v>
      </c>
      <c r="D28" s="964">
        <v>550</v>
      </c>
      <c r="E28" s="965">
        <f t="shared" si="2"/>
        <v>5225</v>
      </c>
    </row>
    <row r="29" spans="2:5">
      <c r="B29" s="789" t="s">
        <v>252</v>
      </c>
      <c r="C29" s="973" t="s">
        <v>26</v>
      </c>
      <c r="D29" s="964">
        <v>288</v>
      </c>
      <c r="E29" s="965">
        <f t="shared" si="2"/>
        <v>2736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1238</v>
      </c>
      <c r="E32" s="954">
        <f t="shared" si="2"/>
        <v>11761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814</v>
      </c>
      <c r="D35" s="956">
        <f>D22</f>
        <v>970</v>
      </c>
      <c r="E35" s="956">
        <f>D32</f>
        <v>1238</v>
      </c>
    </row>
    <row r="36" spans="2:5">
      <c r="B36" s="953" t="s">
        <v>36</v>
      </c>
      <c r="C36" s="951">
        <f>C35*9.5</f>
        <v>7733</v>
      </c>
      <c r="D36" s="951">
        <f>D35*9.5</f>
        <v>9215</v>
      </c>
      <c r="E36" s="951">
        <f>E35*9.5</f>
        <v>11761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3022</v>
      </c>
      <c r="D38" s="378" t="s">
        <v>253</v>
      </c>
      <c r="E38" s="381">
        <f>C38*9.5</f>
        <v>28709</v>
      </c>
    </row>
    <row r="39" spans="2:5">
      <c r="B39" s="377" t="s">
        <v>197</v>
      </c>
      <c r="C39" s="378">
        <f>C40-C38</f>
        <v>4583</v>
      </c>
      <c r="D39" s="378" t="s">
        <v>204</v>
      </c>
      <c r="E39" s="381">
        <f>C39*9</f>
        <v>41247</v>
      </c>
    </row>
    <row r="40" spans="2:5" ht="19.5">
      <c r="B40" s="941" t="s">
        <v>201</v>
      </c>
      <c r="C40" s="380">
        <v>7605</v>
      </c>
      <c r="D40" s="380" t="s">
        <v>202</v>
      </c>
      <c r="E40" s="379">
        <f>SUM(E38+E39)</f>
        <v>69956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E6978-FDBD-417D-8593-A75C4F959828}">
  <sheetPr codeName="Sheet26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44953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164</v>
      </c>
      <c r="C7" s="630" t="s">
        <v>669</v>
      </c>
      <c r="D7" s="964">
        <v>464</v>
      </c>
      <c r="E7" s="965">
        <f t="shared" ref="E7:E12" si="0">D7*9.5</f>
        <v>4408</v>
      </c>
    </row>
    <row r="8" spans="2:8" ht="15" customHeight="1">
      <c r="B8" s="630" t="s">
        <v>252</v>
      </c>
      <c r="C8" s="630" t="s">
        <v>669</v>
      </c>
      <c r="D8" s="964">
        <v>350</v>
      </c>
      <c r="E8" s="965">
        <f t="shared" si="0"/>
        <v>3325</v>
      </c>
    </row>
    <row r="9" spans="2:8" ht="15" customHeight="1">
      <c r="B9" s="973" t="s">
        <v>332</v>
      </c>
      <c r="C9" s="973" t="s">
        <v>26</v>
      </c>
      <c r="D9" s="964">
        <v>626</v>
      </c>
      <c r="E9" s="965">
        <f t="shared" si="0"/>
        <v>5947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1440</v>
      </c>
      <c r="E12" s="965">
        <f t="shared" si="0"/>
        <v>13680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271</v>
      </c>
      <c r="C17" s="630" t="s">
        <v>669</v>
      </c>
      <c r="D17" s="964">
        <v>375</v>
      </c>
      <c r="E17" s="965">
        <f t="shared" ref="E17:E22" si="1">D17*9.5</f>
        <v>3562.5</v>
      </c>
    </row>
    <row r="18" spans="2:5" ht="15" customHeight="1">
      <c r="B18" s="630" t="s">
        <v>256</v>
      </c>
      <c r="C18" s="630" t="s">
        <v>669</v>
      </c>
      <c r="D18" s="964">
        <v>243</v>
      </c>
      <c r="E18" s="965">
        <f t="shared" si="1"/>
        <v>2308.5</v>
      </c>
    </row>
    <row r="19" spans="2:5" ht="14.45" customHeight="1">
      <c r="B19" s="973" t="s">
        <v>239</v>
      </c>
      <c r="C19" s="973" t="s">
        <v>26</v>
      </c>
      <c r="D19" s="964">
        <v>221</v>
      </c>
      <c r="E19" s="965">
        <f t="shared" si="1"/>
        <v>2099.5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839</v>
      </c>
      <c r="E22" s="954">
        <f t="shared" si="1"/>
        <v>7970.5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250</v>
      </c>
      <c r="C27" s="630" t="s">
        <v>669</v>
      </c>
      <c r="D27" s="964">
        <v>538</v>
      </c>
      <c r="E27" s="965">
        <f t="shared" ref="E27:E32" si="2">D27*9.5</f>
        <v>5111</v>
      </c>
    </row>
    <row r="28" spans="2:5">
      <c r="B28" s="630" t="s">
        <v>331</v>
      </c>
      <c r="C28" s="630" t="s">
        <v>669</v>
      </c>
      <c r="D28" s="964">
        <v>534</v>
      </c>
      <c r="E28" s="965">
        <f t="shared" si="2"/>
        <v>5073</v>
      </c>
    </row>
    <row r="29" spans="2:5">
      <c r="B29" s="973" t="s">
        <v>279</v>
      </c>
      <c r="C29" s="973" t="s">
        <v>26</v>
      </c>
      <c r="D29" s="964">
        <v>531</v>
      </c>
      <c r="E29" s="965">
        <f t="shared" si="2"/>
        <v>5044.5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1603</v>
      </c>
      <c r="E32" s="954">
        <f t="shared" si="2"/>
        <v>15228.5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1440</v>
      </c>
      <c r="D35" s="956">
        <f>D22</f>
        <v>839</v>
      </c>
      <c r="E35" s="956">
        <f>D32</f>
        <v>1603</v>
      </c>
    </row>
    <row r="36" spans="2:5">
      <c r="B36" s="953" t="s">
        <v>36</v>
      </c>
      <c r="C36" s="951">
        <f>C35*9.5</f>
        <v>13680</v>
      </c>
      <c r="D36" s="951">
        <f>D35*9.5</f>
        <v>7970.5</v>
      </c>
      <c r="E36" s="951">
        <f>E35*9.5</f>
        <v>15228.5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3882</v>
      </c>
      <c r="D38" s="378" t="s">
        <v>253</v>
      </c>
      <c r="E38" s="381">
        <f>C38*9.5</f>
        <v>36879</v>
      </c>
    </row>
    <row r="39" spans="2:5">
      <c r="B39" s="377" t="s">
        <v>197</v>
      </c>
      <c r="C39" s="378">
        <f>C40-C38</f>
        <v>3358</v>
      </c>
      <c r="D39" s="378" t="s">
        <v>204</v>
      </c>
      <c r="E39" s="381">
        <f>C39*9</f>
        <v>30222</v>
      </c>
    </row>
    <row r="40" spans="2:5" ht="19.5">
      <c r="B40" s="941" t="s">
        <v>201</v>
      </c>
      <c r="C40" s="380">
        <v>7240</v>
      </c>
      <c r="D40" s="380" t="s">
        <v>202</v>
      </c>
      <c r="E40" s="379">
        <f>SUM(E38+E39)</f>
        <v>67101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BB3BF-8F4D-450B-8BBD-94860498A868}">
  <sheetPr codeName="Sheet263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44954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802</v>
      </c>
      <c r="C7" s="630" t="s">
        <v>669</v>
      </c>
      <c r="D7" s="964">
        <v>523</v>
      </c>
      <c r="E7" s="965">
        <f t="shared" ref="E7:E12" si="0">D7*9.5</f>
        <v>4968.5</v>
      </c>
    </row>
    <row r="8" spans="2:8" ht="15" customHeight="1">
      <c r="B8" s="630" t="s">
        <v>329</v>
      </c>
      <c r="C8" s="630" t="s">
        <v>669</v>
      </c>
      <c r="D8" s="964">
        <v>893</v>
      </c>
      <c r="E8" s="965">
        <f t="shared" si="0"/>
        <v>8483.5</v>
      </c>
    </row>
    <row r="9" spans="2:8" ht="15" customHeight="1">
      <c r="B9" s="973" t="s">
        <v>279</v>
      </c>
      <c r="C9" s="973" t="s">
        <v>26</v>
      </c>
      <c r="D9" s="964">
        <v>712</v>
      </c>
      <c r="E9" s="965">
        <f t="shared" si="0"/>
        <v>6764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2128</v>
      </c>
      <c r="E12" s="965">
        <f t="shared" si="0"/>
        <v>20216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737</v>
      </c>
      <c r="C17" s="630" t="s">
        <v>669</v>
      </c>
      <c r="D17" s="964">
        <v>242</v>
      </c>
      <c r="E17" s="965">
        <f t="shared" ref="E17:E22" si="1">D17*9.5</f>
        <v>2299</v>
      </c>
    </row>
    <row r="18" spans="2:5" ht="15" customHeight="1">
      <c r="B18" s="630" t="s">
        <v>250</v>
      </c>
      <c r="C18" s="630" t="s">
        <v>669</v>
      </c>
      <c r="D18" s="964">
        <v>392</v>
      </c>
      <c r="E18" s="965">
        <f t="shared" si="1"/>
        <v>3724</v>
      </c>
    </row>
    <row r="19" spans="2:5" ht="14.45" customHeight="1">
      <c r="B19" s="973" t="s">
        <v>259</v>
      </c>
      <c r="C19" s="973" t="s">
        <v>26</v>
      </c>
      <c r="D19" s="964">
        <v>420</v>
      </c>
      <c r="E19" s="965">
        <f t="shared" si="1"/>
        <v>3990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1054</v>
      </c>
      <c r="E22" s="954">
        <f t="shared" si="1"/>
        <v>10013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189</v>
      </c>
      <c r="C27" s="630" t="s">
        <v>669</v>
      </c>
      <c r="D27" s="964">
        <v>386</v>
      </c>
      <c r="E27" s="965">
        <f t="shared" ref="E27:E32" si="2">D27*9.5</f>
        <v>3667</v>
      </c>
    </row>
    <row r="28" spans="2:5">
      <c r="B28" s="630" t="s">
        <v>235</v>
      </c>
      <c r="C28" s="630" t="s">
        <v>669</v>
      </c>
      <c r="D28" s="964">
        <v>546</v>
      </c>
      <c r="E28" s="965">
        <f t="shared" si="2"/>
        <v>5187</v>
      </c>
    </row>
    <row r="29" spans="2:5">
      <c r="B29" s="973" t="s">
        <v>252</v>
      </c>
      <c r="C29" s="973" t="s">
        <v>26</v>
      </c>
      <c r="D29" s="964">
        <v>303</v>
      </c>
      <c r="E29" s="965">
        <f t="shared" si="2"/>
        <v>2878.5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1235</v>
      </c>
      <c r="E32" s="954">
        <f t="shared" si="2"/>
        <v>11732.5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2128</v>
      </c>
      <c r="D35" s="956">
        <f>D22</f>
        <v>1054</v>
      </c>
      <c r="E35" s="956">
        <f>D32</f>
        <v>1235</v>
      </c>
    </row>
    <row r="36" spans="2:5">
      <c r="B36" s="953" t="s">
        <v>36</v>
      </c>
      <c r="C36" s="951">
        <f>C35*9.5</f>
        <v>20216</v>
      </c>
      <c r="D36" s="951">
        <f>D35*9.5</f>
        <v>10013</v>
      </c>
      <c r="E36" s="951">
        <f>E35*9.5</f>
        <v>11732.5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4417</v>
      </c>
      <c r="D38" s="378" t="s">
        <v>253</v>
      </c>
      <c r="E38" s="381">
        <f>C38*9.5</f>
        <v>41961.5</v>
      </c>
    </row>
    <row r="39" spans="2:5">
      <c r="B39" s="377" t="s">
        <v>197</v>
      </c>
      <c r="C39" s="378">
        <f>C40-C38</f>
        <v>147</v>
      </c>
      <c r="D39" s="378" t="s">
        <v>204</v>
      </c>
      <c r="E39" s="381">
        <f>C39*9</f>
        <v>1323</v>
      </c>
    </row>
    <row r="40" spans="2:5" ht="19.5">
      <c r="B40" s="941" t="s">
        <v>201</v>
      </c>
      <c r="C40" s="380">
        <v>4564</v>
      </c>
      <c r="D40" s="380" t="s">
        <v>202</v>
      </c>
      <c r="E40" s="379">
        <f>SUM(E38+E39)</f>
        <v>43284.5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1A2B0-D330-49D3-9C5D-0B2F4E47289B}">
  <sheetPr codeName="Sheet26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44955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271</v>
      </c>
      <c r="C7" s="630" t="s">
        <v>669</v>
      </c>
      <c r="D7" s="964">
        <v>469</v>
      </c>
      <c r="E7" s="965">
        <f t="shared" ref="E7:E12" si="0">D7*9.5</f>
        <v>4455.5</v>
      </c>
    </row>
    <row r="8" spans="2:8" ht="15" customHeight="1">
      <c r="B8" s="630" t="s">
        <v>70</v>
      </c>
      <c r="C8" s="630" t="s">
        <v>669</v>
      </c>
      <c r="D8" s="964">
        <v>569</v>
      </c>
      <c r="E8" s="965">
        <f t="shared" si="0"/>
        <v>5405.5</v>
      </c>
    </row>
    <row r="9" spans="2:8" ht="15" customHeight="1">
      <c r="B9" s="973" t="s">
        <v>279</v>
      </c>
      <c r="C9" s="973" t="s">
        <v>26</v>
      </c>
      <c r="D9" s="964">
        <v>739</v>
      </c>
      <c r="E9" s="965">
        <f t="shared" si="0"/>
        <v>7020.5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1777</v>
      </c>
      <c r="E12" s="965">
        <f t="shared" si="0"/>
        <v>16881.5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281</v>
      </c>
      <c r="C17" s="630" t="s">
        <v>669</v>
      </c>
      <c r="D17" s="964">
        <v>544</v>
      </c>
      <c r="E17" s="965">
        <f t="shared" ref="E17:E22" si="1">D17*9.5</f>
        <v>5168</v>
      </c>
    </row>
    <row r="18" spans="2:5" ht="15" customHeight="1">
      <c r="B18" s="630" t="s">
        <v>164</v>
      </c>
      <c r="C18" s="630" t="s">
        <v>669</v>
      </c>
      <c r="D18" s="964">
        <v>481</v>
      </c>
      <c r="E18" s="965">
        <f t="shared" si="1"/>
        <v>4569.5</v>
      </c>
    </row>
    <row r="19" spans="2:5" ht="14.45" customHeight="1">
      <c r="B19" s="973" t="s">
        <v>238</v>
      </c>
      <c r="C19" s="973" t="s">
        <v>26</v>
      </c>
      <c r="D19" s="964">
        <v>328</v>
      </c>
      <c r="E19" s="965">
        <f t="shared" si="1"/>
        <v>3116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1353</v>
      </c>
      <c r="E22" s="954">
        <f t="shared" si="1"/>
        <v>12853.5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256</v>
      </c>
      <c r="C27" s="630" t="s">
        <v>669</v>
      </c>
      <c r="D27" s="964">
        <v>270</v>
      </c>
      <c r="E27" s="965">
        <f t="shared" ref="E27:E32" si="2">D27*9.5</f>
        <v>2565</v>
      </c>
    </row>
    <row r="28" spans="2:5">
      <c r="B28" s="630" t="s">
        <v>334</v>
      </c>
      <c r="C28" s="630" t="s">
        <v>669</v>
      </c>
      <c r="D28" s="964">
        <v>556</v>
      </c>
      <c r="E28" s="965">
        <f t="shared" si="2"/>
        <v>5282</v>
      </c>
    </row>
    <row r="29" spans="2:5">
      <c r="B29" s="973" t="s">
        <v>252</v>
      </c>
      <c r="C29" s="973" t="s">
        <v>26</v>
      </c>
      <c r="D29" s="964">
        <v>343</v>
      </c>
      <c r="E29" s="965">
        <f t="shared" si="2"/>
        <v>3258.5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1169</v>
      </c>
      <c r="E32" s="954">
        <f t="shared" si="2"/>
        <v>11105.5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1777</v>
      </c>
      <c r="D35" s="956">
        <f>D22</f>
        <v>1353</v>
      </c>
      <c r="E35" s="956">
        <f>D32</f>
        <v>1169</v>
      </c>
    </row>
    <row r="36" spans="2:5">
      <c r="B36" s="953" t="s">
        <v>36</v>
      </c>
      <c r="C36" s="951">
        <f>C35*9.5</f>
        <v>16881.5</v>
      </c>
      <c r="D36" s="951">
        <f>D35*9.5</f>
        <v>12853.5</v>
      </c>
      <c r="E36" s="951">
        <f>E35*9.5</f>
        <v>11105.5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4299</v>
      </c>
      <c r="D38" s="378" t="s">
        <v>253</v>
      </c>
      <c r="E38" s="381">
        <f>C38*9.5</f>
        <v>40840.5</v>
      </c>
    </row>
    <row r="39" spans="2:5">
      <c r="B39" s="377" t="s">
        <v>197</v>
      </c>
      <c r="C39" s="378">
        <f>C40-C38</f>
        <v>236</v>
      </c>
      <c r="D39" s="378" t="s">
        <v>204</v>
      </c>
      <c r="E39" s="381">
        <f>C39*9</f>
        <v>2124</v>
      </c>
    </row>
    <row r="40" spans="2:5" ht="19.5">
      <c r="B40" s="941" t="s">
        <v>201</v>
      </c>
      <c r="C40" s="380">
        <v>4535</v>
      </c>
      <c r="D40" s="380" t="s">
        <v>202</v>
      </c>
      <c r="E40" s="379">
        <f>SUM(E38+E39)</f>
        <v>42964.5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C05C9-D0A9-4A10-AD24-8EDDFABFDDC8}">
  <sheetPr codeName="Sheet26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44956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329</v>
      </c>
      <c r="C7" s="630" t="s">
        <v>669</v>
      </c>
      <c r="D7" s="964">
        <v>804</v>
      </c>
      <c r="E7" s="965">
        <f t="shared" ref="E7:E12" si="0">D7*9.5</f>
        <v>7638</v>
      </c>
    </row>
    <row r="8" spans="2:8" ht="15" customHeight="1">
      <c r="B8" s="630" t="s">
        <v>12</v>
      </c>
      <c r="C8" s="630" t="s">
        <v>669</v>
      </c>
      <c r="D8" s="964">
        <v>383</v>
      </c>
      <c r="E8" s="965">
        <f t="shared" si="0"/>
        <v>3638.5</v>
      </c>
    </row>
    <row r="9" spans="2:8" ht="15" customHeight="1">
      <c r="B9" s="973" t="s">
        <v>244</v>
      </c>
      <c r="C9" s="973" t="s">
        <v>26</v>
      </c>
      <c r="D9" s="964">
        <v>554</v>
      </c>
      <c r="E9" s="965">
        <f t="shared" si="0"/>
        <v>5263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1741</v>
      </c>
      <c r="E12" s="965">
        <f t="shared" si="0"/>
        <v>16539.5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205</v>
      </c>
      <c r="C17" s="630" t="s">
        <v>669</v>
      </c>
      <c r="D17" s="964">
        <v>275</v>
      </c>
      <c r="E17" s="965">
        <f t="shared" ref="E17:E22" si="1">D17*9.5</f>
        <v>2612.5</v>
      </c>
    </row>
    <row r="18" spans="2:5" ht="15" customHeight="1">
      <c r="B18" s="630" t="s">
        <v>675</v>
      </c>
      <c r="C18" s="630" t="s">
        <v>669</v>
      </c>
      <c r="D18" s="964">
        <v>811</v>
      </c>
      <c r="E18" s="965">
        <f t="shared" si="1"/>
        <v>7704.5</v>
      </c>
    </row>
    <row r="19" spans="2:5" ht="14.45" customHeight="1">
      <c r="B19" s="973" t="s">
        <v>239</v>
      </c>
      <c r="C19" s="973" t="s">
        <v>26</v>
      </c>
      <c r="D19" s="964">
        <v>241</v>
      </c>
      <c r="E19" s="965">
        <f t="shared" si="1"/>
        <v>2289.5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1327</v>
      </c>
      <c r="E22" s="954">
        <f t="shared" si="1"/>
        <v>12606.5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45</v>
      </c>
      <c r="C27" s="630" t="s">
        <v>669</v>
      </c>
      <c r="D27" s="964">
        <v>460</v>
      </c>
      <c r="E27" s="965">
        <f t="shared" ref="E27:E32" si="2">D27*9.5</f>
        <v>4370</v>
      </c>
    </row>
    <row r="28" spans="2:5">
      <c r="B28" s="630" t="s">
        <v>796</v>
      </c>
      <c r="C28" s="630" t="s">
        <v>669</v>
      </c>
      <c r="D28" s="964">
        <v>273</v>
      </c>
      <c r="E28" s="965">
        <f t="shared" si="2"/>
        <v>2593.5</v>
      </c>
    </row>
    <row r="29" spans="2:5">
      <c r="B29" s="973" t="s">
        <v>260</v>
      </c>
      <c r="C29" s="973" t="s">
        <v>26</v>
      </c>
      <c r="D29" s="964">
        <v>372</v>
      </c>
      <c r="E29" s="965">
        <f t="shared" si="2"/>
        <v>3534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1105</v>
      </c>
      <c r="E32" s="954">
        <f t="shared" si="2"/>
        <v>10497.5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1741</v>
      </c>
      <c r="D35" s="956">
        <f>D22</f>
        <v>1327</v>
      </c>
      <c r="E35" s="956">
        <f>D32</f>
        <v>1105</v>
      </c>
    </row>
    <row r="36" spans="2:5">
      <c r="B36" s="953" t="s">
        <v>36</v>
      </c>
      <c r="C36" s="951">
        <f>C35*9.5</f>
        <v>16539.5</v>
      </c>
      <c r="D36" s="951">
        <f>D35*9.5</f>
        <v>12606.5</v>
      </c>
      <c r="E36" s="951">
        <f>E35*9.5</f>
        <v>10497.5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4173</v>
      </c>
      <c r="D38" s="378" t="s">
        <v>253</v>
      </c>
      <c r="E38" s="381">
        <f>C38*9.5</f>
        <v>39643.5</v>
      </c>
    </row>
    <row r="39" spans="2:5">
      <c r="B39" s="377" t="s">
        <v>197</v>
      </c>
      <c r="C39" s="378">
        <f>C40-C38</f>
        <v>3980</v>
      </c>
      <c r="D39" s="378" t="s">
        <v>204</v>
      </c>
      <c r="E39" s="381">
        <f>C39*9</f>
        <v>35820</v>
      </c>
    </row>
    <row r="40" spans="2:5" ht="19.5">
      <c r="B40" s="941" t="s">
        <v>201</v>
      </c>
      <c r="C40" s="380">
        <v>8153</v>
      </c>
      <c r="D40" s="380" t="s">
        <v>202</v>
      </c>
      <c r="E40" s="379">
        <f>SUM(E38+E39)</f>
        <v>75463.5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D8FC0-7485-46B2-A2C2-580B2D38268D}">
  <sheetPr codeName="Sheet26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44957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303</v>
      </c>
      <c r="C7" s="630" t="s">
        <v>669</v>
      </c>
      <c r="D7" s="964">
        <v>835</v>
      </c>
      <c r="E7" s="965">
        <f t="shared" ref="E7:E12" si="0">D7*9.5</f>
        <v>7932.5</v>
      </c>
    </row>
    <row r="8" spans="2:8" ht="15" customHeight="1">
      <c r="B8" s="630" t="s">
        <v>239</v>
      </c>
      <c r="C8" s="630" t="s">
        <v>669</v>
      </c>
      <c r="D8" s="964">
        <v>269</v>
      </c>
      <c r="E8" s="965">
        <f t="shared" si="0"/>
        <v>2555.5</v>
      </c>
    </row>
    <row r="9" spans="2:8" ht="15" customHeight="1">
      <c r="B9" s="973" t="s">
        <v>65</v>
      </c>
      <c r="C9" s="973" t="s">
        <v>26</v>
      </c>
      <c r="D9" s="964">
        <v>369</v>
      </c>
      <c r="E9" s="965">
        <f t="shared" si="0"/>
        <v>3505.5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1473</v>
      </c>
      <c r="E12" s="965">
        <f t="shared" si="0"/>
        <v>13993.5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630" t="s">
        <v>44</v>
      </c>
      <c r="C17" s="630" t="s">
        <v>669</v>
      </c>
      <c r="D17" s="964">
        <v>327</v>
      </c>
      <c r="E17" s="965">
        <f t="shared" ref="E17:E22" si="1">D17*9.5</f>
        <v>3106.5</v>
      </c>
    </row>
    <row r="18" spans="2:6" ht="15" customHeight="1">
      <c r="B18" s="630" t="s">
        <v>45</v>
      </c>
      <c r="C18" s="630" t="s">
        <v>669</v>
      </c>
      <c r="D18" s="964">
        <v>410</v>
      </c>
      <c r="E18" s="965">
        <f t="shared" si="1"/>
        <v>3895</v>
      </c>
    </row>
    <row r="19" spans="2:6" ht="14.45" customHeight="1">
      <c r="B19" s="973" t="s">
        <v>244</v>
      </c>
      <c r="C19" s="973" t="s">
        <v>26</v>
      </c>
      <c r="D19" s="964">
        <v>597</v>
      </c>
      <c r="E19" s="965">
        <f t="shared" si="1"/>
        <v>5671.5</v>
      </c>
    </row>
    <row r="20" spans="2:6" ht="14.45" customHeight="1">
      <c r="B20" s="972"/>
      <c r="C20" s="973" t="s">
        <v>26</v>
      </c>
      <c r="D20" s="964"/>
      <c r="E20" s="965">
        <f t="shared" si="1"/>
        <v>0</v>
      </c>
    </row>
    <row r="21" spans="2:6" ht="14.45" customHeight="1">
      <c r="B21" s="1063"/>
      <c r="C21" s="975" t="s">
        <v>681</v>
      </c>
      <c r="D21" s="964"/>
      <c r="E21" s="965">
        <f t="shared" si="1"/>
        <v>0</v>
      </c>
    </row>
    <row r="22" spans="2:6" ht="14.45" customHeight="1">
      <c r="B22" s="1269" t="s">
        <v>24</v>
      </c>
      <c r="C22" s="1270"/>
      <c r="D22" s="964">
        <f>SUM(D17:D21)</f>
        <v>1334</v>
      </c>
      <c r="E22" s="954">
        <f t="shared" si="1"/>
        <v>12673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165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630" t="s">
        <v>829</v>
      </c>
      <c r="C27" s="630" t="s">
        <v>669</v>
      </c>
      <c r="D27" s="964"/>
      <c r="E27" s="965">
        <f t="shared" ref="E27:E32" si="2">D27*9.5</f>
        <v>0</v>
      </c>
      <c r="F27" s="934" t="s">
        <v>830</v>
      </c>
    </row>
    <row r="28" spans="2:6">
      <c r="B28" s="630" t="s">
        <v>278</v>
      </c>
      <c r="C28" s="630" t="s">
        <v>669</v>
      </c>
      <c r="D28" s="964">
        <v>713</v>
      </c>
      <c r="E28" s="965">
        <f t="shared" si="2"/>
        <v>6773.5</v>
      </c>
    </row>
    <row r="29" spans="2:6">
      <c r="B29" s="973" t="s">
        <v>250</v>
      </c>
      <c r="C29" s="973" t="s">
        <v>26</v>
      </c>
      <c r="D29" s="964">
        <v>694</v>
      </c>
      <c r="E29" s="965">
        <f t="shared" si="2"/>
        <v>6593</v>
      </c>
    </row>
    <row r="30" spans="2:6">
      <c r="B30" s="972"/>
      <c r="C30" s="975" t="s">
        <v>26</v>
      </c>
      <c r="D30" s="964"/>
      <c r="E30" s="965">
        <f t="shared" si="2"/>
        <v>0</v>
      </c>
    </row>
    <row r="31" spans="2:6">
      <c r="B31" s="1128"/>
      <c r="C31" s="975" t="s">
        <v>667</v>
      </c>
      <c r="D31" s="964"/>
      <c r="E31" s="965">
        <f t="shared" si="2"/>
        <v>0</v>
      </c>
    </row>
    <row r="32" spans="2:6" ht="20.100000000000001" customHeight="1">
      <c r="B32" s="1259" t="s">
        <v>24</v>
      </c>
      <c r="C32" s="1259"/>
      <c r="D32" s="964">
        <f>SUM(D27:D31)</f>
        <v>1407</v>
      </c>
      <c r="E32" s="954">
        <f t="shared" si="2"/>
        <v>13366.5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1473</v>
      </c>
      <c r="D35" s="956">
        <f>D22</f>
        <v>1334</v>
      </c>
      <c r="E35" s="956">
        <f>D32</f>
        <v>1407</v>
      </c>
    </row>
    <row r="36" spans="2:5">
      <c r="B36" s="953" t="s">
        <v>36</v>
      </c>
      <c r="C36" s="951">
        <f>C35*9.5</f>
        <v>13993.5</v>
      </c>
      <c r="D36" s="951">
        <f>D35*9.5</f>
        <v>12673</v>
      </c>
      <c r="E36" s="951">
        <f>E35*9.5</f>
        <v>13366.5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4214</v>
      </c>
      <c r="D38" s="378" t="s">
        <v>253</v>
      </c>
      <c r="E38" s="381">
        <f>C38*9.5</f>
        <v>40033</v>
      </c>
    </row>
    <row r="39" spans="2:5">
      <c r="B39" s="377" t="s">
        <v>197</v>
      </c>
      <c r="C39" s="378">
        <f>C40-C38</f>
        <v>4692</v>
      </c>
      <c r="D39" s="378" t="s">
        <v>204</v>
      </c>
      <c r="E39" s="381">
        <f>C39*9</f>
        <v>42228</v>
      </c>
    </row>
    <row r="40" spans="2:5" ht="19.5">
      <c r="B40" s="941" t="s">
        <v>201</v>
      </c>
      <c r="C40" s="380">
        <v>8906</v>
      </c>
      <c r="D40" s="380" t="s">
        <v>202</v>
      </c>
      <c r="E40" s="379">
        <f>SUM(E38+E39)</f>
        <v>82261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C10F0-E033-4F77-8C93-37F8528E7781}">
  <sheetPr codeName="Sheet26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44958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65</v>
      </c>
      <c r="C7" s="630" t="s">
        <v>669</v>
      </c>
      <c r="D7" s="964">
        <v>461</v>
      </c>
      <c r="E7" s="965">
        <f t="shared" ref="E7:E12" si="0">D7*9.5</f>
        <v>4379.5</v>
      </c>
    </row>
    <row r="8" spans="2:8" ht="15" customHeight="1">
      <c r="B8" s="630" t="s">
        <v>678</v>
      </c>
      <c r="C8" s="630" t="s">
        <v>669</v>
      </c>
      <c r="D8" s="964">
        <v>434</v>
      </c>
      <c r="E8" s="965">
        <f t="shared" si="0"/>
        <v>4123</v>
      </c>
    </row>
    <row r="9" spans="2:8" ht="15" customHeight="1">
      <c r="B9" s="973" t="s">
        <v>82</v>
      </c>
      <c r="C9" s="973" t="s">
        <v>26</v>
      </c>
      <c r="D9" s="964">
        <v>365</v>
      </c>
      <c r="E9" s="965">
        <f t="shared" si="0"/>
        <v>3467.5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1260</v>
      </c>
      <c r="E12" s="965">
        <f t="shared" si="0"/>
        <v>11970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78</v>
      </c>
      <c r="C17" s="630" t="s">
        <v>669</v>
      </c>
      <c r="D17" s="964">
        <v>450</v>
      </c>
      <c r="E17" s="965">
        <f t="shared" ref="E17:E22" si="1">D17*9.5</f>
        <v>4275</v>
      </c>
    </row>
    <row r="18" spans="2:5" ht="15" customHeight="1">
      <c r="B18" s="630" t="s">
        <v>12</v>
      </c>
      <c r="C18" s="630" t="s">
        <v>669</v>
      </c>
      <c r="D18" s="964">
        <v>320</v>
      </c>
      <c r="E18" s="965">
        <f t="shared" si="1"/>
        <v>3040</v>
      </c>
    </row>
    <row r="19" spans="2:5" ht="14.45" customHeight="1">
      <c r="B19" s="973" t="s">
        <v>295</v>
      </c>
      <c r="C19" s="973" t="s">
        <v>26</v>
      </c>
      <c r="D19" s="964">
        <v>191</v>
      </c>
      <c r="E19" s="965">
        <f t="shared" si="1"/>
        <v>1814.5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961</v>
      </c>
      <c r="E22" s="954">
        <f t="shared" si="1"/>
        <v>9129.5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44</v>
      </c>
      <c r="C27" s="630" t="s">
        <v>669</v>
      </c>
      <c r="D27" s="964">
        <v>299</v>
      </c>
      <c r="E27" s="965">
        <f t="shared" ref="E27:E32" si="2">D27*9.5</f>
        <v>2840.5</v>
      </c>
    </row>
    <row r="28" spans="2:5">
      <c r="B28" s="630" t="s">
        <v>235</v>
      </c>
      <c r="C28" s="630" t="s">
        <v>669</v>
      </c>
      <c r="D28" s="964">
        <v>539</v>
      </c>
      <c r="E28" s="965">
        <f t="shared" si="2"/>
        <v>5120.5</v>
      </c>
    </row>
    <row r="29" spans="2:5">
      <c r="B29" s="973" t="s">
        <v>70</v>
      </c>
      <c r="C29" s="973" t="s">
        <v>26</v>
      </c>
      <c r="D29" s="964">
        <v>657</v>
      </c>
      <c r="E29" s="965">
        <f t="shared" si="2"/>
        <v>6241.5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1495</v>
      </c>
      <c r="E32" s="954">
        <f t="shared" si="2"/>
        <v>14202.5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1260</v>
      </c>
      <c r="D35" s="956">
        <f>D22</f>
        <v>961</v>
      </c>
      <c r="E35" s="956">
        <f>D32</f>
        <v>1495</v>
      </c>
    </row>
    <row r="36" spans="2:5">
      <c r="B36" s="953" t="s">
        <v>36</v>
      </c>
      <c r="C36" s="951">
        <f>C35*9.5</f>
        <v>11970</v>
      </c>
      <c r="D36" s="951">
        <f>D35*9.5</f>
        <v>9129.5</v>
      </c>
      <c r="E36" s="951">
        <f>E35*9.5</f>
        <v>14202.5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3716</v>
      </c>
      <c r="D38" s="378" t="s">
        <v>253</v>
      </c>
      <c r="E38" s="381">
        <f>C38*9.5</f>
        <v>35302</v>
      </c>
    </row>
    <row r="39" spans="2:5">
      <c r="B39" s="377" t="s">
        <v>197</v>
      </c>
      <c r="C39" s="378">
        <f>C40-C38</f>
        <v>4690</v>
      </c>
      <c r="D39" s="378" t="s">
        <v>204</v>
      </c>
      <c r="E39" s="381">
        <f>C39*9</f>
        <v>42210</v>
      </c>
    </row>
    <row r="40" spans="2:5" ht="19.5">
      <c r="B40" s="941" t="s">
        <v>201</v>
      </c>
      <c r="C40" s="380">
        <v>8406</v>
      </c>
      <c r="D40" s="380" t="s">
        <v>202</v>
      </c>
      <c r="E40" s="379">
        <f>SUM(E38+E39)</f>
        <v>77512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F8BD-90EC-458B-B50E-E5B1C9883B7C}">
  <sheetPr codeName="Sheet26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44959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252</v>
      </c>
      <c r="C7" s="630" t="s">
        <v>669</v>
      </c>
      <c r="D7" s="964">
        <v>310</v>
      </c>
      <c r="E7" s="965">
        <f t="shared" ref="E7:E12" si="0">D7*9.5</f>
        <v>2945</v>
      </c>
    </row>
    <row r="8" spans="2:8" ht="15" customHeight="1">
      <c r="B8" s="630" t="s">
        <v>279</v>
      </c>
      <c r="C8" s="630" t="s">
        <v>669</v>
      </c>
      <c r="D8" s="964">
        <v>716</v>
      </c>
      <c r="E8" s="965">
        <f t="shared" si="0"/>
        <v>6802</v>
      </c>
    </row>
    <row r="9" spans="2:8" ht="15" customHeight="1">
      <c r="B9" s="973" t="s">
        <v>189</v>
      </c>
      <c r="C9" s="973" t="s">
        <v>26</v>
      </c>
      <c r="D9" s="964">
        <v>323</v>
      </c>
      <c r="E9" s="965">
        <f t="shared" si="0"/>
        <v>3068.5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1349</v>
      </c>
      <c r="E12" s="965">
        <f t="shared" si="0"/>
        <v>12815.5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332</v>
      </c>
      <c r="C17" s="630" t="s">
        <v>669</v>
      </c>
      <c r="D17" s="964">
        <v>664</v>
      </c>
      <c r="E17" s="965">
        <f t="shared" ref="E17:E22" si="1">D17*9.5</f>
        <v>6308</v>
      </c>
    </row>
    <row r="18" spans="2:5" ht="15" customHeight="1">
      <c r="B18" s="630" t="s">
        <v>303</v>
      </c>
      <c r="C18" s="630" t="s">
        <v>669</v>
      </c>
      <c r="D18" s="964">
        <v>900</v>
      </c>
      <c r="E18" s="965">
        <f t="shared" si="1"/>
        <v>8550</v>
      </c>
    </row>
    <row r="19" spans="2:5" ht="14.45" customHeight="1">
      <c r="B19" s="973" t="s">
        <v>329</v>
      </c>
      <c r="C19" s="973" t="s">
        <v>26</v>
      </c>
      <c r="D19" s="964">
        <v>804</v>
      </c>
      <c r="E19" s="965">
        <f t="shared" si="1"/>
        <v>7638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2368</v>
      </c>
      <c r="E22" s="954">
        <f t="shared" si="1"/>
        <v>22496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307</v>
      </c>
      <c r="C27" s="630" t="s">
        <v>669</v>
      </c>
      <c r="D27" s="964">
        <v>373</v>
      </c>
      <c r="E27" s="965">
        <f t="shared" ref="E27:E32" si="2">D27*9.5</f>
        <v>3543.5</v>
      </c>
    </row>
    <row r="28" spans="2:5">
      <c r="B28" s="630" t="s">
        <v>331</v>
      </c>
      <c r="C28" s="630" t="s">
        <v>669</v>
      </c>
      <c r="D28" s="964">
        <v>556</v>
      </c>
      <c r="E28" s="965">
        <f t="shared" si="2"/>
        <v>5282</v>
      </c>
    </row>
    <row r="29" spans="2:5">
      <c r="B29" s="973" t="s">
        <v>65</v>
      </c>
      <c r="C29" s="973" t="s">
        <v>26</v>
      </c>
      <c r="D29" s="964">
        <v>457</v>
      </c>
      <c r="E29" s="965">
        <f t="shared" si="2"/>
        <v>4341.5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1386</v>
      </c>
      <c r="E32" s="954">
        <f t="shared" si="2"/>
        <v>13167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1349</v>
      </c>
      <c r="D35" s="956">
        <f>D22</f>
        <v>2368</v>
      </c>
      <c r="E35" s="956">
        <f>D32</f>
        <v>1386</v>
      </c>
    </row>
    <row r="36" spans="2:5">
      <c r="B36" s="953" t="s">
        <v>36</v>
      </c>
      <c r="C36" s="951">
        <f>C35*9.5</f>
        <v>12815.5</v>
      </c>
      <c r="D36" s="951">
        <f>D35*9.5</f>
        <v>22496</v>
      </c>
      <c r="E36" s="951">
        <f>E35*9.5</f>
        <v>13167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5103</v>
      </c>
      <c r="D38" s="378" t="s">
        <v>253</v>
      </c>
      <c r="E38" s="381">
        <f>C38*9.5</f>
        <v>48478.5</v>
      </c>
    </row>
    <row r="39" spans="2:5">
      <c r="B39" s="377" t="s">
        <v>197</v>
      </c>
      <c r="C39" s="378">
        <f>C40-C38</f>
        <v>4368</v>
      </c>
      <c r="D39" s="378" t="s">
        <v>204</v>
      </c>
      <c r="E39" s="381">
        <f>C39*9</f>
        <v>39312</v>
      </c>
    </row>
    <row r="40" spans="2:5" ht="19.5">
      <c r="B40" s="941" t="s">
        <v>201</v>
      </c>
      <c r="C40" s="380">
        <v>9471</v>
      </c>
      <c r="D40" s="380" t="s">
        <v>202</v>
      </c>
      <c r="E40" s="379">
        <f>SUM(E38+E39)</f>
        <v>87790.5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65BA0-7063-4989-86A8-258E235425C1}">
  <sheetPr codeName="Sheet26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44960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256</v>
      </c>
      <c r="C7" s="630" t="s">
        <v>669</v>
      </c>
      <c r="D7" s="964">
        <v>266</v>
      </c>
      <c r="E7" s="965">
        <f t="shared" ref="E7:E12" si="0">D7*9.5</f>
        <v>2527</v>
      </c>
    </row>
    <row r="8" spans="2:8" ht="15" customHeight="1">
      <c r="B8" s="630" t="s">
        <v>332</v>
      </c>
      <c r="C8" s="630" t="s">
        <v>669</v>
      </c>
      <c r="D8" s="964">
        <v>586</v>
      </c>
      <c r="E8" s="965">
        <f t="shared" si="0"/>
        <v>5567</v>
      </c>
    </row>
    <row r="9" spans="2:8" ht="15" customHeight="1">
      <c r="B9" s="973" t="s">
        <v>279</v>
      </c>
      <c r="C9" s="973" t="s">
        <v>26</v>
      </c>
      <c r="D9" s="964">
        <v>570</v>
      </c>
      <c r="E9" s="965">
        <f t="shared" si="0"/>
        <v>5415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1422</v>
      </c>
      <c r="E12" s="965">
        <f t="shared" si="0"/>
        <v>13509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250</v>
      </c>
      <c r="C17" s="630" t="s">
        <v>669</v>
      </c>
      <c r="D17" s="964">
        <v>562</v>
      </c>
      <c r="E17" s="965">
        <f t="shared" ref="E17:E22" si="1">D17*9.5</f>
        <v>5339</v>
      </c>
    </row>
    <row r="18" spans="2:5" ht="15" customHeight="1">
      <c r="B18" s="630" t="s">
        <v>711</v>
      </c>
      <c r="C18" s="630" t="s">
        <v>669</v>
      </c>
      <c r="D18" s="964">
        <v>828</v>
      </c>
      <c r="E18" s="965">
        <f t="shared" si="1"/>
        <v>7866</v>
      </c>
    </row>
    <row r="19" spans="2:5" ht="14.45" customHeight="1">
      <c r="B19" s="973" t="s">
        <v>281</v>
      </c>
      <c r="C19" s="973" t="s">
        <v>26</v>
      </c>
      <c r="D19" s="964">
        <v>401</v>
      </c>
      <c r="E19" s="965">
        <f t="shared" si="1"/>
        <v>3809.5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1791</v>
      </c>
      <c r="E22" s="954">
        <f t="shared" si="1"/>
        <v>17014.5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250</v>
      </c>
      <c r="C27" s="630" t="s">
        <v>669</v>
      </c>
      <c r="D27" s="964">
        <v>424</v>
      </c>
      <c r="E27" s="965">
        <f t="shared" ref="E27:E32" si="2">D27*9.5</f>
        <v>4028</v>
      </c>
    </row>
    <row r="28" spans="2:5">
      <c r="B28" s="630" t="s">
        <v>331</v>
      </c>
      <c r="C28" s="630" t="s">
        <v>669</v>
      </c>
      <c r="D28" s="964">
        <v>535</v>
      </c>
      <c r="E28" s="965">
        <f t="shared" si="2"/>
        <v>5082.5</v>
      </c>
    </row>
    <row r="29" spans="2:5">
      <c r="B29" s="973" t="s">
        <v>313</v>
      </c>
      <c r="C29" s="973" t="s">
        <v>26</v>
      </c>
      <c r="D29" s="964">
        <v>311</v>
      </c>
      <c r="E29" s="965">
        <f t="shared" si="2"/>
        <v>2954.5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1270</v>
      </c>
      <c r="E32" s="954">
        <f t="shared" si="2"/>
        <v>12065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1422</v>
      </c>
      <c r="D35" s="956">
        <f>D22</f>
        <v>1791</v>
      </c>
      <c r="E35" s="956">
        <f>D32</f>
        <v>1270</v>
      </c>
    </row>
    <row r="36" spans="2:5">
      <c r="B36" s="953" t="s">
        <v>36</v>
      </c>
      <c r="C36" s="951">
        <f>C35*9.5</f>
        <v>13509</v>
      </c>
      <c r="D36" s="951">
        <f>D35*9.5</f>
        <v>17014.5</v>
      </c>
      <c r="E36" s="951">
        <f>E35*9.5</f>
        <v>12065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4483</v>
      </c>
      <c r="D38" s="378" t="s">
        <v>253</v>
      </c>
      <c r="E38" s="381">
        <f>C38*9.5</f>
        <v>42588.5</v>
      </c>
    </row>
    <row r="39" spans="2:5">
      <c r="B39" s="377" t="s">
        <v>197</v>
      </c>
      <c r="C39" s="378">
        <f>C40-C38</f>
        <v>3305</v>
      </c>
      <c r="D39" s="378" t="s">
        <v>204</v>
      </c>
      <c r="E39" s="381">
        <f>C39*9</f>
        <v>29745</v>
      </c>
    </row>
    <row r="40" spans="2:5" ht="19.5">
      <c r="B40" s="941" t="s">
        <v>201</v>
      </c>
      <c r="C40" s="380">
        <v>7788</v>
      </c>
      <c r="D40" s="380" t="s">
        <v>202</v>
      </c>
      <c r="E40" s="379">
        <f>SUM(E38+E39)</f>
        <v>72333.5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B3054-4723-4CBA-8CA6-FB4EB4B5D2DF}">
  <sheetPr codeName="Sheet27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44961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329</v>
      </c>
      <c r="C7" s="630" t="s">
        <v>669</v>
      </c>
      <c r="D7" s="964">
        <v>914</v>
      </c>
      <c r="E7" s="965">
        <f t="shared" ref="E7:E12" si="0">D7*9.5</f>
        <v>8683</v>
      </c>
    </row>
    <row r="8" spans="2:8" ht="15" customHeight="1">
      <c r="B8" s="630" t="s">
        <v>70</v>
      </c>
      <c r="C8" s="630" t="s">
        <v>669</v>
      </c>
      <c r="D8" s="964">
        <v>531</v>
      </c>
      <c r="E8" s="965">
        <f t="shared" si="0"/>
        <v>5044.5</v>
      </c>
    </row>
    <row r="9" spans="2:8" ht="15" customHeight="1">
      <c r="B9" s="973" t="s">
        <v>333</v>
      </c>
      <c r="C9" s="973" t="s">
        <v>26</v>
      </c>
      <c r="D9" s="964">
        <v>335</v>
      </c>
      <c r="E9" s="965">
        <f t="shared" si="0"/>
        <v>3182.5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1780</v>
      </c>
      <c r="E12" s="965">
        <f t="shared" si="0"/>
        <v>16910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189</v>
      </c>
      <c r="C17" s="630" t="s">
        <v>669</v>
      </c>
      <c r="D17" s="964">
        <v>351</v>
      </c>
      <c r="E17" s="965">
        <f t="shared" ref="E17:E22" si="1">D17*9.5</f>
        <v>3334.5</v>
      </c>
    </row>
    <row r="18" spans="2:5" ht="15" customHeight="1">
      <c r="B18" s="630" t="s">
        <v>303</v>
      </c>
      <c r="C18" s="630" t="s">
        <v>669</v>
      </c>
      <c r="D18" s="964">
        <v>933</v>
      </c>
      <c r="E18" s="965">
        <f t="shared" si="1"/>
        <v>8863.5</v>
      </c>
    </row>
    <row r="19" spans="2:5" ht="14.45" customHeight="1">
      <c r="B19" s="973" t="s">
        <v>250</v>
      </c>
      <c r="C19" s="973" t="s">
        <v>26</v>
      </c>
      <c r="D19" s="964">
        <v>387</v>
      </c>
      <c r="E19" s="965">
        <f t="shared" si="1"/>
        <v>3676.5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1671</v>
      </c>
      <c r="E22" s="954">
        <f t="shared" si="1"/>
        <v>15874.5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737</v>
      </c>
      <c r="C27" s="630" t="s">
        <v>669</v>
      </c>
      <c r="D27" s="964">
        <v>250</v>
      </c>
      <c r="E27" s="965">
        <f t="shared" ref="E27:E32" si="2">D27*9.5</f>
        <v>2375</v>
      </c>
    </row>
    <row r="28" spans="2:5">
      <c r="B28" s="630" t="s">
        <v>235</v>
      </c>
      <c r="C28" s="630" t="s">
        <v>669</v>
      </c>
      <c r="D28" s="964">
        <v>591</v>
      </c>
      <c r="E28" s="965">
        <f t="shared" si="2"/>
        <v>5614.5</v>
      </c>
    </row>
    <row r="29" spans="2:5">
      <c r="B29" s="973" t="s">
        <v>260</v>
      </c>
      <c r="C29" s="973" t="s">
        <v>26</v>
      </c>
      <c r="D29" s="964">
        <v>403</v>
      </c>
      <c r="E29" s="965">
        <f t="shared" si="2"/>
        <v>3828.5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1244</v>
      </c>
      <c r="E32" s="954">
        <f t="shared" si="2"/>
        <v>11818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1780</v>
      </c>
      <c r="D35" s="956">
        <f>D22</f>
        <v>1671</v>
      </c>
      <c r="E35" s="956">
        <f>D32</f>
        <v>1244</v>
      </c>
    </row>
    <row r="36" spans="2:5">
      <c r="B36" s="953" t="s">
        <v>36</v>
      </c>
      <c r="C36" s="951">
        <f>C35*9.5</f>
        <v>16910</v>
      </c>
      <c r="D36" s="951">
        <f>D35*9.5</f>
        <v>15874.5</v>
      </c>
      <c r="E36" s="951">
        <f>E35*9.5</f>
        <v>11818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4695</v>
      </c>
      <c r="D38" s="378" t="s">
        <v>253</v>
      </c>
      <c r="E38" s="381">
        <f>C38*9.5</f>
        <v>44602.5</v>
      </c>
    </row>
    <row r="39" spans="2:5">
      <c r="B39" s="377" t="s">
        <v>197</v>
      </c>
      <c r="C39" s="378">
        <f>C40-C38</f>
        <v>83</v>
      </c>
      <c r="D39" s="378" t="s">
        <v>204</v>
      </c>
      <c r="E39" s="381">
        <f>C39*9</f>
        <v>747</v>
      </c>
    </row>
    <row r="40" spans="2:5" ht="19.5">
      <c r="B40" s="941" t="s">
        <v>201</v>
      </c>
      <c r="C40" s="380">
        <v>4778</v>
      </c>
      <c r="D40" s="380" t="s">
        <v>202</v>
      </c>
      <c r="E40" s="379">
        <f>SUM(E38+E39)</f>
        <v>45349.5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215B0-D64E-4A4D-B486-E7940A99703D}">
  <sheetPr codeName="Sheet27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44962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333</v>
      </c>
      <c r="C7" s="630" t="s">
        <v>669</v>
      </c>
      <c r="D7" s="964">
        <v>319</v>
      </c>
      <c r="E7" s="965">
        <f t="shared" ref="E7:E12" si="0">D7*9.5</f>
        <v>3030.5</v>
      </c>
    </row>
    <row r="8" spans="2:8" ht="15" customHeight="1">
      <c r="B8" s="630" t="s">
        <v>70</v>
      </c>
      <c r="C8" s="630" t="s">
        <v>669</v>
      </c>
      <c r="D8" s="964">
        <v>559</v>
      </c>
      <c r="E8" s="965">
        <f t="shared" si="0"/>
        <v>5310.5</v>
      </c>
    </row>
    <row r="9" spans="2:8" ht="15" customHeight="1">
      <c r="B9" s="973" t="s">
        <v>329</v>
      </c>
      <c r="C9" s="973" t="s">
        <v>26</v>
      </c>
      <c r="D9" s="964">
        <v>787</v>
      </c>
      <c r="E9" s="965">
        <f t="shared" si="0"/>
        <v>7476.5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1665</v>
      </c>
      <c r="E12" s="965">
        <f t="shared" si="0"/>
        <v>15817.5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630" t="s">
        <v>164</v>
      </c>
      <c r="C17" s="630" t="s">
        <v>669</v>
      </c>
      <c r="D17" s="964">
        <v>458</v>
      </c>
      <c r="E17" s="965">
        <f t="shared" ref="E17:E22" si="1">D17*9.5</f>
        <v>4351</v>
      </c>
    </row>
    <row r="18" spans="2:6" ht="15" customHeight="1">
      <c r="B18" s="630" t="s">
        <v>259</v>
      </c>
      <c r="C18" s="630" t="s">
        <v>669</v>
      </c>
      <c r="D18" s="964">
        <v>398</v>
      </c>
      <c r="E18" s="965">
        <f t="shared" si="1"/>
        <v>3781</v>
      </c>
    </row>
    <row r="19" spans="2:6" ht="14.45" customHeight="1">
      <c r="B19" s="973" t="s">
        <v>831</v>
      </c>
      <c r="C19" s="973" t="s">
        <v>26</v>
      </c>
      <c r="D19" s="964"/>
      <c r="E19" s="965">
        <f t="shared" si="1"/>
        <v>0</v>
      </c>
      <c r="F19" s="934" t="s">
        <v>722</v>
      </c>
    </row>
    <row r="20" spans="2:6" ht="14.45" customHeight="1">
      <c r="B20" s="972"/>
      <c r="C20" s="973" t="s">
        <v>26</v>
      </c>
      <c r="D20" s="964"/>
      <c r="E20" s="965">
        <f t="shared" si="1"/>
        <v>0</v>
      </c>
    </row>
    <row r="21" spans="2:6" ht="14.45" customHeight="1">
      <c r="B21" s="1063"/>
      <c r="C21" s="975" t="s">
        <v>681</v>
      </c>
      <c r="D21" s="964"/>
      <c r="E21" s="965">
        <f t="shared" si="1"/>
        <v>0</v>
      </c>
    </row>
    <row r="22" spans="2:6" ht="14.45" customHeight="1">
      <c r="B22" s="1269" t="s">
        <v>24</v>
      </c>
      <c r="C22" s="1270"/>
      <c r="D22" s="964">
        <f>SUM(D17:D21)</f>
        <v>856</v>
      </c>
      <c r="E22" s="954">
        <f t="shared" si="1"/>
        <v>8132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165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630" t="s">
        <v>678</v>
      </c>
      <c r="C27" s="630" t="s">
        <v>669</v>
      </c>
      <c r="D27" s="964">
        <v>503</v>
      </c>
      <c r="E27" s="965">
        <f t="shared" ref="E27:E32" si="2">D27*9.5</f>
        <v>4778.5</v>
      </c>
    </row>
    <row r="28" spans="2:6">
      <c r="B28" s="630" t="s">
        <v>796</v>
      </c>
      <c r="C28" s="630" t="s">
        <v>669</v>
      </c>
      <c r="D28" s="964">
        <v>345</v>
      </c>
      <c r="E28" s="965">
        <f t="shared" si="2"/>
        <v>3277.5</v>
      </c>
    </row>
    <row r="29" spans="2:6">
      <c r="B29" s="973" t="s">
        <v>281</v>
      </c>
      <c r="C29" s="973" t="s">
        <v>26</v>
      </c>
      <c r="D29" s="964">
        <v>472</v>
      </c>
      <c r="E29" s="965">
        <f t="shared" si="2"/>
        <v>4484</v>
      </c>
    </row>
    <row r="30" spans="2:6">
      <c r="B30" s="972"/>
      <c r="C30" s="975" t="s">
        <v>26</v>
      </c>
      <c r="D30" s="964"/>
      <c r="E30" s="965">
        <f t="shared" si="2"/>
        <v>0</v>
      </c>
    </row>
    <row r="31" spans="2:6">
      <c r="B31" s="1128"/>
      <c r="C31" s="975" t="s">
        <v>667</v>
      </c>
      <c r="D31" s="964"/>
      <c r="E31" s="965">
        <f t="shared" si="2"/>
        <v>0</v>
      </c>
    </row>
    <row r="32" spans="2:6" ht="20.100000000000001" customHeight="1">
      <c r="B32" s="1259" t="s">
        <v>24</v>
      </c>
      <c r="C32" s="1259"/>
      <c r="D32" s="964">
        <f>SUM(D27:D31)</f>
        <v>1320</v>
      </c>
      <c r="E32" s="954">
        <f t="shared" si="2"/>
        <v>12540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1665</v>
      </c>
      <c r="D35" s="956">
        <f>D22</f>
        <v>856</v>
      </c>
      <c r="E35" s="956">
        <f>D32</f>
        <v>1320</v>
      </c>
    </row>
    <row r="36" spans="2:5">
      <c r="B36" s="953" t="s">
        <v>36</v>
      </c>
      <c r="C36" s="951">
        <f>C35*9.5</f>
        <v>15817.5</v>
      </c>
      <c r="D36" s="951">
        <f>D35*9.5</f>
        <v>8132</v>
      </c>
      <c r="E36" s="951">
        <f>E35*9.5</f>
        <v>12540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3841</v>
      </c>
      <c r="D38" s="378" t="s">
        <v>253</v>
      </c>
      <c r="E38" s="381">
        <f>C38*9.5</f>
        <v>36489.5</v>
      </c>
    </row>
    <row r="39" spans="2:5">
      <c r="B39" s="377" t="s">
        <v>197</v>
      </c>
      <c r="C39" s="378">
        <f>C40-C38</f>
        <v>456</v>
      </c>
      <c r="D39" s="378" t="s">
        <v>204</v>
      </c>
      <c r="E39" s="381">
        <f>C39*9</f>
        <v>4104</v>
      </c>
    </row>
    <row r="40" spans="2:5" ht="19.5">
      <c r="B40" s="941" t="s">
        <v>201</v>
      </c>
      <c r="C40" s="380">
        <v>4297</v>
      </c>
      <c r="D40" s="380" t="s">
        <v>202</v>
      </c>
      <c r="E40" s="379">
        <f>SUM(E38+E39)</f>
        <v>40593.5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36A82-636D-439D-9C87-43EEA60261D5}">
  <sheetPr codeName="Sheet27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44963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329</v>
      </c>
      <c r="C7" s="630" t="s">
        <v>669</v>
      </c>
      <c r="D7" s="964">
        <v>798</v>
      </c>
      <c r="E7" s="965">
        <f t="shared" ref="E7:E12" si="0">D7*9.5</f>
        <v>7581</v>
      </c>
    </row>
    <row r="8" spans="2:8" ht="15" customHeight="1">
      <c r="B8" s="630" t="s">
        <v>260</v>
      </c>
      <c r="C8" s="630" t="s">
        <v>669</v>
      </c>
      <c r="D8" s="964">
        <v>452</v>
      </c>
      <c r="E8" s="965">
        <f t="shared" si="0"/>
        <v>4294</v>
      </c>
    </row>
    <row r="9" spans="2:8" ht="15" customHeight="1">
      <c r="B9" s="973" t="s">
        <v>244</v>
      </c>
      <c r="C9" s="973" t="s">
        <v>26</v>
      </c>
      <c r="D9" s="964">
        <v>541</v>
      </c>
      <c r="E9" s="965">
        <f t="shared" si="0"/>
        <v>5139.5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1791</v>
      </c>
      <c r="E12" s="965">
        <f t="shared" si="0"/>
        <v>17014.5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802</v>
      </c>
      <c r="C17" s="630" t="s">
        <v>669</v>
      </c>
      <c r="D17" s="964">
        <v>520</v>
      </c>
      <c r="E17" s="965">
        <f t="shared" ref="E17:E22" si="1">D17*9.5</f>
        <v>4940</v>
      </c>
    </row>
    <row r="18" spans="2:5" ht="15" customHeight="1">
      <c r="B18" s="630" t="s">
        <v>281</v>
      </c>
      <c r="C18" s="630" t="s">
        <v>669</v>
      </c>
      <c r="D18" s="964">
        <v>465</v>
      </c>
      <c r="E18" s="965">
        <f t="shared" si="1"/>
        <v>4417.5</v>
      </c>
    </row>
    <row r="19" spans="2:5" ht="14.45" customHeight="1">
      <c r="B19" s="973" t="s">
        <v>239</v>
      </c>
      <c r="C19" s="973" t="s">
        <v>26</v>
      </c>
      <c r="D19" s="964">
        <v>251</v>
      </c>
      <c r="E19" s="965">
        <f t="shared" si="1"/>
        <v>2384.5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1236</v>
      </c>
      <c r="E22" s="954">
        <f t="shared" si="1"/>
        <v>11742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45</v>
      </c>
      <c r="C27" s="630" t="s">
        <v>669</v>
      </c>
      <c r="D27" s="964">
        <v>441</v>
      </c>
      <c r="E27" s="965">
        <f t="shared" ref="E27:E32" si="2">D27*9.5</f>
        <v>4189.5</v>
      </c>
    </row>
    <row r="28" spans="2:5">
      <c r="B28" s="630" t="s">
        <v>235</v>
      </c>
      <c r="C28" s="630" t="s">
        <v>669</v>
      </c>
      <c r="D28" s="964">
        <v>581</v>
      </c>
      <c r="E28" s="965">
        <f t="shared" si="2"/>
        <v>5519.5</v>
      </c>
    </row>
    <row r="29" spans="2:5">
      <c r="B29" s="973" t="s">
        <v>12</v>
      </c>
      <c r="C29" s="973" t="s">
        <v>26</v>
      </c>
      <c r="D29" s="964">
        <v>353</v>
      </c>
      <c r="E29" s="965">
        <f t="shared" si="2"/>
        <v>3353.5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1375</v>
      </c>
      <c r="E32" s="954">
        <f t="shared" si="2"/>
        <v>13062.5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1791</v>
      </c>
      <c r="D35" s="956">
        <f>D22</f>
        <v>1236</v>
      </c>
      <c r="E35" s="956">
        <f>D32</f>
        <v>1375</v>
      </c>
    </row>
    <row r="36" spans="2:5">
      <c r="B36" s="953" t="s">
        <v>36</v>
      </c>
      <c r="C36" s="951">
        <f>C35*9.5</f>
        <v>17014.5</v>
      </c>
      <c r="D36" s="951">
        <f>D35*9.5</f>
        <v>11742</v>
      </c>
      <c r="E36" s="951">
        <f>E35*9.5</f>
        <v>13062.5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4402</v>
      </c>
      <c r="D38" s="378" t="s">
        <v>253</v>
      </c>
      <c r="E38" s="381">
        <f>C38*9.5</f>
        <v>41819</v>
      </c>
    </row>
    <row r="39" spans="2:5">
      <c r="B39" s="377" t="s">
        <v>197</v>
      </c>
      <c r="C39" s="378">
        <f>C40-C38</f>
        <v>3970</v>
      </c>
      <c r="D39" s="378" t="s">
        <v>204</v>
      </c>
      <c r="E39" s="381">
        <f>C39*9</f>
        <v>35730</v>
      </c>
    </row>
    <row r="40" spans="2:5" ht="19.5">
      <c r="B40" s="941" t="s">
        <v>201</v>
      </c>
      <c r="C40" s="380">
        <v>8372</v>
      </c>
      <c r="D40" s="380" t="s">
        <v>202</v>
      </c>
      <c r="E40" s="379">
        <f>SUM(E38+E39)</f>
        <v>77549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0071C-FA06-4334-BD99-2471865618C5}">
  <sheetPr codeName="Sheet273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44964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259</v>
      </c>
      <c r="C7" s="630" t="s">
        <v>669</v>
      </c>
      <c r="D7" s="964">
        <v>363</v>
      </c>
      <c r="E7" s="965">
        <f t="shared" ref="E7:E12" si="0">D7*9.5</f>
        <v>3448.5</v>
      </c>
    </row>
    <row r="8" spans="2:8" ht="15" customHeight="1">
      <c r="B8" s="630" t="s">
        <v>675</v>
      </c>
      <c r="C8" s="630" t="s">
        <v>669</v>
      </c>
      <c r="D8" s="964">
        <v>828</v>
      </c>
      <c r="E8" s="965">
        <f t="shared" si="0"/>
        <v>7866</v>
      </c>
    </row>
    <row r="9" spans="2:8" ht="15" customHeight="1">
      <c r="B9" s="973" t="s">
        <v>678</v>
      </c>
      <c r="C9" s="973" t="s">
        <v>26</v>
      </c>
      <c r="D9" s="964">
        <v>350</v>
      </c>
      <c r="E9" s="965">
        <f t="shared" si="0"/>
        <v>3325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1541</v>
      </c>
      <c r="E12" s="965">
        <f t="shared" si="0"/>
        <v>14639.5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238</v>
      </c>
      <c r="C17" s="630" t="s">
        <v>669</v>
      </c>
      <c r="D17" s="964">
        <v>348</v>
      </c>
      <c r="E17" s="965">
        <f t="shared" ref="E17:E22" si="1">D17*9.5</f>
        <v>3306</v>
      </c>
    </row>
    <row r="18" spans="2:5" ht="15" customHeight="1">
      <c r="B18" s="630" t="s">
        <v>252</v>
      </c>
      <c r="C18" s="630" t="s">
        <v>669</v>
      </c>
      <c r="D18" s="964">
        <v>292</v>
      </c>
      <c r="E18" s="965">
        <f t="shared" si="1"/>
        <v>2774</v>
      </c>
    </row>
    <row r="19" spans="2:5" ht="14.45" customHeight="1">
      <c r="B19" s="973" t="s">
        <v>303</v>
      </c>
      <c r="C19" s="973" t="s">
        <v>26</v>
      </c>
      <c r="D19" s="964">
        <v>952</v>
      </c>
      <c r="E19" s="965">
        <f t="shared" si="1"/>
        <v>9044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1592</v>
      </c>
      <c r="E22" s="954">
        <f t="shared" si="1"/>
        <v>15124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82</v>
      </c>
      <c r="C27" s="630" t="s">
        <v>669</v>
      </c>
      <c r="D27" s="964">
        <v>440</v>
      </c>
      <c r="E27" s="965">
        <f t="shared" ref="E27:E32" si="2">D27*9.5</f>
        <v>4180</v>
      </c>
    </row>
    <row r="28" spans="2:5">
      <c r="B28" s="630" t="s">
        <v>331</v>
      </c>
      <c r="C28" s="630" t="s">
        <v>669</v>
      </c>
      <c r="D28" s="964">
        <v>537</v>
      </c>
      <c r="E28" s="965">
        <f t="shared" si="2"/>
        <v>5101.5</v>
      </c>
    </row>
    <row r="29" spans="2:5">
      <c r="B29" s="973" t="s">
        <v>832</v>
      </c>
      <c r="C29" s="973" t="s">
        <v>26</v>
      </c>
      <c r="D29" s="964">
        <v>450</v>
      </c>
      <c r="E29" s="965">
        <f t="shared" si="2"/>
        <v>4275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1427</v>
      </c>
      <c r="E32" s="954">
        <f t="shared" si="2"/>
        <v>13556.5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1541</v>
      </c>
      <c r="D35" s="956">
        <f>D22</f>
        <v>1592</v>
      </c>
      <c r="E35" s="956">
        <f>D32</f>
        <v>1427</v>
      </c>
    </row>
    <row r="36" spans="2:5">
      <c r="B36" s="953" t="s">
        <v>36</v>
      </c>
      <c r="C36" s="951">
        <f>C35*9.5</f>
        <v>14639.5</v>
      </c>
      <c r="D36" s="951">
        <f>D35*9.5</f>
        <v>15124</v>
      </c>
      <c r="E36" s="951">
        <f>E35*9.5</f>
        <v>13556.5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4560</v>
      </c>
      <c r="D38" s="378" t="s">
        <v>253</v>
      </c>
      <c r="E38" s="381">
        <f>C38*9.5</f>
        <v>43320</v>
      </c>
    </row>
    <row r="39" spans="2:5">
      <c r="B39" s="377" t="s">
        <v>197</v>
      </c>
      <c r="C39" s="378">
        <f>C40-C38</f>
        <v>4713</v>
      </c>
      <c r="D39" s="378" t="s">
        <v>204</v>
      </c>
      <c r="E39" s="381">
        <f>C39*9</f>
        <v>42417</v>
      </c>
    </row>
    <row r="40" spans="2:5" ht="19.5">
      <c r="B40" s="941" t="s">
        <v>201</v>
      </c>
      <c r="C40" s="380">
        <v>9273</v>
      </c>
      <c r="D40" s="380" t="s">
        <v>202</v>
      </c>
      <c r="E40" s="379">
        <f>SUM(E38+E39)</f>
        <v>85737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7E8CA-70A5-453B-ACF4-CD8F7C05D37B}">
  <sheetPr codeName="Sheet27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44965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238</v>
      </c>
      <c r="C7" s="630" t="s">
        <v>669</v>
      </c>
      <c r="D7" s="964">
        <v>309</v>
      </c>
      <c r="E7" s="965">
        <f t="shared" ref="E7:E12" si="0">D7*9.5</f>
        <v>2935.5</v>
      </c>
    </row>
    <row r="8" spans="2:8" ht="15" customHeight="1">
      <c r="B8" s="630" t="s">
        <v>262</v>
      </c>
      <c r="C8" s="630" t="s">
        <v>669</v>
      </c>
      <c r="D8" s="964">
        <v>350</v>
      </c>
      <c r="E8" s="965">
        <f t="shared" si="0"/>
        <v>3325</v>
      </c>
    </row>
    <row r="9" spans="2:8" ht="15" customHeight="1">
      <c r="B9" s="973" t="s">
        <v>675</v>
      </c>
      <c r="C9" s="973" t="s">
        <v>26</v>
      </c>
      <c r="D9" s="964">
        <v>694</v>
      </c>
      <c r="E9" s="965">
        <f t="shared" si="0"/>
        <v>6593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1353</v>
      </c>
      <c r="E12" s="965">
        <f t="shared" si="0"/>
        <v>12853.5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250</v>
      </c>
      <c r="C17" s="630"/>
      <c r="D17" s="964">
        <v>648</v>
      </c>
      <c r="E17" s="965">
        <f t="shared" ref="E17:E22" si="1">D17*9.5</f>
        <v>6156</v>
      </c>
    </row>
    <row r="18" spans="2:5" ht="15" customHeight="1">
      <c r="B18" s="630" t="s">
        <v>78</v>
      </c>
      <c r="C18" s="630" t="s">
        <v>669</v>
      </c>
      <c r="D18" s="964">
        <v>445</v>
      </c>
      <c r="E18" s="965">
        <f t="shared" si="1"/>
        <v>4227.5</v>
      </c>
    </row>
    <row r="19" spans="2:5" ht="14.45" customHeight="1">
      <c r="B19" s="973" t="s">
        <v>711</v>
      </c>
      <c r="C19" s="973" t="s">
        <v>26</v>
      </c>
      <c r="D19" s="964">
        <v>757</v>
      </c>
      <c r="E19" s="965">
        <f t="shared" si="1"/>
        <v>7191.5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1850</v>
      </c>
      <c r="E22" s="954">
        <f t="shared" si="1"/>
        <v>17575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250</v>
      </c>
      <c r="C27" s="630" t="s">
        <v>669</v>
      </c>
      <c r="D27" s="964">
        <v>675</v>
      </c>
      <c r="E27" s="965">
        <f t="shared" ref="E27:E32" si="2">D27*9.5</f>
        <v>6412.5</v>
      </c>
    </row>
    <row r="28" spans="2:5">
      <c r="B28" s="630" t="s">
        <v>235</v>
      </c>
      <c r="C28" s="630" t="s">
        <v>669</v>
      </c>
      <c r="D28" s="964">
        <v>653</v>
      </c>
      <c r="E28" s="965">
        <f t="shared" si="2"/>
        <v>6203.5</v>
      </c>
    </row>
    <row r="29" spans="2:5">
      <c r="B29" s="973" t="s">
        <v>281</v>
      </c>
      <c r="C29" s="973" t="s">
        <v>26</v>
      </c>
      <c r="D29" s="964">
        <v>493</v>
      </c>
      <c r="E29" s="965">
        <f t="shared" si="2"/>
        <v>4683.5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1821</v>
      </c>
      <c r="E32" s="954">
        <f t="shared" si="2"/>
        <v>17299.5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1353</v>
      </c>
      <c r="D35" s="956">
        <f>D22</f>
        <v>1850</v>
      </c>
      <c r="E35" s="956">
        <f>D32</f>
        <v>1821</v>
      </c>
    </row>
    <row r="36" spans="2:5">
      <c r="B36" s="953" t="s">
        <v>36</v>
      </c>
      <c r="C36" s="951">
        <f>C35*9.5</f>
        <v>12853.5</v>
      </c>
      <c r="D36" s="951">
        <f>D35*9.5</f>
        <v>17575</v>
      </c>
      <c r="E36" s="951">
        <f>E35*9.5</f>
        <v>17299.5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5024</v>
      </c>
      <c r="D38" s="378" t="s">
        <v>253</v>
      </c>
      <c r="E38" s="381">
        <f>C38*9.5</f>
        <v>47728</v>
      </c>
    </row>
    <row r="39" spans="2:5">
      <c r="B39" s="377" t="s">
        <v>197</v>
      </c>
      <c r="C39" s="378">
        <f>C40-C38</f>
        <v>4457</v>
      </c>
      <c r="D39" s="378" t="s">
        <v>204</v>
      </c>
      <c r="E39" s="381">
        <f>C39*9</f>
        <v>40113</v>
      </c>
    </row>
    <row r="40" spans="2:5" ht="19.5">
      <c r="B40" s="941" t="s">
        <v>201</v>
      </c>
      <c r="C40" s="380">
        <v>9481</v>
      </c>
      <c r="D40" s="380" t="s">
        <v>202</v>
      </c>
      <c r="E40" s="379">
        <f>SUM(E38+E39)</f>
        <v>87841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60C24-837B-4FC9-9E1F-992FBF8EA697}">
  <sheetPr codeName="Sheet27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44966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250</v>
      </c>
      <c r="C7" s="630" t="s">
        <v>669</v>
      </c>
      <c r="D7" s="964">
        <v>489</v>
      </c>
      <c r="E7" s="965">
        <f t="shared" ref="E7:E12" si="0">D7*9.5</f>
        <v>4645.5</v>
      </c>
    </row>
    <row r="8" spans="2:8" ht="15" customHeight="1">
      <c r="B8" s="630" t="s">
        <v>45</v>
      </c>
      <c r="C8" s="630" t="s">
        <v>669</v>
      </c>
      <c r="D8" s="964">
        <v>448</v>
      </c>
      <c r="E8" s="965">
        <f t="shared" si="0"/>
        <v>4256</v>
      </c>
    </row>
    <row r="9" spans="2:8" ht="15" customHeight="1">
      <c r="B9" s="973" t="s">
        <v>260</v>
      </c>
      <c r="C9" s="973" t="s">
        <v>26</v>
      </c>
      <c r="D9" s="964">
        <v>368</v>
      </c>
      <c r="E9" s="965">
        <f t="shared" si="0"/>
        <v>3496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1305</v>
      </c>
      <c r="E12" s="965">
        <f t="shared" si="0"/>
        <v>12397.5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303</v>
      </c>
      <c r="C17" s="630"/>
      <c r="D17" s="964">
        <v>948</v>
      </c>
      <c r="E17" s="965">
        <f t="shared" ref="E17:E22" si="1">D17*9.5</f>
        <v>9006</v>
      </c>
    </row>
    <row r="18" spans="2:5" ht="15" customHeight="1">
      <c r="B18" s="630" t="s">
        <v>728</v>
      </c>
      <c r="C18" s="630" t="s">
        <v>669</v>
      </c>
      <c r="D18" s="964">
        <v>213</v>
      </c>
      <c r="E18" s="965">
        <f t="shared" si="1"/>
        <v>2023.5</v>
      </c>
    </row>
    <row r="19" spans="2:5" ht="14.45" customHeight="1">
      <c r="B19" s="973" t="s">
        <v>65</v>
      </c>
      <c r="C19" s="973" t="s">
        <v>26</v>
      </c>
      <c r="D19" s="964">
        <v>362</v>
      </c>
      <c r="E19" s="965">
        <f t="shared" si="1"/>
        <v>3439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1523</v>
      </c>
      <c r="E22" s="954">
        <f t="shared" si="1"/>
        <v>14468.5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44</v>
      </c>
      <c r="C27" s="630" t="s">
        <v>669</v>
      </c>
      <c r="D27" s="964">
        <v>334</v>
      </c>
      <c r="E27" s="965">
        <f t="shared" ref="E27:E32" si="2">D27*9.5</f>
        <v>3173</v>
      </c>
    </row>
    <row r="28" spans="2:5">
      <c r="B28" s="630" t="s">
        <v>331</v>
      </c>
      <c r="C28" s="630" t="s">
        <v>669</v>
      </c>
      <c r="D28" s="964">
        <v>565</v>
      </c>
      <c r="E28" s="965">
        <f t="shared" si="2"/>
        <v>5367.5</v>
      </c>
    </row>
    <row r="29" spans="2:5">
      <c r="B29" s="973" t="s">
        <v>252</v>
      </c>
      <c r="C29" s="973" t="s">
        <v>26</v>
      </c>
      <c r="D29" s="964">
        <v>375</v>
      </c>
      <c r="E29" s="965">
        <f t="shared" si="2"/>
        <v>3562.5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1274</v>
      </c>
      <c r="E32" s="954">
        <f t="shared" si="2"/>
        <v>12103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1305</v>
      </c>
      <c r="D35" s="956">
        <f>D22</f>
        <v>1523</v>
      </c>
      <c r="E35" s="956">
        <f>D32</f>
        <v>1274</v>
      </c>
    </row>
    <row r="36" spans="2:5">
      <c r="B36" s="953" t="s">
        <v>36</v>
      </c>
      <c r="C36" s="951">
        <f>C35*9.5</f>
        <v>12397.5</v>
      </c>
      <c r="D36" s="951">
        <f>D35*9.5</f>
        <v>14468.5</v>
      </c>
      <c r="E36" s="951">
        <f>E35*9.5</f>
        <v>12103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4102</v>
      </c>
      <c r="D38" s="378" t="s">
        <v>253</v>
      </c>
      <c r="E38" s="381">
        <f>C38*9.5</f>
        <v>38969</v>
      </c>
    </row>
    <row r="39" spans="2:5">
      <c r="B39" s="377" t="s">
        <v>197</v>
      </c>
      <c r="C39" s="378">
        <f>C40-C38</f>
        <v>4346</v>
      </c>
      <c r="D39" s="378" t="s">
        <v>204</v>
      </c>
      <c r="E39" s="381">
        <f>C39*9</f>
        <v>39114</v>
      </c>
    </row>
    <row r="40" spans="2:5" ht="19.5">
      <c r="B40" s="941" t="s">
        <v>201</v>
      </c>
      <c r="C40" s="380">
        <v>8448</v>
      </c>
      <c r="D40" s="380" t="s">
        <v>202</v>
      </c>
      <c r="E40" s="379">
        <f>SUM(E38+E39)</f>
        <v>78083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69DFB-E91A-47DF-9717-4EBC7ACEDD61}">
  <sheetPr codeName="Sheet27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44967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678</v>
      </c>
      <c r="C7" s="630" t="s">
        <v>669</v>
      </c>
      <c r="D7" s="964">
        <v>465</v>
      </c>
      <c r="E7" s="965">
        <f t="shared" ref="E7:E12" si="0">D7*9.5</f>
        <v>4417.5</v>
      </c>
    </row>
    <row r="8" spans="2:8" ht="15" customHeight="1">
      <c r="B8" s="630" t="s">
        <v>244</v>
      </c>
      <c r="C8" s="630" t="s">
        <v>669</v>
      </c>
      <c r="D8" s="964">
        <v>550</v>
      </c>
      <c r="E8" s="965">
        <f t="shared" si="0"/>
        <v>5225</v>
      </c>
    </row>
    <row r="9" spans="2:8" ht="15" customHeight="1">
      <c r="B9" s="973" t="s">
        <v>65</v>
      </c>
      <c r="C9" s="973" t="s">
        <v>26</v>
      </c>
      <c r="D9" s="964">
        <v>346</v>
      </c>
      <c r="E9" s="965">
        <f t="shared" si="0"/>
        <v>3287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1361</v>
      </c>
      <c r="E12" s="965">
        <f t="shared" si="0"/>
        <v>12929.5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332</v>
      </c>
      <c r="C17" s="630"/>
      <c r="D17" s="964">
        <v>657</v>
      </c>
      <c r="E17" s="965">
        <f t="shared" ref="E17:E22" si="1">D17*9.5</f>
        <v>6241.5</v>
      </c>
    </row>
    <row r="18" spans="2:5" ht="15" customHeight="1">
      <c r="B18" s="630" t="s">
        <v>205</v>
      </c>
      <c r="C18" s="630" t="s">
        <v>669</v>
      </c>
      <c r="D18" s="964">
        <v>230</v>
      </c>
      <c r="E18" s="965">
        <f t="shared" si="1"/>
        <v>2185</v>
      </c>
    </row>
    <row r="19" spans="2:5" ht="14.45" customHeight="1">
      <c r="B19" s="973" t="s">
        <v>12</v>
      </c>
      <c r="C19" s="973" t="s">
        <v>26</v>
      </c>
      <c r="D19" s="964">
        <v>355</v>
      </c>
      <c r="E19" s="965">
        <f t="shared" si="1"/>
        <v>3372.5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1242</v>
      </c>
      <c r="E22" s="954">
        <f t="shared" si="1"/>
        <v>11799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332</v>
      </c>
      <c r="C27" s="630" t="s">
        <v>669</v>
      </c>
      <c r="D27" s="964">
        <v>459</v>
      </c>
      <c r="E27" s="965">
        <f t="shared" ref="E27:E32" si="2">D27*9.5</f>
        <v>4360.5</v>
      </c>
    </row>
    <row r="28" spans="2:5">
      <c r="B28" s="630" t="s">
        <v>278</v>
      </c>
      <c r="C28" s="630" t="s">
        <v>669</v>
      </c>
      <c r="D28" s="964">
        <v>530</v>
      </c>
      <c r="E28" s="965">
        <f t="shared" si="2"/>
        <v>5035</v>
      </c>
    </row>
    <row r="29" spans="2:5">
      <c r="B29" s="973" t="s">
        <v>802</v>
      </c>
      <c r="C29" s="973" t="s">
        <v>26</v>
      </c>
      <c r="D29" s="964">
        <v>505</v>
      </c>
      <c r="E29" s="965">
        <f t="shared" si="2"/>
        <v>4797.5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1494</v>
      </c>
      <c r="E32" s="954">
        <f t="shared" si="2"/>
        <v>14193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1361</v>
      </c>
      <c r="D35" s="956">
        <f>D22</f>
        <v>1242</v>
      </c>
      <c r="E35" s="956">
        <f>D32</f>
        <v>1494</v>
      </c>
    </row>
    <row r="36" spans="2:5">
      <c r="B36" s="953" t="s">
        <v>36</v>
      </c>
      <c r="C36" s="951">
        <f>C35*9.5</f>
        <v>12929.5</v>
      </c>
      <c r="D36" s="951">
        <f>D35*9.5</f>
        <v>11799</v>
      </c>
      <c r="E36" s="951">
        <f>E35*9.5</f>
        <v>14193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4097</v>
      </c>
      <c r="D38" s="378" t="s">
        <v>253</v>
      </c>
      <c r="E38" s="381">
        <f>C38*9.5</f>
        <v>38921.5</v>
      </c>
    </row>
    <row r="39" spans="2:5">
      <c r="B39" s="377" t="s">
        <v>197</v>
      </c>
      <c r="C39" s="378">
        <f>C40-C38</f>
        <v>3503</v>
      </c>
      <c r="D39" s="378" t="s">
        <v>204</v>
      </c>
      <c r="E39" s="381">
        <f>C39*9</f>
        <v>31527</v>
      </c>
    </row>
    <row r="40" spans="2:5" ht="19.5">
      <c r="B40" s="941" t="s">
        <v>201</v>
      </c>
      <c r="C40" s="380">
        <v>7600</v>
      </c>
      <c r="D40" s="380" t="s">
        <v>202</v>
      </c>
      <c r="E40" s="379">
        <f>SUM(E38+E39)</f>
        <v>70448.5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4F536-2EEA-400F-917C-9D198279FEA5}">
  <sheetPr codeName="Sheet27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44968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252</v>
      </c>
      <c r="C7" s="630" t="s">
        <v>669</v>
      </c>
      <c r="D7" s="964">
        <v>303</v>
      </c>
      <c r="E7" s="965">
        <f t="shared" ref="E7:E12" si="0">D7*9.5</f>
        <v>2878.5</v>
      </c>
    </row>
    <row r="8" spans="2:8" ht="15" customHeight="1">
      <c r="B8" s="630" t="s">
        <v>329</v>
      </c>
      <c r="C8" s="630" t="s">
        <v>669</v>
      </c>
      <c r="D8" s="964">
        <v>840</v>
      </c>
      <c r="E8" s="965">
        <f t="shared" si="0"/>
        <v>7980</v>
      </c>
    </row>
    <row r="9" spans="2:8" ht="15" customHeight="1">
      <c r="B9" s="973" t="s">
        <v>303</v>
      </c>
      <c r="C9" s="973" t="s">
        <v>26</v>
      </c>
      <c r="D9" s="964">
        <v>998</v>
      </c>
      <c r="E9" s="965">
        <f t="shared" si="0"/>
        <v>9481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2141</v>
      </c>
      <c r="E12" s="965">
        <f t="shared" si="0"/>
        <v>20339.5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334</v>
      </c>
      <c r="C17" s="630"/>
      <c r="D17" s="964">
        <v>361</v>
      </c>
      <c r="E17" s="965">
        <f t="shared" ref="E17:E22" si="1">D17*9.5</f>
        <v>3429.5</v>
      </c>
    </row>
    <row r="18" spans="2:5" ht="15" customHeight="1">
      <c r="B18" s="630" t="s">
        <v>696</v>
      </c>
      <c r="C18" s="630" t="s">
        <v>669</v>
      </c>
      <c r="D18" s="964">
        <v>365</v>
      </c>
      <c r="E18" s="965">
        <f t="shared" si="1"/>
        <v>3467.5</v>
      </c>
    </row>
    <row r="19" spans="2:5" ht="14.45" customHeight="1">
      <c r="B19" s="973" t="s">
        <v>70</v>
      </c>
      <c r="C19" s="973" t="s">
        <v>26</v>
      </c>
      <c r="D19" s="964">
        <v>561</v>
      </c>
      <c r="E19" s="965">
        <f t="shared" si="1"/>
        <v>5329.5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1287</v>
      </c>
      <c r="E22" s="954">
        <f t="shared" si="1"/>
        <v>12226.5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12</v>
      </c>
      <c r="C27" s="630" t="s">
        <v>669</v>
      </c>
      <c r="D27" s="964">
        <v>405</v>
      </c>
      <c r="E27" s="965">
        <f t="shared" ref="E27:E32" si="2">D27*9.5</f>
        <v>3847.5</v>
      </c>
    </row>
    <row r="28" spans="2:5">
      <c r="B28" s="630" t="s">
        <v>278</v>
      </c>
      <c r="C28" s="630" t="s">
        <v>669</v>
      </c>
      <c r="D28" s="964">
        <v>511</v>
      </c>
      <c r="E28" s="965">
        <f t="shared" si="2"/>
        <v>4854.5</v>
      </c>
    </row>
    <row r="29" spans="2:5">
      <c r="B29" s="973" t="s">
        <v>189</v>
      </c>
      <c r="C29" s="973" t="s">
        <v>26</v>
      </c>
      <c r="D29" s="964">
        <v>408</v>
      </c>
      <c r="E29" s="965">
        <f t="shared" si="2"/>
        <v>3876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1324</v>
      </c>
      <c r="E32" s="954">
        <f t="shared" si="2"/>
        <v>12578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2141</v>
      </c>
      <c r="D35" s="956">
        <f>D22</f>
        <v>1287</v>
      </c>
      <c r="E35" s="956">
        <f>D32</f>
        <v>1324</v>
      </c>
    </row>
    <row r="36" spans="2:5">
      <c r="B36" s="953" t="s">
        <v>36</v>
      </c>
      <c r="C36" s="951">
        <f>C35*9.5</f>
        <v>20339.5</v>
      </c>
      <c r="D36" s="951">
        <f>D35*9.5</f>
        <v>12226.5</v>
      </c>
      <c r="E36" s="951">
        <f>E35*9.5</f>
        <v>12578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4752</v>
      </c>
      <c r="D38" s="378" t="s">
        <v>253</v>
      </c>
      <c r="E38" s="381">
        <f>C38*9.5</f>
        <v>45144</v>
      </c>
    </row>
    <row r="39" spans="2:5">
      <c r="B39" s="377" t="s">
        <v>197</v>
      </c>
      <c r="C39" s="378">
        <f>C40-C38</f>
        <v>66</v>
      </c>
      <c r="D39" s="378" t="s">
        <v>204</v>
      </c>
      <c r="E39" s="381">
        <f>C39*9</f>
        <v>594</v>
      </c>
    </row>
    <row r="40" spans="2:5" ht="19.5">
      <c r="B40" s="941" t="s">
        <v>201</v>
      </c>
      <c r="C40" s="380">
        <v>4818</v>
      </c>
      <c r="D40" s="380" t="s">
        <v>202</v>
      </c>
      <c r="E40" s="379">
        <f>SUM(E38+E39)</f>
        <v>45738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036E5-4CDA-428C-93A2-570F1CA2EBCF}">
  <sheetPr codeName="Sheet27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44969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834</v>
      </c>
      <c r="C7" s="630" t="s">
        <v>669</v>
      </c>
      <c r="D7" s="964">
        <v>420</v>
      </c>
      <c r="E7" s="965">
        <f t="shared" ref="E7:E12" si="0">D7*9.5</f>
        <v>3990</v>
      </c>
    </row>
    <row r="8" spans="2:8" ht="15" customHeight="1">
      <c r="B8" s="630" t="s">
        <v>329</v>
      </c>
      <c r="C8" s="630" t="s">
        <v>669</v>
      </c>
      <c r="D8" s="964">
        <v>788</v>
      </c>
      <c r="E8" s="965">
        <f t="shared" si="0"/>
        <v>7486</v>
      </c>
    </row>
    <row r="9" spans="2:8" ht="15" customHeight="1">
      <c r="B9" s="973" t="s">
        <v>65</v>
      </c>
      <c r="C9" s="973" t="s">
        <v>26</v>
      </c>
      <c r="D9" s="964">
        <v>515</v>
      </c>
      <c r="E9" s="965">
        <f t="shared" si="0"/>
        <v>4892.5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1723</v>
      </c>
      <c r="E12" s="965">
        <f t="shared" si="0"/>
        <v>16368.5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164</v>
      </c>
      <c r="C17" s="630"/>
      <c r="D17" s="964">
        <v>471</v>
      </c>
      <c r="E17" s="965">
        <f t="shared" ref="E17:E22" si="1">D17*9.5</f>
        <v>4474.5</v>
      </c>
    </row>
    <row r="18" spans="2:5" ht="15" customHeight="1">
      <c r="B18" s="630" t="s">
        <v>189</v>
      </c>
      <c r="C18" s="630" t="s">
        <v>669</v>
      </c>
      <c r="D18" s="964">
        <v>579</v>
      </c>
      <c r="E18" s="965">
        <f t="shared" si="1"/>
        <v>5500.5</v>
      </c>
    </row>
    <row r="19" spans="2:5" ht="14.45" customHeight="1">
      <c r="B19" s="973" t="s">
        <v>239</v>
      </c>
      <c r="C19" s="973" t="s">
        <v>26</v>
      </c>
      <c r="D19" s="964">
        <v>397</v>
      </c>
      <c r="E19" s="965">
        <f t="shared" si="1"/>
        <v>3771.5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1447</v>
      </c>
      <c r="E22" s="954">
        <f t="shared" si="1"/>
        <v>13746.5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334</v>
      </c>
      <c r="C27" s="630" t="s">
        <v>669</v>
      </c>
      <c r="D27" s="964">
        <v>487</v>
      </c>
      <c r="E27" s="965">
        <f t="shared" ref="E27:E32" si="2">D27*9.5</f>
        <v>4626.5</v>
      </c>
    </row>
    <row r="28" spans="2:5">
      <c r="B28" s="630" t="s">
        <v>281</v>
      </c>
      <c r="C28" s="630" t="s">
        <v>669</v>
      </c>
      <c r="D28" s="964">
        <v>307</v>
      </c>
      <c r="E28" s="965">
        <f t="shared" si="2"/>
        <v>2916.5</v>
      </c>
    </row>
    <row r="29" spans="2:5">
      <c r="B29" s="973" t="s">
        <v>12</v>
      </c>
      <c r="C29" s="973" t="s">
        <v>26</v>
      </c>
      <c r="D29" s="964">
        <v>329</v>
      </c>
      <c r="E29" s="965">
        <f t="shared" si="2"/>
        <v>3125.5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1123</v>
      </c>
      <c r="E32" s="954">
        <f t="shared" si="2"/>
        <v>10668.5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1723</v>
      </c>
      <c r="D35" s="956">
        <f>D22</f>
        <v>1447</v>
      </c>
      <c r="E35" s="956">
        <f>D32</f>
        <v>1123</v>
      </c>
    </row>
    <row r="36" spans="2:5">
      <c r="B36" s="953" t="s">
        <v>36</v>
      </c>
      <c r="C36" s="951">
        <f>C35*9.5</f>
        <v>16368.5</v>
      </c>
      <c r="D36" s="951">
        <f>D35*9.5</f>
        <v>13746.5</v>
      </c>
      <c r="E36" s="951">
        <f>E35*9.5</f>
        <v>10668.5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4293</v>
      </c>
      <c r="D38" s="378" t="s">
        <v>253</v>
      </c>
      <c r="E38" s="381">
        <f>C38*9.5</f>
        <v>40783.5</v>
      </c>
    </row>
    <row r="39" spans="2:5">
      <c r="B39" s="377" t="s">
        <v>197</v>
      </c>
      <c r="C39" s="378">
        <f>C40-C38</f>
        <v>230</v>
      </c>
      <c r="D39" s="378" t="s">
        <v>204</v>
      </c>
      <c r="E39" s="381">
        <f>C39*9</f>
        <v>2070</v>
      </c>
    </row>
    <row r="40" spans="2:5" ht="19.5">
      <c r="B40" s="941" t="s">
        <v>201</v>
      </c>
      <c r="C40" s="380">
        <v>4523</v>
      </c>
      <c r="D40" s="380" t="s">
        <v>202</v>
      </c>
      <c r="E40" s="379">
        <f>SUM(E38+E39)</f>
        <v>42853.5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4AEE-92D7-4A59-BADE-C669EC226086}">
  <sheetPr codeName="Sheet27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44970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329</v>
      </c>
      <c r="C7" s="630" t="s">
        <v>669</v>
      </c>
      <c r="D7" s="964">
        <v>756</v>
      </c>
      <c r="E7" s="965">
        <f t="shared" ref="E7:E12" si="0">D7*9.5</f>
        <v>7182</v>
      </c>
    </row>
    <row r="8" spans="2:8" ht="15" customHeight="1">
      <c r="B8" s="630" t="s">
        <v>78</v>
      </c>
      <c r="C8" s="630" t="s">
        <v>669</v>
      </c>
      <c r="D8" s="964">
        <v>466</v>
      </c>
      <c r="E8" s="965">
        <f t="shared" si="0"/>
        <v>4427</v>
      </c>
    </row>
    <row r="9" spans="2:8" ht="15" customHeight="1">
      <c r="B9" s="973" t="s">
        <v>70</v>
      </c>
      <c r="C9" s="973" t="s">
        <v>26</v>
      </c>
      <c r="D9" s="964">
        <v>444</v>
      </c>
      <c r="E9" s="965">
        <f t="shared" si="0"/>
        <v>4218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1666</v>
      </c>
      <c r="E12" s="965">
        <f t="shared" si="0"/>
        <v>15827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678</v>
      </c>
      <c r="C17" s="630" t="s">
        <v>669</v>
      </c>
      <c r="D17" s="964">
        <v>500</v>
      </c>
      <c r="E17" s="965">
        <f t="shared" ref="E17:E22" si="1">D17*9.5</f>
        <v>4750</v>
      </c>
    </row>
    <row r="18" spans="2:5" ht="15" customHeight="1">
      <c r="B18" s="630" t="s">
        <v>82</v>
      </c>
      <c r="C18" s="630" t="s">
        <v>669</v>
      </c>
      <c r="D18" s="964">
        <v>360</v>
      </c>
      <c r="E18" s="965">
        <f t="shared" si="1"/>
        <v>3420</v>
      </c>
    </row>
    <row r="19" spans="2:5" ht="14.45" customHeight="1">
      <c r="B19" s="973" t="s">
        <v>330</v>
      </c>
      <c r="C19" s="973" t="s">
        <v>26</v>
      </c>
      <c r="D19" s="964">
        <v>987</v>
      </c>
      <c r="E19" s="965">
        <f t="shared" si="1"/>
        <v>9376.5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1847</v>
      </c>
      <c r="E22" s="954">
        <f t="shared" si="1"/>
        <v>17546.5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678</v>
      </c>
      <c r="C27" s="630" t="s">
        <v>669</v>
      </c>
      <c r="D27" s="964">
        <v>375</v>
      </c>
      <c r="E27" s="965">
        <f t="shared" ref="E27:E32" si="2">D27*9.5</f>
        <v>3562.5</v>
      </c>
    </row>
    <row r="28" spans="2:5">
      <c r="B28" s="630" t="s">
        <v>331</v>
      </c>
      <c r="C28" s="630" t="s">
        <v>669</v>
      </c>
      <c r="D28" s="964">
        <v>520</v>
      </c>
      <c r="E28" s="965">
        <f t="shared" si="2"/>
        <v>4940</v>
      </c>
    </row>
    <row r="29" spans="2:5">
      <c r="B29" s="973" t="s">
        <v>256</v>
      </c>
      <c r="C29" s="973" t="s">
        <v>26</v>
      </c>
      <c r="D29" s="964">
        <v>227</v>
      </c>
      <c r="E29" s="965">
        <f t="shared" si="2"/>
        <v>2156.5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1122</v>
      </c>
      <c r="E32" s="954">
        <f t="shared" si="2"/>
        <v>10659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1666</v>
      </c>
      <c r="D35" s="956">
        <f>D22</f>
        <v>1847</v>
      </c>
      <c r="E35" s="956">
        <f>D32</f>
        <v>1122</v>
      </c>
    </row>
    <row r="36" spans="2:5">
      <c r="B36" s="953" t="s">
        <v>36</v>
      </c>
      <c r="C36" s="951">
        <f>C35*9.5</f>
        <v>15827</v>
      </c>
      <c r="D36" s="951">
        <f>D35*9.5</f>
        <v>17546.5</v>
      </c>
      <c r="E36" s="951">
        <f>E35*9.5</f>
        <v>10659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4635</v>
      </c>
      <c r="D38" s="378" t="s">
        <v>253</v>
      </c>
      <c r="E38" s="381">
        <f>C38*9.5</f>
        <v>44032.5</v>
      </c>
    </row>
    <row r="39" spans="2:5">
      <c r="B39" s="377" t="s">
        <v>197</v>
      </c>
      <c r="C39" s="378">
        <f>C40-C38</f>
        <v>3750</v>
      </c>
      <c r="D39" s="378" t="s">
        <v>204</v>
      </c>
      <c r="E39" s="381">
        <f>C39*9</f>
        <v>33750</v>
      </c>
    </row>
    <row r="40" spans="2:5" ht="19.5">
      <c r="B40" s="941" t="s">
        <v>201</v>
      </c>
      <c r="C40" s="380">
        <v>8385</v>
      </c>
      <c r="D40" s="380" t="s">
        <v>202</v>
      </c>
      <c r="E40" s="379">
        <f>SUM(E38+E39)</f>
        <v>77782.5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1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21857-FFAE-428C-85EF-B79D0742C875}">
  <sheetPr codeName="Sheet28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44971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711</v>
      </c>
      <c r="C7" s="630" t="s">
        <v>669</v>
      </c>
      <c r="D7" s="964">
        <v>767</v>
      </c>
      <c r="E7" s="965">
        <f t="shared" ref="E7:E12" si="0">D7*9.5</f>
        <v>7286.5</v>
      </c>
    </row>
    <row r="8" spans="2:8" ht="15" customHeight="1">
      <c r="B8" s="630" t="s">
        <v>260</v>
      </c>
      <c r="C8" s="630" t="s">
        <v>669</v>
      </c>
      <c r="D8" s="964">
        <v>365</v>
      </c>
      <c r="E8" s="965">
        <f t="shared" si="0"/>
        <v>3467.5</v>
      </c>
    </row>
    <row r="9" spans="2:8" ht="15" customHeight="1">
      <c r="B9" s="973" t="s">
        <v>802</v>
      </c>
      <c r="C9" s="973" t="s">
        <v>26</v>
      </c>
      <c r="D9" s="964">
        <v>567</v>
      </c>
      <c r="E9" s="965">
        <f t="shared" si="0"/>
        <v>5386.5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1699</v>
      </c>
      <c r="E12" s="965">
        <f t="shared" si="0"/>
        <v>16140.5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711</v>
      </c>
      <c r="C17" s="630" t="s">
        <v>669</v>
      </c>
      <c r="D17" s="964">
        <v>758</v>
      </c>
      <c r="E17" s="965">
        <f t="shared" ref="E17:E21" si="1">D17*9.5</f>
        <v>7201</v>
      </c>
    </row>
    <row r="18" spans="2:5" ht="15" customHeight="1">
      <c r="B18" s="630" t="s">
        <v>252</v>
      </c>
      <c r="C18" s="630" t="s">
        <v>669</v>
      </c>
      <c r="D18" s="964">
        <v>324</v>
      </c>
      <c r="E18" s="965">
        <f t="shared" si="1"/>
        <v>3078</v>
      </c>
    </row>
    <row r="19" spans="2:5" ht="14.45" customHeight="1">
      <c r="B19" s="973" t="s">
        <v>53</v>
      </c>
      <c r="C19" s="973" t="s">
        <v>26</v>
      </c>
      <c r="D19" s="964">
        <v>300</v>
      </c>
      <c r="E19" s="965">
        <f>D19*10</f>
        <v>3000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1382</v>
      </c>
      <c r="E22" s="954">
        <f>SUM(E17:E21)</f>
        <v>13279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303</v>
      </c>
      <c r="C27" s="630" t="s">
        <v>669</v>
      </c>
      <c r="D27" s="964">
        <v>551</v>
      </c>
      <c r="E27" s="965">
        <f t="shared" ref="E27:E31" si="2">D27*9.5</f>
        <v>5234.5</v>
      </c>
    </row>
    <row r="28" spans="2:5">
      <c r="B28" s="630" t="s">
        <v>235</v>
      </c>
      <c r="C28" s="630" t="s">
        <v>669</v>
      </c>
      <c r="D28" s="964">
        <v>420</v>
      </c>
      <c r="E28" s="965">
        <f t="shared" si="2"/>
        <v>3990</v>
      </c>
    </row>
    <row r="29" spans="2:5">
      <c r="B29" s="973" t="s">
        <v>53</v>
      </c>
      <c r="C29" s="973" t="s">
        <v>26</v>
      </c>
      <c r="D29" s="964">
        <v>171</v>
      </c>
      <c r="E29" s="965">
        <f>D29*10</f>
        <v>1710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1142</v>
      </c>
      <c r="E32" s="954">
        <f>SUM(E27:E31)</f>
        <v>10934.5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1699</v>
      </c>
      <c r="D35" s="956">
        <f>D22</f>
        <v>1382</v>
      </c>
      <c r="E35" s="956">
        <f>D32</f>
        <v>1142</v>
      </c>
    </row>
    <row r="36" spans="2:5">
      <c r="B36" s="953" t="s">
        <v>36</v>
      </c>
      <c r="C36" s="951">
        <f>C35*9.5</f>
        <v>16140.5</v>
      </c>
      <c r="D36" s="951">
        <f>D35*9.5</f>
        <v>13129</v>
      </c>
      <c r="E36" s="951">
        <f>E35*9.5</f>
        <v>10849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4223</v>
      </c>
      <c r="D38" s="378" t="s">
        <v>253</v>
      </c>
      <c r="E38" s="381">
        <f>E12+E17+E18+E19+E27+E28+E29</f>
        <v>40354</v>
      </c>
    </row>
    <row r="39" spans="2:5">
      <c r="B39" s="377" t="s">
        <v>197</v>
      </c>
      <c r="C39" s="378">
        <f>C40-C38</f>
        <v>3949</v>
      </c>
      <c r="D39" s="378" t="s">
        <v>204</v>
      </c>
      <c r="E39" s="381">
        <f>C39*9</f>
        <v>35541</v>
      </c>
    </row>
    <row r="40" spans="2:5" ht="19.5">
      <c r="B40" s="941" t="s">
        <v>201</v>
      </c>
      <c r="C40" s="380">
        <v>8172</v>
      </c>
      <c r="D40" s="380" t="s">
        <v>202</v>
      </c>
      <c r="E40" s="379">
        <f>SUM(E38+E39)</f>
        <v>75895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CDE99-2DB7-4057-89CA-15DF3E9079D4}">
  <sheetPr codeName="Sheet28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44972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250</v>
      </c>
      <c r="C7" s="630" t="s">
        <v>669</v>
      </c>
      <c r="D7" s="964">
        <v>634</v>
      </c>
      <c r="E7" s="965">
        <f t="shared" ref="E7:E12" si="0">D7*9.5</f>
        <v>6023</v>
      </c>
    </row>
    <row r="8" spans="2:8" ht="15" customHeight="1">
      <c r="B8" s="630" t="s">
        <v>252</v>
      </c>
      <c r="C8" s="630" t="s">
        <v>669</v>
      </c>
      <c r="D8" s="964">
        <v>301</v>
      </c>
      <c r="E8" s="965">
        <f t="shared" si="0"/>
        <v>2859.5</v>
      </c>
    </row>
    <row r="9" spans="2:8" ht="15" customHeight="1">
      <c r="B9" s="973" t="s">
        <v>44</v>
      </c>
      <c r="C9" s="973" t="s">
        <v>26</v>
      </c>
      <c r="D9" s="964">
        <v>262</v>
      </c>
      <c r="E9" s="965">
        <f t="shared" si="0"/>
        <v>2489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1197</v>
      </c>
      <c r="E12" s="965">
        <f t="shared" si="0"/>
        <v>11371.5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250</v>
      </c>
      <c r="C17" s="630" t="s">
        <v>669</v>
      </c>
      <c r="D17" s="964">
        <v>642</v>
      </c>
      <c r="E17" s="965">
        <f t="shared" ref="E17:E22" si="1">D17*9.5</f>
        <v>6099</v>
      </c>
    </row>
    <row r="18" spans="2:5" ht="15" customHeight="1">
      <c r="B18" s="630" t="s">
        <v>260</v>
      </c>
      <c r="C18" s="630" t="s">
        <v>669</v>
      </c>
      <c r="D18" s="964">
        <v>308</v>
      </c>
      <c r="E18" s="965">
        <f t="shared" si="1"/>
        <v>2926</v>
      </c>
    </row>
    <row r="19" spans="2:5" ht="14.45" customHeight="1">
      <c r="B19" s="973" t="s">
        <v>65</v>
      </c>
      <c r="C19" s="973" t="s">
        <v>26</v>
      </c>
      <c r="D19" s="964">
        <v>458</v>
      </c>
      <c r="E19" s="965">
        <f t="shared" si="1"/>
        <v>4351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1408</v>
      </c>
      <c r="E22" s="954">
        <f t="shared" si="1"/>
        <v>13376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12</v>
      </c>
      <c r="C27" s="630" t="s">
        <v>669</v>
      </c>
      <c r="D27" s="964">
        <v>305</v>
      </c>
      <c r="E27" s="965">
        <f t="shared" ref="E27:E32" si="2">D27*9.5</f>
        <v>2897.5</v>
      </c>
    </row>
    <row r="28" spans="2:5">
      <c r="B28" s="630" t="s">
        <v>331</v>
      </c>
      <c r="C28" s="630" t="s">
        <v>669</v>
      </c>
      <c r="D28" s="964">
        <v>500</v>
      </c>
      <c r="E28" s="965">
        <f t="shared" si="2"/>
        <v>4750</v>
      </c>
    </row>
    <row r="29" spans="2:5">
      <c r="B29" s="973" t="s">
        <v>332</v>
      </c>
      <c r="C29" s="973" t="s">
        <v>26</v>
      </c>
      <c r="D29" s="964">
        <v>487</v>
      </c>
      <c r="E29" s="965">
        <f t="shared" si="2"/>
        <v>4626.5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1292</v>
      </c>
      <c r="E32" s="954">
        <f t="shared" si="2"/>
        <v>12274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1197</v>
      </c>
      <c r="D35" s="956">
        <f>D22</f>
        <v>1408</v>
      </c>
      <c r="E35" s="956">
        <f>D32</f>
        <v>1292</v>
      </c>
    </row>
    <row r="36" spans="2:5">
      <c r="B36" s="953" t="s">
        <v>36</v>
      </c>
      <c r="C36" s="951">
        <f>C35*9.5</f>
        <v>11371.5</v>
      </c>
      <c r="D36" s="951">
        <f>D35*9.5</f>
        <v>13376</v>
      </c>
      <c r="E36" s="951">
        <f>E35*9.5</f>
        <v>12274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3897</v>
      </c>
      <c r="D38" s="378" t="s">
        <v>253</v>
      </c>
      <c r="E38" s="381">
        <f>C38*9.5</f>
        <v>37021.5</v>
      </c>
    </row>
    <row r="39" spans="2:5">
      <c r="B39" s="377" t="s">
        <v>197</v>
      </c>
      <c r="C39" s="378">
        <f>C40-C38</f>
        <v>4281</v>
      </c>
      <c r="D39" s="378" t="s">
        <v>204</v>
      </c>
      <c r="E39" s="381">
        <f>C39*9</f>
        <v>38529</v>
      </c>
    </row>
    <row r="40" spans="2:5" ht="19.5">
      <c r="B40" s="941" t="s">
        <v>201</v>
      </c>
      <c r="C40" s="380">
        <v>8178</v>
      </c>
      <c r="D40" s="380" t="s">
        <v>202</v>
      </c>
      <c r="E40" s="379">
        <f>SUM(E38+E39)</f>
        <v>75550.5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C844D-4884-439D-9397-794700993181}">
  <sheetPr codeName="Sheet28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44973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256</v>
      </c>
      <c r="C7" s="630" t="s">
        <v>669</v>
      </c>
      <c r="D7" s="964">
        <v>265</v>
      </c>
      <c r="E7" s="965">
        <f t="shared" ref="E7:E12" si="0">D7*9.5</f>
        <v>2517.5</v>
      </c>
    </row>
    <row r="8" spans="2:8" ht="15" customHeight="1">
      <c r="B8" s="630" t="s">
        <v>244</v>
      </c>
      <c r="C8" s="630" t="s">
        <v>669</v>
      </c>
      <c r="D8" s="964">
        <v>565</v>
      </c>
      <c r="E8" s="965">
        <f t="shared" si="0"/>
        <v>5367.5</v>
      </c>
    </row>
    <row r="9" spans="2:8" ht="15" customHeight="1">
      <c r="B9" s="973" t="s">
        <v>303</v>
      </c>
      <c r="C9" s="973" t="s">
        <v>26</v>
      </c>
      <c r="D9" s="964">
        <v>869</v>
      </c>
      <c r="E9" s="965">
        <f t="shared" si="0"/>
        <v>8255.5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1699</v>
      </c>
      <c r="E12" s="965">
        <f t="shared" si="0"/>
        <v>16140.5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728</v>
      </c>
      <c r="C17" s="630" t="s">
        <v>669</v>
      </c>
      <c r="D17" s="964">
        <v>236</v>
      </c>
      <c r="E17" s="965">
        <f t="shared" ref="E17:E22" si="1">D17*9.5</f>
        <v>2242</v>
      </c>
    </row>
    <row r="18" spans="2:5" ht="15" customHeight="1">
      <c r="B18" s="630" t="s">
        <v>205</v>
      </c>
      <c r="C18" s="630" t="s">
        <v>669</v>
      </c>
      <c r="D18" s="964">
        <v>230</v>
      </c>
      <c r="E18" s="965">
        <f t="shared" si="1"/>
        <v>2185</v>
      </c>
    </row>
    <row r="19" spans="2:5" ht="14.45" customHeight="1">
      <c r="B19" s="973" t="s">
        <v>840</v>
      </c>
      <c r="C19" s="973" t="s">
        <v>26</v>
      </c>
      <c r="D19" s="964">
        <v>650</v>
      </c>
      <c r="E19" s="965">
        <f t="shared" si="1"/>
        <v>6175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1116</v>
      </c>
      <c r="E22" s="954">
        <f t="shared" si="1"/>
        <v>10602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238</v>
      </c>
      <c r="C27" s="630" t="s">
        <v>669</v>
      </c>
      <c r="D27" s="964">
        <v>257</v>
      </c>
      <c r="E27" s="965">
        <f t="shared" ref="E27:E32" si="2">D27*9.5</f>
        <v>2441.5</v>
      </c>
    </row>
    <row r="28" spans="2:5">
      <c r="B28" s="630" t="s">
        <v>796</v>
      </c>
      <c r="C28" s="630" t="s">
        <v>669</v>
      </c>
      <c r="D28" s="964">
        <v>187</v>
      </c>
      <c r="E28" s="965">
        <f t="shared" si="2"/>
        <v>1776.5</v>
      </c>
    </row>
    <row r="29" spans="2:5">
      <c r="B29" s="973" t="s">
        <v>332</v>
      </c>
      <c r="C29" s="973" t="s">
        <v>26</v>
      </c>
      <c r="D29" s="964">
        <v>424</v>
      </c>
      <c r="E29" s="965">
        <f t="shared" si="2"/>
        <v>4028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868</v>
      </c>
      <c r="E32" s="954">
        <f t="shared" si="2"/>
        <v>8246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1699</v>
      </c>
      <c r="D35" s="956">
        <f>D22</f>
        <v>1116</v>
      </c>
      <c r="E35" s="956">
        <f>D32</f>
        <v>868</v>
      </c>
    </row>
    <row r="36" spans="2:5">
      <c r="B36" s="953" t="s">
        <v>36</v>
      </c>
      <c r="C36" s="951">
        <f>C35*9.5</f>
        <v>16140.5</v>
      </c>
      <c r="D36" s="951">
        <f>D35*9.5</f>
        <v>10602</v>
      </c>
      <c r="E36" s="951">
        <f>E35*9.5</f>
        <v>8246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3683</v>
      </c>
      <c r="D38" s="378" t="s">
        <v>253</v>
      </c>
      <c r="E38" s="381">
        <f>C38*9.5</f>
        <v>34988.5</v>
      </c>
    </row>
    <row r="39" spans="2:5">
      <c r="B39" s="377" t="s">
        <v>197</v>
      </c>
      <c r="C39" s="378">
        <f>C40-C38</f>
        <v>4145</v>
      </c>
      <c r="D39" s="378" t="s">
        <v>204</v>
      </c>
      <c r="E39" s="381">
        <f>C39*9</f>
        <v>37305</v>
      </c>
    </row>
    <row r="40" spans="2:5" ht="19.5">
      <c r="B40" s="941" t="s">
        <v>201</v>
      </c>
      <c r="C40" s="380">
        <v>7828</v>
      </c>
      <c r="D40" s="380" t="s">
        <v>202</v>
      </c>
      <c r="E40" s="379">
        <f>SUM(E38+E39)</f>
        <v>72293.5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37D63-E82D-4272-BF52-78A534A54BAA}">
  <sheetPr codeName="Sheet283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44974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841</v>
      </c>
      <c r="C7" s="630" t="s">
        <v>669</v>
      </c>
      <c r="D7" s="964">
        <v>247</v>
      </c>
      <c r="E7" s="965">
        <f t="shared" ref="E7:E12" si="0">D7*9.5</f>
        <v>2346.5</v>
      </c>
    </row>
    <row r="8" spans="2:8" ht="15" customHeight="1">
      <c r="B8" s="630" t="s">
        <v>329</v>
      </c>
      <c r="C8" s="630" t="s">
        <v>669</v>
      </c>
      <c r="D8" s="964">
        <v>789</v>
      </c>
      <c r="E8" s="965">
        <f t="shared" si="0"/>
        <v>7495.5</v>
      </c>
    </row>
    <row r="9" spans="2:8" ht="15" customHeight="1">
      <c r="B9" s="973" t="s">
        <v>189</v>
      </c>
      <c r="C9" s="973" t="s">
        <v>26</v>
      </c>
      <c r="D9" s="964">
        <v>368</v>
      </c>
      <c r="E9" s="965">
        <f t="shared" si="0"/>
        <v>3496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1404</v>
      </c>
      <c r="E12" s="965">
        <f t="shared" si="0"/>
        <v>13338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250</v>
      </c>
      <c r="C17" s="630" t="s">
        <v>669</v>
      </c>
      <c r="D17" s="964">
        <v>592</v>
      </c>
      <c r="E17" s="965">
        <f t="shared" ref="E17:E22" si="1">D17*9.5</f>
        <v>5624</v>
      </c>
    </row>
    <row r="18" spans="2:5" ht="15" customHeight="1">
      <c r="B18" s="630" t="s">
        <v>70</v>
      </c>
      <c r="C18" s="630" t="s">
        <v>669</v>
      </c>
      <c r="D18" s="964">
        <v>403</v>
      </c>
      <c r="E18" s="965">
        <f t="shared" si="1"/>
        <v>3828.5</v>
      </c>
    </row>
    <row r="19" spans="2:5" ht="14.45" customHeight="1">
      <c r="B19" s="973" t="s">
        <v>696</v>
      </c>
      <c r="C19" s="973" t="s">
        <v>26</v>
      </c>
      <c r="D19" s="964">
        <v>208</v>
      </c>
      <c r="E19" s="965">
        <f t="shared" si="1"/>
        <v>1976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1203</v>
      </c>
      <c r="E22" s="954">
        <f t="shared" si="1"/>
        <v>11428.5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278</v>
      </c>
      <c r="C27" s="630" t="s">
        <v>669</v>
      </c>
      <c r="D27" s="964">
        <v>388</v>
      </c>
      <c r="E27" s="965">
        <f t="shared" ref="E27:E32" si="2">D27*9.5</f>
        <v>3686</v>
      </c>
    </row>
    <row r="28" spans="2:5">
      <c r="B28" s="630" t="s">
        <v>65</v>
      </c>
      <c r="C28" s="630" t="s">
        <v>669</v>
      </c>
      <c r="D28" s="964">
        <v>203</v>
      </c>
      <c r="E28" s="965">
        <f t="shared" si="2"/>
        <v>1928.5</v>
      </c>
    </row>
    <row r="29" spans="2:5">
      <c r="B29" s="973" t="s">
        <v>238</v>
      </c>
      <c r="C29" s="973" t="s">
        <v>26</v>
      </c>
      <c r="D29" s="964">
        <v>135</v>
      </c>
      <c r="E29" s="965">
        <f t="shared" si="2"/>
        <v>1282.5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726</v>
      </c>
      <c r="E32" s="954">
        <f t="shared" si="2"/>
        <v>6897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1404</v>
      </c>
      <c r="D35" s="956">
        <f>D22</f>
        <v>1203</v>
      </c>
      <c r="E35" s="956">
        <f>D32</f>
        <v>726</v>
      </c>
    </row>
    <row r="36" spans="2:5">
      <c r="B36" s="953" t="s">
        <v>36</v>
      </c>
      <c r="C36" s="951">
        <f>C35*9.5</f>
        <v>13338</v>
      </c>
      <c r="D36" s="951">
        <f>D35*9.5</f>
        <v>11428.5</v>
      </c>
      <c r="E36" s="951">
        <f>E35*9.5</f>
        <v>6897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3333</v>
      </c>
      <c r="D38" s="378" t="s">
        <v>253</v>
      </c>
      <c r="E38" s="381">
        <f>C38*9.5</f>
        <v>31663.5</v>
      </c>
    </row>
    <row r="39" spans="2:5">
      <c r="B39" s="377" t="s">
        <v>197</v>
      </c>
      <c r="C39" s="378">
        <f>C40-C38</f>
        <v>3147</v>
      </c>
      <c r="D39" s="378" t="s">
        <v>204</v>
      </c>
      <c r="E39" s="381">
        <f>C39*9</f>
        <v>28323</v>
      </c>
    </row>
    <row r="40" spans="2:5" ht="19.5">
      <c r="B40" s="941" t="s">
        <v>201</v>
      </c>
      <c r="C40" s="380">
        <v>6480</v>
      </c>
      <c r="D40" s="380" t="s">
        <v>202</v>
      </c>
      <c r="E40" s="379">
        <f>SUM(E38+E39)</f>
        <v>59986.5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B4AF-556C-48DD-8F48-0917CF5A1249}">
  <sheetPr codeName="Sheet28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44977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783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0"/>
      <c r="C7" s="630" t="s">
        <v>669</v>
      </c>
      <c r="D7" s="964"/>
      <c r="E7" s="965">
        <f t="shared" ref="E7:E12" si="0">D7*9.5</f>
        <v>0</v>
      </c>
    </row>
    <row r="8" spans="2:8" ht="15" customHeight="1">
      <c r="B8" s="1130"/>
      <c r="C8" s="630" t="s">
        <v>669</v>
      </c>
      <c r="D8" s="964"/>
      <c r="E8" s="965">
        <f t="shared" si="0"/>
        <v>0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0</v>
      </c>
      <c r="E12" s="965">
        <f t="shared" si="0"/>
        <v>0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65</v>
      </c>
      <c r="C17" s="630" t="s">
        <v>669</v>
      </c>
      <c r="D17" s="964">
        <v>532</v>
      </c>
      <c r="E17" s="965">
        <f t="shared" ref="E17:E22" si="1">D17*9.5</f>
        <v>5054</v>
      </c>
    </row>
    <row r="18" spans="2:5" ht="15" customHeight="1">
      <c r="B18" s="630" t="s">
        <v>70</v>
      </c>
      <c r="C18" s="630" t="s">
        <v>669</v>
      </c>
      <c r="D18" s="964">
        <v>576</v>
      </c>
      <c r="E18" s="965">
        <f t="shared" si="1"/>
        <v>5472</v>
      </c>
    </row>
    <row r="19" spans="2:5" ht="14.45" customHeight="1">
      <c r="B19" s="973" t="s">
        <v>728</v>
      </c>
      <c r="C19" s="973" t="s">
        <v>26</v>
      </c>
      <c r="D19" s="964">
        <v>304</v>
      </c>
      <c r="E19" s="965">
        <f t="shared" si="1"/>
        <v>2888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1412</v>
      </c>
      <c r="E22" s="954">
        <f t="shared" si="1"/>
        <v>13414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205</v>
      </c>
      <c r="C27" s="630" t="s">
        <v>669</v>
      </c>
      <c r="D27" s="964">
        <v>179</v>
      </c>
      <c r="E27" s="965">
        <f t="shared" ref="E27:E32" si="2">D27*9.5</f>
        <v>1700.5</v>
      </c>
    </row>
    <row r="28" spans="2:5">
      <c r="B28" s="630" t="s">
        <v>331</v>
      </c>
      <c r="C28" s="630" t="s">
        <v>669</v>
      </c>
      <c r="D28" s="964">
        <v>495</v>
      </c>
      <c r="E28" s="965">
        <f t="shared" si="2"/>
        <v>4702.5</v>
      </c>
    </row>
    <row r="29" spans="2:5">
      <c r="B29" s="973" t="s">
        <v>281</v>
      </c>
      <c r="C29" s="973" t="s">
        <v>26</v>
      </c>
      <c r="D29" s="964">
        <v>367</v>
      </c>
      <c r="E29" s="965">
        <f t="shared" si="2"/>
        <v>3486.5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1041</v>
      </c>
      <c r="E32" s="954">
        <f t="shared" si="2"/>
        <v>9889.5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0</v>
      </c>
      <c r="D35" s="956">
        <f>D22</f>
        <v>1412</v>
      </c>
      <c r="E35" s="956">
        <f>D32</f>
        <v>1041</v>
      </c>
    </row>
    <row r="36" spans="2:5">
      <c r="B36" s="953" t="s">
        <v>36</v>
      </c>
      <c r="C36" s="951">
        <f>C35*9.5</f>
        <v>0</v>
      </c>
      <c r="D36" s="951">
        <f>D35*9.5</f>
        <v>13414</v>
      </c>
      <c r="E36" s="951">
        <f>E35*9.5</f>
        <v>9889.5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2453</v>
      </c>
      <c r="D38" s="378" t="s">
        <v>253</v>
      </c>
      <c r="E38" s="381">
        <f>C38*9.5</f>
        <v>23303.5</v>
      </c>
    </row>
    <row r="39" spans="2:5">
      <c r="B39" s="377" t="s">
        <v>197</v>
      </c>
      <c r="C39" s="378">
        <f>C40-C38</f>
        <v>149</v>
      </c>
      <c r="D39" s="378" t="s">
        <v>204</v>
      </c>
      <c r="E39" s="381">
        <f>C39*9</f>
        <v>1341</v>
      </c>
    </row>
    <row r="40" spans="2:5" ht="19.5">
      <c r="B40" s="941" t="s">
        <v>201</v>
      </c>
      <c r="C40" s="380">
        <v>2602</v>
      </c>
      <c r="D40" s="380" t="s">
        <v>202</v>
      </c>
      <c r="E40" s="379">
        <f>SUM(E38+E39)</f>
        <v>24644.5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9C41-2B71-4AD7-B8F1-4936234F4BD6}">
  <sheetPr codeName="Sheet28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44978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314</v>
      </c>
      <c r="C7" s="630" t="s">
        <v>669</v>
      </c>
      <c r="D7" s="964">
        <v>382</v>
      </c>
      <c r="E7" s="965">
        <f t="shared" ref="E7:E12" si="0">D7*9.5</f>
        <v>3629</v>
      </c>
    </row>
    <row r="8" spans="2:8" ht="15" customHeight="1">
      <c r="B8" s="630" t="s">
        <v>329</v>
      </c>
      <c r="C8" s="630" t="s">
        <v>669</v>
      </c>
      <c r="D8" s="964">
        <v>777</v>
      </c>
      <c r="E8" s="965">
        <f t="shared" si="0"/>
        <v>7381.5</v>
      </c>
    </row>
    <row r="9" spans="2:8" ht="15" customHeight="1">
      <c r="B9" s="973" t="s">
        <v>303</v>
      </c>
      <c r="C9" s="973" t="s">
        <v>26</v>
      </c>
      <c r="D9" s="964">
        <v>878</v>
      </c>
      <c r="E9" s="965">
        <f t="shared" si="0"/>
        <v>8341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2037</v>
      </c>
      <c r="E12" s="965">
        <f t="shared" si="0"/>
        <v>19351.5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696</v>
      </c>
      <c r="C17" s="630" t="s">
        <v>669</v>
      </c>
      <c r="D17" s="964">
        <v>332</v>
      </c>
      <c r="E17" s="965">
        <f t="shared" ref="E17:E22" si="1">D17*9.5</f>
        <v>3154</v>
      </c>
    </row>
    <row r="18" spans="2:5" ht="15" customHeight="1">
      <c r="B18" s="630" t="s">
        <v>250</v>
      </c>
      <c r="C18" s="630" t="s">
        <v>669</v>
      </c>
      <c r="D18" s="964">
        <v>765</v>
      </c>
      <c r="E18" s="965">
        <f t="shared" si="1"/>
        <v>7267.5</v>
      </c>
    </row>
    <row r="19" spans="2:5" ht="14.45" customHeight="1">
      <c r="B19" s="973" t="s">
        <v>12</v>
      </c>
      <c r="C19" s="973" t="s">
        <v>26</v>
      </c>
      <c r="D19" s="964">
        <v>428</v>
      </c>
      <c r="E19" s="965">
        <f t="shared" si="1"/>
        <v>4066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1525</v>
      </c>
      <c r="E22" s="954">
        <f t="shared" si="1"/>
        <v>14487.5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678</v>
      </c>
      <c r="C27" s="630" t="s">
        <v>669</v>
      </c>
      <c r="D27" s="964">
        <v>322</v>
      </c>
      <c r="E27" s="965">
        <f t="shared" ref="E27:E32" si="2">D27*9.5</f>
        <v>3059</v>
      </c>
    </row>
    <row r="28" spans="2:5">
      <c r="B28" s="630" t="s">
        <v>235</v>
      </c>
      <c r="C28" s="630" t="s">
        <v>669</v>
      </c>
      <c r="D28" s="964">
        <v>449</v>
      </c>
      <c r="E28" s="965">
        <f t="shared" si="2"/>
        <v>4265.5</v>
      </c>
    </row>
    <row r="29" spans="2:5">
      <c r="B29" s="973" t="s">
        <v>239</v>
      </c>
      <c r="C29" s="973" t="s">
        <v>26</v>
      </c>
      <c r="D29" s="964">
        <v>173</v>
      </c>
      <c r="E29" s="965">
        <f t="shared" si="2"/>
        <v>1643.5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944</v>
      </c>
      <c r="E32" s="954">
        <f t="shared" si="2"/>
        <v>8968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2037</v>
      </c>
      <c r="D35" s="956">
        <f>D22</f>
        <v>1525</v>
      </c>
      <c r="E35" s="956">
        <f>D32</f>
        <v>944</v>
      </c>
    </row>
    <row r="36" spans="2:5">
      <c r="B36" s="953" t="s">
        <v>36</v>
      </c>
      <c r="C36" s="951">
        <f>C35*9.5</f>
        <v>19351.5</v>
      </c>
      <c r="D36" s="951">
        <f>D35*9.5</f>
        <v>14487.5</v>
      </c>
      <c r="E36" s="951">
        <f>E35*9.5</f>
        <v>8968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4506</v>
      </c>
      <c r="D38" s="378" t="s">
        <v>253</v>
      </c>
      <c r="E38" s="381">
        <f>C38*9.5</f>
        <v>42807</v>
      </c>
    </row>
    <row r="39" spans="2:5">
      <c r="B39" s="377" t="s">
        <v>197</v>
      </c>
      <c r="C39" s="378">
        <f>C40-C38</f>
        <v>3992</v>
      </c>
      <c r="D39" s="378" t="s">
        <v>204</v>
      </c>
      <c r="E39" s="381">
        <f>C39*9</f>
        <v>35928</v>
      </c>
    </row>
    <row r="40" spans="2:5" ht="19.5">
      <c r="B40" s="941" t="s">
        <v>201</v>
      </c>
      <c r="C40" s="380">
        <v>8498</v>
      </c>
      <c r="D40" s="380" t="s">
        <v>202</v>
      </c>
      <c r="E40" s="379">
        <f>SUM(E38+E39)</f>
        <v>78735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37A12-1EB2-4EAD-9D5B-1BB1B9AD4EA2}">
  <sheetPr codeName="Sheet28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44979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252</v>
      </c>
      <c r="C7" s="630" t="s">
        <v>669</v>
      </c>
      <c r="D7" s="964">
        <v>300</v>
      </c>
      <c r="E7" s="965">
        <f t="shared" ref="E7:E12" si="0">D7*9.5</f>
        <v>2850</v>
      </c>
    </row>
    <row r="8" spans="2:8" ht="15" customHeight="1">
      <c r="B8" s="630" t="s">
        <v>802</v>
      </c>
      <c r="C8" s="630" t="s">
        <v>669</v>
      </c>
      <c r="D8" s="964">
        <v>604</v>
      </c>
      <c r="E8" s="965">
        <f t="shared" si="0"/>
        <v>5738</v>
      </c>
    </row>
    <row r="9" spans="2:8" ht="15" customHeight="1">
      <c r="B9" s="973" t="s">
        <v>256</v>
      </c>
      <c r="C9" s="973" t="s">
        <v>26</v>
      </c>
      <c r="D9" s="964">
        <v>248</v>
      </c>
      <c r="E9" s="965">
        <f t="shared" si="0"/>
        <v>2356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1152</v>
      </c>
      <c r="E12" s="965">
        <f t="shared" si="0"/>
        <v>10944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189</v>
      </c>
      <c r="C17" s="630" t="s">
        <v>669</v>
      </c>
      <c r="D17" s="964">
        <v>456</v>
      </c>
      <c r="E17" s="965">
        <f t="shared" ref="E17:E22" si="1">D17*9.5</f>
        <v>4332</v>
      </c>
    </row>
    <row r="18" spans="2:5" ht="15" customHeight="1">
      <c r="B18" s="630" t="s">
        <v>271</v>
      </c>
      <c r="C18" s="630" t="s">
        <v>669</v>
      </c>
      <c r="D18" s="964">
        <v>438</v>
      </c>
      <c r="E18" s="965">
        <f t="shared" si="1"/>
        <v>4161</v>
      </c>
    </row>
    <row r="19" spans="2:5" ht="14.45" customHeight="1">
      <c r="B19" s="973" t="s">
        <v>65</v>
      </c>
      <c r="C19" s="973" t="s">
        <v>26</v>
      </c>
      <c r="D19" s="964">
        <v>363</v>
      </c>
      <c r="E19" s="965">
        <f t="shared" si="1"/>
        <v>3448.5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1257</v>
      </c>
      <c r="E22" s="954">
        <f t="shared" si="1"/>
        <v>11941.5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65</v>
      </c>
      <c r="C27" s="630" t="s">
        <v>669</v>
      </c>
      <c r="D27" s="964">
        <v>229</v>
      </c>
      <c r="E27" s="965">
        <f t="shared" ref="E27:E32" si="2">D27*9.5</f>
        <v>2175.5</v>
      </c>
    </row>
    <row r="28" spans="2:5">
      <c r="B28" s="630" t="s">
        <v>278</v>
      </c>
      <c r="C28" s="630" t="s">
        <v>669</v>
      </c>
      <c r="D28" s="964">
        <v>468</v>
      </c>
      <c r="E28" s="965">
        <f t="shared" si="2"/>
        <v>4446</v>
      </c>
    </row>
    <row r="29" spans="2:5">
      <c r="B29" s="973" t="s">
        <v>12</v>
      </c>
      <c r="C29" s="973" t="s">
        <v>26</v>
      </c>
      <c r="D29" s="964">
        <v>275</v>
      </c>
      <c r="E29" s="965">
        <f t="shared" si="2"/>
        <v>2612.5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972</v>
      </c>
      <c r="E32" s="954">
        <f t="shared" si="2"/>
        <v>9234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1152</v>
      </c>
      <c r="D35" s="956">
        <f>D22</f>
        <v>1257</v>
      </c>
      <c r="E35" s="956">
        <f>D32</f>
        <v>972</v>
      </c>
    </row>
    <row r="36" spans="2:5">
      <c r="B36" s="953" t="s">
        <v>36</v>
      </c>
      <c r="C36" s="951">
        <f>C35*9.5</f>
        <v>10944</v>
      </c>
      <c r="D36" s="951">
        <f>D35*9.5</f>
        <v>11941.5</v>
      </c>
      <c r="E36" s="951">
        <f>E35*9.5</f>
        <v>9234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3381</v>
      </c>
      <c r="D38" s="378" t="s">
        <v>253</v>
      </c>
      <c r="E38" s="381">
        <f>C38*9.5</f>
        <v>32119.5</v>
      </c>
    </row>
    <row r="39" spans="2:5">
      <c r="B39" s="377" t="s">
        <v>197</v>
      </c>
      <c r="C39" s="378">
        <f>C40-C38</f>
        <v>4418</v>
      </c>
      <c r="D39" s="378" t="s">
        <v>204</v>
      </c>
      <c r="E39" s="381">
        <f>C39*9</f>
        <v>39762</v>
      </c>
    </row>
    <row r="40" spans="2:5" ht="19.5">
      <c r="B40" s="941" t="s">
        <v>201</v>
      </c>
      <c r="C40" s="380">
        <v>7799</v>
      </c>
      <c r="D40" s="380" t="s">
        <v>202</v>
      </c>
      <c r="E40" s="379">
        <f>SUM(E38+E39)</f>
        <v>71881.5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7762-F67E-47E0-A007-EEAE907CCE63}">
  <sheetPr codeName="Sheet28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44980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78</v>
      </c>
      <c r="C7" s="630" t="s">
        <v>669</v>
      </c>
      <c r="D7" s="964">
        <v>487</v>
      </c>
      <c r="E7" s="965">
        <f t="shared" ref="E7:E12" si="0">D7*9.5</f>
        <v>4626.5</v>
      </c>
    </row>
    <row r="8" spans="2:8" ht="15" customHeight="1">
      <c r="B8" s="630" t="s">
        <v>329</v>
      </c>
      <c r="C8" s="630" t="s">
        <v>669</v>
      </c>
      <c r="D8" s="964">
        <v>737</v>
      </c>
      <c r="E8" s="965">
        <f t="shared" si="0"/>
        <v>7001.5</v>
      </c>
    </row>
    <row r="9" spans="2:8" ht="15" customHeight="1">
      <c r="B9" s="973" t="s">
        <v>65</v>
      </c>
      <c r="C9" s="973" t="s">
        <v>26</v>
      </c>
      <c r="D9" s="964">
        <v>406</v>
      </c>
      <c r="E9" s="965">
        <f t="shared" si="0"/>
        <v>3857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1630</v>
      </c>
      <c r="E12" s="965">
        <f t="shared" si="0"/>
        <v>15485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45</v>
      </c>
      <c r="C17" s="630" t="s">
        <v>669</v>
      </c>
      <c r="D17" s="964">
        <v>230</v>
      </c>
      <c r="E17" s="965">
        <f t="shared" ref="E17:E22" si="1">D17*9.5</f>
        <v>2185</v>
      </c>
    </row>
    <row r="18" spans="2:5" ht="15" customHeight="1">
      <c r="B18" s="630" t="s">
        <v>244</v>
      </c>
      <c r="C18" s="630" t="s">
        <v>669</v>
      </c>
      <c r="D18" s="964">
        <v>653</v>
      </c>
      <c r="E18" s="965">
        <f t="shared" si="1"/>
        <v>6203.5</v>
      </c>
    </row>
    <row r="19" spans="2:5" ht="14.45" customHeight="1">
      <c r="B19" s="973" t="s">
        <v>303</v>
      </c>
      <c r="C19" s="973" t="s">
        <v>26</v>
      </c>
      <c r="D19" s="964">
        <v>937</v>
      </c>
      <c r="E19" s="965">
        <f t="shared" si="1"/>
        <v>8901.5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1820</v>
      </c>
      <c r="E22" s="954">
        <f t="shared" si="1"/>
        <v>17290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45</v>
      </c>
      <c r="C27" s="630" t="s">
        <v>669</v>
      </c>
      <c r="D27" s="964">
        <v>454</v>
      </c>
      <c r="E27" s="965">
        <f t="shared" ref="E27:E32" si="2">D27*9.5</f>
        <v>4313</v>
      </c>
    </row>
    <row r="28" spans="2:5">
      <c r="B28" s="630" t="s">
        <v>235</v>
      </c>
      <c r="C28" s="630" t="s">
        <v>669</v>
      </c>
      <c r="D28" s="964">
        <v>484</v>
      </c>
      <c r="E28" s="965">
        <f t="shared" si="2"/>
        <v>4598</v>
      </c>
    </row>
    <row r="29" spans="2:5">
      <c r="B29" s="973" t="s">
        <v>238</v>
      </c>
      <c r="C29" s="973" t="s">
        <v>26</v>
      </c>
      <c r="D29" s="964">
        <v>203</v>
      </c>
      <c r="E29" s="965">
        <f t="shared" si="2"/>
        <v>1928.5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1141</v>
      </c>
      <c r="E32" s="954">
        <f t="shared" si="2"/>
        <v>10839.5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1630</v>
      </c>
      <c r="D35" s="956">
        <f>D22</f>
        <v>1820</v>
      </c>
      <c r="E35" s="956">
        <f>D32</f>
        <v>1141</v>
      </c>
    </row>
    <row r="36" spans="2:5">
      <c r="B36" s="953" t="s">
        <v>36</v>
      </c>
      <c r="C36" s="951">
        <f>C35*9.5</f>
        <v>15485</v>
      </c>
      <c r="D36" s="951">
        <f>D35*9.5</f>
        <v>17290</v>
      </c>
      <c r="E36" s="951">
        <f>E35*9.5</f>
        <v>10839.5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4591</v>
      </c>
      <c r="D38" s="378" t="s">
        <v>253</v>
      </c>
      <c r="E38" s="381">
        <f>C38*9.5</f>
        <v>43614.5</v>
      </c>
    </row>
    <row r="39" spans="2:5">
      <c r="B39" s="377" t="s">
        <v>197</v>
      </c>
      <c r="C39" s="378">
        <f>C40-C38</f>
        <v>3865</v>
      </c>
      <c r="D39" s="378" t="s">
        <v>204</v>
      </c>
      <c r="E39" s="381">
        <f>C39*9</f>
        <v>34785</v>
      </c>
    </row>
    <row r="40" spans="2:5" ht="19.5">
      <c r="B40" s="941" t="s">
        <v>201</v>
      </c>
      <c r="C40" s="380">
        <v>8456</v>
      </c>
      <c r="D40" s="380" t="s">
        <v>202</v>
      </c>
      <c r="E40" s="379">
        <f>SUM(E38+E39)</f>
        <v>78399.5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B802E-5E82-4E66-B71F-637403711B66}">
  <sheetPr codeName="Sheet28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44981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332</v>
      </c>
      <c r="C7" s="630" t="s">
        <v>669</v>
      </c>
      <c r="D7" s="964">
        <v>594</v>
      </c>
      <c r="E7" s="965">
        <f t="shared" ref="E7:E12" si="0">D7*9.5</f>
        <v>5643</v>
      </c>
    </row>
    <row r="8" spans="2:8" ht="15" customHeight="1">
      <c r="B8" s="630" t="s">
        <v>239</v>
      </c>
      <c r="C8" s="630" t="s">
        <v>669</v>
      </c>
      <c r="D8" s="964">
        <v>278</v>
      </c>
      <c r="E8" s="965">
        <f t="shared" si="0"/>
        <v>2641</v>
      </c>
    </row>
    <row r="9" spans="2:8" ht="15" customHeight="1">
      <c r="B9" s="973" t="s">
        <v>44</v>
      </c>
      <c r="C9" s="973" t="s">
        <v>26</v>
      </c>
      <c r="D9" s="964">
        <v>251</v>
      </c>
      <c r="E9" s="965">
        <f t="shared" si="0"/>
        <v>2384.5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1123</v>
      </c>
      <c r="E12" s="965">
        <f t="shared" si="0"/>
        <v>10668.5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630" t="s">
        <v>82</v>
      </c>
      <c r="C17" s="630" t="s">
        <v>669</v>
      </c>
      <c r="D17" s="964">
        <v>272</v>
      </c>
      <c r="E17" s="965">
        <f t="shared" ref="E17:E22" si="1">D17*9.5</f>
        <v>2584</v>
      </c>
    </row>
    <row r="18" spans="2:6" ht="15" customHeight="1">
      <c r="B18" s="630" t="s">
        <v>332</v>
      </c>
      <c r="C18" s="630" t="s">
        <v>669</v>
      </c>
      <c r="D18" s="964">
        <v>351</v>
      </c>
      <c r="E18" s="965">
        <f t="shared" si="1"/>
        <v>3334.5</v>
      </c>
    </row>
    <row r="19" spans="2:6" ht="14.45" customHeight="1">
      <c r="B19" s="973" t="s">
        <v>238</v>
      </c>
      <c r="C19" s="973" t="s">
        <v>26</v>
      </c>
      <c r="D19" s="964">
        <v>192</v>
      </c>
      <c r="E19" s="965">
        <f t="shared" si="1"/>
        <v>1824</v>
      </c>
    </row>
    <row r="20" spans="2:6" ht="14.45" customHeight="1">
      <c r="B20" s="972"/>
      <c r="C20" s="973" t="s">
        <v>26</v>
      </c>
      <c r="D20" s="964"/>
      <c r="E20" s="965">
        <f t="shared" si="1"/>
        <v>0</v>
      </c>
    </row>
    <row r="21" spans="2:6" ht="14.45" customHeight="1">
      <c r="B21" s="1063"/>
      <c r="C21" s="975" t="s">
        <v>681</v>
      </c>
      <c r="D21" s="964"/>
      <c r="E21" s="965">
        <f t="shared" si="1"/>
        <v>0</v>
      </c>
    </row>
    <row r="22" spans="2:6" ht="14.45" customHeight="1">
      <c r="B22" s="1269" t="s">
        <v>24</v>
      </c>
      <c r="C22" s="1270"/>
      <c r="D22" s="964">
        <f>SUM(D17:D21)</f>
        <v>815</v>
      </c>
      <c r="E22" s="954">
        <f t="shared" si="1"/>
        <v>7742.5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165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630" t="s">
        <v>845</v>
      </c>
      <c r="C27" s="630" t="s">
        <v>669</v>
      </c>
      <c r="D27" s="964">
        <v>151</v>
      </c>
      <c r="E27" s="965">
        <f t="shared" ref="E27:E32" si="2">D27*9.5</f>
        <v>1434.5</v>
      </c>
    </row>
    <row r="28" spans="2:6">
      <c r="B28" s="630" t="s">
        <v>851</v>
      </c>
      <c r="C28" s="630" t="s">
        <v>669</v>
      </c>
      <c r="D28" s="964"/>
      <c r="E28" s="965">
        <f t="shared" si="2"/>
        <v>0</v>
      </c>
      <c r="F28" s="934" t="s">
        <v>722</v>
      </c>
    </row>
    <row r="29" spans="2:6">
      <c r="B29" s="973" t="s">
        <v>252</v>
      </c>
      <c r="C29" s="973" t="s">
        <v>26</v>
      </c>
      <c r="D29" s="964">
        <v>154</v>
      </c>
      <c r="E29" s="965">
        <f t="shared" si="2"/>
        <v>1463</v>
      </c>
    </row>
    <row r="30" spans="2:6">
      <c r="B30" s="972"/>
      <c r="C30" s="975" t="s">
        <v>26</v>
      </c>
      <c r="D30" s="964"/>
      <c r="E30" s="965">
        <f t="shared" si="2"/>
        <v>0</v>
      </c>
    </row>
    <row r="31" spans="2:6">
      <c r="B31" s="1128"/>
      <c r="C31" s="975" t="s">
        <v>667</v>
      </c>
      <c r="D31" s="964"/>
      <c r="E31" s="965">
        <f t="shared" si="2"/>
        <v>0</v>
      </c>
    </row>
    <row r="32" spans="2:6" ht="20.100000000000001" customHeight="1">
      <c r="B32" s="1259" t="s">
        <v>24</v>
      </c>
      <c r="C32" s="1259"/>
      <c r="D32" s="964">
        <f>SUM(D27:D31)</f>
        <v>305</v>
      </c>
      <c r="E32" s="954">
        <f t="shared" si="2"/>
        <v>2897.5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1123</v>
      </c>
      <c r="D35" s="956">
        <f>D22</f>
        <v>815</v>
      </c>
      <c r="E35" s="956">
        <f>D32</f>
        <v>305</v>
      </c>
    </row>
    <row r="36" spans="2:5">
      <c r="B36" s="953" t="s">
        <v>36</v>
      </c>
      <c r="C36" s="951">
        <f>C35*9.5</f>
        <v>10668.5</v>
      </c>
      <c r="D36" s="951">
        <f>D35*9.5</f>
        <v>7742.5</v>
      </c>
      <c r="E36" s="951">
        <f>E35*9.5</f>
        <v>2897.5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2243</v>
      </c>
      <c r="D38" s="378" t="s">
        <v>253</v>
      </c>
      <c r="E38" s="381">
        <f>C38*9.5</f>
        <v>21308.5</v>
      </c>
    </row>
    <row r="39" spans="2:5">
      <c r="B39" s="377" t="s">
        <v>197</v>
      </c>
      <c r="C39" s="378">
        <f>C40-C38</f>
        <v>2604</v>
      </c>
      <c r="D39" s="378" t="s">
        <v>204</v>
      </c>
      <c r="E39" s="381">
        <f>C39*9</f>
        <v>23436</v>
      </c>
    </row>
    <row r="40" spans="2:5" ht="19.5">
      <c r="B40" s="941" t="s">
        <v>201</v>
      </c>
      <c r="C40" s="380">
        <v>4847</v>
      </c>
      <c r="D40" s="380" t="s">
        <v>202</v>
      </c>
      <c r="E40" s="379">
        <f>SUM(E38+E39)</f>
        <v>44744.5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C2A5-7309-4D2F-AC20-E610314B6592}">
  <sheetPr codeName="Sheet28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44982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300</v>
      </c>
      <c r="C7" s="630" t="s">
        <v>669</v>
      </c>
      <c r="D7" s="964">
        <v>555</v>
      </c>
      <c r="E7" s="965">
        <f t="shared" ref="E7:E12" si="0">D7*9.5</f>
        <v>5272.5</v>
      </c>
    </row>
    <row r="8" spans="2:8" ht="15" customHeight="1">
      <c r="B8" s="630" t="s">
        <v>829</v>
      </c>
      <c r="C8" s="630" t="s">
        <v>669</v>
      </c>
      <c r="D8" s="964"/>
      <c r="E8" s="965">
        <f t="shared" si="0"/>
        <v>0</v>
      </c>
      <c r="F8" s="934" t="s">
        <v>722</v>
      </c>
    </row>
    <row r="9" spans="2:8" ht="15" customHeight="1">
      <c r="B9" s="973" t="s">
        <v>329</v>
      </c>
      <c r="C9" s="973" t="s">
        <v>26</v>
      </c>
      <c r="D9" s="964">
        <v>743</v>
      </c>
      <c r="E9" s="965">
        <f t="shared" si="0"/>
        <v>7058.5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1298</v>
      </c>
      <c r="E12" s="965">
        <f t="shared" si="0"/>
        <v>12331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301</v>
      </c>
      <c r="C17" s="630" t="s">
        <v>669</v>
      </c>
      <c r="D17" s="964">
        <v>409</v>
      </c>
      <c r="E17" s="965">
        <f t="shared" ref="E17:E22" si="1">D17*9.5</f>
        <v>3885.5</v>
      </c>
    </row>
    <row r="18" spans="2:5" ht="15" customHeight="1">
      <c r="B18" s="630" t="s">
        <v>239</v>
      </c>
      <c r="C18" s="630" t="s">
        <v>669</v>
      </c>
      <c r="D18" s="964">
        <v>355</v>
      </c>
      <c r="E18" s="965">
        <f t="shared" si="1"/>
        <v>3372.5</v>
      </c>
    </row>
    <row r="19" spans="2:5" ht="14.45" customHeight="1">
      <c r="B19" s="973" t="s">
        <v>281</v>
      </c>
      <c r="C19" s="973" t="s">
        <v>26</v>
      </c>
      <c r="D19" s="964">
        <v>472</v>
      </c>
      <c r="E19" s="965">
        <f t="shared" si="1"/>
        <v>4484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1236</v>
      </c>
      <c r="E22" s="954">
        <f t="shared" si="1"/>
        <v>11742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847</v>
      </c>
      <c r="C27" s="630" t="s">
        <v>669</v>
      </c>
      <c r="D27" s="964">
        <v>308</v>
      </c>
      <c r="E27" s="965">
        <f t="shared" ref="E27:E32" si="2">D27*9.5</f>
        <v>2926</v>
      </c>
    </row>
    <row r="28" spans="2:5">
      <c r="B28" s="630" t="s">
        <v>846</v>
      </c>
      <c r="C28" s="630" t="s">
        <v>669</v>
      </c>
      <c r="D28" s="964">
        <v>344</v>
      </c>
      <c r="E28" s="965">
        <f t="shared" si="2"/>
        <v>3268</v>
      </c>
    </row>
    <row r="29" spans="2:5">
      <c r="B29" s="973" t="s">
        <v>250</v>
      </c>
      <c r="C29" s="973" t="s">
        <v>26</v>
      </c>
      <c r="D29" s="964">
        <v>417</v>
      </c>
      <c r="E29" s="965">
        <f t="shared" si="2"/>
        <v>3961.5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1069</v>
      </c>
      <c r="E32" s="954">
        <f t="shared" si="2"/>
        <v>10155.5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1298</v>
      </c>
      <c r="D35" s="956">
        <f>D22</f>
        <v>1236</v>
      </c>
      <c r="E35" s="956">
        <f>D32</f>
        <v>1069</v>
      </c>
    </row>
    <row r="36" spans="2:5">
      <c r="B36" s="953" t="s">
        <v>36</v>
      </c>
      <c r="C36" s="951">
        <f>C35*9.5</f>
        <v>12331</v>
      </c>
      <c r="D36" s="951">
        <f>D35*9.5</f>
        <v>11742</v>
      </c>
      <c r="E36" s="951">
        <f>E35*9.5</f>
        <v>10155.5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3603</v>
      </c>
      <c r="D38" s="378" t="s">
        <v>253</v>
      </c>
      <c r="E38" s="381">
        <f>C38*9.5</f>
        <v>34228.5</v>
      </c>
    </row>
    <row r="39" spans="2:5">
      <c r="B39" s="377" t="s">
        <v>197</v>
      </c>
      <c r="C39" s="378">
        <f>C40-C38</f>
        <v>177</v>
      </c>
      <c r="D39" s="378" t="s">
        <v>204</v>
      </c>
      <c r="E39" s="381">
        <f>C39*9</f>
        <v>1593</v>
      </c>
    </row>
    <row r="40" spans="2:5" ht="19.5">
      <c r="B40" s="941" t="s">
        <v>201</v>
      </c>
      <c r="C40" s="380">
        <v>3780</v>
      </c>
      <c r="D40" s="380" t="s">
        <v>202</v>
      </c>
      <c r="E40" s="379">
        <f>SUM(E38+E39)</f>
        <v>35821.5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34E06-5532-40C8-9A35-FCB88FD92D4D}">
  <sheetPr codeName="Sheet29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44983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329</v>
      </c>
      <c r="C7" s="630" t="s">
        <v>669</v>
      </c>
      <c r="D7" s="964">
        <v>892</v>
      </c>
      <c r="E7" s="965">
        <f t="shared" ref="E7:E12" si="0">D7*9.5</f>
        <v>8474</v>
      </c>
    </row>
    <row r="8" spans="2:8" ht="15" customHeight="1">
      <c r="B8" s="630" t="s">
        <v>252</v>
      </c>
      <c r="C8" s="630" t="s">
        <v>669</v>
      </c>
      <c r="D8" s="964">
        <v>341</v>
      </c>
      <c r="E8" s="965">
        <f t="shared" si="0"/>
        <v>3239.5</v>
      </c>
    </row>
    <row r="9" spans="2:8" ht="15" customHeight="1">
      <c r="B9" s="973" t="s">
        <v>279</v>
      </c>
      <c r="C9" s="973" t="s">
        <v>26</v>
      </c>
      <c r="D9" s="964">
        <v>650</v>
      </c>
      <c r="E9" s="965">
        <f t="shared" si="0"/>
        <v>6175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1883</v>
      </c>
      <c r="E12" s="965">
        <f t="shared" si="0"/>
        <v>17888.5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271</v>
      </c>
      <c r="C17" s="630" t="s">
        <v>669</v>
      </c>
      <c r="D17" s="964">
        <v>480</v>
      </c>
      <c r="E17" s="965">
        <f t="shared" ref="E17:E22" si="1">D17*9.5</f>
        <v>4560</v>
      </c>
    </row>
    <row r="18" spans="2:5" ht="15" customHeight="1">
      <c r="B18" s="630" t="s">
        <v>696</v>
      </c>
      <c r="C18" s="630" t="s">
        <v>669</v>
      </c>
      <c r="D18" s="964">
        <v>421</v>
      </c>
      <c r="E18" s="965">
        <f t="shared" si="1"/>
        <v>3999.5</v>
      </c>
    </row>
    <row r="19" spans="2:5" ht="14.45" customHeight="1">
      <c r="B19" s="973" t="s">
        <v>300</v>
      </c>
      <c r="C19" s="973" t="s">
        <v>26</v>
      </c>
      <c r="D19" s="964">
        <v>527</v>
      </c>
      <c r="E19" s="965">
        <f t="shared" si="1"/>
        <v>5006.5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1428</v>
      </c>
      <c r="E22" s="954">
        <f t="shared" si="1"/>
        <v>13566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44</v>
      </c>
      <c r="C27" s="630" t="s">
        <v>669</v>
      </c>
      <c r="D27" s="964">
        <v>273</v>
      </c>
      <c r="E27" s="965">
        <f t="shared" ref="E27:E32" si="2">D27*9.5</f>
        <v>2593.5</v>
      </c>
    </row>
    <row r="28" spans="2:5">
      <c r="B28" s="630" t="s">
        <v>235</v>
      </c>
      <c r="C28" s="630" t="s">
        <v>669</v>
      </c>
      <c r="D28" s="964">
        <v>538</v>
      </c>
      <c r="E28" s="965">
        <f t="shared" si="2"/>
        <v>5111</v>
      </c>
    </row>
    <row r="29" spans="2:5">
      <c r="B29" s="973" t="s">
        <v>12</v>
      </c>
      <c r="C29" s="973" t="s">
        <v>26</v>
      </c>
      <c r="D29" s="964">
        <v>401</v>
      </c>
      <c r="E29" s="965">
        <f t="shared" si="2"/>
        <v>3809.5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1212</v>
      </c>
      <c r="E32" s="954">
        <f t="shared" si="2"/>
        <v>11514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1883</v>
      </c>
      <c r="D35" s="956">
        <f>D22</f>
        <v>1428</v>
      </c>
      <c r="E35" s="956">
        <f>D32</f>
        <v>1212</v>
      </c>
    </row>
    <row r="36" spans="2:5">
      <c r="B36" s="953" t="s">
        <v>36</v>
      </c>
      <c r="C36" s="951">
        <f>C35*9.5</f>
        <v>17888.5</v>
      </c>
      <c r="D36" s="951">
        <f>D35*9.5</f>
        <v>13566</v>
      </c>
      <c r="E36" s="951">
        <f>E35*9.5</f>
        <v>11514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4523</v>
      </c>
      <c r="D38" s="378" t="s">
        <v>253</v>
      </c>
      <c r="E38" s="381">
        <f>C38*9.5</f>
        <v>42968.5</v>
      </c>
    </row>
    <row r="39" spans="2:5">
      <c r="B39" s="377" t="s">
        <v>197</v>
      </c>
      <c r="C39" s="378">
        <f>C40-C38</f>
        <v>295</v>
      </c>
      <c r="D39" s="378" t="s">
        <v>204</v>
      </c>
      <c r="E39" s="381">
        <f>C39*9</f>
        <v>2655</v>
      </c>
    </row>
    <row r="40" spans="2:5" ht="19.5">
      <c r="B40" s="941" t="s">
        <v>201</v>
      </c>
      <c r="C40" s="380">
        <v>4818</v>
      </c>
      <c r="D40" s="380" t="s">
        <v>202</v>
      </c>
      <c r="E40" s="379">
        <f>SUM(E38+E39)</f>
        <v>45623.5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48086-72DF-4675-870A-C742A5235816}">
  <sheetPr codeName="Sheet29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44984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329</v>
      </c>
      <c r="C7" s="630" t="s">
        <v>669</v>
      </c>
      <c r="D7" s="964">
        <v>679</v>
      </c>
      <c r="E7" s="965">
        <f t="shared" ref="E7:E12" si="0">D7*9.5</f>
        <v>6450.5</v>
      </c>
    </row>
    <row r="8" spans="2:8" ht="15" customHeight="1">
      <c r="B8" s="630" t="s">
        <v>271</v>
      </c>
      <c r="C8" s="630" t="s">
        <v>669</v>
      </c>
      <c r="D8" s="964">
        <v>400</v>
      </c>
      <c r="E8" s="965">
        <f t="shared" si="0"/>
        <v>3800</v>
      </c>
    </row>
    <row r="9" spans="2:8" ht="15" customHeight="1">
      <c r="B9" s="973" t="s">
        <v>281</v>
      </c>
      <c r="C9" s="973" t="s">
        <v>26</v>
      </c>
      <c r="D9" s="964">
        <v>390</v>
      </c>
      <c r="E9" s="965">
        <f t="shared" si="0"/>
        <v>3705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1469</v>
      </c>
      <c r="E12" s="965">
        <f t="shared" si="0"/>
        <v>13955.5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250</v>
      </c>
      <c r="C17" s="630" t="s">
        <v>669</v>
      </c>
      <c r="D17" s="964">
        <v>766</v>
      </c>
      <c r="E17" s="965">
        <f t="shared" ref="E17:E22" si="1">D17*9.5</f>
        <v>7277</v>
      </c>
    </row>
    <row r="18" spans="2:5" ht="15" customHeight="1">
      <c r="B18" s="630" t="s">
        <v>205</v>
      </c>
      <c r="C18" s="630" t="s">
        <v>669</v>
      </c>
      <c r="D18" s="964">
        <v>308</v>
      </c>
      <c r="E18" s="965">
        <f t="shared" si="1"/>
        <v>2926</v>
      </c>
    </row>
    <row r="19" spans="2:5" ht="14.45" customHeight="1">
      <c r="B19" s="973" t="s">
        <v>332</v>
      </c>
      <c r="C19" s="973" t="s">
        <v>26</v>
      </c>
      <c r="D19" s="964">
        <v>700</v>
      </c>
      <c r="E19" s="965">
        <f t="shared" si="1"/>
        <v>6650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1774</v>
      </c>
      <c r="E22" s="954">
        <f t="shared" si="1"/>
        <v>16853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82</v>
      </c>
      <c r="C27" s="630" t="s">
        <v>669</v>
      </c>
      <c r="D27" s="964">
        <v>297</v>
      </c>
      <c r="E27" s="965">
        <f t="shared" ref="E27:E32" si="2">D27*9.5</f>
        <v>2821.5</v>
      </c>
    </row>
    <row r="28" spans="2:5">
      <c r="B28" s="630" t="s">
        <v>258</v>
      </c>
      <c r="C28" s="630" t="s">
        <v>669</v>
      </c>
      <c r="D28" s="964">
        <v>191</v>
      </c>
      <c r="E28" s="965">
        <f t="shared" si="2"/>
        <v>1814.5</v>
      </c>
    </row>
    <row r="29" spans="2:5">
      <c r="B29" s="973" t="s">
        <v>332</v>
      </c>
      <c r="C29" s="973" t="s">
        <v>26</v>
      </c>
      <c r="D29" s="964">
        <v>470</v>
      </c>
      <c r="E29" s="965">
        <f t="shared" si="2"/>
        <v>4465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958</v>
      </c>
      <c r="E32" s="954">
        <f t="shared" si="2"/>
        <v>9101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1469</v>
      </c>
      <c r="D35" s="956">
        <f>D22</f>
        <v>1774</v>
      </c>
      <c r="E35" s="956">
        <f>D32</f>
        <v>958</v>
      </c>
    </row>
    <row r="36" spans="2:5">
      <c r="B36" s="953" t="s">
        <v>36</v>
      </c>
      <c r="C36" s="951">
        <f>C35*9.5</f>
        <v>13955.5</v>
      </c>
      <c r="D36" s="951">
        <f>D35*9.5</f>
        <v>16853</v>
      </c>
      <c r="E36" s="951">
        <f>E35*9.5</f>
        <v>9101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4201</v>
      </c>
      <c r="D38" s="378" t="s">
        <v>253</v>
      </c>
      <c r="E38" s="381">
        <f>C38*9.5</f>
        <v>39909.5</v>
      </c>
    </row>
    <row r="39" spans="2:5">
      <c r="B39" s="377" t="s">
        <v>197</v>
      </c>
      <c r="C39" s="378">
        <f>C40-C38</f>
        <v>3595</v>
      </c>
      <c r="D39" s="378" t="s">
        <v>204</v>
      </c>
      <c r="E39" s="381">
        <f>C39*9</f>
        <v>32355</v>
      </c>
    </row>
    <row r="40" spans="2:5" ht="19.5">
      <c r="B40" s="941" t="s">
        <v>201</v>
      </c>
      <c r="C40" s="380">
        <v>7796</v>
      </c>
      <c r="D40" s="380" t="s">
        <v>202</v>
      </c>
      <c r="E40" s="379">
        <f>SUM(E38+E39)</f>
        <v>72264.5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172A5-BC8F-4ADC-AF7A-D9AB41BD9FB1}">
  <sheetPr codeName="Sheet29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44985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65</v>
      </c>
      <c r="C7" s="630" t="s">
        <v>669</v>
      </c>
      <c r="D7" s="964">
        <v>436</v>
      </c>
      <c r="E7" s="965">
        <f t="shared" ref="E7:E12" si="0">D7*9.5</f>
        <v>4142</v>
      </c>
    </row>
    <row r="8" spans="2:8" ht="15" customHeight="1">
      <c r="B8" s="630" t="s">
        <v>238</v>
      </c>
      <c r="C8" s="630" t="s">
        <v>669</v>
      </c>
      <c r="D8" s="964">
        <v>330</v>
      </c>
      <c r="E8" s="965">
        <f t="shared" si="0"/>
        <v>3135</v>
      </c>
    </row>
    <row r="9" spans="2:8" ht="15" customHeight="1">
      <c r="B9" s="973" t="s">
        <v>256</v>
      </c>
      <c r="C9" s="973" t="s">
        <v>26</v>
      </c>
      <c r="D9" s="964">
        <v>267</v>
      </c>
      <c r="E9" s="965">
        <f t="shared" si="0"/>
        <v>2536.5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1033</v>
      </c>
      <c r="E12" s="965">
        <f t="shared" si="0"/>
        <v>9813.5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82</v>
      </c>
      <c r="C17" s="630" t="s">
        <v>669</v>
      </c>
      <c r="D17" s="964">
        <v>385</v>
      </c>
      <c r="E17" s="965">
        <f t="shared" ref="E17:E22" si="1">D17*9.5</f>
        <v>3657.5</v>
      </c>
    </row>
    <row r="18" spans="2:5" ht="15" customHeight="1">
      <c r="B18" s="630" t="s">
        <v>244</v>
      </c>
      <c r="C18" s="630" t="s">
        <v>669</v>
      </c>
      <c r="D18" s="964">
        <v>645</v>
      </c>
      <c r="E18" s="965">
        <f t="shared" si="1"/>
        <v>6127.5</v>
      </c>
    </row>
    <row r="19" spans="2:5" ht="14.45" customHeight="1">
      <c r="B19" s="1193" t="s">
        <v>676</v>
      </c>
      <c r="C19" s="973" t="s">
        <v>26</v>
      </c>
      <c r="D19" s="964">
        <v>833</v>
      </c>
      <c r="E19" s="965">
        <f t="shared" si="1"/>
        <v>7913.5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1863</v>
      </c>
      <c r="E22" s="954">
        <f t="shared" si="1"/>
        <v>17698.5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239</v>
      </c>
      <c r="C27" s="630" t="s">
        <v>669</v>
      </c>
      <c r="D27" s="964">
        <v>229</v>
      </c>
      <c r="E27" s="965">
        <f t="shared" ref="E27:E32" si="2">D27*9.5</f>
        <v>2175.5</v>
      </c>
    </row>
    <row r="28" spans="2:5">
      <c r="B28" s="630" t="s">
        <v>278</v>
      </c>
      <c r="C28" s="630" t="s">
        <v>669</v>
      </c>
      <c r="D28" s="964">
        <v>379</v>
      </c>
      <c r="E28" s="965">
        <f t="shared" si="2"/>
        <v>3600.5</v>
      </c>
    </row>
    <row r="29" spans="2:5">
      <c r="B29" s="973" t="s">
        <v>70</v>
      </c>
      <c r="C29" s="973" t="s">
        <v>26</v>
      </c>
      <c r="D29" s="964">
        <v>362</v>
      </c>
      <c r="E29" s="965">
        <f t="shared" si="2"/>
        <v>3439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970</v>
      </c>
      <c r="E32" s="954">
        <f t="shared" si="2"/>
        <v>9215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1033</v>
      </c>
      <c r="D35" s="956">
        <f>D22</f>
        <v>1863</v>
      </c>
      <c r="E35" s="956">
        <f>D32</f>
        <v>970</v>
      </c>
    </row>
    <row r="36" spans="2:5">
      <c r="B36" s="953" t="s">
        <v>36</v>
      </c>
      <c r="C36" s="951">
        <f>C35*9.5</f>
        <v>9813.5</v>
      </c>
      <c r="D36" s="951">
        <f>D35*9.5</f>
        <v>17698.5</v>
      </c>
      <c r="E36" s="951">
        <f>E35*9.5</f>
        <v>9215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3866</v>
      </c>
      <c r="D38" s="378" t="s">
        <v>253</v>
      </c>
      <c r="E38" s="381">
        <f>C38*9.5</f>
        <v>36727</v>
      </c>
    </row>
    <row r="39" spans="2:5">
      <c r="B39" s="377" t="s">
        <v>197</v>
      </c>
      <c r="C39" s="378">
        <f>C40-C38</f>
        <v>4553</v>
      </c>
      <c r="D39" s="378" t="s">
        <v>204</v>
      </c>
      <c r="E39" s="381">
        <f>C39*9</f>
        <v>40977</v>
      </c>
    </row>
    <row r="40" spans="2:5" ht="19.5">
      <c r="B40" s="941" t="s">
        <v>201</v>
      </c>
      <c r="C40" s="380">
        <v>8419</v>
      </c>
      <c r="D40" s="380" t="s">
        <v>202</v>
      </c>
      <c r="E40" s="379">
        <f>SUM(E38+E39)</f>
        <v>77704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D3ACC-DF2E-4FB3-B13D-49878BCF7A3F}">
  <sheetPr codeName="Sheet293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44986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630" t="s">
        <v>332</v>
      </c>
      <c r="C7" s="630" t="s">
        <v>669</v>
      </c>
      <c r="D7" s="964">
        <v>595</v>
      </c>
      <c r="E7" s="965">
        <f t="shared" ref="E7:E12" si="0">D7*9.5</f>
        <v>5652.5</v>
      </c>
    </row>
    <row r="8" spans="2:8" ht="15" customHeight="1">
      <c r="B8" s="630" t="s">
        <v>12</v>
      </c>
      <c r="C8" s="630" t="s">
        <v>669</v>
      </c>
      <c r="D8" s="964">
        <v>433</v>
      </c>
      <c r="E8" s="965">
        <f t="shared" si="0"/>
        <v>4113.5</v>
      </c>
    </row>
    <row r="9" spans="2:8" ht="15" customHeight="1">
      <c r="B9" s="973" t="s">
        <v>259</v>
      </c>
      <c r="C9" s="973" t="s">
        <v>26</v>
      </c>
      <c r="D9" s="964">
        <v>405</v>
      </c>
      <c r="E9" s="965">
        <f t="shared" si="0"/>
        <v>3847.5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1433</v>
      </c>
      <c r="E12" s="965">
        <f t="shared" si="0"/>
        <v>13613.5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630" t="s">
        <v>250</v>
      </c>
      <c r="C17" s="630" t="s">
        <v>669</v>
      </c>
      <c r="D17" s="964">
        <v>850</v>
      </c>
      <c r="E17" s="965">
        <f t="shared" ref="E17:E22" si="1">D17*9.5</f>
        <v>8075</v>
      </c>
    </row>
    <row r="18" spans="2:5" ht="15" customHeight="1">
      <c r="B18" s="630" t="s">
        <v>279</v>
      </c>
      <c r="C18" s="630" t="s">
        <v>669</v>
      </c>
      <c r="D18" s="964">
        <v>937</v>
      </c>
      <c r="E18" s="965">
        <f t="shared" si="1"/>
        <v>8901.5</v>
      </c>
    </row>
    <row r="19" spans="2:5" ht="14.45" customHeight="1">
      <c r="B19" s="1193" t="s">
        <v>256</v>
      </c>
      <c r="C19" s="973" t="s">
        <v>26</v>
      </c>
      <c r="D19" s="964">
        <v>250</v>
      </c>
      <c r="E19" s="965">
        <f t="shared" si="1"/>
        <v>2375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2037</v>
      </c>
      <c r="E22" s="954">
        <f t="shared" si="1"/>
        <v>19351.5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630" t="s">
        <v>250</v>
      </c>
      <c r="C27" s="630" t="s">
        <v>669</v>
      </c>
      <c r="D27" s="964">
        <v>479</v>
      </c>
      <c r="E27" s="965">
        <f t="shared" ref="E27:E32" si="2">D27*9.5</f>
        <v>4550.5</v>
      </c>
    </row>
    <row r="28" spans="2:5">
      <c r="B28" s="630" t="s">
        <v>331</v>
      </c>
      <c r="C28" s="630" t="s">
        <v>669</v>
      </c>
      <c r="D28" s="964">
        <v>516</v>
      </c>
      <c r="E28" s="965">
        <f t="shared" si="2"/>
        <v>4902</v>
      </c>
    </row>
    <row r="29" spans="2:5">
      <c r="B29" s="973" t="s">
        <v>256</v>
      </c>
      <c r="C29" s="973" t="s">
        <v>26</v>
      </c>
      <c r="D29" s="964">
        <v>205</v>
      </c>
      <c r="E29" s="965">
        <f t="shared" si="2"/>
        <v>1947.5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1200</v>
      </c>
      <c r="E32" s="954">
        <f t="shared" si="2"/>
        <v>11400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1433</v>
      </c>
      <c r="D35" s="956">
        <f>D22</f>
        <v>2037</v>
      </c>
      <c r="E35" s="956">
        <f>D32</f>
        <v>1200</v>
      </c>
    </row>
    <row r="36" spans="2:5">
      <c r="B36" s="953" t="s">
        <v>36</v>
      </c>
      <c r="C36" s="951">
        <f>C35*9.5</f>
        <v>13613.5</v>
      </c>
      <c r="D36" s="951">
        <f>D35*9.5</f>
        <v>19351.5</v>
      </c>
      <c r="E36" s="951">
        <f>E35*9.5</f>
        <v>11400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4670</v>
      </c>
      <c r="D38" s="378" t="s">
        <v>253</v>
      </c>
      <c r="E38" s="381">
        <f>C38*9.5</f>
        <v>44365</v>
      </c>
    </row>
    <row r="39" spans="2:5">
      <c r="B39" s="377" t="s">
        <v>197</v>
      </c>
      <c r="C39" s="378">
        <f>C40-C38</f>
        <v>4636</v>
      </c>
      <c r="D39" s="378" t="s">
        <v>204</v>
      </c>
      <c r="E39" s="381">
        <f>C39*9</f>
        <v>41724</v>
      </c>
    </row>
    <row r="40" spans="2:5" ht="19.5">
      <c r="B40" s="941" t="s">
        <v>201</v>
      </c>
      <c r="C40" s="380">
        <v>9306</v>
      </c>
      <c r="D40" s="380" t="s">
        <v>202</v>
      </c>
      <c r="E40" s="379">
        <f>SUM(E38+E39)</f>
        <v>86089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FE9FC-2BCB-46A6-9DBD-6B129A504FC1}">
  <sheetPr codeName="Sheet29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44987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303</v>
      </c>
      <c r="C7" s="630" t="s">
        <v>669</v>
      </c>
      <c r="D7" s="964">
        <v>872</v>
      </c>
      <c r="E7" s="965">
        <f t="shared" ref="E7:E12" si="0">D7*9.5</f>
        <v>8284</v>
      </c>
    </row>
    <row r="8" spans="2:8" ht="15" customHeight="1">
      <c r="B8" s="1198" t="s">
        <v>329</v>
      </c>
      <c r="C8" s="630" t="s">
        <v>669</v>
      </c>
      <c r="D8" s="964">
        <v>872</v>
      </c>
      <c r="E8" s="965">
        <f t="shared" si="0"/>
        <v>8284</v>
      </c>
    </row>
    <row r="9" spans="2:8" ht="15" customHeight="1">
      <c r="B9" s="973" t="s">
        <v>279</v>
      </c>
      <c r="C9" s="973" t="s">
        <v>26</v>
      </c>
      <c r="D9" s="964">
        <v>751</v>
      </c>
      <c r="E9" s="965">
        <f t="shared" si="0"/>
        <v>7134.5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2495</v>
      </c>
      <c r="E12" s="965">
        <f t="shared" si="0"/>
        <v>23702.5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164</v>
      </c>
      <c r="C17" s="630" t="s">
        <v>669</v>
      </c>
      <c r="D17" s="964">
        <v>491</v>
      </c>
      <c r="E17" s="965">
        <f t="shared" ref="E17:E22" si="1">D17*9.5</f>
        <v>4664.5</v>
      </c>
    </row>
    <row r="18" spans="2:5" ht="15" customHeight="1">
      <c r="B18" s="1198" t="s">
        <v>303</v>
      </c>
      <c r="C18" s="630" t="s">
        <v>669</v>
      </c>
      <c r="D18" s="964">
        <v>973</v>
      </c>
      <c r="E18" s="965">
        <f t="shared" si="1"/>
        <v>9243.5</v>
      </c>
    </row>
    <row r="19" spans="2:5" ht="14.45" customHeight="1">
      <c r="B19" s="973" t="s">
        <v>802</v>
      </c>
      <c r="C19" s="973" t="s">
        <v>26</v>
      </c>
      <c r="D19" s="964">
        <v>650</v>
      </c>
      <c r="E19" s="965">
        <f t="shared" si="1"/>
        <v>6175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2114</v>
      </c>
      <c r="E22" s="954">
        <f t="shared" si="1"/>
        <v>20083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238</v>
      </c>
      <c r="C27" s="630" t="s">
        <v>669</v>
      </c>
      <c r="D27" s="964">
        <v>250</v>
      </c>
      <c r="E27" s="965">
        <f t="shared" ref="E27:E32" si="2">D27*9.5</f>
        <v>2375</v>
      </c>
    </row>
    <row r="28" spans="2:5">
      <c r="B28" s="1198" t="s">
        <v>331</v>
      </c>
      <c r="C28" s="630" t="s">
        <v>669</v>
      </c>
      <c r="D28" s="964">
        <v>455</v>
      </c>
      <c r="E28" s="965">
        <f t="shared" si="2"/>
        <v>4322.5</v>
      </c>
    </row>
    <row r="29" spans="2:5">
      <c r="B29" s="973" t="s">
        <v>65</v>
      </c>
      <c r="C29" s="973" t="s">
        <v>26</v>
      </c>
      <c r="D29" s="964">
        <v>334</v>
      </c>
      <c r="E29" s="965">
        <f t="shared" si="2"/>
        <v>3173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1039</v>
      </c>
      <c r="E32" s="954">
        <f t="shared" si="2"/>
        <v>9870.5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2495</v>
      </c>
      <c r="D35" s="956">
        <f>D22</f>
        <v>2114</v>
      </c>
      <c r="E35" s="956">
        <f>D32</f>
        <v>1039</v>
      </c>
    </row>
    <row r="36" spans="2:5">
      <c r="B36" s="953" t="s">
        <v>36</v>
      </c>
      <c r="C36" s="951">
        <f>C35*9.5</f>
        <v>23702.5</v>
      </c>
      <c r="D36" s="951">
        <f>D35*9.5</f>
        <v>20083</v>
      </c>
      <c r="E36" s="951">
        <f>E35*9.5</f>
        <v>9870.5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5648</v>
      </c>
      <c r="D38" s="378" t="s">
        <v>253</v>
      </c>
      <c r="E38" s="381">
        <f>C38*9.5</f>
        <v>53656</v>
      </c>
    </row>
    <row r="39" spans="2:5">
      <c r="B39" s="377" t="s">
        <v>197</v>
      </c>
      <c r="C39" s="378">
        <f>C40-C38</f>
        <v>4423</v>
      </c>
      <c r="D39" s="378" t="s">
        <v>204</v>
      </c>
      <c r="E39" s="381">
        <f>C39*9</f>
        <v>39807</v>
      </c>
    </row>
    <row r="40" spans="2:5" ht="19.5">
      <c r="B40" s="941" t="s">
        <v>201</v>
      </c>
      <c r="C40" s="380">
        <v>10071</v>
      </c>
      <c r="D40" s="380" t="s">
        <v>202</v>
      </c>
      <c r="E40" s="379">
        <f>SUM(E38+E39)</f>
        <v>93463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BE5BC-335F-4677-A3F3-0031259F6B8B}">
  <sheetPr codeName="Sheet29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44988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45</v>
      </c>
      <c r="C7" s="630" t="s">
        <v>669</v>
      </c>
      <c r="D7" s="964">
        <v>499</v>
      </c>
      <c r="E7" s="965">
        <f t="shared" ref="E7:E12" si="0">D7*9.5</f>
        <v>4740.5</v>
      </c>
    </row>
    <row r="8" spans="2:8" ht="15" customHeight="1">
      <c r="B8" s="1198" t="s">
        <v>281</v>
      </c>
      <c r="C8" s="630" t="s">
        <v>669</v>
      </c>
      <c r="D8" s="964">
        <v>429</v>
      </c>
      <c r="E8" s="965">
        <f t="shared" si="0"/>
        <v>4075.5</v>
      </c>
    </row>
    <row r="9" spans="2:8" ht="15" customHeight="1">
      <c r="B9" s="973" t="s">
        <v>239</v>
      </c>
      <c r="C9" s="973" t="s">
        <v>26</v>
      </c>
      <c r="D9" s="964">
        <v>242</v>
      </c>
      <c r="E9" s="965">
        <f t="shared" si="0"/>
        <v>2299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1170</v>
      </c>
      <c r="E12" s="965">
        <f t="shared" si="0"/>
        <v>11115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252</v>
      </c>
      <c r="C17" s="630" t="s">
        <v>669</v>
      </c>
      <c r="D17" s="964">
        <v>356</v>
      </c>
      <c r="E17" s="965">
        <f t="shared" ref="E17:E22" si="1">D17*9.5</f>
        <v>3382</v>
      </c>
    </row>
    <row r="18" spans="2:5" ht="15" customHeight="1">
      <c r="B18" s="1198" t="s">
        <v>238</v>
      </c>
      <c r="C18" s="630" t="s">
        <v>669</v>
      </c>
      <c r="D18" s="964">
        <v>352</v>
      </c>
      <c r="E18" s="965">
        <f t="shared" si="1"/>
        <v>3344</v>
      </c>
    </row>
    <row r="19" spans="2:5" ht="14.45" customHeight="1">
      <c r="B19" s="973" t="s">
        <v>737</v>
      </c>
      <c r="C19" s="973" t="s">
        <v>26</v>
      </c>
      <c r="D19" s="964">
        <v>137</v>
      </c>
      <c r="E19" s="965">
        <f t="shared" si="1"/>
        <v>1301.5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845</v>
      </c>
      <c r="E22" s="954">
        <f t="shared" si="1"/>
        <v>8027.5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252</v>
      </c>
      <c r="C27" s="630" t="s">
        <v>669</v>
      </c>
      <c r="D27" s="964">
        <v>217</v>
      </c>
      <c r="E27" s="965">
        <f t="shared" ref="E27:E32" si="2">D27*9.5</f>
        <v>2061.5</v>
      </c>
    </row>
    <row r="28" spans="2:5">
      <c r="B28" s="1198" t="s">
        <v>235</v>
      </c>
      <c r="C28" s="630" t="s">
        <v>669</v>
      </c>
      <c r="D28" s="964">
        <v>517</v>
      </c>
      <c r="E28" s="965">
        <f t="shared" si="2"/>
        <v>4911.5</v>
      </c>
    </row>
    <row r="29" spans="2:5">
      <c r="B29" s="973" t="s">
        <v>63</v>
      </c>
      <c r="C29" s="973" t="s">
        <v>26</v>
      </c>
      <c r="D29" s="964">
        <v>312</v>
      </c>
      <c r="E29" s="965">
        <f t="shared" si="2"/>
        <v>2964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1046</v>
      </c>
      <c r="E32" s="954">
        <f t="shared" si="2"/>
        <v>9937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1170</v>
      </c>
      <c r="D35" s="956">
        <f>D22</f>
        <v>845</v>
      </c>
      <c r="E35" s="956">
        <f>D32</f>
        <v>1046</v>
      </c>
    </row>
    <row r="36" spans="2:5">
      <c r="B36" s="953" t="s">
        <v>36</v>
      </c>
      <c r="C36" s="951">
        <f>C35*9.5</f>
        <v>11115</v>
      </c>
      <c r="D36" s="951">
        <f>D35*9.5</f>
        <v>8027.5</v>
      </c>
      <c r="E36" s="951">
        <f>E35*9.5</f>
        <v>9937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3061</v>
      </c>
      <c r="D38" s="378" t="s">
        <v>253</v>
      </c>
      <c r="E38" s="381">
        <f>C38*9.5</f>
        <v>29079.5</v>
      </c>
    </row>
    <row r="39" spans="2:5">
      <c r="B39" s="377" t="s">
        <v>197</v>
      </c>
      <c r="C39" s="378">
        <f>C40-C38</f>
        <v>3418</v>
      </c>
      <c r="D39" s="378" t="s">
        <v>204</v>
      </c>
      <c r="E39" s="381">
        <f>C39*9</f>
        <v>30762</v>
      </c>
    </row>
    <row r="40" spans="2:5" ht="19.5">
      <c r="B40" s="941" t="s">
        <v>201</v>
      </c>
      <c r="C40" s="380">
        <v>6479</v>
      </c>
      <c r="D40" s="380" t="s">
        <v>202</v>
      </c>
      <c r="E40" s="379">
        <f>SUM(E38+E39)</f>
        <v>59841.5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34CD-D3B8-469E-82D6-1C8937BF5B10}">
  <sheetPr codeName="Sheet29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44989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329</v>
      </c>
      <c r="C7" s="630" t="s">
        <v>669</v>
      </c>
      <c r="D7" s="964">
        <v>925</v>
      </c>
      <c r="E7" s="965">
        <f t="shared" ref="E7:E12" si="0">D7*9.5</f>
        <v>8787.5</v>
      </c>
    </row>
    <row r="8" spans="2:8" ht="15" customHeight="1">
      <c r="B8" s="1198" t="s">
        <v>303</v>
      </c>
      <c r="C8" s="630" t="s">
        <v>669</v>
      </c>
      <c r="D8" s="964">
        <v>976</v>
      </c>
      <c r="E8" s="965">
        <f t="shared" si="0"/>
        <v>9272</v>
      </c>
    </row>
    <row r="9" spans="2:8" ht="15" customHeight="1">
      <c r="B9" s="973" t="s">
        <v>70</v>
      </c>
      <c r="C9" s="973" t="s">
        <v>26</v>
      </c>
      <c r="D9" s="964">
        <v>483</v>
      </c>
      <c r="E9" s="965">
        <f t="shared" si="0"/>
        <v>4588.5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2384</v>
      </c>
      <c r="E12" s="965">
        <f t="shared" si="0"/>
        <v>22648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280</v>
      </c>
      <c r="C17" s="630" t="s">
        <v>669</v>
      </c>
      <c r="D17" s="964">
        <v>417</v>
      </c>
      <c r="E17" s="965">
        <f t="shared" ref="E17:E22" si="1">D17*9.5</f>
        <v>3961.5</v>
      </c>
    </row>
    <row r="18" spans="2:5" ht="15" customHeight="1">
      <c r="B18" s="1198" t="s">
        <v>250</v>
      </c>
      <c r="C18" s="630" t="s">
        <v>669</v>
      </c>
      <c r="D18" s="964">
        <v>760</v>
      </c>
      <c r="E18" s="965">
        <f t="shared" si="1"/>
        <v>7220</v>
      </c>
    </row>
    <row r="19" spans="2:5" ht="14.45" customHeight="1">
      <c r="B19" s="973" t="s">
        <v>189</v>
      </c>
      <c r="C19" s="973" t="s">
        <v>26</v>
      </c>
      <c r="D19" s="964">
        <v>415</v>
      </c>
      <c r="E19" s="965">
        <f t="shared" si="1"/>
        <v>3942.5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1592</v>
      </c>
      <c r="E22" s="954">
        <f t="shared" si="1"/>
        <v>15124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65</v>
      </c>
      <c r="C27" s="630" t="s">
        <v>669</v>
      </c>
      <c r="D27" s="964">
        <v>300</v>
      </c>
      <c r="E27" s="965">
        <f t="shared" ref="E27:E32" si="2">D27*9.5</f>
        <v>2850</v>
      </c>
    </row>
    <row r="28" spans="2:5">
      <c r="B28" s="1198" t="s">
        <v>334</v>
      </c>
      <c r="C28" s="630" t="s">
        <v>669</v>
      </c>
      <c r="D28" s="964">
        <v>477</v>
      </c>
      <c r="E28" s="965">
        <f t="shared" si="2"/>
        <v>4531.5</v>
      </c>
    </row>
    <row r="29" spans="2:5">
      <c r="B29" s="973" t="s">
        <v>281</v>
      </c>
      <c r="C29" s="973" t="s">
        <v>26</v>
      </c>
      <c r="D29" s="964">
        <v>297</v>
      </c>
      <c r="E29" s="965">
        <f t="shared" si="2"/>
        <v>2821.5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1074</v>
      </c>
      <c r="E32" s="954">
        <f t="shared" si="2"/>
        <v>10203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2384</v>
      </c>
      <c r="D35" s="956">
        <f>D22</f>
        <v>1592</v>
      </c>
      <c r="E35" s="956">
        <f>D32</f>
        <v>1074</v>
      </c>
    </row>
    <row r="36" spans="2:5">
      <c r="B36" s="953" t="s">
        <v>36</v>
      </c>
      <c r="C36" s="951">
        <f>C35*9.5</f>
        <v>22648</v>
      </c>
      <c r="D36" s="951">
        <f>D35*9.5</f>
        <v>15124</v>
      </c>
      <c r="E36" s="951">
        <f>E35*9.5</f>
        <v>10203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5050</v>
      </c>
      <c r="D38" s="378" t="s">
        <v>253</v>
      </c>
      <c r="E38" s="381">
        <f>C38*9.5</f>
        <v>47975</v>
      </c>
    </row>
    <row r="39" spans="2:5">
      <c r="B39" s="377" t="s">
        <v>197</v>
      </c>
      <c r="C39" s="378">
        <f>C40-C38</f>
        <v>54</v>
      </c>
      <c r="D39" s="378" t="s">
        <v>204</v>
      </c>
      <c r="E39" s="381">
        <f>C39*9</f>
        <v>486</v>
      </c>
    </row>
    <row r="40" spans="2:5" ht="19.5">
      <c r="B40" s="941" t="s">
        <v>201</v>
      </c>
      <c r="C40" s="380">
        <v>5104</v>
      </c>
      <c r="D40" s="380" t="s">
        <v>202</v>
      </c>
      <c r="E40" s="379">
        <f>SUM(E38+E39)</f>
        <v>48461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4FACC-B73D-4ADA-A15D-40CB03817204}">
  <sheetPr codeName="Sheet29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44990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678</v>
      </c>
      <c r="C7" s="630" t="s">
        <v>669</v>
      </c>
      <c r="D7" s="964">
        <v>452</v>
      </c>
      <c r="E7" s="965">
        <f t="shared" ref="E7:E12" si="0">D7*9.5</f>
        <v>4294</v>
      </c>
    </row>
    <row r="8" spans="2:8" ht="15" customHeight="1">
      <c r="B8" s="1198" t="s">
        <v>70</v>
      </c>
      <c r="C8" s="630" t="s">
        <v>669</v>
      </c>
      <c r="D8" s="964">
        <v>454</v>
      </c>
      <c r="E8" s="965">
        <f t="shared" si="0"/>
        <v>4313</v>
      </c>
    </row>
    <row r="9" spans="2:8" ht="15" customHeight="1">
      <c r="B9" s="973" t="s">
        <v>301</v>
      </c>
      <c r="C9" s="973" t="s">
        <v>26</v>
      </c>
      <c r="D9" s="964">
        <v>516</v>
      </c>
      <c r="E9" s="965">
        <f t="shared" si="0"/>
        <v>4902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1422</v>
      </c>
      <c r="E12" s="965">
        <f t="shared" si="0"/>
        <v>13509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330</v>
      </c>
      <c r="C17" s="630" t="s">
        <v>669</v>
      </c>
      <c r="D17" s="964">
        <v>930</v>
      </c>
      <c r="E17" s="965">
        <f t="shared" ref="E17:E22" si="1">D17*9.5</f>
        <v>8835</v>
      </c>
    </row>
    <row r="18" spans="2:5" ht="15" customHeight="1">
      <c r="B18" s="1198" t="s">
        <v>189</v>
      </c>
      <c r="C18" s="630" t="s">
        <v>669</v>
      </c>
      <c r="D18" s="964">
        <v>500</v>
      </c>
      <c r="E18" s="965">
        <f t="shared" si="1"/>
        <v>4750</v>
      </c>
    </row>
    <row r="19" spans="2:5" ht="14.45" customHeight="1">
      <c r="B19" s="973" t="s">
        <v>279</v>
      </c>
      <c r="C19" s="973" t="s">
        <v>26</v>
      </c>
      <c r="D19" s="964">
        <v>924</v>
      </c>
      <c r="E19" s="965">
        <f t="shared" si="1"/>
        <v>8778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2354</v>
      </c>
      <c r="E22" s="954">
        <f t="shared" si="1"/>
        <v>22363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235</v>
      </c>
      <c r="C27" s="630" t="s">
        <v>669</v>
      </c>
      <c r="D27" s="964">
        <v>589</v>
      </c>
      <c r="E27" s="965">
        <f t="shared" ref="E27:E32" si="2">D27*9.5</f>
        <v>5595.5</v>
      </c>
    </row>
    <row r="28" spans="2:5">
      <c r="B28" s="1198" t="s">
        <v>252</v>
      </c>
      <c r="C28" s="630" t="s">
        <v>669</v>
      </c>
      <c r="D28" s="964">
        <v>277</v>
      </c>
      <c r="E28" s="965">
        <f t="shared" si="2"/>
        <v>2631.5</v>
      </c>
    </row>
    <row r="29" spans="2:5">
      <c r="B29" s="973" t="s">
        <v>63</v>
      </c>
      <c r="C29" s="973" t="s">
        <v>26</v>
      </c>
      <c r="D29" s="964">
        <v>360</v>
      </c>
      <c r="E29" s="965">
        <f t="shared" si="2"/>
        <v>3420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1226</v>
      </c>
      <c r="E32" s="954">
        <f t="shared" si="2"/>
        <v>11647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1422</v>
      </c>
      <c r="D35" s="956">
        <f>D22</f>
        <v>2354</v>
      </c>
      <c r="E35" s="956">
        <f>D32</f>
        <v>1226</v>
      </c>
    </row>
    <row r="36" spans="2:5">
      <c r="B36" s="953" t="s">
        <v>36</v>
      </c>
      <c r="C36" s="951">
        <f>C35*9.5</f>
        <v>13509</v>
      </c>
      <c r="D36" s="951">
        <f>D35*9.5</f>
        <v>22363</v>
      </c>
      <c r="E36" s="951">
        <f>E35*9.5</f>
        <v>11647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5002</v>
      </c>
      <c r="D38" s="378" t="s">
        <v>253</v>
      </c>
      <c r="E38" s="381">
        <f>C38*9.5</f>
        <v>47519</v>
      </c>
    </row>
    <row r="39" spans="2:5">
      <c r="B39" s="377" t="s">
        <v>197</v>
      </c>
      <c r="C39" s="378">
        <f>C40-C38</f>
        <v>255</v>
      </c>
      <c r="D39" s="378" t="s">
        <v>204</v>
      </c>
      <c r="E39" s="381">
        <f>C39*9</f>
        <v>2295</v>
      </c>
    </row>
    <row r="40" spans="2:5" ht="19.5">
      <c r="B40" s="941" t="s">
        <v>201</v>
      </c>
      <c r="C40" s="380">
        <v>5257</v>
      </c>
      <c r="D40" s="380" t="s">
        <v>202</v>
      </c>
      <c r="E40" s="379">
        <f>SUM(E38+E39)</f>
        <v>49814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9E346-F819-4358-8AE3-01CE95CF1BAA}">
  <sheetPr codeName="Sheet29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44991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853</v>
      </c>
      <c r="C7" s="630" t="s">
        <v>669</v>
      </c>
      <c r="D7" s="964">
        <v>666</v>
      </c>
      <c r="E7" s="965">
        <f t="shared" ref="E7:E12" si="0">D7*9.5</f>
        <v>6327</v>
      </c>
    </row>
    <row r="8" spans="2:8" ht="15" customHeight="1">
      <c r="B8" s="1198" t="s">
        <v>329</v>
      </c>
      <c r="C8" s="630" t="s">
        <v>669</v>
      </c>
      <c r="D8" s="964">
        <v>890</v>
      </c>
      <c r="E8" s="965">
        <f t="shared" si="0"/>
        <v>8455</v>
      </c>
    </row>
    <row r="9" spans="2:8" ht="15" customHeight="1">
      <c r="B9" s="973" t="s">
        <v>243</v>
      </c>
      <c r="C9" s="973" t="s">
        <v>26</v>
      </c>
      <c r="D9" s="964">
        <v>711</v>
      </c>
      <c r="E9" s="965">
        <f t="shared" si="0"/>
        <v>6754.5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2267</v>
      </c>
      <c r="E12" s="965">
        <f t="shared" si="0"/>
        <v>21536.5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1198" t="s">
        <v>711</v>
      </c>
      <c r="C17" s="630" t="s">
        <v>669</v>
      </c>
      <c r="D17" s="964">
        <v>957</v>
      </c>
      <c r="E17" s="965">
        <f t="shared" ref="E17:E22" si="1">D17*9.5</f>
        <v>9091.5</v>
      </c>
    </row>
    <row r="18" spans="2:6" ht="15" customHeight="1">
      <c r="B18" s="1198" t="s">
        <v>696</v>
      </c>
      <c r="C18" s="630" t="s">
        <v>669</v>
      </c>
      <c r="D18" s="964">
        <v>339</v>
      </c>
      <c r="E18" s="965">
        <f t="shared" si="1"/>
        <v>3220.5</v>
      </c>
    </row>
    <row r="19" spans="2:6" ht="14.45" customHeight="1">
      <c r="B19" s="973" t="s">
        <v>854</v>
      </c>
      <c r="C19" s="973" t="s">
        <v>26</v>
      </c>
      <c r="D19" s="964"/>
      <c r="E19" s="965">
        <f t="shared" si="1"/>
        <v>0</v>
      </c>
      <c r="F19" s="934" t="s">
        <v>855</v>
      </c>
    </row>
    <row r="20" spans="2:6" ht="14.45" customHeight="1">
      <c r="B20" s="972"/>
      <c r="C20" s="973" t="s">
        <v>26</v>
      </c>
      <c r="D20" s="964"/>
      <c r="E20" s="965">
        <f t="shared" si="1"/>
        <v>0</v>
      </c>
    </row>
    <row r="21" spans="2:6" ht="14.45" customHeight="1">
      <c r="B21" s="1063"/>
      <c r="C21" s="975" t="s">
        <v>681</v>
      </c>
      <c r="D21" s="964"/>
      <c r="E21" s="965">
        <f t="shared" si="1"/>
        <v>0</v>
      </c>
    </row>
    <row r="22" spans="2:6" ht="14.45" customHeight="1">
      <c r="B22" s="1269" t="s">
        <v>24</v>
      </c>
      <c r="C22" s="1270"/>
      <c r="D22" s="964">
        <f>SUM(D17:D21)</f>
        <v>1296</v>
      </c>
      <c r="E22" s="954">
        <f t="shared" si="1"/>
        <v>12312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165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1198" t="s">
        <v>331</v>
      </c>
      <c r="C27" s="630" t="s">
        <v>669</v>
      </c>
      <c r="D27" s="964">
        <v>435</v>
      </c>
      <c r="E27" s="965">
        <f t="shared" ref="E27:E32" si="2">D27*9.5</f>
        <v>4132.5</v>
      </c>
    </row>
    <row r="28" spans="2:6">
      <c r="B28" s="1198" t="s">
        <v>250</v>
      </c>
      <c r="C28" s="630" t="s">
        <v>669</v>
      </c>
      <c r="D28" s="964">
        <v>603</v>
      </c>
      <c r="E28" s="965">
        <f t="shared" si="2"/>
        <v>5728.5</v>
      </c>
    </row>
    <row r="29" spans="2:6">
      <c r="B29" s="973" t="s">
        <v>44</v>
      </c>
      <c r="C29" s="973" t="s">
        <v>26</v>
      </c>
      <c r="D29" s="964">
        <v>244</v>
      </c>
      <c r="E29" s="965">
        <f t="shared" si="2"/>
        <v>2318</v>
      </c>
    </row>
    <row r="30" spans="2:6">
      <c r="B30" s="972"/>
      <c r="C30" s="975" t="s">
        <v>26</v>
      </c>
      <c r="D30" s="964"/>
      <c r="E30" s="965">
        <f t="shared" si="2"/>
        <v>0</v>
      </c>
    </row>
    <row r="31" spans="2:6">
      <c r="B31" s="1128"/>
      <c r="C31" s="975" t="s">
        <v>667</v>
      </c>
      <c r="D31" s="964"/>
      <c r="E31" s="965">
        <f t="shared" si="2"/>
        <v>0</v>
      </c>
    </row>
    <row r="32" spans="2:6" ht="20.100000000000001" customHeight="1">
      <c r="B32" s="1259" t="s">
        <v>24</v>
      </c>
      <c r="C32" s="1259"/>
      <c r="D32" s="964">
        <f>SUM(D27:D31)</f>
        <v>1282</v>
      </c>
      <c r="E32" s="954">
        <f t="shared" si="2"/>
        <v>12179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2267</v>
      </c>
      <c r="D35" s="956">
        <f>D22</f>
        <v>1296</v>
      </c>
      <c r="E35" s="956">
        <f>D32</f>
        <v>1282</v>
      </c>
    </row>
    <row r="36" spans="2:5">
      <c r="B36" s="953" t="s">
        <v>36</v>
      </c>
      <c r="C36" s="951">
        <f>C35*9.5</f>
        <v>21536.5</v>
      </c>
      <c r="D36" s="951">
        <f>D35*9.5</f>
        <v>12312</v>
      </c>
      <c r="E36" s="951">
        <f>E35*9.5</f>
        <v>12179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4845</v>
      </c>
      <c r="D38" s="378" t="s">
        <v>253</v>
      </c>
      <c r="E38" s="381">
        <f>C38*9.5</f>
        <v>46027.5</v>
      </c>
    </row>
    <row r="39" spans="2:5">
      <c r="B39" s="377" t="s">
        <v>197</v>
      </c>
      <c r="C39" s="378">
        <f>C40-C38</f>
        <v>3928</v>
      </c>
      <c r="D39" s="378" t="s">
        <v>204</v>
      </c>
      <c r="E39" s="381">
        <f>C39*9</f>
        <v>35352</v>
      </c>
    </row>
    <row r="40" spans="2:5" ht="19.5">
      <c r="B40" s="941" t="s">
        <v>201</v>
      </c>
      <c r="C40" s="380">
        <v>8773</v>
      </c>
      <c r="D40" s="380" t="s">
        <v>202</v>
      </c>
      <c r="E40" s="379">
        <f>SUM(E38+E39)</f>
        <v>81379.5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5CD89-7DF5-4750-B46F-D5BD71FB81A0}">
  <sheetPr codeName="Sheet29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44992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45</v>
      </c>
      <c r="C7" s="630" t="s">
        <v>669</v>
      </c>
      <c r="D7" s="964">
        <v>515</v>
      </c>
      <c r="E7" s="965">
        <f t="shared" ref="E7:E12" si="0">D7*9.5</f>
        <v>4892.5</v>
      </c>
    </row>
    <row r="8" spans="2:8" ht="15" customHeight="1">
      <c r="B8" s="1198" t="s">
        <v>12</v>
      </c>
      <c r="C8" s="630" t="s">
        <v>669</v>
      </c>
      <c r="D8" s="964">
        <v>481</v>
      </c>
      <c r="E8" s="965">
        <f t="shared" si="0"/>
        <v>4569.5</v>
      </c>
    </row>
    <row r="9" spans="2:8" ht="15" customHeight="1">
      <c r="B9" s="973" t="s">
        <v>856</v>
      </c>
      <c r="C9" s="973" t="s">
        <v>26</v>
      </c>
      <c r="D9" s="964">
        <v>253</v>
      </c>
      <c r="E9" s="965">
        <f t="shared" si="0"/>
        <v>2403.5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1249</v>
      </c>
      <c r="E12" s="965">
        <f t="shared" si="0"/>
        <v>11865.5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53</v>
      </c>
      <c r="C17" s="630" t="s">
        <v>669</v>
      </c>
      <c r="D17" s="964">
        <v>250</v>
      </c>
      <c r="E17" s="965">
        <f>D17*10</f>
        <v>2500</v>
      </c>
    </row>
    <row r="18" spans="2:5" ht="15" customHeight="1">
      <c r="B18" s="1198" t="s">
        <v>65</v>
      </c>
      <c r="C18" s="630" t="s">
        <v>669</v>
      </c>
      <c r="D18" s="964">
        <v>534</v>
      </c>
      <c r="E18" s="965">
        <f t="shared" ref="E18:E21" si="1">D18*9.5</f>
        <v>5073</v>
      </c>
    </row>
    <row r="19" spans="2:5" ht="14.45" customHeight="1">
      <c r="B19" s="973" t="s">
        <v>281</v>
      </c>
      <c r="C19" s="973" t="s">
        <v>26</v>
      </c>
      <c r="D19" s="964">
        <v>482</v>
      </c>
      <c r="E19" s="965">
        <f t="shared" si="1"/>
        <v>4579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1266</v>
      </c>
      <c r="E22" s="954">
        <f>SUM(E17:E21)</f>
        <v>12152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</v>
      </c>
      <c r="C27" s="630" t="s">
        <v>669</v>
      </c>
      <c r="D27" s="964">
        <v>270</v>
      </c>
      <c r="E27" s="965">
        <f>D27*10</f>
        <v>2700</v>
      </c>
    </row>
    <row r="28" spans="2:5">
      <c r="B28" s="1198" t="s">
        <v>235</v>
      </c>
      <c r="C28" s="630" t="s">
        <v>669</v>
      </c>
      <c r="D28" s="964">
        <v>644</v>
      </c>
      <c r="E28" s="965">
        <f t="shared" ref="E28:E31" si="2">D28*9.5</f>
        <v>6118</v>
      </c>
    </row>
    <row r="29" spans="2:5">
      <c r="B29" s="973" t="s">
        <v>281</v>
      </c>
      <c r="C29" s="973" t="s">
        <v>26</v>
      </c>
      <c r="D29" s="964">
        <v>289</v>
      </c>
      <c r="E29" s="965">
        <f t="shared" si="2"/>
        <v>2745.5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1203</v>
      </c>
      <c r="E32" s="954">
        <f>SUM(E27:E31)</f>
        <v>11563.5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1249</v>
      </c>
      <c r="D35" s="956">
        <f>D22</f>
        <v>1266</v>
      </c>
      <c r="E35" s="956">
        <f>D32</f>
        <v>1203</v>
      </c>
    </row>
    <row r="36" spans="2:5">
      <c r="B36" s="953" t="s">
        <v>36</v>
      </c>
      <c r="C36" s="951">
        <f>C35*9.5</f>
        <v>11865.5</v>
      </c>
      <c r="D36" s="951">
        <f>E22</f>
        <v>12152</v>
      </c>
      <c r="E36" s="951">
        <f>E32</f>
        <v>11563.5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3718</v>
      </c>
      <c r="D38" s="378" t="s">
        <v>253</v>
      </c>
      <c r="E38" s="381">
        <f>SUM(C36,D36,E36)</f>
        <v>35581</v>
      </c>
    </row>
    <row r="39" spans="2:5">
      <c r="B39" s="377" t="s">
        <v>197</v>
      </c>
      <c r="C39" s="378">
        <f>C40-C38</f>
        <v>4679</v>
      </c>
      <c r="D39" s="378" t="s">
        <v>204</v>
      </c>
      <c r="E39" s="381">
        <f>C39*9</f>
        <v>42111</v>
      </c>
    </row>
    <row r="40" spans="2:5" ht="19.5">
      <c r="B40" s="941" t="s">
        <v>201</v>
      </c>
      <c r="C40" s="380">
        <v>8397</v>
      </c>
      <c r="D40" s="380" t="s">
        <v>202</v>
      </c>
      <c r="E40" s="379">
        <f>SUM(E38+E39)</f>
        <v>77692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15F42-AF41-4F9B-8AE5-C281CF9BB17A}">
  <sheetPr codeName="Sheet30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44993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65</v>
      </c>
      <c r="C7" s="630" t="s">
        <v>669</v>
      </c>
      <c r="D7" s="964">
        <v>455</v>
      </c>
      <c r="E7" s="965">
        <f t="shared" ref="E7:E12" si="0">D7*9.5</f>
        <v>4322.5</v>
      </c>
    </row>
    <row r="8" spans="2:8" ht="15" customHeight="1">
      <c r="B8" s="1198" t="s">
        <v>82</v>
      </c>
      <c r="C8" s="630" t="s">
        <v>669</v>
      </c>
      <c r="D8" s="964">
        <v>431</v>
      </c>
      <c r="E8" s="965">
        <f t="shared" si="0"/>
        <v>4094.5</v>
      </c>
    </row>
    <row r="9" spans="2:8" ht="15" customHeight="1">
      <c r="B9" s="973" t="s">
        <v>802</v>
      </c>
      <c r="C9" s="973" t="s">
        <v>26</v>
      </c>
      <c r="D9" s="964">
        <v>610</v>
      </c>
      <c r="E9" s="965">
        <f t="shared" si="0"/>
        <v>5795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1496</v>
      </c>
      <c r="E12" s="965">
        <f t="shared" si="0"/>
        <v>14212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244</v>
      </c>
      <c r="C17" s="630" t="s">
        <v>669</v>
      </c>
      <c r="D17" s="964">
        <v>741</v>
      </c>
      <c r="E17" s="965">
        <f t="shared" ref="E17:E22" si="1">D17*9.5</f>
        <v>7039.5</v>
      </c>
    </row>
    <row r="18" spans="2:5" ht="15" customHeight="1">
      <c r="B18" s="1198" t="s">
        <v>12</v>
      </c>
      <c r="C18" s="630" t="s">
        <v>669</v>
      </c>
      <c r="D18" s="964">
        <v>472</v>
      </c>
      <c r="E18" s="965">
        <f t="shared" si="1"/>
        <v>4484</v>
      </c>
    </row>
    <row r="19" spans="2:5" ht="14.45" customHeight="1">
      <c r="B19" s="973" t="s">
        <v>256</v>
      </c>
      <c r="C19" s="973" t="s">
        <v>26</v>
      </c>
      <c r="D19" s="964">
        <v>256</v>
      </c>
      <c r="E19" s="965">
        <f t="shared" si="1"/>
        <v>2432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1469</v>
      </c>
      <c r="E22" s="954">
        <f t="shared" si="1"/>
        <v>13955.5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332</v>
      </c>
      <c r="C27" s="630" t="s">
        <v>669</v>
      </c>
      <c r="D27" s="964">
        <v>544</v>
      </c>
      <c r="E27" s="965">
        <f t="shared" ref="E27:E32" si="2">D27*9.5</f>
        <v>5168</v>
      </c>
    </row>
    <row r="28" spans="2:5">
      <c r="B28" s="1198" t="s">
        <v>278</v>
      </c>
      <c r="C28" s="630" t="s">
        <v>669</v>
      </c>
      <c r="D28" s="964">
        <v>522</v>
      </c>
      <c r="E28" s="965">
        <f t="shared" si="2"/>
        <v>4959</v>
      </c>
    </row>
    <row r="29" spans="2:5">
      <c r="B29" s="973" t="s">
        <v>252</v>
      </c>
      <c r="C29" s="973" t="s">
        <v>26</v>
      </c>
      <c r="D29" s="964">
        <v>301</v>
      </c>
      <c r="E29" s="965">
        <f t="shared" si="2"/>
        <v>2859.5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1367</v>
      </c>
      <c r="E32" s="954">
        <f t="shared" si="2"/>
        <v>12986.5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1496</v>
      </c>
      <c r="D35" s="956">
        <f>D22</f>
        <v>1469</v>
      </c>
      <c r="E35" s="956">
        <f>D32</f>
        <v>1367</v>
      </c>
    </row>
    <row r="36" spans="2:5">
      <c r="B36" s="953" t="s">
        <v>36</v>
      </c>
      <c r="C36" s="951">
        <f>C35*9.5</f>
        <v>14212</v>
      </c>
      <c r="D36" s="951">
        <f>D35*9.5</f>
        <v>13955.5</v>
      </c>
      <c r="E36" s="951">
        <f>E35*9.5</f>
        <v>12986.5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4332</v>
      </c>
      <c r="D38" s="378" t="s">
        <v>253</v>
      </c>
      <c r="E38" s="381">
        <f>C38*9.5</f>
        <v>41154</v>
      </c>
    </row>
    <row r="39" spans="2:5">
      <c r="B39" s="377" t="s">
        <v>197</v>
      </c>
      <c r="C39" s="378">
        <f>C40-C38</f>
        <v>4860</v>
      </c>
      <c r="D39" s="378" t="s">
        <v>204</v>
      </c>
      <c r="E39" s="381">
        <f>C39*9</f>
        <v>43740</v>
      </c>
    </row>
    <row r="40" spans="2:5" ht="19.5">
      <c r="B40" s="941" t="s">
        <v>201</v>
      </c>
      <c r="C40" s="380">
        <v>9192</v>
      </c>
      <c r="D40" s="380" t="s">
        <v>202</v>
      </c>
      <c r="E40" s="379">
        <f>SUM(E38+E39)</f>
        <v>84894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2F055-8ED1-4C88-A389-6F9FD5B15727}">
  <sheetPr codeName="Sheet30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44994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250</v>
      </c>
      <c r="C7" s="630" t="s">
        <v>669</v>
      </c>
      <c r="D7" s="964">
        <f>521+100</f>
        <v>621</v>
      </c>
      <c r="E7" s="965">
        <f t="shared" ref="E7:E12" si="0">D7*9.5</f>
        <v>5899.5</v>
      </c>
    </row>
    <row r="8" spans="2:8" ht="15" customHeight="1">
      <c r="B8" s="1198" t="s">
        <v>259</v>
      </c>
      <c r="C8" s="630" t="s">
        <v>669</v>
      </c>
      <c r="D8" s="964">
        <v>392</v>
      </c>
      <c r="E8" s="965">
        <f t="shared" si="0"/>
        <v>3724</v>
      </c>
    </row>
    <row r="9" spans="2:8" ht="15" customHeight="1">
      <c r="B9" s="973" t="s">
        <v>70</v>
      </c>
      <c r="C9" s="973" t="s">
        <v>26</v>
      </c>
      <c r="D9" s="964">
        <v>397</v>
      </c>
      <c r="E9" s="965">
        <f t="shared" si="0"/>
        <v>3771.5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1410</v>
      </c>
      <c r="E12" s="965">
        <f t="shared" si="0"/>
        <v>13395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250</v>
      </c>
      <c r="C17" s="630" t="s">
        <v>669</v>
      </c>
      <c r="D17" s="964">
        <v>744</v>
      </c>
      <c r="E17" s="965">
        <f t="shared" ref="E17:E22" si="1">D17*9.5</f>
        <v>7068</v>
      </c>
    </row>
    <row r="18" spans="2:5" ht="15" customHeight="1">
      <c r="B18" s="1198" t="s">
        <v>205</v>
      </c>
      <c r="C18" s="630" t="s">
        <v>669</v>
      </c>
      <c r="D18" s="964">
        <v>306</v>
      </c>
      <c r="E18" s="965">
        <f t="shared" si="1"/>
        <v>2907</v>
      </c>
    </row>
    <row r="19" spans="2:5" ht="14.45" customHeight="1">
      <c r="B19" s="973" t="s">
        <v>65</v>
      </c>
      <c r="C19" s="973" t="s">
        <v>26</v>
      </c>
      <c r="D19" s="964">
        <v>409</v>
      </c>
      <c r="E19" s="965">
        <f t="shared" si="1"/>
        <v>3885.5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1459</v>
      </c>
      <c r="E22" s="954">
        <f t="shared" si="1"/>
        <v>13860.5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239</v>
      </c>
      <c r="C27" s="630" t="s">
        <v>669</v>
      </c>
      <c r="D27" s="964">
        <v>223</v>
      </c>
      <c r="E27" s="965">
        <f t="shared" ref="E27:E32" si="2">D27*9.5</f>
        <v>2118.5</v>
      </c>
    </row>
    <row r="28" spans="2:5">
      <c r="B28" s="1198" t="s">
        <v>333</v>
      </c>
      <c r="C28" s="630" t="s">
        <v>669</v>
      </c>
      <c r="D28" s="964">
        <v>358</v>
      </c>
      <c r="E28" s="965">
        <f t="shared" si="2"/>
        <v>3401</v>
      </c>
    </row>
    <row r="29" spans="2:5">
      <c r="B29" s="973" t="s">
        <v>332</v>
      </c>
      <c r="C29" s="973" t="s">
        <v>26</v>
      </c>
      <c r="D29" s="964">
        <v>458</v>
      </c>
      <c r="E29" s="965">
        <f t="shared" si="2"/>
        <v>4351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1039</v>
      </c>
      <c r="E32" s="954">
        <f t="shared" si="2"/>
        <v>9870.5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1410</v>
      </c>
      <c r="D35" s="956">
        <f>D22</f>
        <v>1459</v>
      </c>
      <c r="E35" s="956">
        <f>D32</f>
        <v>1039</v>
      </c>
    </row>
    <row r="36" spans="2:5">
      <c r="B36" s="953" t="s">
        <v>36</v>
      </c>
      <c r="C36" s="951">
        <f>C35*9.5</f>
        <v>13395</v>
      </c>
      <c r="D36" s="951">
        <f>D35*9.5</f>
        <v>13860.5</v>
      </c>
      <c r="E36" s="951">
        <f>E35*9.5</f>
        <v>9870.5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3908</v>
      </c>
      <c r="D38" s="378" t="s">
        <v>253</v>
      </c>
      <c r="E38" s="381">
        <f>C38*9.5</f>
        <v>37126</v>
      </c>
    </row>
    <row r="39" spans="2:5">
      <c r="B39" s="377" t="s">
        <v>197</v>
      </c>
      <c r="C39" s="378">
        <f>C40-C38</f>
        <v>4738</v>
      </c>
      <c r="D39" s="378" t="s">
        <v>204</v>
      </c>
      <c r="E39" s="381">
        <f>C39*9</f>
        <v>42642</v>
      </c>
    </row>
    <row r="40" spans="2:5" ht="19.5">
      <c r="B40" s="941" t="s">
        <v>201</v>
      </c>
      <c r="C40" s="380">
        <v>8646</v>
      </c>
      <c r="D40" s="380" t="s">
        <v>202</v>
      </c>
      <c r="E40" s="379">
        <f>SUM(E38+E39)</f>
        <v>79768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5D1FA-B1F4-4391-ABCF-C85DEA13F35E}">
  <sheetPr codeName="Sheet30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44995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281</v>
      </c>
      <c r="C7" s="630" t="s">
        <v>669</v>
      </c>
      <c r="D7" s="964">
        <v>291</v>
      </c>
      <c r="E7" s="965">
        <f t="shared" ref="E7:E12" si="0">D7*9.5</f>
        <v>2764.5</v>
      </c>
    </row>
    <row r="8" spans="2:8" ht="15" customHeight="1">
      <c r="B8" s="1198" t="s">
        <v>252</v>
      </c>
      <c r="C8" s="630" t="s">
        <v>669</v>
      </c>
      <c r="D8" s="964">
        <v>324</v>
      </c>
      <c r="E8" s="965">
        <f t="shared" si="0"/>
        <v>3078</v>
      </c>
    </row>
    <row r="9" spans="2:8" ht="15" customHeight="1">
      <c r="B9" s="973" t="s">
        <v>256</v>
      </c>
      <c r="C9" s="973" t="s">
        <v>26</v>
      </c>
      <c r="D9" s="964">
        <v>199</v>
      </c>
      <c r="E9" s="965">
        <f t="shared" si="0"/>
        <v>1890.5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814</v>
      </c>
      <c r="E12" s="965">
        <f t="shared" si="0"/>
        <v>7733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45</v>
      </c>
      <c r="C17" s="630" t="s">
        <v>669</v>
      </c>
      <c r="D17" s="964">
        <v>430</v>
      </c>
      <c r="E17" s="965">
        <f t="shared" ref="E17:E22" si="1">D17*9.5</f>
        <v>4085</v>
      </c>
    </row>
    <row r="18" spans="2:5" ht="15" customHeight="1">
      <c r="B18" s="1198" t="s">
        <v>329</v>
      </c>
      <c r="C18" s="630" t="s">
        <v>669</v>
      </c>
      <c r="D18" s="964">
        <v>822</v>
      </c>
      <c r="E18" s="965">
        <f t="shared" si="1"/>
        <v>7809</v>
      </c>
    </row>
    <row r="19" spans="2:5" ht="14.45" customHeight="1">
      <c r="B19" s="973" t="s">
        <v>332</v>
      </c>
      <c r="C19" s="973" t="s">
        <v>26</v>
      </c>
      <c r="D19" s="964">
        <v>575</v>
      </c>
      <c r="E19" s="965">
        <f t="shared" si="1"/>
        <v>5462.5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1827</v>
      </c>
      <c r="E22" s="954">
        <f t="shared" si="1"/>
        <v>17356.5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45</v>
      </c>
      <c r="C27" s="630" t="s">
        <v>669</v>
      </c>
      <c r="D27" s="964">
        <v>203</v>
      </c>
      <c r="E27" s="965">
        <f t="shared" ref="E27:E32" si="2">D27*9.5</f>
        <v>1928.5</v>
      </c>
    </row>
    <row r="28" spans="2:5">
      <c r="B28" s="1198" t="s">
        <v>331</v>
      </c>
      <c r="C28" s="630" t="s">
        <v>669</v>
      </c>
      <c r="D28" s="964">
        <v>394</v>
      </c>
      <c r="E28" s="965">
        <f t="shared" si="2"/>
        <v>3743</v>
      </c>
    </row>
    <row r="29" spans="2:5">
      <c r="B29" s="973" t="s">
        <v>678</v>
      </c>
      <c r="C29" s="973" t="s">
        <v>26</v>
      </c>
      <c r="D29" s="964">
        <v>290</v>
      </c>
      <c r="E29" s="965">
        <f t="shared" si="2"/>
        <v>2755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887</v>
      </c>
      <c r="E32" s="954">
        <f t="shared" si="2"/>
        <v>8426.5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814</v>
      </c>
      <c r="D35" s="956">
        <f>D22</f>
        <v>1827</v>
      </c>
      <c r="E35" s="956">
        <f>D32</f>
        <v>887</v>
      </c>
    </row>
    <row r="36" spans="2:5">
      <c r="B36" s="953" t="s">
        <v>36</v>
      </c>
      <c r="C36" s="951">
        <f>C35*9.5</f>
        <v>7733</v>
      </c>
      <c r="D36" s="951">
        <f>D35*9.5</f>
        <v>17356.5</v>
      </c>
      <c r="E36" s="951">
        <f>E35*9.5</f>
        <v>8426.5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3528</v>
      </c>
      <c r="D38" s="378" t="s">
        <v>253</v>
      </c>
      <c r="E38" s="381">
        <f>C38*9.5</f>
        <v>33516</v>
      </c>
    </row>
    <row r="39" spans="2:5">
      <c r="B39" s="377" t="s">
        <v>197</v>
      </c>
      <c r="C39" s="378">
        <f>C40-C38</f>
        <v>3254</v>
      </c>
      <c r="D39" s="378" t="s">
        <v>204</v>
      </c>
      <c r="E39" s="381">
        <f>C39*9</f>
        <v>29286</v>
      </c>
    </row>
    <row r="40" spans="2:5" ht="19.5">
      <c r="B40" s="941" t="s">
        <v>201</v>
      </c>
      <c r="C40" s="380">
        <v>6782</v>
      </c>
      <c r="D40" s="380" t="s">
        <v>202</v>
      </c>
      <c r="E40" s="379">
        <f>SUM(E38+E39)</f>
        <v>62802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C6150-41B8-4B1B-A7C0-461FFDE0D4C5}">
  <sheetPr codeName="Sheet303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44996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329</v>
      </c>
      <c r="C7" s="630" t="s">
        <v>669</v>
      </c>
      <c r="D7" s="964">
        <v>958</v>
      </c>
      <c r="E7" s="965">
        <f t="shared" ref="E7:E12" si="0">D7*9.5</f>
        <v>9101</v>
      </c>
    </row>
    <row r="8" spans="2:8" ht="15" customHeight="1">
      <c r="B8" s="1198" t="s">
        <v>330</v>
      </c>
      <c r="C8" s="630" t="s">
        <v>669</v>
      </c>
      <c r="D8" s="964">
        <v>857</v>
      </c>
      <c r="E8" s="965">
        <f t="shared" si="0"/>
        <v>8141.5</v>
      </c>
    </row>
    <row r="9" spans="2:8" ht="15" customHeight="1">
      <c r="B9" s="973" t="s">
        <v>279</v>
      </c>
      <c r="C9" s="973" t="s">
        <v>26</v>
      </c>
      <c r="D9" s="964">
        <v>898</v>
      </c>
      <c r="E9" s="965">
        <f t="shared" si="0"/>
        <v>8531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2713</v>
      </c>
      <c r="E12" s="965">
        <f t="shared" si="0"/>
        <v>25773.5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53</v>
      </c>
      <c r="C17" s="630" t="s">
        <v>669</v>
      </c>
      <c r="D17" s="964">
        <v>306</v>
      </c>
      <c r="E17" s="965">
        <f>D17*10</f>
        <v>3060</v>
      </c>
    </row>
    <row r="18" spans="2:5" ht="15" customHeight="1">
      <c r="B18" s="1198" t="s">
        <v>330</v>
      </c>
      <c r="C18" s="630" t="s">
        <v>669</v>
      </c>
      <c r="D18" s="964">
        <v>785</v>
      </c>
      <c r="E18" s="965">
        <f t="shared" ref="E18:E21" si="1">D18*9.5</f>
        <v>7457.5</v>
      </c>
    </row>
    <row r="19" spans="2:5" ht="14.45" customHeight="1">
      <c r="B19" s="973" t="s">
        <v>189</v>
      </c>
      <c r="C19" s="973" t="s">
        <v>26</v>
      </c>
      <c r="D19" s="964">
        <v>489</v>
      </c>
      <c r="E19" s="965">
        <f t="shared" si="1"/>
        <v>4645.5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1580</v>
      </c>
      <c r="E22" s="954">
        <f>SUM(E17:E21)</f>
        <v>15163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250</v>
      </c>
      <c r="C27" s="630" t="s">
        <v>669</v>
      </c>
      <c r="D27" s="964">
        <v>541</v>
      </c>
      <c r="E27" s="965">
        <f t="shared" ref="E27:E32" si="2">D27*9.5</f>
        <v>5139.5</v>
      </c>
    </row>
    <row r="28" spans="2:5">
      <c r="B28" s="1198" t="s">
        <v>858</v>
      </c>
      <c r="C28" s="630" t="s">
        <v>669</v>
      </c>
      <c r="D28" s="964">
        <v>552</v>
      </c>
      <c r="E28" s="965">
        <f t="shared" si="2"/>
        <v>5244</v>
      </c>
    </row>
    <row r="29" spans="2:5">
      <c r="B29" s="973" t="s">
        <v>82</v>
      </c>
      <c r="C29" s="973" t="s">
        <v>26</v>
      </c>
      <c r="D29" s="964">
        <v>328</v>
      </c>
      <c r="E29" s="965">
        <f t="shared" si="2"/>
        <v>3116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1421</v>
      </c>
      <c r="E32" s="954">
        <f t="shared" si="2"/>
        <v>13499.5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2713</v>
      </c>
      <c r="D35" s="956">
        <f>D22</f>
        <v>1580</v>
      </c>
      <c r="E35" s="956">
        <f>D32</f>
        <v>1421</v>
      </c>
    </row>
    <row r="36" spans="2:5">
      <c r="B36" s="953" t="s">
        <v>36</v>
      </c>
      <c r="C36" s="951">
        <f>C35*9.5</f>
        <v>25773.5</v>
      </c>
      <c r="D36" s="951">
        <f>E22</f>
        <v>15163</v>
      </c>
      <c r="E36" s="951">
        <f>E35*9.5</f>
        <v>13499.5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5714</v>
      </c>
      <c r="D38" s="378" t="s">
        <v>253</v>
      </c>
      <c r="E38" s="381">
        <f>SUM(C36,D36,E36)</f>
        <v>54436</v>
      </c>
    </row>
    <row r="39" spans="2:5">
      <c r="B39" s="377" t="s">
        <v>197</v>
      </c>
      <c r="C39" s="378">
        <f>C40-C38</f>
        <v>55</v>
      </c>
      <c r="D39" s="378" t="s">
        <v>204</v>
      </c>
      <c r="E39" s="381">
        <f>C39*9</f>
        <v>495</v>
      </c>
    </row>
    <row r="40" spans="2:5" ht="19.5">
      <c r="B40" s="941" t="s">
        <v>201</v>
      </c>
      <c r="C40" s="380">
        <v>5769</v>
      </c>
      <c r="D40" s="380" t="s">
        <v>202</v>
      </c>
      <c r="E40" s="379">
        <f>SUM(E38+E39)</f>
        <v>54931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461A9-F1CF-49CF-A88F-9A5CFB60C94C}">
  <sheetPr codeName="Sheet30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44997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678</v>
      </c>
      <c r="C7" s="630" t="s">
        <v>669</v>
      </c>
      <c r="D7" s="964">
        <v>473</v>
      </c>
      <c r="E7" s="965">
        <f t="shared" ref="E7:E12" si="0">D7*9.5</f>
        <v>4493.5</v>
      </c>
    </row>
    <row r="8" spans="2:8" ht="15" customHeight="1">
      <c r="B8" s="1198" t="s">
        <v>279</v>
      </c>
      <c r="C8" s="630" t="s">
        <v>669</v>
      </c>
      <c r="D8" s="964">
        <v>830</v>
      </c>
      <c r="E8" s="965">
        <f t="shared" si="0"/>
        <v>7885</v>
      </c>
    </row>
    <row r="9" spans="2:8" ht="15" customHeight="1">
      <c r="B9" s="973" t="s">
        <v>82</v>
      </c>
      <c r="C9" s="973" t="s">
        <v>26</v>
      </c>
      <c r="D9" s="964">
        <v>324</v>
      </c>
      <c r="E9" s="965">
        <f t="shared" si="0"/>
        <v>3078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1627</v>
      </c>
      <c r="E12" s="965">
        <f t="shared" si="0"/>
        <v>15456.5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250</v>
      </c>
      <c r="C17" s="630" t="s">
        <v>669</v>
      </c>
      <c r="D17" s="964">
        <v>706</v>
      </c>
      <c r="E17" s="965">
        <f t="shared" ref="E17:E22" si="1">D17*9.5</f>
        <v>6707</v>
      </c>
    </row>
    <row r="18" spans="2:5" ht="15" customHeight="1">
      <c r="B18" s="1198" t="s">
        <v>164</v>
      </c>
      <c r="C18" s="630" t="s">
        <v>669</v>
      </c>
      <c r="D18" s="964">
        <v>510</v>
      </c>
      <c r="E18" s="965">
        <f t="shared" si="1"/>
        <v>4845</v>
      </c>
    </row>
    <row r="19" spans="2:5" ht="14.45" customHeight="1">
      <c r="B19" s="973" t="s">
        <v>259</v>
      </c>
      <c r="C19" s="973" t="s">
        <v>26</v>
      </c>
      <c r="D19" s="964">
        <v>425</v>
      </c>
      <c r="E19" s="965">
        <f t="shared" si="1"/>
        <v>4037.5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1641</v>
      </c>
      <c r="E22" s="954">
        <f t="shared" si="1"/>
        <v>15589.5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65</v>
      </c>
      <c r="C27" s="630" t="s">
        <v>669</v>
      </c>
      <c r="D27" s="964">
        <v>477</v>
      </c>
      <c r="E27" s="965">
        <f t="shared" ref="E27:E32" si="2">D27*9.5</f>
        <v>4531.5</v>
      </c>
    </row>
    <row r="28" spans="2:5">
      <c r="B28" s="1198" t="s">
        <v>235</v>
      </c>
      <c r="C28" s="630" t="s">
        <v>669</v>
      </c>
      <c r="D28" s="964">
        <v>646</v>
      </c>
      <c r="E28" s="965">
        <f t="shared" si="2"/>
        <v>6137</v>
      </c>
    </row>
    <row r="29" spans="2:5">
      <c r="B29" s="973" t="s">
        <v>259</v>
      </c>
      <c r="C29" s="973" t="s">
        <v>26</v>
      </c>
      <c r="D29" s="964">
        <v>234</v>
      </c>
      <c r="E29" s="965">
        <f t="shared" si="2"/>
        <v>2223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1357</v>
      </c>
      <c r="E32" s="954">
        <f t="shared" si="2"/>
        <v>12891.5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1627</v>
      </c>
      <c r="D35" s="956">
        <f>D22</f>
        <v>1641</v>
      </c>
      <c r="E35" s="956">
        <f>D32</f>
        <v>1357</v>
      </c>
    </row>
    <row r="36" spans="2:5">
      <c r="B36" s="953" t="s">
        <v>36</v>
      </c>
      <c r="C36" s="951">
        <f>C35*9.5</f>
        <v>15456.5</v>
      </c>
      <c r="D36" s="951">
        <f>D35*9.5</f>
        <v>15589.5</v>
      </c>
      <c r="E36" s="951">
        <f>E35*9.5</f>
        <v>12891.5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4625</v>
      </c>
      <c r="D38" s="378" t="s">
        <v>253</v>
      </c>
      <c r="E38" s="381">
        <f>C38*9.5</f>
        <v>43937.5</v>
      </c>
    </row>
    <row r="39" spans="2:5">
      <c r="B39" s="377" t="s">
        <v>197</v>
      </c>
      <c r="C39" s="378">
        <f>C40-C38</f>
        <v>407</v>
      </c>
      <c r="D39" s="378" t="s">
        <v>204</v>
      </c>
      <c r="E39" s="381">
        <f>C39*9</f>
        <v>3663</v>
      </c>
    </row>
    <row r="40" spans="2:5" ht="19.5">
      <c r="B40" s="941" t="s">
        <v>201</v>
      </c>
      <c r="C40" s="380">
        <v>5032</v>
      </c>
      <c r="D40" s="380" t="s">
        <v>202</v>
      </c>
      <c r="E40" s="379">
        <f>SUM(E38+E39)</f>
        <v>47600.5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02A49-B3BA-4268-AFB1-3E5F6AC69D96}">
  <sheetPr codeName="Sheet30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44998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329</v>
      </c>
      <c r="C7" s="630" t="s">
        <v>669</v>
      </c>
      <c r="D7" s="964">
        <v>909</v>
      </c>
      <c r="E7" s="965">
        <f t="shared" ref="E7:E12" si="0">D7*9.5</f>
        <v>8635.5</v>
      </c>
    </row>
    <row r="8" spans="2:8" ht="15" customHeight="1">
      <c r="B8" s="1198" t="s">
        <v>252</v>
      </c>
      <c r="C8" s="630" t="s">
        <v>669</v>
      </c>
      <c r="D8" s="964">
        <v>313</v>
      </c>
      <c r="E8" s="965">
        <f t="shared" si="0"/>
        <v>2973.5</v>
      </c>
    </row>
    <row r="9" spans="2:8" ht="15" customHeight="1">
      <c r="B9" s="973" t="s">
        <v>12</v>
      </c>
      <c r="C9" s="973" t="s">
        <v>26</v>
      </c>
      <c r="D9" s="964">
        <v>403</v>
      </c>
      <c r="E9" s="965">
        <f t="shared" si="0"/>
        <v>3828.5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1625</v>
      </c>
      <c r="E12" s="965">
        <f t="shared" si="0"/>
        <v>15437.5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802</v>
      </c>
      <c r="C17" s="630" t="s">
        <v>669</v>
      </c>
      <c r="D17" s="964">
        <v>667</v>
      </c>
      <c r="E17" s="965">
        <f t="shared" ref="E17:E22" si="1">D17*9.5</f>
        <v>6336.5</v>
      </c>
    </row>
    <row r="18" spans="2:5" ht="15" customHeight="1">
      <c r="B18" s="1198" t="s">
        <v>826</v>
      </c>
      <c r="C18" s="630" t="s">
        <v>669</v>
      </c>
      <c r="D18" s="964">
        <v>734</v>
      </c>
      <c r="E18" s="965">
        <f t="shared" si="1"/>
        <v>6973</v>
      </c>
    </row>
    <row r="19" spans="2:5" ht="14.45" customHeight="1">
      <c r="B19" s="973" t="s">
        <v>280</v>
      </c>
      <c r="C19" s="973" t="s">
        <v>26</v>
      </c>
      <c r="D19" s="964">
        <v>518</v>
      </c>
      <c r="E19" s="965">
        <f t="shared" si="1"/>
        <v>4921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1919</v>
      </c>
      <c r="E22" s="954">
        <f t="shared" si="1"/>
        <v>18230.5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82</v>
      </c>
      <c r="C27" s="630" t="s">
        <v>669</v>
      </c>
      <c r="D27" s="964">
        <v>385</v>
      </c>
      <c r="E27" s="965">
        <f t="shared" ref="E27:E32" si="2">D27*9.5</f>
        <v>3657.5</v>
      </c>
    </row>
    <row r="28" spans="2:5">
      <c r="B28" s="1198" t="s">
        <v>278</v>
      </c>
      <c r="C28" s="630" t="s">
        <v>669</v>
      </c>
      <c r="D28" s="964">
        <v>584</v>
      </c>
      <c r="E28" s="965">
        <f t="shared" si="2"/>
        <v>5548</v>
      </c>
    </row>
    <row r="29" spans="2:5">
      <c r="B29" s="973" t="s">
        <v>281</v>
      </c>
      <c r="C29" s="973" t="s">
        <v>26</v>
      </c>
      <c r="D29" s="964">
        <v>314</v>
      </c>
      <c r="E29" s="965">
        <f t="shared" si="2"/>
        <v>2983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1283</v>
      </c>
      <c r="E32" s="954">
        <f t="shared" si="2"/>
        <v>12188.5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1625</v>
      </c>
      <c r="D35" s="956">
        <f>D22</f>
        <v>1919</v>
      </c>
      <c r="E35" s="956">
        <f>D32</f>
        <v>1283</v>
      </c>
    </row>
    <row r="36" spans="2:5">
      <c r="B36" s="953" t="s">
        <v>36</v>
      </c>
      <c r="C36" s="951">
        <f>C35*9.5</f>
        <v>15437.5</v>
      </c>
      <c r="D36" s="951">
        <f>D35*9.5</f>
        <v>18230.5</v>
      </c>
      <c r="E36" s="951">
        <f>E35*9.5</f>
        <v>12188.5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4827</v>
      </c>
      <c r="D38" s="378" t="s">
        <v>253</v>
      </c>
      <c r="E38" s="381">
        <f>C38*9.5</f>
        <v>45856.5</v>
      </c>
    </row>
    <row r="39" spans="2:5">
      <c r="B39" s="377" t="s">
        <v>197</v>
      </c>
      <c r="C39" s="378">
        <f>C40-C38</f>
        <v>4535</v>
      </c>
      <c r="D39" s="378" t="s">
        <v>204</v>
      </c>
      <c r="E39" s="381">
        <f>C39*9</f>
        <v>40815</v>
      </c>
    </row>
    <row r="40" spans="2:5" ht="19.5">
      <c r="B40" s="941" t="s">
        <v>201</v>
      </c>
      <c r="C40" s="380">
        <v>9362</v>
      </c>
      <c r="D40" s="380" t="s">
        <v>202</v>
      </c>
      <c r="E40" s="379">
        <f>SUM(E38+E39)</f>
        <v>86671.5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890ED-ECDF-4D32-AB65-FF4C60893669}">
  <sheetPr codeName="Sheet30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44999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678</v>
      </c>
      <c r="C7" s="630" t="s">
        <v>669</v>
      </c>
      <c r="D7" s="964">
        <v>432</v>
      </c>
      <c r="E7" s="965">
        <f t="shared" ref="E7:E12" si="0">D7*9.5</f>
        <v>4104</v>
      </c>
    </row>
    <row r="8" spans="2:8" ht="15" customHeight="1">
      <c r="B8" s="1198" t="s">
        <v>78</v>
      </c>
      <c r="C8" s="630" t="s">
        <v>669</v>
      </c>
      <c r="D8" s="964">
        <v>375</v>
      </c>
      <c r="E8" s="965">
        <f t="shared" si="0"/>
        <v>3562.5</v>
      </c>
    </row>
    <row r="9" spans="2:8" ht="15" customHeight="1">
      <c r="B9" s="973" t="s">
        <v>279</v>
      </c>
      <c r="C9" s="973" t="s">
        <v>26</v>
      </c>
      <c r="D9" s="964">
        <v>761</v>
      </c>
      <c r="E9" s="965">
        <f t="shared" si="0"/>
        <v>7229.5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1568</v>
      </c>
      <c r="E12" s="965">
        <f t="shared" si="0"/>
        <v>14896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252</v>
      </c>
      <c r="C17" s="630" t="s">
        <v>669</v>
      </c>
      <c r="D17" s="964">
        <v>341</v>
      </c>
      <c r="E17" s="965">
        <f t="shared" ref="E17:E22" si="1">D17*9.5</f>
        <v>3239.5</v>
      </c>
    </row>
    <row r="18" spans="2:5" ht="15" customHeight="1">
      <c r="B18" s="1198" t="s">
        <v>238</v>
      </c>
      <c r="C18" s="630" t="s">
        <v>669</v>
      </c>
      <c r="D18" s="964">
        <v>317</v>
      </c>
      <c r="E18" s="965">
        <f t="shared" si="1"/>
        <v>3011.5</v>
      </c>
    </row>
    <row r="19" spans="2:5" ht="14.45" customHeight="1">
      <c r="B19" s="973" t="s">
        <v>45</v>
      </c>
      <c r="C19" s="973" t="s">
        <v>26</v>
      </c>
      <c r="D19" s="964">
        <v>449</v>
      </c>
      <c r="E19" s="965">
        <f t="shared" si="1"/>
        <v>4265.5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1107</v>
      </c>
      <c r="E22" s="954">
        <f t="shared" si="1"/>
        <v>10516.5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65</v>
      </c>
      <c r="C27" s="630" t="s">
        <v>669</v>
      </c>
      <c r="D27" s="964">
        <v>331</v>
      </c>
      <c r="E27" s="965">
        <f t="shared" ref="E27:E32" si="2">D27*9.5</f>
        <v>3144.5</v>
      </c>
    </row>
    <row r="28" spans="2:5">
      <c r="B28" s="1198" t="s">
        <v>331</v>
      </c>
      <c r="C28" s="630" t="s">
        <v>669</v>
      </c>
      <c r="D28" s="964">
        <v>394</v>
      </c>
      <c r="E28" s="965">
        <f t="shared" si="2"/>
        <v>3743</v>
      </c>
    </row>
    <row r="29" spans="2:5">
      <c r="B29" s="973" t="s">
        <v>70</v>
      </c>
      <c r="C29" s="973" t="s">
        <v>26</v>
      </c>
      <c r="D29" s="964">
        <v>346</v>
      </c>
      <c r="E29" s="965">
        <f t="shared" si="2"/>
        <v>3287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1071</v>
      </c>
      <c r="E32" s="954">
        <f t="shared" si="2"/>
        <v>10174.5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1568</v>
      </c>
      <c r="D35" s="956">
        <f>D22</f>
        <v>1107</v>
      </c>
      <c r="E35" s="956">
        <f>D32</f>
        <v>1071</v>
      </c>
    </row>
    <row r="36" spans="2:5">
      <c r="B36" s="953" t="s">
        <v>36</v>
      </c>
      <c r="C36" s="951">
        <f>C35*9.5</f>
        <v>14896</v>
      </c>
      <c r="D36" s="951">
        <f>D35*9.5</f>
        <v>10516.5</v>
      </c>
      <c r="E36" s="951">
        <f>E35*9.5</f>
        <v>10174.5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3746</v>
      </c>
      <c r="D38" s="378" t="s">
        <v>253</v>
      </c>
      <c r="E38" s="381">
        <f>C38*9.5</f>
        <v>35587</v>
      </c>
    </row>
    <row r="39" spans="2:5">
      <c r="B39" s="377" t="s">
        <v>197</v>
      </c>
      <c r="C39" s="378">
        <f>C40-C38</f>
        <v>4868</v>
      </c>
      <c r="D39" s="378" t="s">
        <v>204</v>
      </c>
      <c r="E39" s="381">
        <f>C39*9</f>
        <v>43812</v>
      </c>
    </row>
    <row r="40" spans="2:5" ht="19.5">
      <c r="B40" s="941" t="s">
        <v>201</v>
      </c>
      <c r="C40" s="380">
        <v>8614</v>
      </c>
      <c r="D40" s="380" t="s">
        <v>202</v>
      </c>
      <c r="E40" s="379">
        <f>SUM(E38+E39)</f>
        <v>79399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C2C6E-DB34-48C8-90FD-DA22B49B0EC1}">
  <sheetPr codeName="Sheet30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45000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250</v>
      </c>
      <c r="C7" s="630" t="s">
        <v>669</v>
      </c>
      <c r="D7" s="964">
        <v>724</v>
      </c>
      <c r="E7" s="965">
        <f t="shared" ref="E7:E12" si="0">D7*9.5</f>
        <v>6878</v>
      </c>
    </row>
    <row r="8" spans="2:8" ht="15" customHeight="1">
      <c r="B8" s="1198" t="s">
        <v>256</v>
      </c>
      <c r="C8" s="630" t="s">
        <v>669</v>
      </c>
      <c r="D8" s="964">
        <v>264</v>
      </c>
      <c r="E8" s="965">
        <f t="shared" si="0"/>
        <v>2508</v>
      </c>
    </row>
    <row r="9" spans="2:8" ht="15" customHeight="1">
      <c r="B9" s="973" t="s">
        <v>205</v>
      </c>
      <c r="C9" s="973" t="s">
        <v>26</v>
      </c>
      <c r="D9" s="964">
        <v>249</v>
      </c>
      <c r="E9" s="965">
        <f t="shared" si="0"/>
        <v>2365.5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1237</v>
      </c>
      <c r="E12" s="965">
        <f t="shared" si="0"/>
        <v>11751.5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256</v>
      </c>
      <c r="C17" s="630" t="s">
        <v>669</v>
      </c>
      <c r="D17" s="964">
        <v>280</v>
      </c>
      <c r="E17" s="965">
        <f t="shared" ref="E17:E22" si="1">D17*9.5</f>
        <v>2660</v>
      </c>
    </row>
    <row r="18" spans="2:5" ht="15" customHeight="1">
      <c r="B18" s="1198" t="s">
        <v>330</v>
      </c>
      <c r="C18" s="630" t="s">
        <v>669</v>
      </c>
      <c r="D18" s="964">
        <v>970</v>
      </c>
      <c r="E18" s="965">
        <f t="shared" si="1"/>
        <v>9215</v>
      </c>
    </row>
    <row r="19" spans="2:5" ht="14.45" customHeight="1">
      <c r="B19" s="973" t="s">
        <v>244</v>
      </c>
      <c r="C19" s="973" t="s">
        <v>26</v>
      </c>
      <c r="D19" s="964">
        <v>813</v>
      </c>
      <c r="E19" s="965">
        <f t="shared" si="1"/>
        <v>7723.5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2063</v>
      </c>
      <c r="E22" s="954">
        <f t="shared" si="1"/>
        <v>19598.5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281</v>
      </c>
      <c r="C27" s="630" t="s">
        <v>669</v>
      </c>
      <c r="D27" s="964">
        <v>344</v>
      </c>
      <c r="E27" s="965">
        <f t="shared" ref="E27:E32" si="2">D27*9.5</f>
        <v>3268</v>
      </c>
    </row>
    <row r="28" spans="2:5">
      <c r="B28" s="1198" t="s">
        <v>333</v>
      </c>
      <c r="C28" s="630" t="s">
        <v>669</v>
      </c>
      <c r="D28" s="964">
        <v>391</v>
      </c>
      <c r="E28" s="965">
        <f t="shared" si="2"/>
        <v>3714.5</v>
      </c>
    </row>
    <row r="29" spans="2:5">
      <c r="B29" s="973" t="s">
        <v>70</v>
      </c>
      <c r="C29" s="973" t="s">
        <v>26</v>
      </c>
      <c r="D29" s="964">
        <v>424</v>
      </c>
      <c r="E29" s="965">
        <f t="shared" si="2"/>
        <v>4028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1159</v>
      </c>
      <c r="E32" s="954">
        <f t="shared" si="2"/>
        <v>11010.5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1237</v>
      </c>
      <c r="D35" s="956">
        <f>D22</f>
        <v>2063</v>
      </c>
      <c r="E35" s="956">
        <f>D32</f>
        <v>1159</v>
      </c>
    </row>
    <row r="36" spans="2:5">
      <c r="B36" s="953" t="s">
        <v>36</v>
      </c>
      <c r="C36" s="951">
        <f>C35*9.5</f>
        <v>11751.5</v>
      </c>
      <c r="D36" s="951">
        <f>D35*9.5</f>
        <v>19598.5</v>
      </c>
      <c r="E36" s="951">
        <f>E35*9.5</f>
        <v>11010.5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4459</v>
      </c>
      <c r="D38" s="378" t="s">
        <v>253</v>
      </c>
      <c r="E38" s="381">
        <f>C38*9.5</f>
        <v>42360.5</v>
      </c>
    </row>
    <row r="39" spans="2:5">
      <c r="B39" s="377" t="s">
        <v>197</v>
      </c>
      <c r="C39" s="378">
        <f>C40-C38</f>
        <v>5135</v>
      </c>
      <c r="D39" s="378" t="s">
        <v>204</v>
      </c>
      <c r="E39" s="381">
        <f>C39*9</f>
        <v>46215</v>
      </c>
    </row>
    <row r="40" spans="2:5" ht="19.5">
      <c r="B40" s="941" t="s">
        <v>201</v>
      </c>
      <c r="C40" s="380">
        <v>9594</v>
      </c>
      <c r="D40" s="380" t="s">
        <v>202</v>
      </c>
      <c r="E40" s="379">
        <f>SUM(E38+E39)</f>
        <v>88575.5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C5C12-0C5F-4CAA-A1F9-C440010DE3F7}">
  <sheetPr codeName="Sheet30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45001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303</v>
      </c>
      <c r="C7" s="630" t="s">
        <v>669</v>
      </c>
      <c r="D7" s="964">
        <v>932</v>
      </c>
      <c r="E7" s="965">
        <f t="shared" ref="E7:E12" si="0">D7*9.5</f>
        <v>8854</v>
      </c>
    </row>
    <row r="8" spans="2:8" ht="15" customHeight="1">
      <c r="B8" s="1198" t="s">
        <v>802</v>
      </c>
      <c r="C8" s="630" t="s">
        <v>669</v>
      </c>
      <c r="D8" s="964">
        <v>568</v>
      </c>
      <c r="E8" s="965">
        <f t="shared" si="0"/>
        <v>5396</v>
      </c>
    </row>
    <row r="9" spans="2:8" ht="15" customHeight="1">
      <c r="B9" s="973" t="s">
        <v>239</v>
      </c>
      <c r="C9" s="973" t="s">
        <v>26</v>
      </c>
      <c r="D9" s="964">
        <v>230</v>
      </c>
      <c r="E9" s="965">
        <f t="shared" si="0"/>
        <v>2185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1730</v>
      </c>
      <c r="E12" s="965">
        <f t="shared" si="0"/>
        <v>16435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303</v>
      </c>
      <c r="C17" s="630" t="s">
        <v>669</v>
      </c>
      <c r="D17" s="964">
        <v>860</v>
      </c>
      <c r="E17" s="965">
        <f t="shared" ref="E17:E22" si="1">D17*9.5</f>
        <v>8170</v>
      </c>
    </row>
    <row r="18" spans="2:5" ht="15" customHeight="1">
      <c r="B18" s="1198" t="s">
        <v>332</v>
      </c>
      <c r="C18" s="630" t="s">
        <v>669</v>
      </c>
      <c r="D18" s="964">
        <v>749</v>
      </c>
      <c r="E18" s="965">
        <f t="shared" si="1"/>
        <v>7115.5</v>
      </c>
    </row>
    <row r="19" spans="2:5" ht="14.45" customHeight="1">
      <c r="B19" s="973" t="s">
        <v>189</v>
      </c>
      <c r="C19" s="973" t="s">
        <v>26</v>
      </c>
      <c r="D19" s="964">
        <v>432</v>
      </c>
      <c r="E19" s="965">
        <f t="shared" si="1"/>
        <v>4104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2041</v>
      </c>
      <c r="E22" s="954">
        <f t="shared" si="1"/>
        <v>19389.5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332</v>
      </c>
      <c r="C27" s="630" t="s">
        <v>669</v>
      </c>
      <c r="D27" s="964">
        <v>379</v>
      </c>
      <c r="E27" s="965">
        <f t="shared" ref="E27:E32" si="2">D27*9.5</f>
        <v>3600.5</v>
      </c>
    </row>
    <row r="28" spans="2:5">
      <c r="B28" s="1198" t="s">
        <v>334</v>
      </c>
      <c r="C28" s="630" t="s">
        <v>669</v>
      </c>
      <c r="D28" s="964">
        <v>584</v>
      </c>
      <c r="E28" s="965">
        <f t="shared" si="2"/>
        <v>5548</v>
      </c>
    </row>
    <row r="29" spans="2:5">
      <c r="B29" s="973" t="s">
        <v>45</v>
      </c>
      <c r="C29" s="973" t="s">
        <v>26</v>
      </c>
      <c r="D29" s="964">
        <v>399</v>
      </c>
      <c r="E29" s="965">
        <f t="shared" si="2"/>
        <v>3790.5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1362</v>
      </c>
      <c r="E32" s="954">
        <f t="shared" si="2"/>
        <v>12939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1730</v>
      </c>
      <c r="D35" s="956">
        <f>D22</f>
        <v>2041</v>
      </c>
      <c r="E35" s="956">
        <f>D32</f>
        <v>1362</v>
      </c>
    </row>
    <row r="36" spans="2:5">
      <c r="B36" s="953" t="s">
        <v>36</v>
      </c>
      <c r="C36" s="951">
        <f>C35*9.5</f>
        <v>16435</v>
      </c>
      <c r="D36" s="951">
        <f>D35*9.5</f>
        <v>19389.5</v>
      </c>
      <c r="E36" s="951">
        <f>E35*9.5</f>
        <v>12939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5133</v>
      </c>
      <c r="D38" s="378" t="s">
        <v>253</v>
      </c>
      <c r="E38" s="381">
        <f>C38*9.5</f>
        <v>48763.5</v>
      </c>
    </row>
    <row r="39" spans="2:5">
      <c r="B39" s="377" t="s">
        <v>197</v>
      </c>
      <c r="C39" s="378">
        <f>C40-C38</f>
        <v>5220</v>
      </c>
      <c r="D39" s="378" t="s">
        <v>204</v>
      </c>
      <c r="E39" s="381">
        <f>C39*9</f>
        <v>46980</v>
      </c>
    </row>
    <row r="40" spans="2:5" ht="19.5">
      <c r="B40" s="941" t="s">
        <v>201</v>
      </c>
      <c r="C40" s="380">
        <v>10353</v>
      </c>
      <c r="D40" s="380" t="s">
        <v>202</v>
      </c>
      <c r="E40" s="379">
        <f>SUM(E38+E39)</f>
        <v>95743.5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1C4DA-0953-40E9-AD21-2A4A0C15A5C2}">
  <sheetPr codeName="Sheet30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45002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244</v>
      </c>
      <c r="C7" s="630" t="s">
        <v>669</v>
      </c>
      <c r="D7" s="964">
        <v>694</v>
      </c>
      <c r="E7" s="965">
        <f t="shared" ref="E7:E12" si="0">D7*9.5</f>
        <v>6593</v>
      </c>
    </row>
    <row r="8" spans="2:8" ht="15" customHeight="1">
      <c r="B8" s="1198" t="s">
        <v>330</v>
      </c>
      <c r="C8" s="630" t="s">
        <v>669</v>
      </c>
      <c r="D8" s="964">
        <v>848</v>
      </c>
      <c r="E8" s="965">
        <f t="shared" si="0"/>
        <v>8056</v>
      </c>
    </row>
    <row r="9" spans="2:8" ht="15" customHeight="1">
      <c r="B9" s="973" t="s">
        <v>238</v>
      </c>
      <c r="C9" s="973" t="s">
        <v>26</v>
      </c>
      <c r="D9" s="964">
        <v>284</v>
      </c>
      <c r="E9" s="965">
        <f t="shared" si="0"/>
        <v>2698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1826</v>
      </c>
      <c r="E12" s="965">
        <f t="shared" si="0"/>
        <v>17347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330</v>
      </c>
      <c r="C17" s="630" t="s">
        <v>669</v>
      </c>
      <c r="D17" s="964">
        <v>858</v>
      </c>
      <c r="E17" s="965">
        <f t="shared" ref="E17:E22" si="1">D17*9.5</f>
        <v>8151</v>
      </c>
    </row>
    <row r="18" spans="2:5" ht="15" customHeight="1">
      <c r="B18" s="1198" t="s">
        <v>329</v>
      </c>
      <c r="C18" s="630" t="s">
        <v>669</v>
      </c>
      <c r="D18" s="964">
        <v>882</v>
      </c>
      <c r="E18" s="965">
        <f t="shared" si="1"/>
        <v>8379</v>
      </c>
    </row>
    <row r="19" spans="2:5" ht="14.45" customHeight="1">
      <c r="B19" s="973" t="s">
        <v>256</v>
      </c>
      <c r="C19" s="973" t="s">
        <v>26</v>
      </c>
      <c r="D19" s="964">
        <v>222</v>
      </c>
      <c r="E19" s="965">
        <f t="shared" si="1"/>
        <v>2109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1962</v>
      </c>
      <c r="E22" s="954">
        <f t="shared" si="1"/>
        <v>18639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695</v>
      </c>
      <c r="C27" s="630" t="s">
        <v>669</v>
      </c>
      <c r="D27" s="964">
        <v>251</v>
      </c>
      <c r="E27" s="965">
        <f t="shared" ref="E27:E32" si="2">D27*9.5</f>
        <v>2384.5</v>
      </c>
    </row>
    <row r="28" spans="2:5">
      <c r="B28" s="1198" t="s">
        <v>331</v>
      </c>
      <c r="C28" s="630" t="s">
        <v>669</v>
      </c>
      <c r="D28" s="964">
        <v>410</v>
      </c>
      <c r="E28" s="965">
        <f t="shared" si="2"/>
        <v>3895</v>
      </c>
    </row>
    <row r="29" spans="2:5">
      <c r="B29" s="973" t="s">
        <v>256</v>
      </c>
      <c r="C29" s="973" t="s">
        <v>26</v>
      </c>
      <c r="D29" s="964">
        <v>200</v>
      </c>
      <c r="E29" s="965">
        <f t="shared" si="2"/>
        <v>1900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861</v>
      </c>
      <c r="E32" s="954">
        <f t="shared" si="2"/>
        <v>8179.5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1826</v>
      </c>
      <c r="D35" s="956">
        <f>D22</f>
        <v>1962</v>
      </c>
      <c r="E35" s="956">
        <f>D32</f>
        <v>861</v>
      </c>
    </row>
    <row r="36" spans="2:5">
      <c r="B36" s="953" t="s">
        <v>36</v>
      </c>
      <c r="C36" s="951">
        <f>C35*9.5</f>
        <v>17347</v>
      </c>
      <c r="D36" s="951">
        <f>D35*9.5</f>
        <v>18639</v>
      </c>
      <c r="E36" s="951">
        <f>E35*9.5</f>
        <v>8179.5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4649</v>
      </c>
      <c r="D38" s="378" t="s">
        <v>253</v>
      </c>
      <c r="E38" s="381">
        <f>C38*9.5</f>
        <v>44165.5</v>
      </c>
    </row>
    <row r="39" spans="2:5">
      <c r="B39" s="377" t="s">
        <v>197</v>
      </c>
      <c r="C39" s="378">
        <f>C40-C38</f>
        <v>4465</v>
      </c>
      <c r="D39" s="378" t="s">
        <v>204</v>
      </c>
      <c r="E39" s="381">
        <f>C39*9</f>
        <v>40185</v>
      </c>
    </row>
    <row r="40" spans="2:5" ht="19.5">
      <c r="B40" s="941" t="s">
        <v>201</v>
      </c>
      <c r="C40" s="380">
        <v>9114</v>
      </c>
      <c r="D40" s="380" t="s">
        <v>202</v>
      </c>
      <c r="E40" s="379">
        <f>SUM(E38+E39)</f>
        <v>84350.5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D894A-E973-4433-8E64-54C3902A6D37}">
  <sheetPr codeName="Sheet310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45003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329</v>
      </c>
      <c r="C7" s="630" t="s">
        <v>669</v>
      </c>
      <c r="D7" s="964">
        <v>910</v>
      </c>
      <c r="E7" s="965">
        <f t="shared" ref="E7:E12" si="0">D7*9.5</f>
        <v>8645</v>
      </c>
    </row>
    <row r="8" spans="2:8" ht="15" customHeight="1">
      <c r="B8" s="1198" t="s">
        <v>250</v>
      </c>
      <c r="C8" s="630" t="s">
        <v>669</v>
      </c>
      <c r="D8" s="964">
        <v>651</v>
      </c>
      <c r="E8" s="965">
        <f t="shared" si="0"/>
        <v>6184.5</v>
      </c>
    </row>
    <row r="9" spans="2:8" ht="15" customHeight="1">
      <c r="B9" s="973" t="s">
        <v>802</v>
      </c>
      <c r="C9" s="973" t="s">
        <v>26</v>
      </c>
      <c r="D9" s="964">
        <v>710</v>
      </c>
      <c r="E9" s="965">
        <f t="shared" si="0"/>
        <v>6745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2271</v>
      </c>
      <c r="E12" s="965">
        <f t="shared" si="0"/>
        <v>21574.5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281</v>
      </c>
      <c r="C17" s="630" t="s">
        <v>669</v>
      </c>
      <c r="D17" s="964">
        <v>451</v>
      </c>
      <c r="E17" s="965">
        <f t="shared" ref="E17:E22" si="1">D17*9.5</f>
        <v>4284.5</v>
      </c>
    </row>
    <row r="18" spans="2:5" ht="15" customHeight="1">
      <c r="B18" s="1198" t="s">
        <v>250</v>
      </c>
      <c r="C18" s="630" t="s">
        <v>669</v>
      </c>
      <c r="D18" s="964">
        <v>800</v>
      </c>
      <c r="E18" s="965">
        <f t="shared" si="1"/>
        <v>7600</v>
      </c>
    </row>
    <row r="19" spans="2:5" ht="14.45" customHeight="1">
      <c r="B19" s="973" t="s">
        <v>303</v>
      </c>
      <c r="C19" s="973" t="s">
        <v>26</v>
      </c>
      <c r="D19" s="964">
        <v>1077</v>
      </c>
      <c r="E19" s="965">
        <f t="shared" si="1"/>
        <v>10231.5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2328</v>
      </c>
      <c r="E22" s="954">
        <f t="shared" si="1"/>
        <v>22116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678</v>
      </c>
      <c r="C27" s="630" t="s">
        <v>669</v>
      </c>
      <c r="D27" s="964">
        <v>450</v>
      </c>
      <c r="E27" s="965">
        <f t="shared" ref="E27:E32" si="2">D27*9.5</f>
        <v>4275</v>
      </c>
    </row>
    <row r="28" spans="2:5">
      <c r="B28" s="1198" t="s">
        <v>235</v>
      </c>
      <c r="C28" s="630" t="s">
        <v>669</v>
      </c>
      <c r="D28" s="964">
        <v>719</v>
      </c>
      <c r="E28" s="965">
        <f t="shared" si="2"/>
        <v>6830.5</v>
      </c>
    </row>
    <row r="29" spans="2:5">
      <c r="B29" s="973" t="s">
        <v>12</v>
      </c>
      <c r="C29" s="973" t="s">
        <v>26</v>
      </c>
      <c r="D29" s="964">
        <v>433</v>
      </c>
      <c r="E29" s="965">
        <f t="shared" si="2"/>
        <v>4113.5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1602</v>
      </c>
      <c r="E32" s="954">
        <f t="shared" si="2"/>
        <v>15219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2271</v>
      </c>
      <c r="D35" s="956">
        <f>D22</f>
        <v>2328</v>
      </c>
      <c r="E35" s="956">
        <f>D32</f>
        <v>1602</v>
      </c>
    </row>
    <row r="36" spans="2:5">
      <c r="B36" s="953" t="s">
        <v>36</v>
      </c>
      <c r="C36" s="951">
        <f>C35*9.5</f>
        <v>21574.5</v>
      </c>
      <c r="D36" s="951">
        <f>D35*9.5</f>
        <v>22116</v>
      </c>
      <c r="E36" s="951">
        <f>E35*9.5</f>
        <v>15219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6201</v>
      </c>
      <c r="D38" s="378" t="s">
        <v>253</v>
      </c>
      <c r="E38" s="381">
        <f>C38*9.5</f>
        <v>58909.5</v>
      </c>
    </row>
    <row r="39" spans="2:5">
      <c r="B39" s="377" t="s">
        <v>197</v>
      </c>
      <c r="C39" s="378">
        <f>C40-C38</f>
        <v>328</v>
      </c>
      <c r="D39" s="378" t="s">
        <v>204</v>
      </c>
      <c r="E39" s="381">
        <f>C39*9</f>
        <v>2952</v>
      </c>
    </row>
    <row r="40" spans="2:5" ht="19.5">
      <c r="B40" s="941" t="s">
        <v>201</v>
      </c>
      <c r="C40" s="380">
        <v>6529</v>
      </c>
      <c r="D40" s="380" t="s">
        <v>202</v>
      </c>
      <c r="E40" s="379">
        <f>SUM(E38+E39)</f>
        <v>61861.5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DA07B-54A8-4085-9F3C-41230E3546C5}">
  <sheetPr codeName="Sheet311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45004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678</v>
      </c>
      <c r="C7" s="630" t="s">
        <v>669</v>
      </c>
      <c r="D7" s="964">
        <v>580</v>
      </c>
      <c r="E7" s="965">
        <f t="shared" ref="E7:E12" si="0">D7*9.5</f>
        <v>5510</v>
      </c>
    </row>
    <row r="8" spans="2:8" ht="15" customHeight="1">
      <c r="B8" s="1198" t="s">
        <v>238</v>
      </c>
      <c r="C8" s="630" t="s">
        <v>669</v>
      </c>
      <c r="D8" s="964">
        <v>361</v>
      </c>
      <c r="E8" s="965">
        <f t="shared" si="0"/>
        <v>3429.5</v>
      </c>
    </row>
    <row r="9" spans="2:8" ht="15" customHeight="1">
      <c r="B9" s="973" t="s">
        <v>279</v>
      </c>
      <c r="C9" s="973" t="s">
        <v>26</v>
      </c>
      <c r="D9" s="964">
        <v>978</v>
      </c>
      <c r="E9" s="965">
        <f t="shared" si="0"/>
        <v>9291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1919</v>
      </c>
      <c r="E12" s="965">
        <f t="shared" si="0"/>
        <v>18230.5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250</v>
      </c>
      <c r="C17" s="630" t="s">
        <v>669</v>
      </c>
      <c r="D17" s="964">
        <v>969</v>
      </c>
      <c r="E17" s="965">
        <f t="shared" ref="E17:E22" si="1">D17*9.5</f>
        <v>9205.5</v>
      </c>
    </row>
    <row r="18" spans="2:5" ht="15" customHeight="1">
      <c r="B18" s="1198" t="s">
        <v>44</v>
      </c>
      <c r="C18" s="630" t="s">
        <v>669</v>
      </c>
      <c r="D18" s="964">
        <v>459</v>
      </c>
      <c r="E18" s="965">
        <f t="shared" si="1"/>
        <v>4360.5</v>
      </c>
    </row>
    <row r="19" spans="2:5" ht="14.45" customHeight="1">
      <c r="B19" s="973" t="s">
        <v>189</v>
      </c>
      <c r="C19" s="973" t="s">
        <v>26</v>
      </c>
      <c r="D19" s="964">
        <v>583</v>
      </c>
      <c r="E19" s="965">
        <f t="shared" si="1"/>
        <v>5538.5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2011</v>
      </c>
      <c r="E22" s="954">
        <f t="shared" si="1"/>
        <v>19104.5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250</v>
      </c>
      <c r="C27" s="630" t="s">
        <v>669</v>
      </c>
      <c r="D27" s="964">
        <v>458</v>
      </c>
      <c r="E27" s="965">
        <f t="shared" ref="E27:E32" si="2">D27*9.5</f>
        <v>4351</v>
      </c>
    </row>
    <row r="28" spans="2:5">
      <c r="B28" s="1198" t="s">
        <v>235</v>
      </c>
      <c r="C28" s="630" t="s">
        <v>669</v>
      </c>
      <c r="D28" s="964">
        <v>767</v>
      </c>
      <c r="E28" s="965">
        <f t="shared" si="2"/>
        <v>7286.5</v>
      </c>
    </row>
    <row r="29" spans="2:5">
      <c r="B29" s="973" t="s">
        <v>301</v>
      </c>
      <c r="C29" s="973" t="s">
        <v>26</v>
      </c>
      <c r="D29" s="964">
        <v>450</v>
      </c>
      <c r="E29" s="965">
        <f t="shared" si="2"/>
        <v>4275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1675</v>
      </c>
      <c r="E32" s="954">
        <f t="shared" si="2"/>
        <v>15912.5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1919</v>
      </c>
      <c r="D35" s="956">
        <f>D22</f>
        <v>2011</v>
      </c>
      <c r="E35" s="956">
        <f>D32</f>
        <v>1675</v>
      </c>
    </row>
    <row r="36" spans="2:5">
      <c r="B36" s="953" t="s">
        <v>36</v>
      </c>
      <c r="C36" s="951">
        <f>C35*9.5</f>
        <v>18230.5</v>
      </c>
      <c r="D36" s="951">
        <f>D35*9.5</f>
        <v>19104.5</v>
      </c>
      <c r="E36" s="951">
        <f>E35*9.5</f>
        <v>15912.5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5605</v>
      </c>
      <c r="D38" s="378" t="s">
        <v>253</v>
      </c>
      <c r="E38" s="381">
        <f>C38*9.5</f>
        <v>53247.5</v>
      </c>
    </row>
    <row r="39" spans="2:5">
      <c r="B39" s="377" t="s">
        <v>197</v>
      </c>
      <c r="C39" s="378">
        <f>C40-C38</f>
        <v>327</v>
      </c>
      <c r="D39" s="378" t="s">
        <v>204</v>
      </c>
      <c r="E39" s="381">
        <f>C39*9</f>
        <v>2943</v>
      </c>
    </row>
    <row r="40" spans="2:5" ht="19.5">
      <c r="B40" s="941" t="s">
        <v>201</v>
      </c>
      <c r="C40" s="380">
        <v>5932</v>
      </c>
      <c r="D40" s="380" t="s">
        <v>202</v>
      </c>
      <c r="E40" s="379">
        <f>SUM(E38+E39)</f>
        <v>56190.5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5D3D4-BD4F-48A6-99BB-B585DF094E14}">
  <sheetPr codeName="Sheet312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45005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329</v>
      </c>
      <c r="C7" s="630" t="s">
        <v>669</v>
      </c>
      <c r="D7" s="964">
        <v>936</v>
      </c>
      <c r="E7" s="965">
        <f t="shared" ref="E7:E12" si="0">D7*9.5</f>
        <v>8892</v>
      </c>
    </row>
    <row r="8" spans="2:8" ht="15" customHeight="1">
      <c r="B8" s="1198" t="s">
        <v>870</v>
      </c>
      <c r="C8" s="630" t="s">
        <v>669</v>
      </c>
      <c r="D8" s="964">
        <v>520</v>
      </c>
      <c r="E8" s="965">
        <f t="shared" si="0"/>
        <v>4940</v>
      </c>
    </row>
    <row r="9" spans="2:8" ht="15" customHeight="1">
      <c r="B9" s="973" t="s">
        <v>725</v>
      </c>
      <c r="C9" s="973" t="s">
        <v>26</v>
      </c>
      <c r="D9" s="964"/>
      <c r="E9" s="965">
        <f t="shared" si="0"/>
        <v>0</v>
      </c>
      <c r="F9" s="936" t="s">
        <v>722</v>
      </c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1456</v>
      </c>
      <c r="E12" s="965">
        <f t="shared" si="0"/>
        <v>13832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244</v>
      </c>
      <c r="C17" s="630" t="s">
        <v>669</v>
      </c>
      <c r="D17" s="964">
        <v>848</v>
      </c>
      <c r="E17" s="965">
        <f t="shared" ref="E17:E22" si="1">D17*9.5</f>
        <v>8056</v>
      </c>
    </row>
    <row r="18" spans="2:5" ht="15" customHeight="1">
      <c r="B18" s="1198" t="s">
        <v>252</v>
      </c>
      <c r="C18" s="630" t="s">
        <v>669</v>
      </c>
      <c r="D18" s="964">
        <v>359</v>
      </c>
      <c r="E18" s="965">
        <f t="shared" si="1"/>
        <v>3410.5</v>
      </c>
    </row>
    <row r="19" spans="2:5" ht="14.45" customHeight="1">
      <c r="B19" s="973" t="s">
        <v>12</v>
      </c>
      <c r="C19" s="973" t="s">
        <v>26</v>
      </c>
      <c r="D19" s="964">
        <v>541</v>
      </c>
      <c r="E19" s="965">
        <f t="shared" si="1"/>
        <v>5139.5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1748</v>
      </c>
      <c r="E22" s="954">
        <f t="shared" si="1"/>
        <v>16606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252</v>
      </c>
      <c r="C27" s="630" t="s">
        <v>669</v>
      </c>
      <c r="D27" s="964">
        <v>250</v>
      </c>
      <c r="E27" s="965">
        <f t="shared" ref="E27:E32" si="2">D27*9.5</f>
        <v>2375</v>
      </c>
    </row>
    <row r="28" spans="2:5">
      <c r="B28" s="1198" t="s">
        <v>331</v>
      </c>
      <c r="C28" s="630" t="s">
        <v>669</v>
      </c>
      <c r="D28" s="964">
        <v>543</v>
      </c>
      <c r="E28" s="965">
        <f t="shared" si="2"/>
        <v>5158.5</v>
      </c>
    </row>
    <row r="29" spans="2:5">
      <c r="B29" s="973" t="s">
        <v>332</v>
      </c>
      <c r="C29" s="973" t="s">
        <v>26</v>
      </c>
      <c r="D29" s="964">
        <v>590</v>
      </c>
      <c r="E29" s="965">
        <f t="shared" si="2"/>
        <v>5605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1383</v>
      </c>
      <c r="E32" s="954">
        <f t="shared" si="2"/>
        <v>13138.5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1456</v>
      </c>
      <c r="D35" s="956">
        <f>D22</f>
        <v>1748</v>
      </c>
      <c r="E35" s="956">
        <f>D32</f>
        <v>1383</v>
      </c>
    </row>
    <row r="36" spans="2:5">
      <c r="B36" s="953" t="s">
        <v>36</v>
      </c>
      <c r="C36" s="951">
        <f>C35*9.5</f>
        <v>13832</v>
      </c>
      <c r="D36" s="951">
        <f>D35*9.5</f>
        <v>16606</v>
      </c>
      <c r="E36" s="951">
        <f>E35*9.5</f>
        <v>13138.5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4587</v>
      </c>
      <c r="D38" s="378" t="s">
        <v>253</v>
      </c>
      <c r="E38" s="381">
        <f>C38*9.5</f>
        <v>43576.5</v>
      </c>
    </row>
    <row r="39" spans="2:5">
      <c r="B39" s="377" t="s">
        <v>197</v>
      </c>
      <c r="C39" s="378">
        <f>C40-C38</f>
        <v>3577</v>
      </c>
      <c r="D39" s="378" t="s">
        <v>204</v>
      </c>
      <c r="E39" s="381">
        <f>C39*9</f>
        <v>32193</v>
      </c>
    </row>
    <row r="40" spans="2:5" ht="19.5">
      <c r="B40" s="941" t="s">
        <v>201</v>
      </c>
      <c r="C40" s="380">
        <v>8164</v>
      </c>
      <c r="D40" s="380" t="s">
        <v>202</v>
      </c>
      <c r="E40" s="379">
        <f>SUM(E38+E39)</f>
        <v>75769.5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20655-15AC-4DB7-A92B-D2189566F890}">
  <sheetPr codeName="Sheet313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45006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303</v>
      </c>
      <c r="C7" s="630" t="s">
        <v>669</v>
      </c>
      <c r="D7" s="964">
        <v>1020</v>
      </c>
      <c r="E7" s="965">
        <f t="shared" ref="E7:E12" si="0">D7*9.5</f>
        <v>9690</v>
      </c>
    </row>
    <row r="8" spans="2:8" ht="15" customHeight="1">
      <c r="B8" s="1198" t="s">
        <v>78</v>
      </c>
      <c r="C8" s="630" t="s">
        <v>669</v>
      </c>
      <c r="D8" s="964">
        <v>561</v>
      </c>
      <c r="E8" s="965">
        <f t="shared" si="0"/>
        <v>5329.5</v>
      </c>
    </row>
    <row r="9" spans="2:8" ht="15" customHeight="1">
      <c r="B9" s="973" t="s">
        <v>256</v>
      </c>
      <c r="C9" s="973" t="s">
        <v>26</v>
      </c>
      <c r="D9" s="964">
        <v>236</v>
      </c>
      <c r="E9" s="965">
        <f t="shared" si="0"/>
        <v>2242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1817</v>
      </c>
      <c r="E12" s="965">
        <f t="shared" si="0"/>
        <v>17261.5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303</v>
      </c>
      <c r="C17" s="630" t="s">
        <v>669</v>
      </c>
      <c r="D17" s="964">
        <v>861</v>
      </c>
      <c r="E17" s="965">
        <f t="shared" ref="E17:E22" si="1">D17*9.5</f>
        <v>8179.5</v>
      </c>
    </row>
    <row r="18" spans="2:5" ht="15" customHeight="1">
      <c r="B18" s="1198" t="s">
        <v>259</v>
      </c>
      <c r="C18" s="630" t="s">
        <v>669</v>
      </c>
      <c r="D18" s="964">
        <v>461</v>
      </c>
      <c r="E18" s="965">
        <f t="shared" si="1"/>
        <v>4379.5</v>
      </c>
    </row>
    <row r="19" spans="2:5" ht="14.45" customHeight="1">
      <c r="B19" s="973" t="s">
        <v>45</v>
      </c>
      <c r="C19" s="973" t="s">
        <v>26</v>
      </c>
      <c r="D19" s="964">
        <v>519</v>
      </c>
      <c r="E19" s="965">
        <f t="shared" si="1"/>
        <v>4930.5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1841</v>
      </c>
      <c r="E22" s="954">
        <f t="shared" si="1"/>
        <v>17489.5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281</v>
      </c>
      <c r="C27" s="630" t="s">
        <v>669</v>
      </c>
      <c r="D27" s="964">
        <v>359</v>
      </c>
      <c r="E27" s="965">
        <f t="shared" ref="E27:E32" si="2">D27*9.5</f>
        <v>3410.5</v>
      </c>
    </row>
    <row r="28" spans="2:5">
      <c r="B28" s="1198" t="s">
        <v>333</v>
      </c>
      <c r="C28" s="630" t="s">
        <v>669</v>
      </c>
      <c r="D28" s="964">
        <v>403</v>
      </c>
      <c r="E28" s="965">
        <f t="shared" si="2"/>
        <v>3828.5</v>
      </c>
    </row>
    <row r="29" spans="2:5">
      <c r="B29" s="973" t="s">
        <v>250</v>
      </c>
      <c r="C29" s="973" t="s">
        <v>26</v>
      </c>
      <c r="D29" s="964">
        <v>648</v>
      </c>
      <c r="E29" s="965">
        <f t="shared" si="2"/>
        <v>6156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1410</v>
      </c>
      <c r="E32" s="954">
        <f t="shared" si="2"/>
        <v>13395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1817</v>
      </c>
      <c r="D35" s="956">
        <f>D22</f>
        <v>1841</v>
      </c>
      <c r="E35" s="956">
        <f>D32</f>
        <v>1410</v>
      </c>
    </row>
    <row r="36" spans="2:5">
      <c r="B36" s="953" t="s">
        <v>36</v>
      </c>
      <c r="C36" s="951">
        <f>C35*9.5</f>
        <v>17261.5</v>
      </c>
      <c r="D36" s="951">
        <f>D35*9.5</f>
        <v>17489.5</v>
      </c>
      <c r="E36" s="951">
        <f>E35*9.5</f>
        <v>13395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5068</v>
      </c>
      <c r="D38" s="378" t="s">
        <v>253</v>
      </c>
      <c r="E38" s="381">
        <f>C38*9.5</f>
        <v>48146</v>
      </c>
    </row>
    <row r="39" spans="2:5">
      <c r="B39" s="377" t="s">
        <v>197</v>
      </c>
      <c r="C39" s="378">
        <f>C40-C38</f>
        <v>2894</v>
      </c>
      <c r="D39" s="378" t="s">
        <v>204</v>
      </c>
      <c r="E39" s="381">
        <f>C39*9</f>
        <v>26046</v>
      </c>
    </row>
    <row r="40" spans="2:5" ht="19.5">
      <c r="B40" s="941" t="s">
        <v>201</v>
      </c>
      <c r="C40" s="380">
        <v>7962</v>
      </c>
      <c r="D40" s="380" t="s">
        <v>202</v>
      </c>
      <c r="E40" s="379">
        <f>SUM(E38+E39)</f>
        <v>74192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5C29-716F-4EA4-9D10-F04EEFC438B5}">
  <sheetPr codeName="Sheet314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45007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332</v>
      </c>
      <c r="C7" s="630" t="s">
        <v>669</v>
      </c>
      <c r="D7" s="964">
        <v>776</v>
      </c>
      <c r="E7" s="965">
        <f t="shared" ref="E7:E12" si="0">D7*9.5</f>
        <v>7372</v>
      </c>
    </row>
    <row r="8" spans="2:8" ht="15" customHeight="1">
      <c r="B8" s="1198" t="s">
        <v>711</v>
      </c>
      <c r="C8" s="630" t="s">
        <v>669</v>
      </c>
      <c r="D8" s="964">
        <v>921</v>
      </c>
      <c r="E8" s="965">
        <f t="shared" si="0"/>
        <v>8749.5</v>
      </c>
    </row>
    <row r="9" spans="2:8" ht="15" customHeight="1">
      <c r="B9" s="973" t="s">
        <v>205</v>
      </c>
      <c r="C9" s="973" t="s">
        <v>26</v>
      </c>
      <c r="D9" s="964">
        <v>299</v>
      </c>
      <c r="E9" s="965">
        <f t="shared" si="0"/>
        <v>2840.5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1996</v>
      </c>
      <c r="E12" s="965">
        <f t="shared" si="0"/>
        <v>18962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802</v>
      </c>
      <c r="C17" s="630" t="s">
        <v>669</v>
      </c>
      <c r="D17" s="964">
        <v>645</v>
      </c>
      <c r="E17" s="965">
        <f t="shared" ref="E17:E22" si="1">D17*9.5</f>
        <v>6127.5</v>
      </c>
    </row>
    <row r="18" spans="2:5" ht="15" customHeight="1">
      <c r="B18" s="1198" t="s">
        <v>711</v>
      </c>
      <c r="C18" s="630" t="s">
        <v>669</v>
      </c>
      <c r="D18" s="964">
        <v>839</v>
      </c>
      <c r="E18" s="965">
        <f t="shared" si="1"/>
        <v>7970.5</v>
      </c>
    </row>
    <row r="19" spans="2:5" ht="14.45" customHeight="1">
      <c r="B19" s="973" t="s">
        <v>205</v>
      </c>
      <c r="C19" s="973" t="s">
        <v>26</v>
      </c>
      <c r="D19" s="964">
        <v>287</v>
      </c>
      <c r="E19" s="965">
        <f t="shared" si="1"/>
        <v>2726.5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1771</v>
      </c>
      <c r="E22" s="954">
        <f t="shared" si="1"/>
        <v>16824.5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256</v>
      </c>
      <c r="C27" s="630" t="s">
        <v>669</v>
      </c>
      <c r="D27" s="964">
        <v>252</v>
      </c>
      <c r="E27" s="965">
        <f t="shared" ref="E27:E32" si="2">D27*9.5</f>
        <v>2394</v>
      </c>
    </row>
    <row r="28" spans="2:5">
      <c r="B28" s="1198" t="s">
        <v>334</v>
      </c>
      <c r="C28" s="630" t="s">
        <v>669</v>
      </c>
      <c r="D28" s="964">
        <v>558</v>
      </c>
      <c r="E28" s="965">
        <f t="shared" si="2"/>
        <v>5301</v>
      </c>
    </row>
    <row r="29" spans="2:5">
      <c r="B29" s="973" t="s">
        <v>239</v>
      </c>
      <c r="C29" s="973" t="s">
        <v>26</v>
      </c>
      <c r="D29" s="964">
        <v>225</v>
      </c>
      <c r="E29" s="965">
        <f t="shared" si="2"/>
        <v>2137.5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1035</v>
      </c>
      <c r="E32" s="954">
        <f t="shared" si="2"/>
        <v>9832.5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1996</v>
      </c>
      <c r="D35" s="956">
        <f>D22</f>
        <v>1771</v>
      </c>
      <c r="E35" s="956">
        <f>D32</f>
        <v>1035</v>
      </c>
    </row>
    <row r="36" spans="2:5">
      <c r="B36" s="953" t="s">
        <v>36</v>
      </c>
      <c r="C36" s="951">
        <f>C35*9.5</f>
        <v>18962</v>
      </c>
      <c r="D36" s="951">
        <f>D35*9.5</f>
        <v>16824.5</v>
      </c>
      <c r="E36" s="951">
        <f>E35*9.5</f>
        <v>9832.5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4802</v>
      </c>
      <c r="D38" s="378" t="s">
        <v>253</v>
      </c>
      <c r="E38" s="381">
        <f>C38*9.5</f>
        <v>45619</v>
      </c>
    </row>
    <row r="39" spans="2:5">
      <c r="B39" s="377" t="s">
        <v>197</v>
      </c>
      <c r="C39" s="378">
        <f>C40-C38</f>
        <v>2647</v>
      </c>
      <c r="D39" s="378" t="s">
        <v>204</v>
      </c>
      <c r="E39" s="381">
        <f>C39*9</f>
        <v>23823</v>
      </c>
    </row>
    <row r="40" spans="2:5" ht="19.5">
      <c r="B40" s="941" t="s">
        <v>201</v>
      </c>
      <c r="C40" s="380">
        <v>7449</v>
      </c>
      <c r="D40" s="380" t="s">
        <v>202</v>
      </c>
      <c r="E40" s="379">
        <f>SUM(E38+E39)</f>
        <v>69442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FB8E0-2097-4A22-BA24-ADC2B6AA44DF}">
  <sheetPr codeName="Sheet315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45008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802</v>
      </c>
      <c r="C7" s="630" t="s">
        <v>669</v>
      </c>
      <c r="D7" s="964">
        <v>460</v>
      </c>
      <c r="E7" s="965">
        <f t="shared" ref="E7:E12" si="0">D7*9.5</f>
        <v>4370</v>
      </c>
    </row>
    <row r="8" spans="2:8" ht="15" customHeight="1">
      <c r="B8" s="1198" t="s">
        <v>696</v>
      </c>
      <c r="C8" s="630" t="s">
        <v>669</v>
      </c>
      <c r="D8" s="964">
        <v>330</v>
      </c>
      <c r="E8" s="965">
        <f t="shared" si="0"/>
        <v>3135</v>
      </c>
    </row>
    <row r="9" spans="2:8" ht="15" customHeight="1">
      <c r="B9" s="973" t="s">
        <v>65</v>
      </c>
      <c r="C9" s="973" t="s">
        <v>26</v>
      </c>
      <c r="D9" s="964">
        <v>468</v>
      </c>
      <c r="E9" s="965">
        <f t="shared" si="0"/>
        <v>4446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1258</v>
      </c>
      <c r="E12" s="965">
        <f t="shared" si="0"/>
        <v>11951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279</v>
      </c>
      <c r="C17" s="630" t="s">
        <v>669</v>
      </c>
      <c r="D17" s="964">
        <v>1033</v>
      </c>
      <c r="E17" s="965">
        <f t="shared" ref="E17:E22" si="1">D17*9.5</f>
        <v>9813.5</v>
      </c>
    </row>
    <row r="18" spans="2:5" ht="15" customHeight="1">
      <c r="B18" s="1198" t="s">
        <v>678</v>
      </c>
      <c r="C18" s="630" t="s">
        <v>669</v>
      </c>
      <c r="D18" s="964">
        <v>502</v>
      </c>
      <c r="E18" s="965">
        <f t="shared" si="1"/>
        <v>4769</v>
      </c>
    </row>
    <row r="19" spans="2:5" ht="14.45" customHeight="1">
      <c r="B19" s="973" t="s">
        <v>65</v>
      </c>
      <c r="C19" s="973" t="s">
        <v>26</v>
      </c>
      <c r="D19" s="964">
        <v>322</v>
      </c>
      <c r="E19" s="965">
        <f t="shared" si="1"/>
        <v>3059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1857</v>
      </c>
      <c r="E22" s="954">
        <f t="shared" si="1"/>
        <v>17641.5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238</v>
      </c>
      <c r="C27" s="630" t="s">
        <v>669</v>
      </c>
      <c r="D27" s="964">
        <v>236</v>
      </c>
      <c r="E27" s="965">
        <f t="shared" ref="E27:E32" si="2">D27*9.5</f>
        <v>2242</v>
      </c>
    </row>
    <row r="28" spans="2:5">
      <c r="B28" s="1198" t="s">
        <v>235</v>
      </c>
      <c r="C28" s="630" t="s">
        <v>669</v>
      </c>
      <c r="D28" s="964">
        <v>793</v>
      </c>
      <c r="E28" s="965">
        <f t="shared" si="2"/>
        <v>7533.5</v>
      </c>
    </row>
    <row r="29" spans="2:5">
      <c r="B29" s="973" t="s">
        <v>82</v>
      </c>
      <c r="C29" s="973" t="s">
        <v>26</v>
      </c>
      <c r="D29" s="964">
        <v>316</v>
      </c>
      <c r="E29" s="965">
        <f t="shared" si="2"/>
        <v>3002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1345</v>
      </c>
      <c r="E32" s="954">
        <f t="shared" si="2"/>
        <v>12777.5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1258</v>
      </c>
      <c r="D35" s="956">
        <f>D22</f>
        <v>1857</v>
      </c>
      <c r="E35" s="956">
        <f>D32</f>
        <v>1345</v>
      </c>
    </row>
    <row r="36" spans="2:5">
      <c r="B36" s="953" t="s">
        <v>36</v>
      </c>
      <c r="C36" s="951">
        <f>C35*9.5</f>
        <v>11951</v>
      </c>
      <c r="D36" s="951">
        <f>D35*9.5</f>
        <v>17641.5</v>
      </c>
      <c r="E36" s="951">
        <f>E35*9.5</f>
        <v>12777.5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4460</v>
      </c>
      <c r="D38" s="378" t="s">
        <v>253</v>
      </c>
      <c r="E38" s="381">
        <f>C38*9.5</f>
        <v>42370</v>
      </c>
    </row>
    <row r="39" spans="2:5">
      <c r="B39" s="377" t="s">
        <v>197</v>
      </c>
      <c r="C39" s="378">
        <f>C40-C38</f>
        <v>2254</v>
      </c>
      <c r="D39" s="378" t="s">
        <v>204</v>
      </c>
      <c r="E39" s="381">
        <f>C39*9</f>
        <v>20286</v>
      </c>
    </row>
    <row r="40" spans="2:5" ht="19.5">
      <c r="B40" s="941" t="s">
        <v>201</v>
      </c>
      <c r="C40" s="380">
        <v>6714</v>
      </c>
      <c r="D40" s="380" t="s">
        <v>202</v>
      </c>
      <c r="E40" s="379">
        <f>SUM(E38+E39)</f>
        <v>62656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6441E-9E9C-4C65-83C9-F4BD993F1909}">
  <sheetPr codeName="Sheet316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45018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783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0"/>
      <c r="C7" s="630" t="s">
        <v>669</v>
      </c>
      <c r="D7" s="964"/>
      <c r="E7" s="965">
        <f t="shared" ref="E7:E12" si="0">D7*9.5</f>
        <v>0</v>
      </c>
    </row>
    <row r="8" spans="2:8" ht="15" customHeight="1">
      <c r="B8" s="1130"/>
      <c r="C8" s="630" t="s">
        <v>669</v>
      </c>
      <c r="D8" s="964"/>
      <c r="E8" s="965">
        <f t="shared" si="0"/>
        <v>0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0</v>
      </c>
      <c r="E12" s="965">
        <f t="shared" si="0"/>
        <v>0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239</v>
      </c>
      <c r="C17" s="630" t="s">
        <v>669</v>
      </c>
      <c r="D17" s="964">
        <v>127</v>
      </c>
      <c r="E17" s="965">
        <f t="shared" ref="E17:E22" si="1">D17*9.5</f>
        <v>1206.5</v>
      </c>
    </row>
    <row r="18" spans="2:5" ht="15" customHeight="1">
      <c r="B18" s="1198" t="s">
        <v>880</v>
      </c>
      <c r="C18" s="630" t="s">
        <v>669</v>
      </c>
      <c r="D18" s="964">
        <v>221</v>
      </c>
      <c r="E18" s="965">
        <f t="shared" si="1"/>
        <v>2099.5</v>
      </c>
    </row>
    <row r="19" spans="2:5" ht="14.45" customHeight="1">
      <c r="B19" s="973" t="s">
        <v>63</v>
      </c>
      <c r="C19" s="973" t="s">
        <v>26</v>
      </c>
      <c r="D19" s="964">
        <v>217</v>
      </c>
      <c r="E19" s="965">
        <f t="shared" si="1"/>
        <v>2061.5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565</v>
      </c>
      <c r="E22" s="954">
        <f t="shared" si="1"/>
        <v>5367.5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881</v>
      </c>
      <c r="C27" s="630" t="s">
        <v>669</v>
      </c>
      <c r="D27" s="964">
        <v>149</v>
      </c>
      <c r="E27" s="965">
        <f>D27*10</f>
        <v>1490</v>
      </c>
    </row>
    <row r="28" spans="2:5">
      <c r="B28" s="1198" t="s">
        <v>278</v>
      </c>
      <c r="C28" s="630" t="s">
        <v>669</v>
      </c>
      <c r="D28" s="964">
        <v>187</v>
      </c>
      <c r="E28" s="965">
        <f t="shared" ref="E28:E31" si="2">D28*9.5</f>
        <v>1776.5</v>
      </c>
    </row>
    <row r="29" spans="2:5">
      <c r="B29" s="973" t="s">
        <v>882</v>
      </c>
      <c r="C29" s="973" t="s">
        <v>26</v>
      </c>
      <c r="D29" s="964">
        <v>183</v>
      </c>
      <c r="E29" s="965">
        <f t="shared" si="2"/>
        <v>1738.5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519</v>
      </c>
      <c r="E32" s="954">
        <f>SUM(E27:E31)</f>
        <v>5005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0</v>
      </c>
      <c r="D35" s="956">
        <f>D22</f>
        <v>565</v>
      </c>
      <c r="E35" s="956">
        <f>D32</f>
        <v>519</v>
      </c>
    </row>
    <row r="36" spans="2:5">
      <c r="B36" s="953" t="s">
        <v>36</v>
      </c>
      <c r="C36" s="951">
        <f>C35*9.5</f>
        <v>0</v>
      </c>
      <c r="D36" s="951">
        <f>D35*9.5</f>
        <v>5367.5</v>
      </c>
      <c r="E36" s="951">
        <f>SUM(E32)</f>
        <v>5005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1084</v>
      </c>
      <c r="D38" s="378" t="s">
        <v>253</v>
      </c>
      <c r="E38" s="381">
        <f>SUM(C36,D36,E36)</f>
        <v>10372.5</v>
      </c>
    </row>
    <row r="39" spans="2:5">
      <c r="B39" s="377" t="s">
        <v>197</v>
      </c>
      <c r="C39" s="378">
        <f>C40-C38</f>
        <v>33</v>
      </c>
      <c r="D39" s="378" t="s">
        <v>204</v>
      </c>
      <c r="E39" s="381">
        <f>C39*9</f>
        <v>297</v>
      </c>
    </row>
    <row r="40" spans="2:5" ht="19.5">
      <c r="B40" s="941" t="s">
        <v>201</v>
      </c>
      <c r="C40" s="380">
        <v>1117</v>
      </c>
      <c r="D40" s="380" t="s">
        <v>202</v>
      </c>
      <c r="E40" s="379">
        <f>SUM(E38+E39)</f>
        <v>10669.5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1F858-95AC-4562-8D01-FC403446B5EC}">
  <sheetPr codeName="Sheet317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45019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329</v>
      </c>
      <c r="C7" s="630" t="s">
        <v>669</v>
      </c>
      <c r="D7" s="964">
        <v>807</v>
      </c>
      <c r="E7" s="965">
        <f t="shared" ref="E7:E12" si="0">D7*9.5</f>
        <v>7666.5</v>
      </c>
    </row>
    <row r="8" spans="2:8" ht="15" customHeight="1">
      <c r="B8" s="1198" t="s">
        <v>244</v>
      </c>
      <c r="C8" s="630" t="s">
        <v>669</v>
      </c>
      <c r="D8" s="964">
        <v>573</v>
      </c>
      <c r="E8" s="965">
        <f t="shared" si="0"/>
        <v>5443.5</v>
      </c>
    </row>
    <row r="9" spans="2:8" ht="15" customHeight="1">
      <c r="B9" s="973" t="s">
        <v>696</v>
      </c>
      <c r="C9" s="973" t="s">
        <v>26</v>
      </c>
      <c r="D9" s="964">
        <v>187</v>
      </c>
      <c r="E9" s="965">
        <f t="shared" si="0"/>
        <v>1776.5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1567</v>
      </c>
      <c r="E12" s="965">
        <f t="shared" si="0"/>
        <v>14886.5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45</v>
      </c>
      <c r="C17" s="630" t="s">
        <v>669</v>
      </c>
      <c r="D17" s="964">
        <v>311</v>
      </c>
      <c r="E17" s="965">
        <f t="shared" ref="E17:E22" si="1">D17*9.5</f>
        <v>2954.5</v>
      </c>
    </row>
    <row r="18" spans="2:5" ht="15" customHeight="1">
      <c r="B18" s="1198" t="s">
        <v>250</v>
      </c>
      <c r="C18" s="630" t="s">
        <v>669</v>
      </c>
      <c r="D18" s="964">
        <v>787</v>
      </c>
      <c r="E18" s="965">
        <f t="shared" si="1"/>
        <v>7476.5</v>
      </c>
    </row>
    <row r="19" spans="2:5" ht="14.45" customHeight="1">
      <c r="B19" s="973" t="s">
        <v>82</v>
      </c>
      <c r="C19" s="973" t="s">
        <v>26</v>
      </c>
      <c r="D19" s="964">
        <v>303</v>
      </c>
      <c r="E19" s="965">
        <f t="shared" si="1"/>
        <v>2878.5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1401</v>
      </c>
      <c r="E22" s="954">
        <f t="shared" si="1"/>
        <v>13309.5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45</v>
      </c>
      <c r="C27" s="630" t="s">
        <v>669</v>
      </c>
      <c r="D27" s="964">
        <v>200</v>
      </c>
      <c r="E27" s="965">
        <f t="shared" ref="E27:E32" si="2">D27*9.5</f>
        <v>1900</v>
      </c>
    </row>
    <row r="28" spans="2:5">
      <c r="B28" s="1198" t="s">
        <v>334</v>
      </c>
      <c r="C28" s="630" t="s">
        <v>669</v>
      </c>
      <c r="D28" s="964">
        <v>366</v>
      </c>
      <c r="E28" s="965">
        <f t="shared" si="2"/>
        <v>3477</v>
      </c>
    </row>
    <row r="29" spans="2:5">
      <c r="B29" s="973" t="s">
        <v>678</v>
      </c>
      <c r="C29" s="973" t="s">
        <v>26</v>
      </c>
      <c r="D29" s="964">
        <v>214</v>
      </c>
      <c r="E29" s="965">
        <f t="shared" si="2"/>
        <v>2033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780</v>
      </c>
      <c r="E32" s="954">
        <f t="shared" si="2"/>
        <v>7410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1567</v>
      </c>
      <c r="D35" s="956">
        <f>D22</f>
        <v>1401</v>
      </c>
      <c r="E35" s="956">
        <f>D32</f>
        <v>780</v>
      </c>
    </row>
    <row r="36" spans="2:5">
      <c r="B36" s="953" t="s">
        <v>36</v>
      </c>
      <c r="C36" s="951">
        <f>C35*9.5</f>
        <v>14886.5</v>
      </c>
      <c r="D36" s="951">
        <f>D35*9.5</f>
        <v>13309.5</v>
      </c>
      <c r="E36" s="951">
        <f>E35*9.5</f>
        <v>7410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3748</v>
      </c>
      <c r="D38" s="378" t="s">
        <v>253</v>
      </c>
      <c r="E38" s="381">
        <f>C38*9.5</f>
        <v>35606</v>
      </c>
    </row>
    <row r="39" spans="2:5">
      <c r="B39" s="377" t="s">
        <v>197</v>
      </c>
      <c r="C39" s="378">
        <f>C40-C38</f>
        <v>3797</v>
      </c>
      <c r="D39" s="378" t="s">
        <v>204</v>
      </c>
      <c r="E39" s="381">
        <f>C39*9</f>
        <v>34173</v>
      </c>
    </row>
    <row r="40" spans="2:5" ht="19.5">
      <c r="B40" s="941" t="s">
        <v>201</v>
      </c>
      <c r="C40" s="380">
        <v>7545</v>
      </c>
      <c r="D40" s="380" t="s">
        <v>202</v>
      </c>
      <c r="E40" s="379">
        <f>SUM(E38+E39)</f>
        <v>69779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D9EEF-75F9-4814-BAAB-A846E07B4E7A}">
  <sheetPr codeName="Sheet318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45020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678</v>
      </c>
      <c r="C7" s="630" t="s">
        <v>669</v>
      </c>
      <c r="D7" s="964">
        <v>451</v>
      </c>
      <c r="E7" s="965">
        <f t="shared" ref="E7:E12" si="0">D7*9.5</f>
        <v>4284.5</v>
      </c>
    </row>
    <row r="8" spans="2:8" ht="15" customHeight="1">
      <c r="B8" s="1198" t="s">
        <v>238</v>
      </c>
      <c r="C8" s="630" t="s">
        <v>669</v>
      </c>
      <c r="D8" s="964">
        <v>290</v>
      </c>
      <c r="E8" s="965">
        <f t="shared" si="0"/>
        <v>2755</v>
      </c>
    </row>
    <row r="9" spans="2:8" ht="15" customHeight="1">
      <c r="B9" s="973" t="s">
        <v>303</v>
      </c>
      <c r="C9" s="973" t="s">
        <v>26</v>
      </c>
      <c r="D9" s="964">
        <v>752</v>
      </c>
      <c r="E9" s="965">
        <f t="shared" si="0"/>
        <v>7144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1493</v>
      </c>
      <c r="E12" s="965">
        <f t="shared" si="0"/>
        <v>14183.5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238</v>
      </c>
      <c r="C17" s="630" t="s">
        <v>669</v>
      </c>
      <c r="D17" s="964">
        <v>287</v>
      </c>
      <c r="E17" s="965">
        <f t="shared" ref="E17:E22" si="1">D17*9.5</f>
        <v>2726.5</v>
      </c>
    </row>
    <row r="18" spans="2:5" ht="15" customHeight="1">
      <c r="B18" s="1198" t="s">
        <v>802</v>
      </c>
      <c r="C18" s="630" t="s">
        <v>669</v>
      </c>
      <c r="D18" s="964">
        <v>519</v>
      </c>
      <c r="E18" s="965">
        <f t="shared" si="1"/>
        <v>4930.5</v>
      </c>
    </row>
    <row r="19" spans="2:5" ht="14.45" customHeight="1">
      <c r="B19" s="973" t="s">
        <v>303</v>
      </c>
      <c r="C19" s="973" t="s">
        <v>26</v>
      </c>
      <c r="D19" s="964">
        <v>928</v>
      </c>
      <c r="E19" s="965">
        <f t="shared" si="1"/>
        <v>8816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1734</v>
      </c>
      <c r="E22" s="954">
        <f t="shared" si="1"/>
        <v>16473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70</v>
      </c>
      <c r="C27" s="630" t="s">
        <v>669</v>
      </c>
      <c r="D27" s="964">
        <v>329</v>
      </c>
      <c r="E27" s="965">
        <f t="shared" ref="E27:E31" si="2">D27*9.5</f>
        <v>3125.5</v>
      </c>
    </row>
    <row r="28" spans="2:5">
      <c r="B28" s="1198" t="s">
        <v>331</v>
      </c>
      <c r="C28" s="630" t="s">
        <v>669</v>
      </c>
      <c r="D28" s="964">
        <v>364</v>
      </c>
      <c r="E28" s="965">
        <f t="shared" si="2"/>
        <v>3458</v>
      </c>
    </row>
    <row r="29" spans="2:5">
      <c r="B29" s="973" t="s">
        <v>53</v>
      </c>
      <c r="C29" s="973" t="s">
        <v>26</v>
      </c>
      <c r="D29" s="964">
        <v>232</v>
      </c>
      <c r="E29" s="965">
        <f>D29*10</f>
        <v>2320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925</v>
      </c>
      <c r="E32" s="954">
        <f>SUM(E27:E31)</f>
        <v>8903.5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1493</v>
      </c>
      <c r="D35" s="956">
        <f>D22</f>
        <v>1734</v>
      </c>
      <c r="E35" s="956">
        <f>D32</f>
        <v>925</v>
      </c>
    </row>
    <row r="36" spans="2:5">
      <c r="B36" s="953" t="s">
        <v>36</v>
      </c>
      <c r="C36" s="951">
        <f>C35*9.5</f>
        <v>14183.5</v>
      </c>
      <c r="D36" s="951">
        <f>D35*9.5</f>
        <v>16473</v>
      </c>
      <c r="E36" s="951">
        <f>SUM(E32)</f>
        <v>8903.5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4152</v>
      </c>
      <c r="D38" s="378" t="s">
        <v>253</v>
      </c>
      <c r="E38" s="381">
        <f>SUM(C36,D36,E36)</f>
        <v>39560</v>
      </c>
    </row>
    <row r="39" spans="2:5">
      <c r="B39" s="377" t="s">
        <v>197</v>
      </c>
      <c r="C39" s="378">
        <f>C40-C38</f>
        <v>4581</v>
      </c>
      <c r="D39" s="378" t="s">
        <v>204</v>
      </c>
      <c r="E39" s="381">
        <f>C39*9</f>
        <v>41229</v>
      </c>
    </row>
    <row r="40" spans="2:5" ht="19.5">
      <c r="B40" s="941" t="s">
        <v>201</v>
      </c>
      <c r="C40" s="380">
        <v>8733</v>
      </c>
      <c r="D40" s="380" t="s">
        <v>202</v>
      </c>
      <c r="E40" s="379">
        <f>SUM(E38+E39)</f>
        <v>80789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5223B-9C8A-4BED-BD89-725229799E59}">
  <sheetPr codeName="Sheet319">
    <pageSetUpPr fitToPage="1"/>
  </sheetPr>
  <dimension ref="B2:H44"/>
  <sheetViews>
    <sheetView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45021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78</v>
      </c>
      <c r="C7" s="630" t="s">
        <v>669</v>
      </c>
      <c r="D7" s="964">
        <v>403</v>
      </c>
      <c r="E7" s="965">
        <f t="shared" ref="E7:E12" si="0">D7*9.5</f>
        <v>3828.5</v>
      </c>
    </row>
    <row r="8" spans="2:8" ht="15" customHeight="1">
      <c r="B8" s="1198" t="s">
        <v>65</v>
      </c>
      <c r="C8" s="630" t="s">
        <v>669</v>
      </c>
      <c r="D8" s="964">
        <v>432</v>
      </c>
      <c r="E8" s="965">
        <f t="shared" si="0"/>
        <v>4104</v>
      </c>
    </row>
    <row r="9" spans="2:8" ht="15" customHeight="1">
      <c r="B9" s="973" t="s">
        <v>728</v>
      </c>
      <c r="C9" s="973" t="s">
        <v>26</v>
      </c>
      <c r="D9" s="964">
        <v>111</v>
      </c>
      <c r="E9" s="965">
        <f t="shared" si="0"/>
        <v>1054.5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946</v>
      </c>
      <c r="E12" s="965">
        <f t="shared" si="0"/>
        <v>8987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281</v>
      </c>
      <c r="C17" s="630" t="s">
        <v>669</v>
      </c>
      <c r="D17" s="964">
        <v>425</v>
      </c>
      <c r="E17" s="965">
        <f t="shared" ref="E17:E22" si="1">D17*9.5</f>
        <v>4037.5</v>
      </c>
    </row>
    <row r="18" spans="2:5" ht="15" customHeight="1">
      <c r="B18" s="1198" t="s">
        <v>65</v>
      </c>
      <c r="C18" s="630" t="s">
        <v>669</v>
      </c>
      <c r="D18" s="964">
        <v>475</v>
      </c>
      <c r="E18" s="965">
        <f t="shared" si="1"/>
        <v>4512.5</v>
      </c>
    </row>
    <row r="19" spans="2:5" ht="14.45" customHeight="1">
      <c r="B19" s="973" t="s">
        <v>189</v>
      </c>
      <c r="C19" s="973" t="s">
        <v>26</v>
      </c>
      <c r="D19" s="964">
        <v>349</v>
      </c>
      <c r="E19" s="965">
        <f t="shared" si="1"/>
        <v>3315.5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1249</v>
      </c>
      <c r="E22" s="954">
        <f t="shared" si="1"/>
        <v>11865.5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281</v>
      </c>
      <c r="C27" s="630" t="s">
        <v>669</v>
      </c>
      <c r="D27" s="964">
        <v>216</v>
      </c>
      <c r="E27" s="965">
        <f t="shared" ref="E27:E32" si="2">D27*9.5</f>
        <v>2052</v>
      </c>
    </row>
    <row r="28" spans="2:5">
      <c r="B28" s="1198" t="s">
        <v>235</v>
      </c>
      <c r="C28" s="630" t="s">
        <v>669</v>
      </c>
      <c r="D28" s="964">
        <v>504</v>
      </c>
      <c r="E28" s="965">
        <f t="shared" si="2"/>
        <v>4788</v>
      </c>
    </row>
    <row r="29" spans="2:5">
      <c r="B29" s="973" t="s">
        <v>252</v>
      </c>
      <c r="C29" s="973" t="s">
        <v>26</v>
      </c>
      <c r="D29" s="964">
        <v>252</v>
      </c>
      <c r="E29" s="965">
        <f t="shared" si="2"/>
        <v>2394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972</v>
      </c>
      <c r="E32" s="954">
        <f t="shared" si="2"/>
        <v>9234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946</v>
      </c>
      <c r="D35" s="956">
        <f>D22</f>
        <v>1249</v>
      </c>
      <c r="E35" s="956">
        <f>D32</f>
        <v>972</v>
      </c>
    </row>
    <row r="36" spans="2:5">
      <c r="B36" s="953" t="s">
        <v>36</v>
      </c>
      <c r="C36" s="951">
        <f>C35*9.5</f>
        <v>8987</v>
      </c>
      <c r="D36" s="951">
        <f>D35*9.5</f>
        <v>11865.5</v>
      </c>
      <c r="E36" s="951">
        <f>E35*9.5</f>
        <v>9234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3167</v>
      </c>
      <c r="D38" s="378" t="s">
        <v>253</v>
      </c>
      <c r="E38" s="381">
        <f>C38*9.5</f>
        <v>30086.5</v>
      </c>
    </row>
    <row r="39" spans="2:5">
      <c r="B39" s="377" t="s">
        <v>197</v>
      </c>
      <c r="C39" s="378">
        <f>C40-C38</f>
        <v>4874</v>
      </c>
      <c r="D39" s="378" t="s">
        <v>204</v>
      </c>
      <c r="E39" s="381">
        <f>C39*9</f>
        <v>43866</v>
      </c>
    </row>
    <row r="40" spans="2:5" ht="19.5">
      <c r="B40" s="941" t="s">
        <v>201</v>
      </c>
      <c r="C40" s="380">
        <v>8041</v>
      </c>
      <c r="D40" s="380" t="s">
        <v>202</v>
      </c>
      <c r="E40" s="379">
        <f>SUM(E38+E39)</f>
        <v>73952.5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BC013-205D-47F4-8F62-85E1C76A8204}">
  <sheetPr codeName="Sheet320">
    <pageSetUpPr fitToPage="1"/>
  </sheetPr>
  <dimension ref="B2:H44"/>
  <sheetViews>
    <sheetView topLeftCell="A10"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45022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303</v>
      </c>
      <c r="C7" s="630" t="s">
        <v>669</v>
      </c>
      <c r="D7" s="964">
        <v>753</v>
      </c>
      <c r="E7" s="965">
        <f t="shared" ref="E7:E12" si="0">D7*9.5</f>
        <v>7153.5</v>
      </c>
    </row>
    <row r="8" spans="2:8" ht="15" customHeight="1">
      <c r="B8" s="1198" t="s">
        <v>205</v>
      </c>
      <c r="C8" s="630" t="s">
        <v>669</v>
      </c>
      <c r="D8" s="964">
        <v>236</v>
      </c>
      <c r="E8" s="965">
        <f t="shared" si="0"/>
        <v>2242</v>
      </c>
    </row>
    <row r="9" spans="2:8" ht="15" customHeight="1">
      <c r="B9" s="973" t="s">
        <v>244</v>
      </c>
      <c r="C9" s="973" t="s">
        <v>26</v>
      </c>
      <c r="D9" s="964">
        <v>500</v>
      </c>
      <c r="E9" s="965">
        <f t="shared" si="0"/>
        <v>4750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1489</v>
      </c>
      <c r="E12" s="965">
        <f t="shared" si="0"/>
        <v>14145.5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303</v>
      </c>
      <c r="C17" s="630" t="s">
        <v>669</v>
      </c>
      <c r="D17" s="964">
        <v>863</v>
      </c>
      <c r="E17" s="965">
        <f t="shared" ref="E17:E22" si="1">D17*9.5</f>
        <v>8198.5</v>
      </c>
    </row>
    <row r="18" spans="2:5" ht="15" customHeight="1">
      <c r="B18" s="1198" t="s">
        <v>145</v>
      </c>
      <c r="C18" s="630" t="s">
        <v>669</v>
      </c>
      <c r="D18" s="964">
        <v>260</v>
      </c>
      <c r="E18" s="965">
        <f t="shared" si="1"/>
        <v>2470</v>
      </c>
    </row>
    <row r="19" spans="2:5" ht="14.45" customHeight="1">
      <c r="B19" s="973" t="s">
        <v>332</v>
      </c>
      <c r="C19" s="973" t="s">
        <v>26</v>
      </c>
      <c r="D19" s="964">
        <v>625</v>
      </c>
      <c r="E19" s="965">
        <f t="shared" si="1"/>
        <v>5937.5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1748</v>
      </c>
      <c r="E22" s="954">
        <f t="shared" si="1"/>
        <v>16606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65</v>
      </c>
      <c r="C27" s="630" t="s">
        <v>669</v>
      </c>
      <c r="D27" s="964">
        <v>270</v>
      </c>
      <c r="E27" s="965">
        <f t="shared" ref="E27:E32" si="2">D27*9.5</f>
        <v>2565</v>
      </c>
    </row>
    <row r="28" spans="2:5">
      <c r="B28" s="1198" t="s">
        <v>331</v>
      </c>
      <c r="C28" s="630" t="s">
        <v>669</v>
      </c>
      <c r="D28" s="964">
        <v>377</v>
      </c>
      <c r="E28" s="965">
        <f t="shared" si="2"/>
        <v>3581.5</v>
      </c>
    </row>
    <row r="29" spans="2:5">
      <c r="B29" s="973" t="s">
        <v>332</v>
      </c>
      <c r="C29" s="973" t="s">
        <v>26</v>
      </c>
      <c r="D29" s="964">
        <v>339</v>
      </c>
      <c r="E29" s="965">
        <f t="shared" si="2"/>
        <v>3220.5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986</v>
      </c>
      <c r="E32" s="954">
        <f t="shared" si="2"/>
        <v>9367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1489</v>
      </c>
      <c r="D35" s="956">
        <f>D22</f>
        <v>1748</v>
      </c>
      <c r="E35" s="956">
        <f>D32</f>
        <v>986</v>
      </c>
    </row>
    <row r="36" spans="2:5">
      <c r="B36" s="953" t="s">
        <v>36</v>
      </c>
      <c r="C36" s="951">
        <f>C35*9.5</f>
        <v>14145.5</v>
      </c>
      <c r="D36" s="951">
        <f>D35*9.5</f>
        <v>16606</v>
      </c>
      <c r="E36" s="951">
        <f>E35*9.5</f>
        <v>9367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4223</v>
      </c>
      <c r="D38" s="378" t="s">
        <v>253</v>
      </c>
      <c r="E38" s="381">
        <f>C38*9.5</f>
        <v>40118.5</v>
      </c>
    </row>
    <row r="39" spans="2:5">
      <c r="B39" s="377" t="s">
        <v>197</v>
      </c>
      <c r="C39" s="378">
        <f>C40-C38</f>
        <v>4702</v>
      </c>
      <c r="D39" s="378" t="s">
        <v>204</v>
      </c>
      <c r="E39" s="381">
        <f>C39*9</f>
        <v>42318</v>
      </c>
    </row>
    <row r="40" spans="2:5" ht="19.5">
      <c r="B40" s="941" t="s">
        <v>201</v>
      </c>
      <c r="C40" s="380">
        <v>8925</v>
      </c>
      <c r="D40" s="380" t="s">
        <v>202</v>
      </c>
      <c r="E40" s="379">
        <f>SUM(E38+E39)</f>
        <v>82436.5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2E34F-40B4-43C4-8497-6131689B25AE}">
  <sheetPr codeName="Sheet321">
    <pageSetUpPr fitToPage="1"/>
  </sheetPr>
  <dimension ref="B2:H44"/>
  <sheetViews>
    <sheetView topLeftCell="A13" workbookViewId="0">
      <selection activeCell="J9" sqref="J9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45023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259</v>
      </c>
      <c r="C7" s="630" t="s">
        <v>669</v>
      </c>
      <c r="D7" s="964">
        <v>357</v>
      </c>
      <c r="E7" s="965">
        <f t="shared" ref="E7:E12" si="0">D7*9.5</f>
        <v>3391.5</v>
      </c>
    </row>
    <row r="8" spans="2:8" ht="15" customHeight="1">
      <c r="B8" s="1198" t="s">
        <v>696</v>
      </c>
      <c r="C8" s="630" t="s">
        <v>669</v>
      </c>
      <c r="D8" s="964">
        <v>298</v>
      </c>
      <c r="E8" s="965">
        <f t="shared" si="0"/>
        <v>2831</v>
      </c>
    </row>
    <row r="9" spans="2:8" ht="15" customHeight="1">
      <c r="B9" s="973" t="s">
        <v>82</v>
      </c>
      <c r="C9" s="973" t="s">
        <v>26</v>
      </c>
      <c r="D9" s="964">
        <v>248</v>
      </c>
      <c r="E9" s="965">
        <f t="shared" si="0"/>
        <v>2356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903</v>
      </c>
      <c r="E12" s="965">
        <f t="shared" si="0"/>
        <v>8578.5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252</v>
      </c>
      <c r="C17" s="630" t="s">
        <v>669</v>
      </c>
      <c r="D17" s="964">
        <v>310</v>
      </c>
      <c r="E17" s="965">
        <f t="shared" ref="E17:E22" si="1">D17*9.5</f>
        <v>2945</v>
      </c>
    </row>
    <row r="18" spans="2:5" ht="15" customHeight="1">
      <c r="B18" s="1198" t="s">
        <v>256</v>
      </c>
      <c r="C18" s="630" t="s">
        <v>669</v>
      </c>
      <c r="D18" s="964">
        <v>205</v>
      </c>
      <c r="E18" s="965">
        <f t="shared" si="1"/>
        <v>1947.5</v>
      </c>
    </row>
    <row r="19" spans="2:5" ht="14.45" customHeight="1">
      <c r="B19" s="973" t="s">
        <v>802</v>
      </c>
      <c r="C19" s="973" t="s">
        <v>26</v>
      </c>
      <c r="D19" s="964">
        <v>321</v>
      </c>
      <c r="E19" s="965">
        <f t="shared" si="1"/>
        <v>3049.5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836</v>
      </c>
      <c r="E22" s="954">
        <f t="shared" si="1"/>
        <v>7942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252</v>
      </c>
      <c r="C27" s="630" t="s">
        <v>669</v>
      </c>
      <c r="D27" s="964">
        <v>190</v>
      </c>
      <c r="E27" s="965">
        <f t="shared" ref="E27:E32" si="2">D27*9.5</f>
        <v>1805</v>
      </c>
    </row>
    <row r="28" spans="2:5">
      <c r="B28" s="1198" t="s">
        <v>890</v>
      </c>
      <c r="C28" s="630" t="s">
        <v>669</v>
      </c>
      <c r="D28" s="964">
        <v>265</v>
      </c>
      <c r="E28" s="965">
        <f t="shared" si="2"/>
        <v>2517.5</v>
      </c>
    </row>
    <row r="29" spans="2:5">
      <c r="B29" s="973" t="s">
        <v>891</v>
      </c>
      <c r="C29" s="973" t="s">
        <v>26</v>
      </c>
      <c r="D29" s="964">
        <v>151</v>
      </c>
      <c r="E29" s="965">
        <f t="shared" si="2"/>
        <v>1434.5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606</v>
      </c>
      <c r="E32" s="954">
        <f t="shared" si="2"/>
        <v>5757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903</v>
      </c>
      <c r="D35" s="956">
        <f>D22</f>
        <v>836</v>
      </c>
      <c r="E35" s="956">
        <f>D32</f>
        <v>606</v>
      </c>
    </row>
    <row r="36" spans="2:5">
      <c r="B36" s="953" t="s">
        <v>36</v>
      </c>
      <c r="C36" s="951">
        <f>C35*9.5</f>
        <v>8578.5</v>
      </c>
      <c r="D36" s="951">
        <f>D35*9.5</f>
        <v>7942</v>
      </c>
      <c r="E36" s="951">
        <f>E35*9.5</f>
        <v>5757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2345</v>
      </c>
      <c r="D38" s="378" t="s">
        <v>253</v>
      </c>
      <c r="E38" s="381">
        <f>C38*9.5</f>
        <v>22277.5</v>
      </c>
    </row>
    <row r="39" spans="2:5">
      <c r="B39" s="377" t="s">
        <v>197</v>
      </c>
      <c r="C39" s="378">
        <f>C40-C38</f>
        <v>3746</v>
      </c>
      <c r="D39" s="378" t="s">
        <v>204</v>
      </c>
      <c r="E39" s="381">
        <f>C39*9</f>
        <v>33714</v>
      </c>
    </row>
    <row r="40" spans="2:5" ht="19.5">
      <c r="B40" s="941" t="s">
        <v>201</v>
      </c>
      <c r="C40" s="380">
        <v>6091</v>
      </c>
      <c r="D40" s="380" t="s">
        <v>202</v>
      </c>
      <c r="E40" s="379">
        <f>SUM(E38+E39)</f>
        <v>55991.5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BB63A-8EBD-4ED9-A2E7-D0004D9E8766}">
  <sheetPr codeName="Sheet322">
    <pageSetUpPr fitToPage="1"/>
  </sheetPr>
  <dimension ref="B2:H44"/>
  <sheetViews>
    <sheetView topLeftCell="A10" workbookViewId="0"/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45024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329</v>
      </c>
      <c r="C7" s="630" t="s">
        <v>669</v>
      </c>
      <c r="D7" s="964">
        <v>902</v>
      </c>
      <c r="E7" s="965">
        <f t="shared" ref="E7:E12" si="0">D7*9.5</f>
        <v>8569</v>
      </c>
    </row>
    <row r="8" spans="2:8" ht="15" customHeight="1">
      <c r="B8" s="1198" t="s">
        <v>802</v>
      </c>
      <c r="C8" s="630" t="s">
        <v>669</v>
      </c>
      <c r="D8" s="964">
        <v>401</v>
      </c>
      <c r="E8" s="965">
        <f t="shared" si="0"/>
        <v>3809.5</v>
      </c>
    </row>
    <row r="9" spans="2:8" ht="15" customHeight="1">
      <c r="B9" s="973" t="s">
        <v>303</v>
      </c>
      <c r="C9" s="973" t="s">
        <v>26</v>
      </c>
      <c r="D9" s="964">
        <v>800</v>
      </c>
      <c r="E9" s="965">
        <f t="shared" si="0"/>
        <v>7600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2103</v>
      </c>
      <c r="E12" s="965">
        <f t="shared" si="0"/>
        <v>19978.5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250</v>
      </c>
      <c r="C17" s="630" t="s">
        <v>669</v>
      </c>
      <c r="D17" s="964">
        <v>750</v>
      </c>
      <c r="E17" s="965">
        <f t="shared" ref="E17:E22" si="1">D17*9.5</f>
        <v>7125</v>
      </c>
    </row>
    <row r="18" spans="2:5" ht="15" customHeight="1">
      <c r="B18" s="1198" t="s">
        <v>281</v>
      </c>
      <c r="C18" s="630" t="s">
        <v>669</v>
      </c>
      <c r="D18" s="964">
        <v>376</v>
      </c>
      <c r="E18" s="965">
        <f t="shared" si="1"/>
        <v>3572</v>
      </c>
    </row>
    <row r="19" spans="2:5" ht="14.45" customHeight="1">
      <c r="B19" s="973" t="s">
        <v>78</v>
      </c>
      <c r="C19" s="973" t="s">
        <v>26</v>
      </c>
      <c r="D19" s="964">
        <v>276</v>
      </c>
      <c r="E19" s="965">
        <f t="shared" si="1"/>
        <v>2622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1402</v>
      </c>
      <c r="E22" s="954">
        <f t="shared" si="1"/>
        <v>13319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250</v>
      </c>
      <c r="C27" s="630" t="s">
        <v>669</v>
      </c>
      <c r="D27" s="964">
        <v>324</v>
      </c>
      <c r="E27" s="965">
        <f t="shared" ref="E27:E32" si="2">D27*9.5</f>
        <v>3078</v>
      </c>
    </row>
    <row r="28" spans="2:5">
      <c r="B28" s="1198" t="s">
        <v>235</v>
      </c>
      <c r="C28" s="630" t="s">
        <v>669</v>
      </c>
      <c r="D28" s="964">
        <v>476</v>
      </c>
      <c r="E28" s="965">
        <f t="shared" si="2"/>
        <v>4522</v>
      </c>
    </row>
    <row r="29" spans="2:5">
      <c r="B29" s="973" t="s">
        <v>332</v>
      </c>
      <c r="C29" s="973" t="s">
        <v>26</v>
      </c>
      <c r="D29" s="964">
        <v>417</v>
      </c>
      <c r="E29" s="965">
        <f t="shared" si="2"/>
        <v>3961.5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1217</v>
      </c>
      <c r="E32" s="954">
        <f t="shared" si="2"/>
        <v>11561.5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2103</v>
      </c>
      <c r="D35" s="956">
        <f>D22</f>
        <v>1402</v>
      </c>
      <c r="E35" s="956">
        <f>D32</f>
        <v>1217</v>
      </c>
    </row>
    <row r="36" spans="2:5">
      <c r="B36" s="953" t="s">
        <v>36</v>
      </c>
      <c r="C36" s="951">
        <f>C35*9.5</f>
        <v>19978.5</v>
      </c>
      <c r="D36" s="951">
        <f>D35*9.5</f>
        <v>13319</v>
      </c>
      <c r="E36" s="951">
        <f>E35*9.5</f>
        <v>11561.5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4722</v>
      </c>
      <c r="D38" s="378" t="s">
        <v>253</v>
      </c>
      <c r="E38" s="381">
        <f>C38*9.5</f>
        <v>44859</v>
      </c>
    </row>
    <row r="39" spans="2:5">
      <c r="B39" s="377" t="s">
        <v>197</v>
      </c>
      <c r="C39" s="378">
        <f>C40-C38</f>
        <v>23</v>
      </c>
      <c r="D39" s="378" t="s">
        <v>204</v>
      </c>
      <c r="E39" s="381">
        <f>C39*9</f>
        <v>207</v>
      </c>
    </row>
    <row r="40" spans="2:5" ht="19.5">
      <c r="B40" s="941" t="s">
        <v>201</v>
      </c>
      <c r="C40" s="380">
        <v>4745</v>
      </c>
      <c r="D40" s="380" t="s">
        <v>202</v>
      </c>
      <c r="E40" s="379">
        <f>SUM(E38+E39)</f>
        <v>45066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C35E8-1577-41D5-8853-3A7DD6F48043}">
  <sheetPr codeName="Sheet323">
    <pageSetUpPr fitToPage="1"/>
  </sheetPr>
  <dimension ref="B2:H44"/>
  <sheetViews>
    <sheetView topLeftCell="A13" workbookViewId="0">
      <selection activeCell="F27" sqref="F27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45025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238</v>
      </c>
      <c r="C7" s="630" t="s">
        <v>669</v>
      </c>
      <c r="D7" s="964">
        <v>328</v>
      </c>
      <c r="E7" s="965">
        <f t="shared" ref="E7:E12" si="0">D7*9.5</f>
        <v>3116</v>
      </c>
    </row>
    <row r="8" spans="2:8" ht="15" customHeight="1">
      <c r="B8" s="1198" t="s">
        <v>329</v>
      </c>
      <c r="C8" s="630" t="s">
        <v>669</v>
      </c>
      <c r="D8" s="964">
        <v>897</v>
      </c>
      <c r="E8" s="965">
        <f t="shared" si="0"/>
        <v>8521.5</v>
      </c>
    </row>
    <row r="9" spans="2:8" ht="15" customHeight="1">
      <c r="B9" s="973" t="s">
        <v>256</v>
      </c>
      <c r="C9" s="973" t="s">
        <v>26</v>
      </c>
      <c r="D9" s="964">
        <v>189</v>
      </c>
      <c r="E9" s="965">
        <f t="shared" si="0"/>
        <v>1795.5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1414</v>
      </c>
      <c r="E12" s="965">
        <f t="shared" si="0"/>
        <v>13433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1198" t="s">
        <v>748</v>
      </c>
      <c r="C17" s="630" t="s">
        <v>669</v>
      </c>
      <c r="D17" s="964">
        <v>0</v>
      </c>
      <c r="E17" s="965">
        <f t="shared" ref="E17:E22" si="1">D17*9.5</f>
        <v>0</v>
      </c>
      <c r="F17" s="934" t="s">
        <v>899</v>
      </c>
    </row>
    <row r="18" spans="2:6" ht="15" customHeight="1">
      <c r="B18" s="1198" t="s">
        <v>12</v>
      </c>
      <c r="C18" s="630" t="s">
        <v>669</v>
      </c>
      <c r="D18" s="964">
        <v>450</v>
      </c>
      <c r="E18" s="965">
        <f t="shared" si="1"/>
        <v>4275</v>
      </c>
    </row>
    <row r="19" spans="2:6" ht="14.45" customHeight="1">
      <c r="B19" s="973" t="s">
        <v>82</v>
      </c>
      <c r="C19" s="973" t="s">
        <v>26</v>
      </c>
      <c r="D19" s="964">
        <v>400</v>
      </c>
      <c r="E19" s="965">
        <f t="shared" si="1"/>
        <v>3800</v>
      </c>
    </row>
    <row r="20" spans="2:6" ht="14.45" customHeight="1">
      <c r="B20" s="972"/>
      <c r="C20" s="973" t="s">
        <v>26</v>
      </c>
      <c r="D20" s="964"/>
      <c r="E20" s="965">
        <f t="shared" si="1"/>
        <v>0</v>
      </c>
    </row>
    <row r="21" spans="2:6" ht="14.45" customHeight="1">
      <c r="B21" s="1063"/>
      <c r="C21" s="975" t="s">
        <v>681</v>
      </c>
      <c r="D21" s="964"/>
      <c r="E21" s="965">
        <f t="shared" si="1"/>
        <v>0</v>
      </c>
    </row>
    <row r="22" spans="2:6" ht="14.45" customHeight="1">
      <c r="B22" s="1269" t="s">
        <v>24</v>
      </c>
      <c r="C22" s="1270"/>
      <c r="D22" s="964">
        <f>SUM(D17:D21)</f>
        <v>850</v>
      </c>
      <c r="E22" s="954">
        <f t="shared" si="1"/>
        <v>8075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165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1198" t="s">
        <v>748</v>
      </c>
      <c r="C27" s="630" t="s">
        <v>669</v>
      </c>
      <c r="D27" s="964">
        <v>0</v>
      </c>
      <c r="E27" s="965">
        <f t="shared" ref="E27:E32" si="2">D27*9.5</f>
        <v>0</v>
      </c>
      <c r="F27" s="934" t="s">
        <v>899</v>
      </c>
    </row>
    <row r="28" spans="2:6">
      <c r="B28" s="1198" t="s">
        <v>235</v>
      </c>
      <c r="C28" s="630" t="s">
        <v>669</v>
      </c>
      <c r="D28" s="964">
        <v>514</v>
      </c>
      <c r="E28" s="965">
        <f t="shared" si="2"/>
        <v>4883</v>
      </c>
    </row>
    <row r="29" spans="2:6">
      <c r="B29" s="973" t="s">
        <v>82</v>
      </c>
      <c r="C29" s="973" t="s">
        <v>26</v>
      </c>
      <c r="D29" s="964">
        <v>277</v>
      </c>
      <c r="E29" s="965">
        <f t="shared" si="2"/>
        <v>2631.5</v>
      </c>
    </row>
    <row r="30" spans="2:6">
      <c r="B30" s="972"/>
      <c r="C30" s="975" t="s">
        <v>26</v>
      </c>
      <c r="D30" s="964"/>
      <c r="E30" s="965">
        <f t="shared" si="2"/>
        <v>0</v>
      </c>
    </row>
    <row r="31" spans="2:6">
      <c r="B31" s="1128"/>
      <c r="C31" s="975" t="s">
        <v>667</v>
      </c>
      <c r="D31" s="964"/>
      <c r="E31" s="965">
        <f t="shared" si="2"/>
        <v>0</v>
      </c>
    </row>
    <row r="32" spans="2:6" ht="20.100000000000001" customHeight="1">
      <c r="B32" s="1259" t="s">
        <v>24</v>
      </c>
      <c r="C32" s="1259"/>
      <c r="D32" s="964">
        <f>SUM(D27:D31)</f>
        <v>791</v>
      </c>
      <c r="E32" s="954">
        <f t="shared" si="2"/>
        <v>7514.5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1414</v>
      </c>
      <c r="D35" s="956">
        <f>D22</f>
        <v>850</v>
      </c>
      <c r="E35" s="956">
        <f>D32</f>
        <v>791</v>
      </c>
    </row>
    <row r="36" spans="2:5">
      <c r="B36" s="953" t="s">
        <v>36</v>
      </c>
      <c r="C36" s="951">
        <f>C35*9.5</f>
        <v>13433</v>
      </c>
      <c r="D36" s="951">
        <f>D35*9.5</f>
        <v>8075</v>
      </c>
      <c r="E36" s="951">
        <f>E35*9.5</f>
        <v>7514.5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3055</v>
      </c>
      <c r="D38" s="378" t="s">
        <v>253</v>
      </c>
      <c r="E38" s="381">
        <f>C38*9.5</f>
        <v>29022.5</v>
      </c>
    </row>
    <row r="39" spans="2:5">
      <c r="B39" s="377" t="s">
        <v>197</v>
      </c>
      <c r="C39" s="378">
        <f>C40-C38</f>
        <v>357</v>
      </c>
      <c r="D39" s="378" t="s">
        <v>204</v>
      </c>
      <c r="E39" s="381">
        <f>C39*9</f>
        <v>3213</v>
      </c>
    </row>
    <row r="40" spans="2:5" ht="19.5">
      <c r="B40" s="941" t="s">
        <v>201</v>
      </c>
      <c r="C40" s="380">
        <v>3412</v>
      </c>
      <c r="D40" s="380" t="s">
        <v>202</v>
      </c>
      <c r="E40" s="379">
        <f>SUM(E38+E39)</f>
        <v>32235.5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8478A-0DE9-4528-844E-76E4A649A8F1}">
  <sheetPr codeName="Sheet324">
    <pageSetUpPr fitToPage="1"/>
  </sheetPr>
  <dimension ref="B2:H44"/>
  <sheetViews>
    <sheetView topLeftCell="A16" workbookViewId="0">
      <selection activeCell="H26" sqref="H26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45026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189</v>
      </c>
      <c r="C7" s="630" t="s">
        <v>669</v>
      </c>
      <c r="D7" s="964">
        <v>323</v>
      </c>
      <c r="E7" s="965">
        <f t="shared" ref="E7:E12" si="0">D7*9.5</f>
        <v>3068.5</v>
      </c>
    </row>
    <row r="8" spans="2:8" ht="15" customHeight="1">
      <c r="B8" s="1198" t="s">
        <v>280</v>
      </c>
      <c r="C8" s="630" t="s">
        <v>669</v>
      </c>
      <c r="D8" s="964">
        <v>439</v>
      </c>
      <c r="E8" s="965">
        <f t="shared" si="0"/>
        <v>4170.5</v>
      </c>
    </row>
    <row r="9" spans="2:8" ht="15" customHeight="1">
      <c r="B9" s="973" t="s">
        <v>332</v>
      </c>
      <c r="C9" s="973" t="s">
        <v>26</v>
      </c>
      <c r="D9" s="964">
        <v>445</v>
      </c>
      <c r="E9" s="965">
        <f t="shared" si="0"/>
        <v>4227.5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1207</v>
      </c>
      <c r="E12" s="965">
        <f t="shared" si="0"/>
        <v>11466.5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271</v>
      </c>
      <c r="C17" s="630" t="s">
        <v>669</v>
      </c>
      <c r="D17" s="964">
        <v>600</v>
      </c>
      <c r="E17" s="965">
        <f t="shared" ref="E17:E22" si="1">D17*9.5</f>
        <v>5700</v>
      </c>
    </row>
    <row r="18" spans="2:5" ht="15" customHeight="1">
      <c r="B18" s="1198" t="s">
        <v>892</v>
      </c>
      <c r="C18" s="630" t="s">
        <v>669</v>
      </c>
      <c r="D18" s="964">
        <v>345</v>
      </c>
      <c r="E18" s="965">
        <f t="shared" si="1"/>
        <v>3277.5</v>
      </c>
    </row>
    <row r="19" spans="2:5" ht="14.45" customHeight="1">
      <c r="B19" s="973" t="s">
        <v>332</v>
      </c>
      <c r="C19" s="973" t="s">
        <v>26</v>
      </c>
      <c r="D19" s="964">
        <v>513</v>
      </c>
      <c r="E19" s="965">
        <f t="shared" si="1"/>
        <v>4873.5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1458</v>
      </c>
      <c r="E22" s="954">
        <f t="shared" si="1"/>
        <v>13851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271</v>
      </c>
      <c r="C27" s="630" t="s">
        <v>669</v>
      </c>
      <c r="D27" s="964">
        <v>241</v>
      </c>
      <c r="E27" s="965">
        <f t="shared" ref="E27:E32" si="2">D27*9.5</f>
        <v>2289.5</v>
      </c>
    </row>
    <row r="28" spans="2:5">
      <c r="B28" s="1198" t="s">
        <v>796</v>
      </c>
      <c r="C28" s="630" t="s">
        <v>669</v>
      </c>
      <c r="D28" s="964">
        <v>249</v>
      </c>
      <c r="E28" s="965">
        <f t="shared" si="2"/>
        <v>2365.5</v>
      </c>
    </row>
    <row r="29" spans="2:5">
      <c r="B29" s="973" t="s">
        <v>45</v>
      </c>
      <c r="C29" s="973" t="s">
        <v>26</v>
      </c>
      <c r="D29" s="964">
        <v>235</v>
      </c>
      <c r="E29" s="965">
        <f t="shared" si="2"/>
        <v>2232.5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725</v>
      </c>
      <c r="E32" s="954">
        <f t="shared" si="2"/>
        <v>6887.5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1207</v>
      </c>
      <c r="D35" s="956">
        <f>D22</f>
        <v>1458</v>
      </c>
      <c r="E35" s="956">
        <f>D32</f>
        <v>725</v>
      </c>
    </row>
    <row r="36" spans="2:5">
      <c r="B36" s="953" t="s">
        <v>36</v>
      </c>
      <c r="C36" s="951">
        <f>C35*9.5</f>
        <v>11466.5</v>
      </c>
      <c r="D36" s="951">
        <f>D35*9.5</f>
        <v>13851</v>
      </c>
      <c r="E36" s="951">
        <f>E35*9.5</f>
        <v>6887.5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3390</v>
      </c>
      <c r="D38" s="378" t="s">
        <v>253</v>
      </c>
      <c r="E38" s="381">
        <f>C38*9.5</f>
        <v>32205</v>
      </c>
    </row>
    <row r="39" spans="2:5">
      <c r="B39" s="377" t="s">
        <v>197</v>
      </c>
      <c r="C39" s="378">
        <f>C40-C38</f>
        <v>4482</v>
      </c>
      <c r="D39" s="378" t="s">
        <v>204</v>
      </c>
      <c r="E39" s="381">
        <f>C39*9</f>
        <v>40338</v>
      </c>
    </row>
    <row r="40" spans="2:5" ht="19.5">
      <c r="B40" s="941" t="s">
        <v>201</v>
      </c>
      <c r="C40" s="380">
        <v>7872</v>
      </c>
      <c r="D40" s="380" t="s">
        <v>202</v>
      </c>
      <c r="E40" s="379">
        <f>SUM(E38+E39)</f>
        <v>72543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F432C-72CF-4BE3-9A5B-C5089C9DD941}">
  <sheetPr codeName="Sheet325">
    <pageSetUpPr fitToPage="1"/>
  </sheetPr>
  <dimension ref="B2:H44"/>
  <sheetViews>
    <sheetView topLeftCell="A13" workbookViewId="0">
      <selection activeCell="D44" sqref="D44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45027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893</v>
      </c>
      <c r="C7" s="630" t="s">
        <v>669</v>
      </c>
      <c r="D7" s="964">
        <v>411</v>
      </c>
      <c r="E7" s="965">
        <f t="shared" ref="E7:E12" si="0">D7*9.5</f>
        <v>3904.5</v>
      </c>
    </row>
    <row r="8" spans="2:8" ht="15" customHeight="1">
      <c r="B8" s="1198" t="s">
        <v>894</v>
      </c>
      <c r="C8" s="630" t="s">
        <v>669</v>
      </c>
      <c r="D8" s="964">
        <v>370</v>
      </c>
      <c r="E8" s="965">
        <f t="shared" si="0"/>
        <v>3515</v>
      </c>
    </row>
    <row r="9" spans="2:8" ht="15" customHeight="1">
      <c r="B9" s="973" t="s">
        <v>328</v>
      </c>
      <c r="C9" s="973" t="s">
        <v>26</v>
      </c>
      <c r="D9" s="964">
        <v>297</v>
      </c>
      <c r="E9" s="965">
        <f t="shared" si="0"/>
        <v>2821.5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1078</v>
      </c>
      <c r="E12" s="965">
        <f t="shared" si="0"/>
        <v>10241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45</v>
      </c>
      <c r="C17" s="630" t="s">
        <v>669</v>
      </c>
      <c r="D17" s="964">
        <v>450</v>
      </c>
      <c r="E17" s="965">
        <f t="shared" ref="E17:E22" si="1">D17*9.5</f>
        <v>4275</v>
      </c>
    </row>
    <row r="18" spans="2:5" ht="15" customHeight="1">
      <c r="B18" s="1198" t="s">
        <v>70</v>
      </c>
      <c r="C18" s="630" t="s">
        <v>669</v>
      </c>
      <c r="D18" s="964">
        <v>454</v>
      </c>
      <c r="E18" s="965">
        <f t="shared" si="1"/>
        <v>4313</v>
      </c>
    </row>
    <row r="19" spans="2:5" ht="14.45" customHeight="1">
      <c r="B19" s="973" t="s">
        <v>256</v>
      </c>
      <c r="C19" s="973" t="s">
        <v>26</v>
      </c>
      <c r="D19" s="964">
        <v>248</v>
      </c>
      <c r="E19" s="965">
        <f t="shared" si="1"/>
        <v>2356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1152</v>
      </c>
      <c r="E22" s="954">
        <f t="shared" si="1"/>
        <v>10944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45</v>
      </c>
      <c r="C27" s="630" t="s">
        <v>669</v>
      </c>
      <c r="D27" s="964">
        <v>215</v>
      </c>
      <c r="E27" s="965">
        <f t="shared" ref="E27:E31" si="2">D27*9.5</f>
        <v>2042.5</v>
      </c>
    </row>
    <row r="28" spans="2:5">
      <c r="B28" s="1198" t="s">
        <v>895</v>
      </c>
      <c r="C28" s="630" t="s">
        <v>669</v>
      </c>
      <c r="D28" s="964">
        <v>496</v>
      </c>
      <c r="E28" s="965">
        <f t="shared" si="2"/>
        <v>4712</v>
      </c>
    </row>
    <row r="29" spans="2:5">
      <c r="B29" s="973" t="s">
        <v>53</v>
      </c>
      <c r="C29" s="973" t="s">
        <v>26</v>
      </c>
      <c r="D29" s="964">
        <v>195</v>
      </c>
      <c r="E29" s="965">
        <f>D29*10</f>
        <v>1950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906</v>
      </c>
      <c r="E32" s="954">
        <f>SUM(E27:E31)</f>
        <v>8704.5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1078</v>
      </c>
      <c r="D35" s="956">
        <f>D22</f>
        <v>1152</v>
      </c>
      <c r="E35" s="956">
        <f>D32</f>
        <v>906</v>
      </c>
    </row>
    <row r="36" spans="2:5">
      <c r="B36" s="953" t="s">
        <v>36</v>
      </c>
      <c r="C36" s="951">
        <f>C35*9.5</f>
        <v>10241</v>
      </c>
      <c r="D36" s="951">
        <f>D35*9.5</f>
        <v>10944</v>
      </c>
      <c r="E36" s="951">
        <f>SUM(E32)</f>
        <v>8704.5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3136</v>
      </c>
      <c r="D38" s="378" t="s">
        <v>253</v>
      </c>
      <c r="E38" s="381">
        <f>SUM(E36,D36,C36)</f>
        <v>29889.5</v>
      </c>
    </row>
    <row r="39" spans="2:5">
      <c r="B39" s="377" t="s">
        <v>197</v>
      </c>
      <c r="C39" s="378">
        <f>C40-C38</f>
        <v>5193</v>
      </c>
      <c r="D39" s="378" t="s">
        <v>204</v>
      </c>
      <c r="E39" s="381">
        <f>C39*9</f>
        <v>46737</v>
      </c>
    </row>
    <row r="40" spans="2:5" ht="19.5">
      <c r="B40" s="941" t="s">
        <v>201</v>
      </c>
      <c r="C40" s="380">
        <v>8329</v>
      </c>
      <c r="D40" s="380" t="s">
        <v>202</v>
      </c>
      <c r="E40" s="379">
        <f>SUM(E38+E39)</f>
        <v>76626.5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1B5BD-6D40-4452-AD6E-2D2747E2A4AD}">
  <sheetPr codeName="Sheet326">
    <pageSetUpPr fitToPage="1"/>
  </sheetPr>
  <dimension ref="B2:H44"/>
  <sheetViews>
    <sheetView topLeftCell="A16" workbookViewId="0">
      <selection activeCell="C41" sqref="C41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45028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281</v>
      </c>
      <c r="C7" s="630" t="s">
        <v>669</v>
      </c>
      <c r="D7" s="964">
        <v>349</v>
      </c>
      <c r="E7" s="965">
        <f t="shared" ref="E7:E12" si="0">D7*9.5</f>
        <v>3315.5</v>
      </c>
    </row>
    <row r="8" spans="2:8" ht="15" customHeight="1">
      <c r="B8" s="1198" t="s">
        <v>252</v>
      </c>
      <c r="C8" s="630" t="s">
        <v>669</v>
      </c>
      <c r="D8" s="964">
        <v>345</v>
      </c>
      <c r="E8" s="965">
        <f t="shared" si="0"/>
        <v>3277.5</v>
      </c>
    </row>
    <row r="9" spans="2:8" ht="15" customHeight="1">
      <c r="B9" s="973" t="s">
        <v>259</v>
      </c>
      <c r="C9" s="973" t="s">
        <v>26</v>
      </c>
      <c r="D9" s="964">
        <v>357</v>
      </c>
      <c r="E9" s="965">
        <f t="shared" si="0"/>
        <v>3391.5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1051</v>
      </c>
      <c r="E12" s="965">
        <f t="shared" si="0"/>
        <v>9984.5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281</v>
      </c>
      <c r="C17" s="630" t="s">
        <v>669</v>
      </c>
      <c r="D17" s="964">
        <v>408</v>
      </c>
      <c r="E17" s="965">
        <f t="shared" ref="E17:E22" si="1">D17*9.5</f>
        <v>3876</v>
      </c>
    </row>
    <row r="18" spans="2:5" ht="15" customHeight="1">
      <c r="B18" s="1198" t="s">
        <v>279</v>
      </c>
      <c r="C18" s="630" t="s">
        <v>669</v>
      </c>
      <c r="D18" s="964">
        <v>785</v>
      </c>
      <c r="E18" s="965">
        <f t="shared" si="1"/>
        <v>7457.5</v>
      </c>
    </row>
    <row r="19" spans="2:5" ht="14.45" customHeight="1">
      <c r="B19" s="973" t="s">
        <v>205</v>
      </c>
      <c r="C19" s="973" t="s">
        <v>26</v>
      </c>
      <c r="D19" s="964">
        <v>275</v>
      </c>
      <c r="E19" s="965">
        <f t="shared" si="1"/>
        <v>2612.5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1468</v>
      </c>
      <c r="E22" s="954">
        <f t="shared" si="1"/>
        <v>13946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896</v>
      </c>
      <c r="C27" s="630" t="s">
        <v>669</v>
      </c>
      <c r="D27" s="964">
        <v>105</v>
      </c>
      <c r="E27" s="965">
        <f t="shared" ref="E27:E31" si="2">D27*9.5</f>
        <v>997.5</v>
      </c>
    </row>
    <row r="28" spans="2:5">
      <c r="B28" s="1198" t="s">
        <v>331</v>
      </c>
      <c r="C28" s="630" t="s">
        <v>669</v>
      </c>
      <c r="D28" s="964">
        <v>383</v>
      </c>
      <c r="E28" s="965">
        <f t="shared" si="2"/>
        <v>3638.5</v>
      </c>
    </row>
    <row r="29" spans="2:5">
      <c r="B29" s="973" t="s">
        <v>12</v>
      </c>
      <c r="C29" s="973" t="s">
        <v>26</v>
      </c>
      <c r="D29" s="964">
        <v>275</v>
      </c>
      <c r="E29" s="965">
        <f>D29*9.5</f>
        <v>2612.5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763</v>
      </c>
      <c r="E32" s="954">
        <f>SUM(E27:E31)</f>
        <v>7248.5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1051</v>
      </c>
      <c r="D35" s="956">
        <f>D22</f>
        <v>1468</v>
      </c>
      <c r="E35" s="956">
        <f>D32</f>
        <v>763</v>
      </c>
    </row>
    <row r="36" spans="2:5">
      <c r="B36" s="953" t="s">
        <v>36</v>
      </c>
      <c r="C36" s="951">
        <f>C35*9.5</f>
        <v>9984.5</v>
      </c>
      <c r="D36" s="951">
        <f>D35*9.5</f>
        <v>13946</v>
      </c>
      <c r="E36" s="951">
        <f>SUM(E32)</f>
        <v>7248.5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3282</v>
      </c>
      <c r="D38" s="378" t="s">
        <v>253</v>
      </c>
      <c r="E38" s="381">
        <f>SUM(E36,D36,C36)</f>
        <v>31179</v>
      </c>
    </row>
    <row r="39" spans="2:5">
      <c r="B39" s="377" t="s">
        <v>197</v>
      </c>
      <c r="C39" s="378">
        <f>C40-C38</f>
        <v>4943</v>
      </c>
      <c r="D39" s="378" t="s">
        <v>204</v>
      </c>
      <c r="E39" s="381">
        <f>C39*9</f>
        <v>44487</v>
      </c>
    </row>
    <row r="40" spans="2:5" ht="19.5">
      <c r="B40" s="941" t="s">
        <v>201</v>
      </c>
      <c r="C40" s="380">
        <v>8225</v>
      </c>
      <c r="D40" s="380" t="s">
        <v>202</v>
      </c>
      <c r="E40" s="379">
        <f>SUM(E38+E39)</f>
        <v>75666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30C7C-3FC4-41F5-9C1B-084B4847FD96}">
  <sheetPr codeName="Sheet327">
    <pageSetUpPr fitToPage="1"/>
  </sheetPr>
  <dimension ref="B2:H44"/>
  <sheetViews>
    <sheetView topLeftCell="A16" workbookViewId="0">
      <selection activeCell="D27" sqref="D27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45029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898</v>
      </c>
      <c r="C7" s="630" t="s">
        <v>669</v>
      </c>
      <c r="D7" s="964">
        <v>221</v>
      </c>
      <c r="E7" s="965">
        <f t="shared" ref="E7:E12" si="0">D7*9.5</f>
        <v>2099.5</v>
      </c>
    </row>
    <row r="8" spans="2:8" ht="15" customHeight="1">
      <c r="B8" s="1198" t="s">
        <v>303</v>
      </c>
      <c r="C8" s="630" t="s">
        <v>669</v>
      </c>
      <c r="D8" s="964">
        <v>893</v>
      </c>
      <c r="E8" s="965">
        <f t="shared" si="0"/>
        <v>8483.5</v>
      </c>
    </row>
    <row r="9" spans="2:8" ht="15" customHeight="1">
      <c r="B9" s="973" t="s">
        <v>44</v>
      </c>
      <c r="C9" s="973" t="s">
        <v>26</v>
      </c>
      <c r="D9" s="964">
        <v>280</v>
      </c>
      <c r="E9" s="965">
        <f t="shared" si="0"/>
        <v>2660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1394</v>
      </c>
      <c r="E12" s="965">
        <f t="shared" si="0"/>
        <v>13243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244</v>
      </c>
      <c r="C17" s="630" t="s">
        <v>669</v>
      </c>
      <c r="D17" s="964">
        <v>694</v>
      </c>
      <c r="E17" s="965">
        <f t="shared" ref="E17:E22" si="1">D17*9.5</f>
        <v>6593</v>
      </c>
    </row>
    <row r="18" spans="2:5" ht="15" customHeight="1">
      <c r="B18" s="1198" t="s">
        <v>65</v>
      </c>
      <c r="C18" s="630" t="s">
        <v>669</v>
      </c>
      <c r="D18" s="964">
        <v>425</v>
      </c>
      <c r="E18" s="965">
        <f t="shared" si="1"/>
        <v>4037.5</v>
      </c>
    </row>
    <row r="19" spans="2:5" ht="14.45" customHeight="1">
      <c r="B19" s="973" t="s">
        <v>737</v>
      </c>
      <c r="C19" s="973" t="s">
        <v>26</v>
      </c>
      <c r="D19" s="964">
        <v>135</v>
      </c>
      <c r="E19" s="965">
        <f t="shared" si="1"/>
        <v>1282.5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1254</v>
      </c>
      <c r="E22" s="954">
        <f t="shared" si="1"/>
        <v>11913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65</v>
      </c>
      <c r="C27" s="630" t="s">
        <v>669</v>
      </c>
      <c r="D27" s="964">
        <v>229</v>
      </c>
      <c r="E27" s="965">
        <f t="shared" ref="E27:E31" si="2">D27*9.5</f>
        <v>2175.5</v>
      </c>
    </row>
    <row r="28" spans="2:5">
      <c r="B28" s="1198" t="s">
        <v>333</v>
      </c>
      <c r="C28" s="630" t="s">
        <v>669</v>
      </c>
      <c r="D28" s="964">
        <v>328</v>
      </c>
      <c r="E28" s="965">
        <f t="shared" si="2"/>
        <v>3116</v>
      </c>
    </row>
    <row r="29" spans="2:5">
      <c r="B29" s="973" t="s">
        <v>238</v>
      </c>
      <c r="C29" s="973" t="s">
        <v>26</v>
      </c>
      <c r="D29" s="964">
        <v>196</v>
      </c>
      <c r="E29" s="965">
        <f>D29*9.5</f>
        <v>1862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753</v>
      </c>
      <c r="E32" s="954">
        <f>SUM(E27:E31)</f>
        <v>7153.5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1394</v>
      </c>
      <c r="D35" s="956">
        <f>D22</f>
        <v>1254</v>
      </c>
      <c r="E35" s="956">
        <f>D32</f>
        <v>753</v>
      </c>
    </row>
    <row r="36" spans="2:5">
      <c r="B36" s="953" t="s">
        <v>36</v>
      </c>
      <c r="C36" s="951">
        <f>C35*9.5</f>
        <v>13243</v>
      </c>
      <c r="D36" s="951">
        <f>D35*9.5</f>
        <v>11913</v>
      </c>
      <c r="E36" s="951">
        <f>SUM(E32)</f>
        <v>7153.5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3401</v>
      </c>
      <c r="D38" s="378" t="s">
        <v>253</v>
      </c>
      <c r="E38" s="381">
        <f>SUM(E36,D36,C36)</f>
        <v>32309.5</v>
      </c>
    </row>
    <row r="39" spans="2:5">
      <c r="B39" s="377" t="s">
        <v>197</v>
      </c>
      <c r="C39" s="378">
        <f>C40-C38</f>
        <v>4860</v>
      </c>
      <c r="D39" s="378" t="s">
        <v>204</v>
      </c>
      <c r="E39" s="381">
        <f>C39*9</f>
        <v>43740</v>
      </c>
    </row>
    <row r="40" spans="2:5" ht="19.5">
      <c r="B40" s="941" t="s">
        <v>201</v>
      </c>
      <c r="C40" s="380">
        <v>8261</v>
      </c>
      <c r="D40" s="380" t="s">
        <v>202</v>
      </c>
      <c r="E40" s="379">
        <f>SUM(E38+E39)</f>
        <v>76049.5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8598-9FEE-4525-BFBE-C5EB6AF70463}">
  <sheetPr codeName="Sheet328">
    <pageSetUpPr fitToPage="1"/>
  </sheetPr>
  <dimension ref="B2:H44"/>
  <sheetViews>
    <sheetView topLeftCell="A16" workbookViewId="0">
      <selection activeCell="G20" sqref="G20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45030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252</v>
      </c>
      <c r="C7" s="630" t="s">
        <v>669</v>
      </c>
      <c r="D7" s="964">
        <v>366</v>
      </c>
      <c r="E7" s="965">
        <f t="shared" ref="E7:E12" si="0">D7*9.5</f>
        <v>3477</v>
      </c>
    </row>
    <row r="8" spans="2:8" ht="15" customHeight="1">
      <c r="B8" s="1198" t="s">
        <v>329</v>
      </c>
      <c r="C8" s="630" t="s">
        <v>669</v>
      </c>
      <c r="D8" s="964">
        <v>1059</v>
      </c>
      <c r="E8" s="965">
        <f t="shared" si="0"/>
        <v>10060.5</v>
      </c>
    </row>
    <row r="9" spans="2:8" ht="15" customHeight="1">
      <c r="B9" s="973" t="s">
        <v>281</v>
      </c>
      <c r="C9" s="973" t="s">
        <v>26</v>
      </c>
      <c r="D9" s="964">
        <v>302</v>
      </c>
      <c r="E9" s="965">
        <f t="shared" si="0"/>
        <v>2869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1727</v>
      </c>
      <c r="E12" s="965">
        <f t="shared" si="0"/>
        <v>16406.5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802</v>
      </c>
      <c r="C17" s="630" t="s">
        <v>669</v>
      </c>
      <c r="D17" s="964">
        <v>366</v>
      </c>
      <c r="E17" s="965">
        <f t="shared" ref="E17:E22" si="1">D17*9.5</f>
        <v>3477</v>
      </c>
    </row>
    <row r="18" spans="2:5" ht="15" customHeight="1">
      <c r="B18" s="1198" t="s">
        <v>279</v>
      </c>
      <c r="C18" s="630" t="s">
        <v>669</v>
      </c>
      <c r="D18" s="964">
        <v>749</v>
      </c>
      <c r="E18" s="965">
        <f t="shared" si="1"/>
        <v>7115.5</v>
      </c>
    </row>
    <row r="19" spans="2:5" ht="14.45" customHeight="1">
      <c r="B19" s="973" t="s">
        <v>239</v>
      </c>
      <c r="C19" s="973" t="s">
        <v>26</v>
      </c>
      <c r="D19" s="964">
        <v>235</v>
      </c>
      <c r="E19" s="965">
        <f t="shared" si="1"/>
        <v>2232.5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1350</v>
      </c>
      <c r="E22" s="954">
        <f t="shared" si="1"/>
        <v>12825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259</v>
      </c>
      <c r="C27" s="630" t="s">
        <v>669</v>
      </c>
      <c r="D27" s="964">
        <v>222</v>
      </c>
      <c r="E27" s="965">
        <f t="shared" ref="E27:E31" si="2">D27*9.5</f>
        <v>2109</v>
      </c>
    </row>
    <row r="28" spans="2:5">
      <c r="B28" s="1198" t="s">
        <v>331</v>
      </c>
      <c r="C28" s="630" t="s">
        <v>669</v>
      </c>
      <c r="D28" s="964">
        <v>356</v>
      </c>
      <c r="E28" s="965">
        <f t="shared" si="2"/>
        <v>3382</v>
      </c>
    </row>
    <row r="29" spans="2:5">
      <c r="B29" s="973" t="s">
        <v>239</v>
      </c>
      <c r="C29" s="973" t="s">
        <v>26</v>
      </c>
      <c r="D29" s="964">
        <v>108</v>
      </c>
      <c r="E29" s="965">
        <f>D29*9.5</f>
        <v>1026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686</v>
      </c>
      <c r="E32" s="954">
        <f>SUM(E27:E31)</f>
        <v>6517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1727</v>
      </c>
      <c r="D35" s="956">
        <f>D22</f>
        <v>1350</v>
      </c>
      <c r="E35" s="956">
        <f>D32</f>
        <v>686</v>
      </c>
    </row>
    <row r="36" spans="2:5">
      <c r="B36" s="953" t="s">
        <v>36</v>
      </c>
      <c r="C36" s="951">
        <f>C35*9.5</f>
        <v>16406.5</v>
      </c>
      <c r="D36" s="951">
        <f>D35*9.5</f>
        <v>12825</v>
      </c>
      <c r="E36" s="951">
        <f>SUM(E32)</f>
        <v>6517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3763</v>
      </c>
      <c r="D38" s="378" t="s">
        <v>253</v>
      </c>
      <c r="E38" s="381">
        <f>SUM(E36,D36,C36)</f>
        <v>35748.5</v>
      </c>
    </row>
    <row r="39" spans="2:5">
      <c r="B39" s="377" t="s">
        <v>197</v>
      </c>
      <c r="C39" s="378">
        <f>C40-C38</f>
        <v>3615</v>
      </c>
      <c r="D39" s="378" t="s">
        <v>204</v>
      </c>
      <c r="E39" s="381">
        <f>C39*9</f>
        <v>32535</v>
      </c>
    </row>
    <row r="40" spans="2:5" ht="19.5">
      <c r="B40" s="941" t="s">
        <v>201</v>
      </c>
      <c r="C40" s="380">
        <v>7378</v>
      </c>
      <c r="D40" s="380" t="s">
        <v>202</v>
      </c>
      <c r="E40" s="379">
        <f>SUM(E38+E39)</f>
        <v>68283.5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959AA-08EC-49FC-9F13-2A9DC5AAA002}">
  <sheetPr codeName="Sheet329">
    <pageSetUpPr fitToPage="1"/>
  </sheetPr>
  <dimension ref="B2:H44"/>
  <sheetViews>
    <sheetView topLeftCell="A16" workbookViewId="0">
      <selection activeCell="D30" sqref="D30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45031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0"/>
      <c r="C7" s="630" t="s">
        <v>669</v>
      </c>
      <c r="D7" s="964"/>
      <c r="E7" s="965">
        <f t="shared" ref="E7:E12" si="0">D7*9.5</f>
        <v>0</v>
      </c>
    </row>
    <row r="8" spans="2:8" ht="15" customHeight="1">
      <c r="B8" s="1198" t="s">
        <v>303</v>
      </c>
      <c r="C8" s="630" t="s">
        <v>669</v>
      </c>
      <c r="D8" s="964">
        <v>868</v>
      </c>
      <c r="E8" s="965">
        <f t="shared" si="0"/>
        <v>8246</v>
      </c>
    </row>
    <row r="9" spans="2:8" ht="15" customHeight="1">
      <c r="B9" s="973" t="s">
        <v>281</v>
      </c>
      <c r="C9" s="973" t="s">
        <v>26</v>
      </c>
      <c r="D9" s="964">
        <v>299</v>
      </c>
      <c r="E9" s="965">
        <f t="shared" si="0"/>
        <v>2840.5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1167</v>
      </c>
      <c r="E12" s="965">
        <f t="shared" si="0"/>
        <v>11086.5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250</v>
      </c>
      <c r="C17" s="630" t="s">
        <v>669</v>
      </c>
      <c r="D17" s="964">
        <v>800</v>
      </c>
      <c r="E17" s="965">
        <f t="shared" ref="E17:E22" si="1">D17*9.5</f>
        <v>7600</v>
      </c>
    </row>
    <row r="18" spans="2:5" ht="15" customHeight="1">
      <c r="B18" s="1198" t="s">
        <v>332</v>
      </c>
      <c r="C18" s="630" t="s">
        <v>669</v>
      </c>
      <c r="D18" s="964">
        <v>530</v>
      </c>
      <c r="E18" s="965">
        <f t="shared" si="1"/>
        <v>5035</v>
      </c>
    </row>
    <row r="19" spans="2:5" ht="14.45" customHeight="1">
      <c r="B19" s="973" t="s">
        <v>303</v>
      </c>
      <c r="C19" s="973" t="s">
        <v>26</v>
      </c>
      <c r="D19" s="964">
        <v>839</v>
      </c>
      <c r="E19" s="965">
        <f t="shared" si="1"/>
        <v>7970.5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2169</v>
      </c>
      <c r="E22" s="954">
        <f t="shared" si="1"/>
        <v>20605.5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250</v>
      </c>
      <c r="C27" s="630" t="s">
        <v>669</v>
      </c>
      <c r="D27" s="964">
        <v>391</v>
      </c>
      <c r="E27" s="965">
        <f t="shared" ref="E27:E31" si="2">D27*9.5</f>
        <v>3714.5</v>
      </c>
    </row>
    <row r="28" spans="2:5">
      <c r="B28" s="1198" t="s">
        <v>235</v>
      </c>
      <c r="C28" s="630" t="s">
        <v>669</v>
      </c>
      <c r="D28" s="964">
        <v>565</v>
      </c>
      <c r="E28" s="965">
        <f t="shared" si="2"/>
        <v>5367.5</v>
      </c>
    </row>
    <row r="29" spans="2:5">
      <c r="B29" s="973" t="s">
        <v>239</v>
      </c>
      <c r="C29" s="973" t="s">
        <v>26</v>
      </c>
      <c r="D29" s="964">
        <v>127</v>
      </c>
      <c r="E29" s="965">
        <f>D29*9.5</f>
        <v>1206.5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1083</v>
      </c>
      <c r="E32" s="954">
        <f>SUM(E27:E31)</f>
        <v>10288.5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1167</v>
      </c>
      <c r="D35" s="956">
        <f>D22</f>
        <v>2169</v>
      </c>
      <c r="E35" s="956">
        <f>D32</f>
        <v>1083</v>
      </c>
    </row>
    <row r="36" spans="2:5">
      <c r="B36" s="953" t="s">
        <v>36</v>
      </c>
      <c r="C36" s="951">
        <f>C35*9.5</f>
        <v>11086.5</v>
      </c>
      <c r="D36" s="951">
        <f>D35*9.5</f>
        <v>20605.5</v>
      </c>
      <c r="E36" s="951">
        <f>SUM(E32)</f>
        <v>10288.5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4419</v>
      </c>
      <c r="D38" s="378" t="s">
        <v>253</v>
      </c>
      <c r="E38" s="381">
        <f>SUM(E36,D36,C36)</f>
        <v>41980.5</v>
      </c>
    </row>
    <row r="39" spans="2:5">
      <c r="B39" s="377" t="s">
        <v>197</v>
      </c>
      <c r="C39" s="378">
        <f>C40-C38</f>
        <v>112</v>
      </c>
      <c r="D39" s="378" t="s">
        <v>204</v>
      </c>
      <c r="E39" s="381">
        <f>C39*9</f>
        <v>1008</v>
      </c>
    </row>
    <row r="40" spans="2:5" ht="19.5">
      <c r="B40" s="941" t="s">
        <v>201</v>
      </c>
      <c r="C40" s="380">
        <v>4531</v>
      </c>
      <c r="D40" s="380" t="s">
        <v>202</v>
      </c>
      <c r="E40" s="379">
        <f>SUM(E38+E39)</f>
        <v>42988.5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B20EA-D256-42EE-95FC-A28AC6D3A626}">
  <sheetPr codeName="Sheet330">
    <pageSetUpPr fitToPage="1"/>
  </sheetPr>
  <dimension ref="B2:H44"/>
  <sheetViews>
    <sheetView topLeftCell="A13" workbookViewId="0">
      <selection activeCell="D30" sqref="D30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45032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329</v>
      </c>
      <c r="C7" s="630" t="s">
        <v>669</v>
      </c>
      <c r="D7" s="964">
        <v>1058</v>
      </c>
      <c r="E7" s="965">
        <f t="shared" ref="E7:E12" si="0">D7*9.5</f>
        <v>10051</v>
      </c>
    </row>
    <row r="8" spans="2:8" ht="15" customHeight="1">
      <c r="B8" s="1198" t="s">
        <v>259</v>
      </c>
      <c r="C8" s="630" t="s">
        <v>669</v>
      </c>
      <c r="D8" s="964">
        <v>404</v>
      </c>
      <c r="E8" s="965">
        <f t="shared" si="0"/>
        <v>3838</v>
      </c>
    </row>
    <row r="9" spans="2:8" ht="15" customHeight="1">
      <c r="B9" s="973" t="s">
        <v>678</v>
      </c>
      <c r="C9" s="973" t="s">
        <v>26</v>
      </c>
      <c r="D9" s="964">
        <v>412</v>
      </c>
      <c r="E9" s="965">
        <f t="shared" si="0"/>
        <v>3914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1874</v>
      </c>
      <c r="E12" s="965">
        <f t="shared" si="0"/>
        <v>17803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65</v>
      </c>
      <c r="C17" s="630" t="s">
        <v>669</v>
      </c>
      <c r="D17" s="964">
        <v>506</v>
      </c>
      <c r="E17" s="965">
        <f t="shared" ref="E17:E22" si="1">D17*9.5</f>
        <v>4807</v>
      </c>
    </row>
    <row r="18" spans="2:5" ht="15" customHeight="1">
      <c r="B18" s="1198" t="s">
        <v>900</v>
      </c>
      <c r="C18" s="630" t="s">
        <v>669</v>
      </c>
      <c r="D18" s="964">
        <v>490</v>
      </c>
      <c r="E18" s="965">
        <f t="shared" si="1"/>
        <v>4655</v>
      </c>
    </row>
    <row r="19" spans="2:5" ht="14.45" customHeight="1">
      <c r="B19" s="973" t="s">
        <v>279</v>
      </c>
      <c r="C19" s="973" t="s">
        <v>26</v>
      </c>
      <c r="D19" s="964">
        <v>878</v>
      </c>
      <c r="E19" s="965">
        <f t="shared" si="1"/>
        <v>8341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1874</v>
      </c>
      <c r="E22" s="954">
        <f t="shared" si="1"/>
        <v>17803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65</v>
      </c>
      <c r="C27" s="630" t="s">
        <v>669</v>
      </c>
      <c r="D27" s="964">
        <v>315</v>
      </c>
      <c r="E27" s="965">
        <f t="shared" ref="E27:E31" si="2">D27*9.5</f>
        <v>2992.5</v>
      </c>
    </row>
    <row r="28" spans="2:5">
      <c r="B28" s="1198" t="s">
        <v>333</v>
      </c>
      <c r="C28" s="630" t="s">
        <v>669</v>
      </c>
      <c r="D28" s="964">
        <v>331</v>
      </c>
      <c r="E28" s="965">
        <f t="shared" si="2"/>
        <v>3144.5</v>
      </c>
    </row>
    <row r="29" spans="2:5">
      <c r="B29" s="973" t="s">
        <v>238</v>
      </c>
      <c r="C29" s="973" t="s">
        <v>26</v>
      </c>
      <c r="D29" s="964">
        <v>267</v>
      </c>
      <c r="E29" s="965">
        <f>D29*9.5</f>
        <v>2536.5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913</v>
      </c>
      <c r="E32" s="954">
        <f>SUM(E27:E31)</f>
        <v>8673.5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1874</v>
      </c>
      <c r="D35" s="956">
        <f>D22</f>
        <v>1874</v>
      </c>
      <c r="E35" s="956">
        <f>D32</f>
        <v>913</v>
      </c>
    </row>
    <row r="36" spans="2:5">
      <c r="B36" s="953" t="s">
        <v>36</v>
      </c>
      <c r="C36" s="951">
        <f>C35*9.5</f>
        <v>17803</v>
      </c>
      <c r="D36" s="951">
        <f>D35*9.5</f>
        <v>17803</v>
      </c>
      <c r="E36" s="951">
        <f>SUM(E32)</f>
        <v>8673.5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4661</v>
      </c>
      <c r="D38" s="378" t="s">
        <v>253</v>
      </c>
      <c r="E38" s="381">
        <f>SUM(E36,D36,C36)</f>
        <v>44279.5</v>
      </c>
    </row>
    <row r="39" spans="2:5">
      <c r="B39" s="377" t="s">
        <v>197</v>
      </c>
      <c r="C39" s="378">
        <f>C40-C38</f>
        <v>243</v>
      </c>
      <c r="D39" s="378" t="s">
        <v>204</v>
      </c>
      <c r="E39" s="381">
        <f>C39*9</f>
        <v>2187</v>
      </c>
    </row>
    <row r="40" spans="2:5" ht="19.5">
      <c r="B40" s="941" t="s">
        <v>201</v>
      </c>
      <c r="C40" s="380">
        <v>4904</v>
      </c>
      <c r="D40" s="380" t="s">
        <v>202</v>
      </c>
      <c r="E40" s="379">
        <f>SUM(E38+E39)</f>
        <v>46466.5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24ABE-C9D2-4228-8841-30EAF5A688DE}">
  <sheetPr codeName="Sheet331">
    <pageSetUpPr fitToPage="1"/>
  </sheetPr>
  <dimension ref="B2:H44"/>
  <sheetViews>
    <sheetView topLeftCell="A10" zoomScale="80" zoomScaleNormal="80" workbookViewId="0">
      <selection activeCell="E40" sqref="E40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45033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329</v>
      </c>
      <c r="C7" s="630" t="s">
        <v>669</v>
      </c>
      <c r="D7" s="964">
        <v>1021</v>
      </c>
      <c r="E7" s="965">
        <f t="shared" ref="E7:E12" si="0">D7*9.5</f>
        <v>9699.5</v>
      </c>
    </row>
    <row r="8" spans="2:8" ht="15" customHeight="1">
      <c r="B8" s="1198" t="s">
        <v>802</v>
      </c>
      <c r="C8" s="630" t="s">
        <v>669</v>
      </c>
      <c r="D8" s="964">
        <v>323</v>
      </c>
      <c r="E8" s="965">
        <f t="shared" si="0"/>
        <v>3068.5</v>
      </c>
    </row>
    <row r="9" spans="2:8" ht="15" customHeight="1">
      <c r="B9" s="973" t="s">
        <v>281</v>
      </c>
      <c r="C9" s="973" t="s">
        <v>26</v>
      </c>
      <c r="D9" s="964">
        <v>269</v>
      </c>
      <c r="E9" s="965">
        <f t="shared" si="0"/>
        <v>2555.5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1613</v>
      </c>
      <c r="E12" s="965">
        <f t="shared" si="0"/>
        <v>15323.5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259</v>
      </c>
      <c r="C17" s="630" t="s">
        <v>669</v>
      </c>
      <c r="D17" s="964">
        <v>335</v>
      </c>
      <c r="E17" s="965">
        <f t="shared" ref="E17:E22" si="1">D17*9.5</f>
        <v>3182.5</v>
      </c>
    </row>
    <row r="18" spans="2:5" ht="15" customHeight="1">
      <c r="B18" s="1198" t="s">
        <v>12</v>
      </c>
      <c r="C18" s="630" t="s">
        <v>669</v>
      </c>
      <c r="D18" s="964">
        <v>527</v>
      </c>
      <c r="E18" s="965">
        <f t="shared" si="1"/>
        <v>5006.5</v>
      </c>
    </row>
    <row r="19" spans="2:5" ht="14.45" customHeight="1">
      <c r="B19" s="973" t="s">
        <v>332</v>
      </c>
      <c r="C19" s="973" t="s">
        <v>26</v>
      </c>
      <c r="D19" s="964">
        <v>585</v>
      </c>
      <c r="E19" s="965">
        <f t="shared" si="1"/>
        <v>5557.5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1447</v>
      </c>
      <c r="E22" s="954">
        <f t="shared" si="1"/>
        <v>13746.5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259</v>
      </c>
      <c r="C27" s="630" t="s">
        <v>669</v>
      </c>
      <c r="D27" s="964">
        <v>150</v>
      </c>
      <c r="E27" s="965">
        <f t="shared" ref="E27:E31" si="2">D27*9.5</f>
        <v>1425</v>
      </c>
    </row>
    <row r="28" spans="2:5">
      <c r="B28" s="1198" t="s">
        <v>278</v>
      </c>
      <c r="C28" s="630" t="s">
        <v>669</v>
      </c>
      <c r="D28" s="964">
        <v>470</v>
      </c>
      <c r="E28" s="965">
        <f t="shared" si="2"/>
        <v>4465</v>
      </c>
    </row>
    <row r="29" spans="2:5">
      <c r="B29" s="973" t="s">
        <v>332</v>
      </c>
      <c r="C29" s="973" t="s">
        <v>26</v>
      </c>
      <c r="D29" s="964">
        <v>394</v>
      </c>
      <c r="E29" s="965">
        <f>D29*9.5</f>
        <v>3743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1014</v>
      </c>
      <c r="E32" s="954">
        <f>SUM(E27:E31)</f>
        <v>9633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1613</v>
      </c>
      <c r="D35" s="956">
        <f>D22</f>
        <v>1447</v>
      </c>
      <c r="E35" s="956">
        <f>D32</f>
        <v>1014</v>
      </c>
    </row>
    <row r="36" spans="2:5">
      <c r="B36" s="953" t="s">
        <v>36</v>
      </c>
      <c r="C36" s="951">
        <f>C35*9.5</f>
        <v>15323.5</v>
      </c>
      <c r="D36" s="951">
        <f>D35*9.5</f>
        <v>13746.5</v>
      </c>
      <c r="E36" s="951">
        <f>SUM(E32)</f>
        <v>9633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4074</v>
      </c>
      <c r="D38" s="378" t="s">
        <v>253</v>
      </c>
      <c r="E38" s="381">
        <f>SUM(E36,D36,C36)</f>
        <v>38703</v>
      </c>
    </row>
    <row r="39" spans="2:5">
      <c r="B39" s="377" t="s">
        <v>197</v>
      </c>
      <c r="C39" s="378">
        <f>C40-C38</f>
        <v>4399</v>
      </c>
      <c r="D39" s="378" t="s">
        <v>204</v>
      </c>
      <c r="E39" s="381">
        <f>C39*9</f>
        <v>39591</v>
      </c>
    </row>
    <row r="40" spans="2:5" ht="19.5">
      <c r="B40" s="941" t="s">
        <v>201</v>
      </c>
      <c r="C40" s="380">
        <v>8473</v>
      </c>
      <c r="D40" s="380" t="s">
        <v>202</v>
      </c>
      <c r="E40" s="379">
        <f>SUM(E38+E39)</f>
        <v>78294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1741E-1E1B-47EA-80F7-48E7314F4507}">
  <sheetPr codeName="Sheet332">
    <pageSetUpPr fitToPage="1"/>
  </sheetPr>
  <dimension ref="B2:H44"/>
  <sheetViews>
    <sheetView topLeftCell="A12" zoomScale="80" zoomScaleNormal="80" workbookViewId="0">
      <selection activeCell="D30" sqref="D30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45034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250</v>
      </c>
      <c r="C7" s="630" t="s">
        <v>669</v>
      </c>
      <c r="D7" s="964">
        <v>703</v>
      </c>
      <c r="E7" s="965">
        <f t="shared" ref="E7:E12" si="0">D7*9.5</f>
        <v>6678.5</v>
      </c>
    </row>
    <row r="8" spans="2:8" ht="15" customHeight="1">
      <c r="B8" s="1198" t="s">
        <v>239</v>
      </c>
      <c r="C8" s="630" t="s">
        <v>669</v>
      </c>
      <c r="D8" s="964">
        <v>198</v>
      </c>
      <c r="E8" s="965">
        <f t="shared" si="0"/>
        <v>1881</v>
      </c>
    </row>
    <row r="9" spans="2:8" ht="15" customHeight="1">
      <c r="B9" s="973" t="s">
        <v>205</v>
      </c>
      <c r="C9" s="973" t="s">
        <v>26</v>
      </c>
      <c r="D9" s="964">
        <v>223</v>
      </c>
      <c r="E9" s="965">
        <f t="shared" si="0"/>
        <v>2118.5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1124</v>
      </c>
      <c r="E12" s="965">
        <f t="shared" si="0"/>
        <v>10678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250</v>
      </c>
      <c r="C17" s="630" t="s">
        <v>669</v>
      </c>
      <c r="D17" s="964">
        <v>797</v>
      </c>
      <c r="E17" s="965">
        <f t="shared" ref="E17:E22" si="1">D17*9.5</f>
        <v>7571.5</v>
      </c>
    </row>
    <row r="18" spans="2:5" ht="15" customHeight="1">
      <c r="B18" s="1198" t="s">
        <v>70</v>
      </c>
      <c r="C18" s="630" t="s">
        <v>669</v>
      </c>
      <c r="D18" s="964">
        <v>440</v>
      </c>
      <c r="E18" s="965">
        <f t="shared" si="1"/>
        <v>4180</v>
      </c>
    </row>
    <row r="19" spans="2:5" ht="14.45" customHeight="1">
      <c r="B19" s="973" t="s">
        <v>44</v>
      </c>
      <c r="C19" s="973" t="s">
        <v>26</v>
      </c>
      <c r="D19" s="964">
        <v>370</v>
      </c>
      <c r="E19" s="965">
        <f t="shared" si="1"/>
        <v>3515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1607</v>
      </c>
      <c r="E22" s="954">
        <f t="shared" si="1"/>
        <v>15266.5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252</v>
      </c>
      <c r="C27" s="630" t="s">
        <v>669</v>
      </c>
      <c r="D27" s="964">
        <v>297</v>
      </c>
      <c r="E27" s="965">
        <f t="shared" ref="E27:E31" si="2">D27*9.5</f>
        <v>2821.5</v>
      </c>
    </row>
    <row r="28" spans="2:5">
      <c r="B28" s="1198" t="s">
        <v>331</v>
      </c>
      <c r="C28" s="630" t="s">
        <v>669</v>
      </c>
      <c r="D28" s="964">
        <v>368</v>
      </c>
      <c r="E28" s="965">
        <f t="shared" si="2"/>
        <v>3496</v>
      </c>
    </row>
    <row r="29" spans="2:5">
      <c r="B29" s="973" t="s">
        <v>45</v>
      </c>
      <c r="C29" s="973" t="s">
        <v>26</v>
      </c>
      <c r="D29" s="964">
        <v>298</v>
      </c>
      <c r="E29" s="965">
        <f>D29*9.5</f>
        <v>2831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963</v>
      </c>
      <c r="E32" s="954">
        <f>SUM(E27:E31)</f>
        <v>9148.5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1124</v>
      </c>
      <c r="D35" s="956">
        <f>D22</f>
        <v>1607</v>
      </c>
      <c r="E35" s="956">
        <f>D32</f>
        <v>963</v>
      </c>
    </row>
    <row r="36" spans="2:5">
      <c r="B36" s="953" t="s">
        <v>36</v>
      </c>
      <c r="C36" s="951">
        <f>C35*9.5</f>
        <v>10678</v>
      </c>
      <c r="D36" s="951">
        <f>D35*9.5</f>
        <v>15266.5</v>
      </c>
      <c r="E36" s="951">
        <f>SUM(E32)</f>
        <v>9148.5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3694</v>
      </c>
      <c r="D38" s="378" t="s">
        <v>253</v>
      </c>
      <c r="E38" s="381">
        <f>SUM(E36,D36,C36)</f>
        <v>35093</v>
      </c>
    </row>
    <row r="39" spans="2:5">
      <c r="B39" s="377" t="s">
        <v>197</v>
      </c>
      <c r="C39" s="378">
        <f>C40-C38</f>
        <v>5355</v>
      </c>
      <c r="D39" s="378" t="s">
        <v>204</v>
      </c>
      <c r="E39" s="381">
        <f>C39*9</f>
        <v>48195</v>
      </c>
    </row>
    <row r="40" spans="2:5" ht="19.5">
      <c r="B40" s="941" t="s">
        <v>201</v>
      </c>
      <c r="C40" s="380">
        <v>9049</v>
      </c>
      <c r="D40" s="380" t="s">
        <v>202</v>
      </c>
      <c r="E40" s="379">
        <f>SUM(E38+E39)</f>
        <v>83288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C8B13-76FC-4440-94CC-64D4382D7C8B}">
  <sheetPr codeName="Sheet333">
    <pageSetUpPr fitToPage="1"/>
  </sheetPr>
  <dimension ref="B2:H44"/>
  <sheetViews>
    <sheetView topLeftCell="A7" zoomScale="80" zoomScaleNormal="80" workbookViewId="0">
      <selection activeCell="D30" sqref="D30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45035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775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82</v>
      </c>
      <c r="C7" s="630" t="s">
        <v>669</v>
      </c>
      <c r="D7" s="964">
        <v>317</v>
      </c>
      <c r="E7" s="965">
        <f t="shared" ref="E7:E12" si="0">D7*9.5</f>
        <v>3011.5</v>
      </c>
    </row>
    <row r="8" spans="2:8" ht="15" customHeight="1">
      <c r="B8" s="1198" t="s">
        <v>244</v>
      </c>
      <c r="C8" s="630" t="s">
        <v>669</v>
      </c>
      <c r="D8" s="964">
        <v>613</v>
      </c>
      <c r="E8" s="965">
        <f t="shared" si="0"/>
        <v>5823.5</v>
      </c>
    </row>
    <row r="9" spans="2:8" ht="15" customHeight="1">
      <c r="B9" s="973" t="s">
        <v>901</v>
      </c>
      <c r="C9" s="973" t="s">
        <v>26</v>
      </c>
      <c r="D9" s="964">
        <v>665</v>
      </c>
      <c r="E9" s="965">
        <f t="shared" si="0"/>
        <v>6317.5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1595</v>
      </c>
      <c r="E12" s="965">
        <f t="shared" si="0"/>
        <v>15152.5</v>
      </c>
    </row>
    <row r="14" spans="2:8" ht="19.5">
      <c r="B14" s="941" t="s">
        <v>671</v>
      </c>
      <c r="C14" s="1256" t="s">
        <v>776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12</v>
      </c>
      <c r="C17" s="630" t="s">
        <v>669</v>
      </c>
      <c r="D17" s="964">
        <v>550</v>
      </c>
      <c r="E17" s="965">
        <f t="shared" ref="E17:E22" si="1">D17*9.5</f>
        <v>5225</v>
      </c>
    </row>
    <row r="18" spans="2:5" ht="15" customHeight="1">
      <c r="B18" s="1198" t="s">
        <v>45</v>
      </c>
      <c r="C18" s="630" t="s">
        <v>669</v>
      </c>
      <c r="D18" s="964">
        <v>417</v>
      </c>
      <c r="E18" s="965">
        <f t="shared" si="1"/>
        <v>3961.5</v>
      </c>
    </row>
    <row r="19" spans="2:5" ht="14.45" customHeight="1">
      <c r="B19" s="973" t="s">
        <v>328</v>
      </c>
      <c r="C19" s="973" t="s">
        <v>26</v>
      </c>
      <c r="D19" s="964">
        <v>385</v>
      </c>
      <c r="E19" s="965">
        <f t="shared" si="1"/>
        <v>3657.5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1352</v>
      </c>
      <c r="E22" s="954">
        <f t="shared" si="1"/>
        <v>12844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165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12</v>
      </c>
      <c r="C27" s="630" t="s">
        <v>669</v>
      </c>
      <c r="D27" s="964">
        <v>265</v>
      </c>
      <c r="E27" s="965">
        <f t="shared" ref="E27:E31" si="2">D27*9.5</f>
        <v>2517.5</v>
      </c>
    </row>
    <row r="28" spans="2:5">
      <c r="B28" s="1198" t="s">
        <v>334</v>
      </c>
      <c r="C28" s="630" t="s">
        <v>669</v>
      </c>
      <c r="D28" s="964">
        <v>472</v>
      </c>
      <c r="E28" s="965">
        <f t="shared" si="2"/>
        <v>4484</v>
      </c>
    </row>
    <row r="29" spans="2:5">
      <c r="B29" s="973" t="s">
        <v>332</v>
      </c>
      <c r="C29" s="973" t="s">
        <v>26</v>
      </c>
      <c r="D29" s="964">
        <v>436</v>
      </c>
      <c r="E29" s="965">
        <f>D29*9.5</f>
        <v>4142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1173</v>
      </c>
      <c r="E32" s="954">
        <f>SUM(E27:E31)</f>
        <v>11143.5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1595</v>
      </c>
      <c r="D35" s="956">
        <f>D22</f>
        <v>1352</v>
      </c>
      <c r="E35" s="956">
        <f>D32</f>
        <v>1173</v>
      </c>
    </row>
    <row r="36" spans="2:5">
      <c r="B36" s="953" t="s">
        <v>36</v>
      </c>
      <c r="C36" s="951">
        <f>C35*9.5</f>
        <v>15152.5</v>
      </c>
      <c r="D36" s="951">
        <f>D35*9.5</f>
        <v>12844</v>
      </c>
      <c r="E36" s="951">
        <f>SUM(E32)</f>
        <v>11143.5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4120</v>
      </c>
      <c r="D38" s="378" t="s">
        <v>253</v>
      </c>
      <c r="E38" s="381">
        <f>SUM(E36,D36,C36)</f>
        <v>39140</v>
      </c>
    </row>
    <row r="39" spans="2:5">
      <c r="B39" s="377" t="s">
        <v>197</v>
      </c>
      <c r="C39" s="378">
        <f>C40-C38</f>
        <v>5083</v>
      </c>
      <c r="D39" s="378" t="s">
        <v>204</v>
      </c>
      <c r="E39" s="381">
        <f>C39*9</f>
        <v>45747</v>
      </c>
    </row>
    <row r="40" spans="2:5" ht="19.5">
      <c r="B40" s="941" t="s">
        <v>201</v>
      </c>
      <c r="C40" s="380">
        <v>9203</v>
      </c>
      <c r="D40" s="380" t="s">
        <v>202</v>
      </c>
      <c r="E40" s="379">
        <f>SUM(E38+E39)</f>
        <v>84887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576D1-75C7-4A0D-B463-13B378F8FFFE}">
  <sheetPr codeName="Sheet334">
    <pageSetUpPr fitToPage="1"/>
  </sheetPr>
  <dimension ref="B2:H44"/>
  <sheetViews>
    <sheetView topLeftCell="A10" zoomScale="80" zoomScaleNormal="80" workbookViewId="0">
      <selection activeCell="D30" sqref="D30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45036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332</v>
      </c>
      <c r="C7" s="630" t="s">
        <v>669</v>
      </c>
      <c r="D7" s="964">
        <v>494</v>
      </c>
      <c r="E7" s="965">
        <f t="shared" ref="E7:E12" si="0">D7*9.5</f>
        <v>4693</v>
      </c>
    </row>
    <row r="8" spans="2:8" ht="15" customHeight="1">
      <c r="B8" s="1198" t="s">
        <v>678</v>
      </c>
      <c r="C8" s="630" t="s">
        <v>669</v>
      </c>
      <c r="D8" s="964">
        <v>487</v>
      </c>
      <c r="E8" s="965">
        <f t="shared" si="0"/>
        <v>4626.5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981</v>
      </c>
      <c r="E12" s="965">
        <f t="shared" si="0"/>
        <v>9319.5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238</v>
      </c>
      <c r="C17" s="630" t="s">
        <v>669</v>
      </c>
      <c r="D17" s="964">
        <v>301</v>
      </c>
      <c r="E17" s="965">
        <f t="shared" ref="E17:E22" si="1">D17*9.5</f>
        <v>2859.5</v>
      </c>
    </row>
    <row r="18" spans="2:5" ht="15" customHeight="1">
      <c r="B18" s="1198" t="s">
        <v>205</v>
      </c>
      <c r="C18" s="630" t="s">
        <v>669</v>
      </c>
      <c r="D18" s="964">
        <v>322</v>
      </c>
      <c r="E18" s="965">
        <f t="shared" si="1"/>
        <v>3059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623</v>
      </c>
      <c r="E22" s="954">
        <f t="shared" si="1"/>
        <v>5918.5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256</v>
      </c>
      <c r="C27" s="630" t="s">
        <v>669</v>
      </c>
      <c r="D27" s="964">
        <v>237</v>
      </c>
      <c r="E27" s="965">
        <f t="shared" ref="E27:E31" si="2">D27*9.5</f>
        <v>2251.5</v>
      </c>
    </row>
    <row r="28" spans="2:5">
      <c r="B28" s="1198" t="s">
        <v>235</v>
      </c>
      <c r="C28" s="630" t="s">
        <v>669</v>
      </c>
      <c r="D28" s="964">
        <v>531</v>
      </c>
      <c r="E28" s="965">
        <f t="shared" si="2"/>
        <v>5044.5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768</v>
      </c>
      <c r="E32" s="954">
        <f>SUM(E27:E31)</f>
        <v>7296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981</v>
      </c>
      <c r="D35" s="956">
        <f>D22</f>
        <v>623</v>
      </c>
      <c r="E35" s="956">
        <f>D32</f>
        <v>768</v>
      </c>
    </row>
    <row r="36" spans="2:5">
      <c r="B36" s="953" t="s">
        <v>36</v>
      </c>
      <c r="C36" s="951">
        <f>C35*9.5</f>
        <v>9319.5</v>
      </c>
      <c r="D36" s="951">
        <f>D35*9.5</f>
        <v>5918.5</v>
      </c>
      <c r="E36" s="951">
        <f>SUM(E32)</f>
        <v>7296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2372</v>
      </c>
      <c r="D38" s="378" t="s">
        <v>253</v>
      </c>
      <c r="E38" s="381">
        <f>SUM(E36,D36,C36)</f>
        <v>22534</v>
      </c>
    </row>
    <row r="39" spans="2:5">
      <c r="B39" s="377" t="s">
        <v>197</v>
      </c>
      <c r="C39" s="378">
        <f>C40-C38</f>
        <v>5178</v>
      </c>
      <c r="D39" s="378" t="s">
        <v>204</v>
      </c>
      <c r="E39" s="381">
        <f>C39*9</f>
        <v>46602</v>
      </c>
    </row>
    <row r="40" spans="2:5" ht="19.5">
      <c r="B40" s="941" t="s">
        <v>201</v>
      </c>
      <c r="C40" s="380">
        <v>7550</v>
      </c>
      <c r="D40" s="380" t="s">
        <v>202</v>
      </c>
      <c r="E40" s="379">
        <f>SUM(E38+E39)</f>
        <v>69136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7CC23-B064-4274-A11F-9BC2D6A9A8A2}">
  <sheetPr codeName="Sheet335">
    <pageSetUpPr fitToPage="1"/>
  </sheetPr>
  <dimension ref="B2:H44"/>
  <sheetViews>
    <sheetView topLeftCell="A4" zoomScale="80" zoomScaleNormal="80" workbookViewId="0">
      <selection activeCell="D8" sqref="D8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45037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802</v>
      </c>
      <c r="C7" s="630" t="s">
        <v>669</v>
      </c>
      <c r="D7" s="964">
        <v>330</v>
      </c>
      <c r="E7" s="965">
        <f t="shared" ref="E7:E12" si="0">D7*9.5</f>
        <v>3135</v>
      </c>
    </row>
    <row r="8" spans="2:8" ht="15" customHeight="1">
      <c r="B8" s="1198" t="s">
        <v>78</v>
      </c>
      <c r="C8" s="630" t="s">
        <v>669</v>
      </c>
      <c r="D8" s="964">
        <v>418</v>
      </c>
      <c r="E8" s="965">
        <f t="shared" si="0"/>
        <v>3971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748</v>
      </c>
      <c r="E12" s="965">
        <f t="shared" si="0"/>
        <v>7106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252</v>
      </c>
      <c r="C17" s="630" t="s">
        <v>669</v>
      </c>
      <c r="D17" s="964">
        <v>356</v>
      </c>
      <c r="E17" s="965">
        <f t="shared" ref="E17:E22" si="1">D17*9.5</f>
        <v>3382</v>
      </c>
    </row>
    <row r="18" spans="2:5" ht="15" customHeight="1">
      <c r="B18" s="1198" t="s">
        <v>696</v>
      </c>
      <c r="C18" s="630" t="s">
        <v>669</v>
      </c>
      <c r="D18" s="964">
        <v>355</v>
      </c>
      <c r="E18" s="965">
        <f t="shared" si="1"/>
        <v>3372.5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711</v>
      </c>
      <c r="E22" s="954">
        <f t="shared" si="1"/>
        <v>6754.5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737</v>
      </c>
      <c r="C27" s="630" t="s">
        <v>669</v>
      </c>
      <c r="D27" s="964">
        <v>137</v>
      </c>
      <c r="E27" s="965">
        <f t="shared" ref="E27:E31" si="2">D27*9.5</f>
        <v>1301.5</v>
      </c>
    </row>
    <row r="28" spans="2:5">
      <c r="B28" s="1198" t="s">
        <v>235</v>
      </c>
      <c r="C28" s="630" t="s">
        <v>669</v>
      </c>
      <c r="D28" s="964">
        <v>438</v>
      </c>
      <c r="E28" s="965">
        <f t="shared" si="2"/>
        <v>4161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575</v>
      </c>
      <c r="E32" s="954">
        <f>SUM(E27:E31)</f>
        <v>5462.5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748</v>
      </c>
      <c r="D35" s="956">
        <f>D22</f>
        <v>711</v>
      </c>
      <c r="E35" s="956">
        <f>D32</f>
        <v>575</v>
      </c>
    </row>
    <row r="36" spans="2:5">
      <c r="B36" s="953" t="s">
        <v>36</v>
      </c>
      <c r="C36" s="951">
        <f>C35*9.5</f>
        <v>7106</v>
      </c>
      <c r="D36" s="951">
        <f>D35*9.5</f>
        <v>6754.5</v>
      </c>
      <c r="E36" s="951">
        <f>SUM(E32)</f>
        <v>5462.5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2034</v>
      </c>
      <c r="D38" s="378" t="s">
        <v>253</v>
      </c>
      <c r="E38" s="381">
        <f>SUM(E36,D36,C36)</f>
        <v>19323</v>
      </c>
    </row>
    <row r="39" spans="2:5">
      <c r="B39" s="377" t="s">
        <v>197</v>
      </c>
      <c r="C39" s="378">
        <f>C40-C38</f>
        <v>3843</v>
      </c>
      <c r="D39" s="378" t="s">
        <v>204</v>
      </c>
      <c r="E39" s="381">
        <f>C39*9</f>
        <v>34587</v>
      </c>
    </row>
    <row r="40" spans="2:5" ht="19.5">
      <c r="B40" s="941" t="s">
        <v>201</v>
      </c>
      <c r="C40" s="380">
        <v>5877</v>
      </c>
      <c r="D40" s="380" t="s">
        <v>202</v>
      </c>
      <c r="E40" s="379">
        <f>SUM(E38+E39)</f>
        <v>53910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2EED-33B5-4788-85B5-E3008B91C0A6}">
  <sheetPr codeName="Sheet336">
    <pageSetUpPr fitToPage="1"/>
  </sheetPr>
  <dimension ref="B2:H44"/>
  <sheetViews>
    <sheetView topLeftCell="A7" zoomScale="80" zoomScaleNormal="80" workbookViewId="0">
      <selection activeCell="D29" sqref="D29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45038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329</v>
      </c>
      <c r="C7" s="630" t="s">
        <v>669</v>
      </c>
      <c r="D7" s="964">
        <v>1028</v>
      </c>
      <c r="E7" s="965">
        <f t="shared" ref="E7:E12" si="0">D7*9.5</f>
        <v>9766</v>
      </c>
    </row>
    <row r="8" spans="2:8" ht="15" customHeight="1">
      <c r="B8" s="1198" t="s">
        <v>250</v>
      </c>
      <c r="C8" s="630" t="s">
        <v>669</v>
      </c>
      <c r="D8" s="964">
        <v>676</v>
      </c>
      <c r="E8" s="965">
        <f t="shared" si="0"/>
        <v>6422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1704</v>
      </c>
      <c r="E12" s="965">
        <f t="shared" si="0"/>
        <v>16188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711</v>
      </c>
      <c r="C17" s="630" t="s">
        <v>669</v>
      </c>
      <c r="D17" s="964">
        <v>862</v>
      </c>
      <c r="E17" s="965">
        <f t="shared" ref="E17:E22" si="1">D17*9.5</f>
        <v>8189</v>
      </c>
    </row>
    <row r="18" spans="2:5" ht="15" customHeight="1">
      <c r="B18" s="1198" t="s">
        <v>279</v>
      </c>
      <c r="C18" s="630" t="s">
        <v>669</v>
      </c>
      <c r="D18" s="964">
        <v>944</v>
      </c>
      <c r="E18" s="965">
        <f t="shared" si="1"/>
        <v>8968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1806</v>
      </c>
      <c r="E22" s="954">
        <f t="shared" si="1"/>
        <v>17157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70</v>
      </c>
      <c r="C27" s="630" t="s">
        <v>669</v>
      </c>
      <c r="D27" s="964">
        <v>348</v>
      </c>
      <c r="E27" s="965">
        <f t="shared" ref="E27:E31" si="2">D27*9.5</f>
        <v>3306</v>
      </c>
    </row>
    <row r="28" spans="2:5">
      <c r="B28" s="1198" t="s">
        <v>331</v>
      </c>
      <c r="C28" s="630" t="s">
        <v>669</v>
      </c>
      <c r="D28" s="964">
        <v>291</v>
      </c>
      <c r="E28" s="965">
        <f t="shared" si="2"/>
        <v>2764.5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639</v>
      </c>
      <c r="E32" s="954">
        <f>SUM(E27:E31)</f>
        <v>6070.5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1704</v>
      </c>
      <c r="D35" s="956">
        <f>D22</f>
        <v>1806</v>
      </c>
      <c r="E35" s="956">
        <f>D32</f>
        <v>639</v>
      </c>
    </row>
    <row r="36" spans="2:5">
      <c r="B36" s="953" t="s">
        <v>36</v>
      </c>
      <c r="C36" s="951">
        <f>C35*9.5</f>
        <v>16188</v>
      </c>
      <c r="D36" s="951">
        <f>D35*9.5</f>
        <v>17157</v>
      </c>
      <c r="E36" s="951">
        <f>SUM(E32)</f>
        <v>6070.5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4149</v>
      </c>
      <c r="D38" s="378" t="s">
        <v>253</v>
      </c>
      <c r="E38" s="381">
        <f>SUM(E36,D36,C36)</f>
        <v>39415.5</v>
      </c>
    </row>
    <row r="39" spans="2:5">
      <c r="B39" s="377" t="s">
        <v>197</v>
      </c>
      <c r="C39" s="378">
        <f>C40-C38</f>
        <v>91</v>
      </c>
      <c r="D39" s="378" t="s">
        <v>204</v>
      </c>
      <c r="E39" s="381">
        <f>C39*9</f>
        <v>819</v>
      </c>
    </row>
    <row r="40" spans="2:5" ht="19.5">
      <c r="B40" s="941" t="s">
        <v>201</v>
      </c>
      <c r="C40" s="380">
        <v>4240</v>
      </c>
      <c r="D40" s="380" t="s">
        <v>202</v>
      </c>
      <c r="E40" s="379">
        <f>SUM(E38+E39)</f>
        <v>40234.5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04257-D8B4-4DDA-A08D-C9C80C3ED013}">
  <sheetPr codeName="Sheet337">
    <pageSetUpPr fitToPage="1"/>
  </sheetPr>
  <dimension ref="B2:H44"/>
  <sheetViews>
    <sheetView topLeftCell="A10" zoomScale="80" zoomScaleNormal="80" workbookViewId="0">
      <selection activeCell="D29" sqref="D29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45039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696</v>
      </c>
      <c r="C7" s="630" t="s">
        <v>669</v>
      </c>
      <c r="D7" s="964">
        <v>426</v>
      </c>
      <c r="E7" s="965">
        <f t="shared" ref="E7:E12" si="0">D7*9.5</f>
        <v>4047</v>
      </c>
    </row>
    <row r="8" spans="2:8" ht="15" customHeight="1">
      <c r="B8" s="1198" t="s">
        <v>903</v>
      </c>
      <c r="C8" s="630" t="s">
        <v>669</v>
      </c>
      <c r="D8" s="964"/>
      <c r="E8" s="965">
        <f t="shared" si="0"/>
        <v>0</v>
      </c>
      <c r="F8" s="934" t="s">
        <v>722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426</v>
      </c>
      <c r="E12" s="965">
        <f t="shared" si="0"/>
        <v>4047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44</v>
      </c>
      <c r="C17" s="630" t="s">
        <v>669</v>
      </c>
      <c r="D17" s="964">
        <v>440</v>
      </c>
      <c r="E17" s="965">
        <f t="shared" ref="E17:E22" si="1">D17*9.5</f>
        <v>4180</v>
      </c>
    </row>
    <row r="18" spans="2:5" ht="15" customHeight="1">
      <c r="B18" s="1198" t="s">
        <v>279</v>
      </c>
      <c r="C18" s="630" t="s">
        <v>669</v>
      </c>
      <c r="D18" s="964">
        <v>918</v>
      </c>
      <c r="E18" s="965">
        <f t="shared" si="1"/>
        <v>8721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1358</v>
      </c>
      <c r="E22" s="954">
        <f t="shared" si="1"/>
        <v>12901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63</v>
      </c>
      <c r="C27" s="630" t="s">
        <v>669</v>
      </c>
      <c r="D27" s="964">
        <v>371</v>
      </c>
      <c r="E27" s="965">
        <f t="shared" ref="E27:E31" si="2">D27*9.5</f>
        <v>3524.5</v>
      </c>
    </row>
    <row r="28" spans="2:5">
      <c r="B28" s="1198" t="s">
        <v>331</v>
      </c>
      <c r="C28" s="630" t="s">
        <v>669</v>
      </c>
      <c r="D28" s="964">
        <v>339</v>
      </c>
      <c r="E28" s="965">
        <f t="shared" si="2"/>
        <v>3220.5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710</v>
      </c>
      <c r="E32" s="954">
        <f>SUM(E27:E31)</f>
        <v>6745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426</v>
      </c>
      <c r="D35" s="956">
        <f>D22</f>
        <v>1358</v>
      </c>
      <c r="E35" s="956">
        <f>D32</f>
        <v>710</v>
      </c>
    </row>
    <row r="36" spans="2:5">
      <c r="B36" s="953" t="s">
        <v>36</v>
      </c>
      <c r="C36" s="951">
        <f>C35*9.5</f>
        <v>4047</v>
      </c>
      <c r="D36" s="951">
        <f>D35*9.5</f>
        <v>12901</v>
      </c>
      <c r="E36" s="951">
        <f>SUM(E32)</f>
        <v>6745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2494</v>
      </c>
      <c r="D38" s="378" t="s">
        <v>253</v>
      </c>
      <c r="E38" s="381">
        <f>SUM(E36,D36,C36)</f>
        <v>23693</v>
      </c>
    </row>
    <row r="39" spans="2:5">
      <c r="B39" s="377" t="s">
        <v>197</v>
      </c>
      <c r="C39" s="378">
        <f>C40-C38</f>
        <v>423</v>
      </c>
      <c r="D39" s="378" t="s">
        <v>204</v>
      </c>
      <c r="E39" s="381">
        <f>C39*9</f>
        <v>3807</v>
      </c>
    </row>
    <row r="40" spans="2:5" ht="19.5">
      <c r="B40" s="941" t="s">
        <v>201</v>
      </c>
      <c r="C40" s="380">
        <v>2917</v>
      </c>
      <c r="D40" s="380" t="s">
        <v>202</v>
      </c>
      <c r="E40" s="379">
        <f>SUM(E38+E39)</f>
        <v>27500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1C190-F6F7-49FA-A9FC-0A9EC7730C30}">
  <sheetPr codeName="Sheet338">
    <pageSetUpPr fitToPage="1"/>
  </sheetPr>
  <dimension ref="B2:H44"/>
  <sheetViews>
    <sheetView topLeftCell="A7" zoomScale="80" zoomScaleNormal="80" workbookViewId="0">
      <selection activeCell="D29" sqref="D29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45040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707</v>
      </c>
      <c r="C7" s="630" t="s">
        <v>669</v>
      </c>
      <c r="D7" s="964">
        <v>501</v>
      </c>
      <c r="E7" s="965">
        <f t="shared" ref="E7:E12" si="0">D7*9.5</f>
        <v>4759.5</v>
      </c>
    </row>
    <row r="8" spans="2:8" ht="15" customHeight="1">
      <c r="B8" s="1198" t="s">
        <v>329</v>
      </c>
      <c r="C8" s="630" t="s">
        <v>669</v>
      </c>
      <c r="D8" s="964">
        <v>978</v>
      </c>
      <c r="E8" s="965">
        <f t="shared" si="0"/>
        <v>9291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1479</v>
      </c>
      <c r="E12" s="965">
        <f t="shared" si="0"/>
        <v>14050.5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252</v>
      </c>
      <c r="C17" s="630" t="s">
        <v>669</v>
      </c>
      <c r="D17" s="964">
        <v>366</v>
      </c>
      <c r="E17" s="965">
        <f t="shared" ref="E17:E22" si="1">D17*9.5</f>
        <v>3477</v>
      </c>
    </row>
    <row r="18" spans="2:5" ht="15" customHeight="1">
      <c r="B18" s="1198" t="s">
        <v>737</v>
      </c>
      <c r="C18" s="630" t="s">
        <v>669</v>
      </c>
      <c r="D18" s="964">
        <v>311</v>
      </c>
      <c r="E18" s="965">
        <f t="shared" si="1"/>
        <v>2954.5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677</v>
      </c>
      <c r="E22" s="954">
        <f t="shared" si="1"/>
        <v>6431.5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45</v>
      </c>
      <c r="C27" s="630" t="s">
        <v>669</v>
      </c>
      <c r="D27" s="964">
        <v>354</v>
      </c>
      <c r="E27" s="965">
        <f t="shared" ref="E27:E31" si="2">D27*9.5</f>
        <v>3363</v>
      </c>
    </row>
    <row r="28" spans="2:5">
      <c r="B28" s="1198" t="s">
        <v>334</v>
      </c>
      <c r="C28" s="630" t="s">
        <v>669</v>
      </c>
      <c r="D28" s="964">
        <v>478</v>
      </c>
      <c r="E28" s="965">
        <f t="shared" si="2"/>
        <v>4541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832</v>
      </c>
      <c r="E32" s="954">
        <f>SUM(E27:E31)</f>
        <v>7904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1479</v>
      </c>
      <c r="D35" s="956">
        <f>D22</f>
        <v>677</v>
      </c>
      <c r="E35" s="956">
        <f>D32</f>
        <v>832</v>
      </c>
    </row>
    <row r="36" spans="2:5">
      <c r="B36" s="953" t="s">
        <v>36</v>
      </c>
      <c r="C36" s="951">
        <f>C35*9.5</f>
        <v>14050.5</v>
      </c>
      <c r="D36" s="951">
        <f>D35*9.5</f>
        <v>6431.5</v>
      </c>
      <c r="E36" s="951">
        <f>SUM(E32)</f>
        <v>7904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2988</v>
      </c>
      <c r="D38" s="378" t="s">
        <v>253</v>
      </c>
      <c r="E38" s="381">
        <f>SUM(E36,D36,C36)</f>
        <v>28386</v>
      </c>
    </row>
    <row r="39" spans="2:5">
      <c r="B39" s="377" t="s">
        <v>197</v>
      </c>
      <c r="C39" s="378">
        <f>C40-C38</f>
        <v>4638</v>
      </c>
      <c r="D39" s="378" t="s">
        <v>204</v>
      </c>
      <c r="E39" s="381">
        <f>C39*9</f>
        <v>41742</v>
      </c>
    </row>
    <row r="40" spans="2:5" ht="19.5">
      <c r="B40" s="941" t="s">
        <v>201</v>
      </c>
      <c r="C40" s="380">
        <v>7626</v>
      </c>
      <c r="D40" s="380" t="s">
        <v>202</v>
      </c>
      <c r="E40" s="379">
        <f>SUM(E38+E39)</f>
        <v>70128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4D21D-8EF8-4871-99D7-DFB2EF545500}">
  <sheetPr codeName="Sheet339">
    <pageSetUpPr fitToPage="1"/>
  </sheetPr>
  <dimension ref="B2:H44"/>
  <sheetViews>
    <sheetView topLeftCell="A16" zoomScale="80" zoomScaleNormal="80" workbookViewId="0">
      <selection activeCell="G32" sqref="G32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45041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256</v>
      </c>
      <c r="C7" s="630" t="s">
        <v>669</v>
      </c>
      <c r="D7" s="964">
        <v>277</v>
      </c>
      <c r="E7" s="965">
        <f t="shared" ref="E7:E12" si="0">D7*9.5</f>
        <v>2631.5</v>
      </c>
    </row>
    <row r="8" spans="2:8" ht="15" customHeight="1">
      <c r="B8" s="1198" t="s">
        <v>65</v>
      </c>
      <c r="C8" s="630" t="s">
        <v>669</v>
      </c>
      <c r="D8" s="964">
        <v>507</v>
      </c>
      <c r="E8" s="965">
        <f t="shared" si="0"/>
        <v>4816.5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784</v>
      </c>
      <c r="E12" s="965">
        <f t="shared" si="0"/>
        <v>7448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1198" t="s">
        <v>250</v>
      </c>
      <c r="C17" s="630" t="s">
        <v>669</v>
      </c>
      <c r="D17" s="964">
        <v>923</v>
      </c>
      <c r="E17" s="965">
        <f t="shared" ref="E17:E22" si="1">D17*9.5</f>
        <v>8768.5</v>
      </c>
    </row>
    <row r="18" spans="2:6" ht="15" customHeight="1">
      <c r="B18" s="1198" t="s">
        <v>12</v>
      </c>
      <c r="C18" s="630" t="s">
        <v>669</v>
      </c>
      <c r="D18" s="964">
        <v>543</v>
      </c>
      <c r="E18" s="965">
        <f t="shared" si="1"/>
        <v>5158.5</v>
      </c>
    </row>
    <row r="19" spans="2:6" ht="14.45" customHeight="1">
      <c r="B19" s="972"/>
      <c r="C19" s="973" t="s">
        <v>26</v>
      </c>
      <c r="D19" s="964"/>
      <c r="E19" s="965">
        <f t="shared" si="1"/>
        <v>0</v>
      </c>
    </row>
    <row r="20" spans="2:6" ht="14.45" customHeight="1">
      <c r="B20" s="972"/>
      <c r="C20" s="973" t="s">
        <v>26</v>
      </c>
      <c r="D20" s="964"/>
      <c r="E20" s="965">
        <f t="shared" si="1"/>
        <v>0</v>
      </c>
    </row>
    <row r="21" spans="2:6" ht="14.45" customHeight="1">
      <c r="B21" s="1063"/>
      <c r="C21" s="975" t="s">
        <v>681</v>
      </c>
      <c r="D21" s="964"/>
      <c r="E21" s="965">
        <f t="shared" si="1"/>
        <v>0</v>
      </c>
    </row>
    <row r="22" spans="2:6" ht="14.45" customHeight="1">
      <c r="B22" s="1269" t="s">
        <v>24</v>
      </c>
      <c r="C22" s="1270"/>
      <c r="D22" s="964">
        <f>SUM(D17:D21)</f>
        <v>1466</v>
      </c>
      <c r="E22" s="954">
        <f t="shared" si="1"/>
        <v>13927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29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1198" t="s">
        <v>831</v>
      </c>
      <c r="C27" s="630" t="s">
        <v>669</v>
      </c>
      <c r="D27" s="964"/>
      <c r="E27" s="965">
        <f t="shared" ref="E27:E31" si="2">D27*9.5</f>
        <v>0</v>
      </c>
      <c r="F27" s="934" t="s">
        <v>722</v>
      </c>
    </row>
    <row r="28" spans="2:6">
      <c r="B28" s="1198" t="s">
        <v>235</v>
      </c>
      <c r="C28" s="630" t="s">
        <v>669</v>
      </c>
      <c r="D28" s="964">
        <v>561</v>
      </c>
      <c r="E28" s="965">
        <f t="shared" si="2"/>
        <v>5329.5</v>
      </c>
    </row>
    <row r="29" spans="2:6">
      <c r="B29" s="972"/>
      <c r="C29" s="973" t="s">
        <v>26</v>
      </c>
      <c r="D29" s="964"/>
      <c r="E29" s="965">
        <f>D29*9.5</f>
        <v>0</v>
      </c>
    </row>
    <row r="30" spans="2:6">
      <c r="B30" s="972"/>
      <c r="C30" s="975" t="s">
        <v>26</v>
      </c>
      <c r="D30" s="964"/>
      <c r="E30" s="965">
        <f t="shared" si="2"/>
        <v>0</v>
      </c>
    </row>
    <row r="31" spans="2:6">
      <c r="B31" s="1128"/>
      <c r="C31" s="975" t="s">
        <v>667</v>
      </c>
      <c r="D31" s="964"/>
      <c r="E31" s="965">
        <f t="shared" si="2"/>
        <v>0</v>
      </c>
    </row>
    <row r="32" spans="2:6" ht="20.100000000000001" customHeight="1">
      <c r="B32" s="1259" t="s">
        <v>24</v>
      </c>
      <c r="C32" s="1259"/>
      <c r="D32" s="964">
        <f>SUM(D27:D31)</f>
        <v>561</v>
      </c>
      <c r="E32" s="954">
        <f>SUM(E27:E31)</f>
        <v>5329.5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784</v>
      </c>
      <c r="D35" s="956">
        <f>D22</f>
        <v>1466</v>
      </c>
      <c r="E35" s="956">
        <f>D32</f>
        <v>561</v>
      </c>
    </row>
    <row r="36" spans="2:5">
      <c r="B36" s="953" t="s">
        <v>36</v>
      </c>
      <c r="C36" s="951">
        <f>C35*9.5</f>
        <v>7448</v>
      </c>
      <c r="D36" s="951">
        <f>D35*9.5</f>
        <v>13927</v>
      </c>
      <c r="E36" s="951">
        <f>SUM(E32)</f>
        <v>5329.5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2811</v>
      </c>
      <c r="D38" s="378" t="s">
        <v>253</v>
      </c>
      <c r="E38" s="381">
        <f>SUM(E36,D36,C36)</f>
        <v>26704.5</v>
      </c>
    </row>
    <row r="39" spans="2:5">
      <c r="B39" s="377" t="s">
        <v>197</v>
      </c>
      <c r="C39" s="378">
        <f>C40-C38</f>
        <v>5701</v>
      </c>
      <c r="D39" s="378" t="s">
        <v>204</v>
      </c>
      <c r="E39" s="381">
        <f>C39*9</f>
        <v>51309</v>
      </c>
    </row>
    <row r="40" spans="2:5" ht="19.5">
      <c r="B40" s="941" t="s">
        <v>201</v>
      </c>
      <c r="C40" s="380">
        <v>8512</v>
      </c>
      <c r="D40" s="380" t="s">
        <v>202</v>
      </c>
      <c r="E40" s="379">
        <f>SUM(E38+E39)</f>
        <v>78013.5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7267F-A573-49C9-BFFA-9DBFDE4A4D0C}">
  <sheetPr codeName="Sheet340">
    <pageSetUpPr fitToPage="1"/>
  </sheetPr>
  <dimension ref="B2:H44"/>
  <sheetViews>
    <sheetView topLeftCell="A13" zoomScale="80" zoomScaleNormal="80" workbookViewId="0">
      <selection activeCell="I30" sqref="I30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45042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281</v>
      </c>
      <c r="C7" s="630" t="s">
        <v>669</v>
      </c>
      <c r="D7" s="964">
        <v>380</v>
      </c>
      <c r="E7" s="965">
        <f t="shared" ref="E7:E12" si="0">D7*9.5</f>
        <v>3610</v>
      </c>
    </row>
    <row r="8" spans="2:8" ht="15" customHeight="1">
      <c r="B8" s="1198" t="s">
        <v>802</v>
      </c>
      <c r="C8" s="630" t="s">
        <v>669</v>
      </c>
      <c r="D8" s="964">
        <v>489</v>
      </c>
      <c r="E8" s="965">
        <f t="shared" si="0"/>
        <v>4645.5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869</v>
      </c>
      <c r="E12" s="965">
        <f t="shared" si="0"/>
        <v>8255.5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256</v>
      </c>
      <c r="C17" s="630" t="s">
        <v>669</v>
      </c>
      <c r="D17" s="964">
        <v>345</v>
      </c>
      <c r="E17" s="965">
        <f t="shared" ref="E17:E22" si="1">D17*9.5</f>
        <v>3277.5</v>
      </c>
    </row>
    <row r="18" spans="2:5" ht="15" customHeight="1">
      <c r="B18" s="1198" t="s">
        <v>259</v>
      </c>
      <c r="C18" s="630" t="s">
        <v>669</v>
      </c>
      <c r="D18" s="964">
        <v>426</v>
      </c>
      <c r="E18" s="965">
        <f t="shared" si="1"/>
        <v>4047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771</v>
      </c>
      <c r="E22" s="954">
        <f t="shared" si="1"/>
        <v>7324.5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332</v>
      </c>
      <c r="C27" s="630" t="s">
        <v>669</v>
      </c>
      <c r="D27" s="964">
        <v>533</v>
      </c>
      <c r="E27" s="965">
        <f t="shared" ref="E27:E31" si="2">D27*9.5</f>
        <v>5063.5</v>
      </c>
    </row>
    <row r="28" spans="2:5">
      <c r="B28" s="1198" t="s">
        <v>278</v>
      </c>
      <c r="C28" s="630" t="s">
        <v>669</v>
      </c>
      <c r="D28" s="964">
        <v>498</v>
      </c>
      <c r="E28" s="965">
        <f t="shared" si="2"/>
        <v>4731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1031</v>
      </c>
      <c r="E32" s="954">
        <f>SUM(E27:E31)</f>
        <v>9794.5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869</v>
      </c>
      <c r="D35" s="956">
        <f>D22</f>
        <v>771</v>
      </c>
      <c r="E35" s="956">
        <f>D32</f>
        <v>1031</v>
      </c>
    </row>
    <row r="36" spans="2:5">
      <c r="B36" s="953" t="s">
        <v>36</v>
      </c>
      <c r="C36" s="951">
        <f>C35*9.5</f>
        <v>8255.5</v>
      </c>
      <c r="D36" s="951">
        <f>D35*9.5</f>
        <v>7324.5</v>
      </c>
      <c r="E36" s="951">
        <f>SUM(E32)</f>
        <v>9794.5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2671</v>
      </c>
      <c r="D38" s="378" t="s">
        <v>253</v>
      </c>
      <c r="E38" s="381">
        <f>SUM(E36,D36,C36)</f>
        <v>25374.5</v>
      </c>
    </row>
    <row r="39" spans="2:5">
      <c r="B39" s="377" t="s">
        <v>197</v>
      </c>
      <c r="C39" s="378">
        <f>C40-C38</f>
        <v>5350</v>
      </c>
      <c r="D39" s="378" t="s">
        <v>204</v>
      </c>
      <c r="E39" s="381">
        <f>C39*9</f>
        <v>48150</v>
      </c>
    </row>
    <row r="40" spans="2:5" ht="19.5">
      <c r="B40" s="941" t="s">
        <v>201</v>
      </c>
      <c r="C40" s="380">
        <v>8021</v>
      </c>
      <c r="D40" s="380" t="s">
        <v>202</v>
      </c>
      <c r="E40" s="379">
        <f>SUM(E38+E39)</f>
        <v>73524.5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49E12-26A8-4B20-9FFA-75F269A9040D}">
  <sheetPr codeName="Sheet341">
    <pageSetUpPr fitToPage="1"/>
  </sheetPr>
  <dimension ref="B2:H44"/>
  <sheetViews>
    <sheetView topLeftCell="A7" zoomScale="80" zoomScaleNormal="80" workbookViewId="0">
      <selection activeCell="C41" sqref="C41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45043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239</v>
      </c>
      <c r="C7" s="630" t="s">
        <v>669</v>
      </c>
      <c r="D7" s="964">
        <v>353</v>
      </c>
      <c r="E7" s="965">
        <f t="shared" ref="E7:E12" si="0">D7*9.5</f>
        <v>3353.5</v>
      </c>
    </row>
    <row r="8" spans="2:8" ht="15" customHeight="1">
      <c r="B8" s="1198" t="s">
        <v>329</v>
      </c>
      <c r="C8" s="630" t="s">
        <v>669</v>
      </c>
      <c r="D8" s="964">
        <v>1049</v>
      </c>
      <c r="E8" s="965">
        <f t="shared" si="0"/>
        <v>9965.5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1402</v>
      </c>
      <c r="E12" s="965">
        <f t="shared" si="0"/>
        <v>13319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70</v>
      </c>
      <c r="C17" s="630" t="s">
        <v>669</v>
      </c>
      <c r="D17" s="964">
        <v>549</v>
      </c>
      <c r="E17" s="965">
        <f t="shared" ref="E17:E22" si="1">D17*9.5</f>
        <v>5215.5</v>
      </c>
    </row>
    <row r="18" spans="2:5" ht="15" customHeight="1">
      <c r="B18" s="1198" t="s">
        <v>12</v>
      </c>
      <c r="C18" s="630" t="s">
        <v>669</v>
      </c>
      <c r="D18" s="964">
        <v>529</v>
      </c>
      <c r="E18" s="965">
        <f t="shared" si="1"/>
        <v>5025.5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1078</v>
      </c>
      <c r="E22" s="954">
        <f t="shared" si="1"/>
        <v>10241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303</v>
      </c>
      <c r="C27" s="630" t="s">
        <v>669</v>
      </c>
      <c r="D27" s="964">
        <v>636</v>
      </c>
      <c r="E27" s="965">
        <f t="shared" ref="E27:E31" si="2">D27*9.5</f>
        <v>6042</v>
      </c>
    </row>
    <row r="28" spans="2:5">
      <c r="B28" s="1198" t="s">
        <v>331</v>
      </c>
      <c r="C28" s="630" t="s">
        <v>669</v>
      </c>
      <c r="D28" s="964">
        <v>384</v>
      </c>
      <c r="E28" s="965">
        <f t="shared" si="2"/>
        <v>3648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1020</v>
      </c>
      <c r="E32" s="954">
        <f>SUM(E27:E31)</f>
        <v>9690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1402</v>
      </c>
      <c r="D35" s="956">
        <f>D22</f>
        <v>1078</v>
      </c>
      <c r="E35" s="956">
        <f>D32</f>
        <v>1020</v>
      </c>
    </row>
    <row r="36" spans="2:5">
      <c r="B36" s="953" t="s">
        <v>36</v>
      </c>
      <c r="C36" s="951">
        <f>C35*9.5</f>
        <v>13319</v>
      </c>
      <c r="D36" s="951">
        <f>D35*9.5</f>
        <v>10241</v>
      </c>
      <c r="E36" s="951">
        <f>SUM(E32)</f>
        <v>9690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3500</v>
      </c>
      <c r="D38" s="378" t="s">
        <v>253</v>
      </c>
      <c r="E38" s="381">
        <f>SUM(E36,D36,C36)</f>
        <v>33250</v>
      </c>
    </row>
    <row r="39" spans="2:5">
      <c r="B39" s="377" t="s">
        <v>197</v>
      </c>
      <c r="C39" s="378">
        <f>C40-C38</f>
        <v>4929</v>
      </c>
      <c r="D39" s="378" t="s">
        <v>204</v>
      </c>
      <c r="E39" s="381">
        <f>C39*9</f>
        <v>44361</v>
      </c>
    </row>
    <row r="40" spans="2:5" ht="19.5">
      <c r="B40" s="941" t="s">
        <v>201</v>
      </c>
      <c r="C40" s="380">
        <v>8429</v>
      </c>
      <c r="D40" s="380" t="s">
        <v>202</v>
      </c>
      <c r="E40" s="379">
        <f>SUM(E38+E39)</f>
        <v>77611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97839-58EA-4B30-964F-26E0CD471874}">
  <sheetPr codeName="Sheet342">
    <pageSetUpPr fitToPage="1"/>
  </sheetPr>
  <dimension ref="B2:H44"/>
  <sheetViews>
    <sheetView topLeftCell="A10" zoomScale="80" zoomScaleNormal="80" workbookViewId="0">
      <selection activeCell="D46" sqref="D46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45044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250</v>
      </c>
      <c r="C7" s="630" t="s">
        <v>669</v>
      </c>
      <c r="D7" s="964">
        <v>757</v>
      </c>
      <c r="E7" s="965">
        <f t="shared" ref="E7:E12" si="0">D7*9.5</f>
        <v>7191.5</v>
      </c>
    </row>
    <row r="8" spans="2:8" ht="15" customHeight="1">
      <c r="B8" s="1198" t="s">
        <v>905</v>
      </c>
      <c r="C8" s="630" t="s">
        <v>669</v>
      </c>
      <c r="D8" s="964">
        <v>380</v>
      </c>
      <c r="E8" s="965">
        <f t="shared" si="0"/>
        <v>3610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1137</v>
      </c>
      <c r="E12" s="965">
        <f t="shared" si="0"/>
        <v>10801.5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330</v>
      </c>
      <c r="C17" s="630" t="s">
        <v>669</v>
      </c>
      <c r="D17" s="964">
        <v>907</v>
      </c>
      <c r="E17" s="965">
        <f t="shared" ref="E17:E22" si="1">D17*9.5</f>
        <v>8616.5</v>
      </c>
    </row>
    <row r="18" spans="2:5" ht="15" customHeight="1">
      <c r="B18" s="1198" t="s">
        <v>238</v>
      </c>
      <c r="C18" s="630" t="s">
        <v>669</v>
      </c>
      <c r="D18" s="964">
        <v>219</v>
      </c>
      <c r="E18" s="965">
        <f t="shared" si="1"/>
        <v>2080.5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1126</v>
      </c>
      <c r="E22" s="954">
        <f t="shared" si="1"/>
        <v>10697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244</v>
      </c>
      <c r="C27" s="630" t="s">
        <v>669</v>
      </c>
      <c r="D27" s="964">
        <v>362</v>
      </c>
      <c r="E27" s="965">
        <f t="shared" ref="E27:E31" si="2">D27*9.5</f>
        <v>3439</v>
      </c>
    </row>
    <row r="28" spans="2:5">
      <c r="B28" s="1198" t="s">
        <v>235</v>
      </c>
      <c r="C28" s="630" t="s">
        <v>669</v>
      </c>
      <c r="D28" s="964">
        <v>507</v>
      </c>
      <c r="E28" s="965">
        <f t="shared" si="2"/>
        <v>4816.5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869</v>
      </c>
      <c r="E32" s="954">
        <f>SUM(E27:E31)</f>
        <v>8255.5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1137</v>
      </c>
      <c r="D35" s="956">
        <f>D22</f>
        <v>1126</v>
      </c>
      <c r="E35" s="956">
        <f>D32</f>
        <v>869</v>
      </c>
    </row>
    <row r="36" spans="2:5">
      <c r="B36" s="953" t="s">
        <v>36</v>
      </c>
      <c r="C36" s="951">
        <f>C35*9.5</f>
        <v>10801.5</v>
      </c>
      <c r="D36" s="951">
        <f>D35*9.5</f>
        <v>10697</v>
      </c>
      <c r="E36" s="951">
        <f>SUM(E32)</f>
        <v>8255.5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3132</v>
      </c>
      <c r="D38" s="378" t="s">
        <v>253</v>
      </c>
      <c r="E38" s="381">
        <f>SUM(E36,D36,C36)</f>
        <v>29754</v>
      </c>
    </row>
    <row r="39" spans="2:5">
      <c r="B39" s="377" t="s">
        <v>197</v>
      </c>
      <c r="C39" s="378">
        <f>C40-C38</f>
        <v>3712</v>
      </c>
      <c r="D39" s="378" t="s">
        <v>204</v>
      </c>
      <c r="E39" s="381">
        <f>C39*9</f>
        <v>33408</v>
      </c>
    </row>
    <row r="40" spans="2:5" ht="19.5">
      <c r="B40" s="941" t="s">
        <v>201</v>
      </c>
      <c r="C40" s="380">
        <v>6844</v>
      </c>
      <c r="D40" s="380" t="s">
        <v>202</v>
      </c>
      <c r="E40" s="379">
        <f>SUM(E38+E39)</f>
        <v>63162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8CF07-9056-44C9-8741-2382497B8BE0}">
  <sheetPr codeName="Sheet343">
    <pageSetUpPr fitToPage="1"/>
  </sheetPr>
  <dimension ref="B2:H44"/>
  <sheetViews>
    <sheetView topLeftCell="A7" zoomScale="80" zoomScaleNormal="80" workbookViewId="0">
      <selection activeCell="C41" sqref="C41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45045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802</v>
      </c>
      <c r="C7" s="630" t="s">
        <v>669</v>
      </c>
      <c r="D7" s="964">
        <v>432</v>
      </c>
      <c r="E7" s="965">
        <f t="shared" ref="E7:E12" si="0">D7*9.5</f>
        <v>4104</v>
      </c>
    </row>
    <row r="8" spans="2:8" ht="15" customHeight="1">
      <c r="B8" s="1198" t="s">
        <v>303</v>
      </c>
      <c r="C8" s="630" t="s">
        <v>669</v>
      </c>
      <c r="D8" s="964">
        <v>914</v>
      </c>
      <c r="E8" s="965">
        <f t="shared" si="0"/>
        <v>8683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1346</v>
      </c>
      <c r="E12" s="965">
        <f t="shared" si="0"/>
        <v>12787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332</v>
      </c>
      <c r="C17" s="630" t="s">
        <v>669</v>
      </c>
      <c r="D17" s="964">
        <v>649</v>
      </c>
      <c r="E17" s="965">
        <f t="shared" ref="E17:E22" si="1">D17*9.5</f>
        <v>6165.5</v>
      </c>
    </row>
    <row r="18" spans="2:5" ht="15" customHeight="1">
      <c r="B18" s="1198" t="s">
        <v>279</v>
      </c>
      <c r="C18" s="630" t="s">
        <v>669</v>
      </c>
      <c r="D18" s="964">
        <v>982</v>
      </c>
      <c r="E18" s="965">
        <f t="shared" si="1"/>
        <v>9329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1631</v>
      </c>
      <c r="E22" s="954">
        <f t="shared" si="1"/>
        <v>15494.5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259</v>
      </c>
      <c r="C27" s="630" t="s">
        <v>669</v>
      </c>
      <c r="D27" s="964">
        <v>302</v>
      </c>
      <c r="E27" s="965">
        <f t="shared" ref="E27:E31" si="2">D27*9.5</f>
        <v>2869</v>
      </c>
    </row>
    <row r="28" spans="2:5">
      <c r="B28" s="1198" t="s">
        <v>333</v>
      </c>
      <c r="C28" s="630" t="s">
        <v>669</v>
      </c>
      <c r="D28" s="964">
        <v>327</v>
      </c>
      <c r="E28" s="965">
        <f t="shared" si="2"/>
        <v>3106.5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629</v>
      </c>
      <c r="E32" s="954">
        <f>SUM(E27:E31)</f>
        <v>5975.5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1346</v>
      </c>
      <c r="D35" s="956">
        <f>D22</f>
        <v>1631</v>
      </c>
      <c r="E35" s="956">
        <f>D32</f>
        <v>629</v>
      </c>
    </row>
    <row r="36" spans="2:5">
      <c r="B36" s="953" t="s">
        <v>36</v>
      </c>
      <c r="C36" s="951">
        <f>C35*9.5</f>
        <v>12787</v>
      </c>
      <c r="D36" s="951">
        <f>D35*9.5</f>
        <v>15494.5</v>
      </c>
      <c r="E36" s="951">
        <f>SUM(E32)</f>
        <v>5975.5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3606</v>
      </c>
      <c r="D38" s="378" t="s">
        <v>253</v>
      </c>
      <c r="E38" s="381">
        <f>SUM(E36,D36,C36)</f>
        <v>34257</v>
      </c>
    </row>
    <row r="39" spans="2:5">
      <c r="B39" s="377" t="s">
        <v>197</v>
      </c>
      <c r="C39" s="378">
        <f>C40-C38</f>
        <v>131</v>
      </c>
      <c r="D39" s="378" t="s">
        <v>204</v>
      </c>
      <c r="E39" s="381">
        <f>C39*9</f>
        <v>1179</v>
      </c>
    </row>
    <row r="40" spans="2:5" ht="19.5">
      <c r="B40" s="941" t="s">
        <v>201</v>
      </c>
      <c r="C40" s="380">
        <v>3737</v>
      </c>
      <c r="D40" s="380" t="s">
        <v>202</v>
      </c>
      <c r="E40" s="379">
        <f>SUM(E38+E39)</f>
        <v>35436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A67BA-47A5-43D1-B84D-640BB1CEEBE5}">
  <sheetPr codeName="Sheet344">
    <pageSetUpPr fitToPage="1"/>
  </sheetPr>
  <dimension ref="B2:H44"/>
  <sheetViews>
    <sheetView zoomScale="80" zoomScaleNormal="80" workbookViewId="0">
      <selection activeCell="E38" sqref="E38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45046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164</v>
      </c>
      <c r="C7" s="630" t="s">
        <v>669</v>
      </c>
      <c r="D7" s="964">
        <v>561</v>
      </c>
      <c r="E7" s="965">
        <f t="shared" ref="E7:E12" si="0">D7*9.5</f>
        <v>5329.5</v>
      </c>
    </row>
    <row r="8" spans="2:8" ht="15" customHeight="1">
      <c r="B8" s="1198" t="s">
        <v>329</v>
      </c>
      <c r="C8" s="630" t="s">
        <v>669</v>
      </c>
      <c r="D8" s="964">
        <v>1006</v>
      </c>
      <c r="E8" s="965">
        <f t="shared" si="0"/>
        <v>9557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1567</v>
      </c>
      <c r="E12" s="965">
        <f t="shared" si="0"/>
        <v>14886.5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281</v>
      </c>
      <c r="C17" s="630" t="s">
        <v>669</v>
      </c>
      <c r="D17" s="964">
        <v>453</v>
      </c>
      <c r="E17" s="965">
        <f t="shared" ref="E17:E22" si="1">D17*9.5</f>
        <v>4303.5</v>
      </c>
    </row>
    <row r="18" spans="2:5" ht="15" customHeight="1">
      <c r="B18" s="1198" t="s">
        <v>44</v>
      </c>
      <c r="C18" s="630" t="s">
        <v>669</v>
      </c>
      <c r="D18" s="964">
        <v>483</v>
      </c>
      <c r="E18" s="965">
        <f t="shared" si="1"/>
        <v>4588.5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936</v>
      </c>
      <c r="E22" s="954">
        <f t="shared" si="1"/>
        <v>8892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53</v>
      </c>
      <c r="C27" s="630" t="s">
        <v>669</v>
      </c>
      <c r="D27" s="964">
        <v>266</v>
      </c>
      <c r="E27" s="965">
        <f>D27*10</f>
        <v>2660</v>
      </c>
    </row>
    <row r="28" spans="2:5">
      <c r="B28" s="1198" t="s">
        <v>333</v>
      </c>
      <c r="C28" s="630" t="s">
        <v>669</v>
      </c>
      <c r="D28" s="964">
        <v>353</v>
      </c>
      <c r="E28" s="965">
        <f t="shared" ref="E28:E31" si="2">D28*9.5</f>
        <v>3353.5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619</v>
      </c>
      <c r="E32" s="954">
        <f>SUM(E27:E31)</f>
        <v>6013.5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1567</v>
      </c>
      <c r="D35" s="956">
        <f>D22</f>
        <v>936</v>
      </c>
      <c r="E35" s="956">
        <f>D32</f>
        <v>619</v>
      </c>
    </row>
    <row r="36" spans="2:5">
      <c r="B36" s="953" t="s">
        <v>36</v>
      </c>
      <c r="C36" s="951">
        <f>C35*9.5</f>
        <v>14886.5</v>
      </c>
      <c r="D36" s="951">
        <f>D35*9.5</f>
        <v>8892</v>
      </c>
      <c r="E36" s="951">
        <f>SUM(E32)</f>
        <v>6013.5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3122</v>
      </c>
      <c r="D38" s="378" t="s">
        <v>253</v>
      </c>
      <c r="E38" s="381">
        <f>SUM(E36,D36,C36)</f>
        <v>29792</v>
      </c>
    </row>
    <row r="39" spans="2:5">
      <c r="B39" s="377" t="s">
        <v>197</v>
      </c>
      <c r="C39" s="378">
        <f>C40-C38</f>
        <v>466</v>
      </c>
      <c r="D39" s="378" t="s">
        <v>204</v>
      </c>
      <c r="E39" s="381">
        <f>C39*9</f>
        <v>4194</v>
      </c>
    </row>
    <row r="40" spans="2:5" ht="19.5">
      <c r="B40" s="941" t="s">
        <v>201</v>
      </c>
      <c r="C40" s="380">
        <v>3588</v>
      </c>
      <c r="D40" s="380" t="s">
        <v>202</v>
      </c>
      <c r="E40" s="379">
        <f>SUM(E38+E39)</f>
        <v>33986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C3292-0633-49CA-B559-DD1FB1DA91B0}">
  <sheetPr codeName="Sheet345">
    <pageSetUpPr fitToPage="1"/>
  </sheetPr>
  <dimension ref="B2:H44"/>
  <sheetViews>
    <sheetView zoomScale="80" zoomScaleNormal="80" workbookViewId="0">
      <selection activeCell="E28" sqref="E28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45047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329</v>
      </c>
      <c r="C7" s="630" t="s">
        <v>669</v>
      </c>
      <c r="D7" s="964">
        <v>1040</v>
      </c>
      <c r="E7" s="965">
        <f t="shared" ref="E7:E12" si="0">D7*9.5</f>
        <v>9880</v>
      </c>
    </row>
    <row r="8" spans="2:8" ht="15" customHeight="1">
      <c r="B8" s="1198" t="s">
        <v>82</v>
      </c>
      <c r="C8" s="630" t="s">
        <v>669</v>
      </c>
      <c r="D8" s="964">
        <v>435</v>
      </c>
      <c r="E8" s="965">
        <f t="shared" si="0"/>
        <v>4132.5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1475</v>
      </c>
      <c r="E12" s="965">
        <f t="shared" si="0"/>
        <v>14012.5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244</v>
      </c>
      <c r="C17" s="630" t="s">
        <v>669</v>
      </c>
      <c r="D17" s="964">
        <v>824</v>
      </c>
      <c r="E17" s="965">
        <f t="shared" ref="E17:E22" si="1">D17*9.5</f>
        <v>7828</v>
      </c>
    </row>
    <row r="18" spans="2:5" ht="15" customHeight="1">
      <c r="B18" s="1198" t="s">
        <v>330</v>
      </c>
      <c r="C18" s="630" t="s">
        <v>669</v>
      </c>
      <c r="D18" s="964">
        <v>991</v>
      </c>
      <c r="E18" s="965">
        <f t="shared" si="1"/>
        <v>9414.5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1815</v>
      </c>
      <c r="E22" s="954">
        <f t="shared" si="1"/>
        <v>17242.5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332</v>
      </c>
      <c r="C27" s="630" t="s">
        <v>669</v>
      </c>
      <c r="D27" s="964">
        <v>565</v>
      </c>
      <c r="E27" s="965">
        <f>D27*9.5</f>
        <v>5367.5</v>
      </c>
    </row>
    <row r="28" spans="2:5">
      <c r="B28" s="1198" t="s">
        <v>278</v>
      </c>
      <c r="C28" s="630" t="s">
        <v>669</v>
      </c>
      <c r="D28" s="964">
        <v>478</v>
      </c>
      <c r="E28" s="965">
        <f t="shared" ref="E28:E31" si="2">D28*9.5</f>
        <v>4541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1043</v>
      </c>
      <c r="E32" s="954">
        <f>SUM(E27:E31)</f>
        <v>9908.5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1475</v>
      </c>
      <c r="D35" s="956">
        <f>D22</f>
        <v>1815</v>
      </c>
      <c r="E35" s="956">
        <f>D32</f>
        <v>1043</v>
      </c>
    </row>
    <row r="36" spans="2:5">
      <c r="B36" s="953" t="s">
        <v>36</v>
      </c>
      <c r="C36" s="951">
        <f>C35*9.5</f>
        <v>14012.5</v>
      </c>
      <c r="D36" s="951">
        <f>D35*9.5</f>
        <v>17242.5</v>
      </c>
      <c r="E36" s="951">
        <f>SUM(E32)</f>
        <v>9908.5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4333</v>
      </c>
      <c r="D38" s="378" t="s">
        <v>253</v>
      </c>
      <c r="E38" s="381">
        <f>SUM(E36,D36,C36)</f>
        <v>41163.5</v>
      </c>
    </row>
    <row r="39" spans="2:5">
      <c r="B39" s="377" t="s">
        <v>197</v>
      </c>
      <c r="C39" s="378">
        <f>C40-C38</f>
        <v>4452</v>
      </c>
      <c r="D39" s="378" t="s">
        <v>204</v>
      </c>
      <c r="E39" s="381">
        <f>C39*9</f>
        <v>40068</v>
      </c>
    </row>
    <row r="40" spans="2:5" ht="19.5">
      <c r="B40" s="941" t="s">
        <v>201</v>
      </c>
      <c r="C40" s="380">
        <v>8785</v>
      </c>
      <c r="D40" s="380" t="s">
        <v>202</v>
      </c>
      <c r="E40" s="379">
        <f>SUM(E38+E39)</f>
        <v>81231.5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3CA7D-5F16-45DC-B95E-E80C2B388AB8}">
  <sheetPr>
    <pageSetUpPr fitToPage="1"/>
  </sheetPr>
  <dimension ref="B2:H44"/>
  <sheetViews>
    <sheetView topLeftCell="A13" zoomScale="80" zoomScaleNormal="80" workbookViewId="0">
      <selection activeCell="E28" sqref="E28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45048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790</v>
      </c>
      <c r="C7" s="630" t="s">
        <v>669</v>
      </c>
      <c r="D7" s="964">
        <v>465</v>
      </c>
      <c r="E7" s="965">
        <f t="shared" ref="E7:E12" si="0">D7*9.5</f>
        <v>4417.5</v>
      </c>
    </row>
    <row r="8" spans="2:8" ht="15" customHeight="1">
      <c r="B8" s="1198" t="s">
        <v>907</v>
      </c>
      <c r="C8" s="630" t="s">
        <v>669</v>
      </c>
      <c r="D8" s="964">
        <v>486</v>
      </c>
      <c r="E8" s="965">
        <f t="shared" si="0"/>
        <v>4617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951</v>
      </c>
      <c r="E12" s="965">
        <f t="shared" si="0"/>
        <v>9034.5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78</v>
      </c>
      <c r="C17" s="630" t="s">
        <v>669</v>
      </c>
      <c r="D17" s="964">
        <v>528</v>
      </c>
      <c r="E17" s="965">
        <f t="shared" ref="E17:E22" si="1">D17*9.5</f>
        <v>5016</v>
      </c>
    </row>
    <row r="18" spans="2:5" ht="15" customHeight="1">
      <c r="B18" s="1198" t="s">
        <v>65</v>
      </c>
      <c r="C18" s="630" t="s">
        <v>669</v>
      </c>
      <c r="D18" s="964">
        <v>478</v>
      </c>
      <c r="E18" s="965">
        <f t="shared" si="1"/>
        <v>4541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1006</v>
      </c>
      <c r="E22" s="954">
        <f t="shared" si="1"/>
        <v>9557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70</v>
      </c>
      <c r="C27" s="630" t="s">
        <v>669</v>
      </c>
      <c r="D27" s="964">
        <v>415</v>
      </c>
      <c r="E27" s="965">
        <f>D27*9.5</f>
        <v>3942.5</v>
      </c>
    </row>
    <row r="28" spans="2:5">
      <c r="B28" s="1198" t="s">
        <v>334</v>
      </c>
      <c r="C28" s="630" t="s">
        <v>669</v>
      </c>
      <c r="D28" s="964">
        <v>479</v>
      </c>
      <c r="E28" s="965">
        <f t="shared" ref="E28:E31" si="2">D28*9.5</f>
        <v>4550.5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894</v>
      </c>
      <c r="E32" s="954">
        <f>SUM(E27:E31)</f>
        <v>8493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951</v>
      </c>
      <c r="D35" s="956">
        <f>D22</f>
        <v>1006</v>
      </c>
      <c r="E35" s="956">
        <f>D32</f>
        <v>894</v>
      </c>
    </row>
    <row r="36" spans="2:5">
      <c r="B36" s="953" t="s">
        <v>36</v>
      </c>
      <c r="C36" s="951">
        <f>C35*9.5</f>
        <v>9034.5</v>
      </c>
      <c r="D36" s="951">
        <f>D35*9.5</f>
        <v>9557</v>
      </c>
      <c r="E36" s="951">
        <f>SUM(E32)</f>
        <v>8493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2851</v>
      </c>
      <c r="D38" s="378" t="s">
        <v>253</v>
      </c>
      <c r="E38" s="381">
        <f>SUM(E36,D36,C36)</f>
        <v>27084.5</v>
      </c>
    </row>
    <row r="39" spans="2:5">
      <c r="B39" s="377" t="s">
        <v>197</v>
      </c>
      <c r="C39" s="378">
        <f>C40-C38</f>
        <v>5398</v>
      </c>
      <c r="D39" s="378" t="s">
        <v>204</v>
      </c>
      <c r="E39" s="381">
        <f>C39*9</f>
        <v>48582</v>
      </c>
    </row>
    <row r="40" spans="2:5" ht="19.5">
      <c r="B40" s="941" t="s">
        <v>201</v>
      </c>
      <c r="C40" s="380">
        <v>8249</v>
      </c>
      <c r="D40" s="380" t="s">
        <v>202</v>
      </c>
      <c r="E40" s="379">
        <f>SUM(E38+E39)</f>
        <v>75666.5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22F64-D3B3-4841-9AC8-EC1FD9AA7500}">
  <sheetPr>
    <pageSetUpPr fitToPage="1"/>
  </sheetPr>
  <dimension ref="B2:H44"/>
  <sheetViews>
    <sheetView topLeftCell="A10" zoomScale="80" zoomScaleNormal="80" workbookViewId="0">
      <selection activeCell="E28" sqref="E28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45049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332</v>
      </c>
      <c r="C7" s="630" t="s">
        <v>669</v>
      </c>
      <c r="D7" s="964">
        <v>606</v>
      </c>
      <c r="E7" s="965">
        <f t="shared" ref="E7:E12" si="0">D7*9.5</f>
        <v>5757</v>
      </c>
    </row>
    <row r="8" spans="2:8" ht="15" customHeight="1">
      <c r="B8" s="1198" t="s">
        <v>259</v>
      </c>
      <c r="C8" s="630" t="s">
        <v>669</v>
      </c>
      <c r="D8" s="964">
        <v>382</v>
      </c>
      <c r="E8" s="965">
        <f t="shared" si="0"/>
        <v>3629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988</v>
      </c>
      <c r="E12" s="965">
        <f t="shared" si="0"/>
        <v>9386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303</v>
      </c>
      <c r="C17" s="630" t="s">
        <v>669</v>
      </c>
      <c r="D17" s="964">
        <v>900</v>
      </c>
      <c r="E17" s="965">
        <f t="shared" ref="E17:E22" si="1">D17*9.5</f>
        <v>8550</v>
      </c>
    </row>
    <row r="18" spans="2:5" ht="15" customHeight="1">
      <c r="B18" s="1198" t="s">
        <v>728</v>
      </c>
      <c r="C18" s="630" t="s">
        <v>669</v>
      </c>
      <c r="D18" s="964">
        <v>328</v>
      </c>
      <c r="E18" s="965">
        <f t="shared" si="1"/>
        <v>3116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1228</v>
      </c>
      <c r="E22" s="954">
        <f t="shared" si="1"/>
        <v>11666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303</v>
      </c>
      <c r="C27" s="630" t="s">
        <v>669</v>
      </c>
      <c r="D27" s="964">
        <v>528</v>
      </c>
      <c r="E27" s="965">
        <f>D27*9.5</f>
        <v>5016</v>
      </c>
    </row>
    <row r="28" spans="2:5">
      <c r="B28" s="1198" t="s">
        <v>331</v>
      </c>
      <c r="C28" s="630" t="s">
        <v>669</v>
      </c>
      <c r="D28" s="964">
        <v>385</v>
      </c>
      <c r="E28" s="965">
        <f t="shared" ref="E28:E31" si="2">D28*9.5</f>
        <v>3657.5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913</v>
      </c>
      <c r="E32" s="954">
        <f>SUM(E27:E31)</f>
        <v>8673.5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988</v>
      </c>
      <c r="D35" s="956">
        <f>D22</f>
        <v>1228</v>
      </c>
      <c r="E35" s="956">
        <f>D32</f>
        <v>913</v>
      </c>
    </row>
    <row r="36" spans="2:5">
      <c r="B36" s="953" t="s">
        <v>36</v>
      </c>
      <c r="C36" s="951">
        <f>C35*9.5</f>
        <v>9386</v>
      </c>
      <c r="D36" s="951">
        <f>D35*9.5</f>
        <v>11666</v>
      </c>
      <c r="E36" s="951">
        <f>SUM(E32)</f>
        <v>8673.5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3129</v>
      </c>
      <c r="D38" s="378" t="s">
        <v>253</v>
      </c>
      <c r="E38" s="381">
        <f>SUM(E36,D36,C36)</f>
        <v>29725.5</v>
      </c>
    </row>
    <row r="39" spans="2:5">
      <c r="B39" s="377" t="s">
        <v>197</v>
      </c>
      <c r="C39" s="378">
        <f>C40-C38</f>
        <v>5112</v>
      </c>
      <c r="D39" s="378" t="s">
        <v>204</v>
      </c>
      <c r="E39" s="381">
        <f>C39*9</f>
        <v>46008</v>
      </c>
    </row>
    <row r="40" spans="2:5" ht="19.5">
      <c r="B40" s="941" t="s">
        <v>201</v>
      </c>
      <c r="C40" s="380">
        <v>8241</v>
      </c>
      <c r="D40" s="380" t="s">
        <v>202</v>
      </c>
      <c r="E40" s="379">
        <f>SUM(E38+E39)</f>
        <v>75733.5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B5F4-2902-439D-992F-F9E75B07D687}">
  <sheetPr>
    <pageSetUpPr fitToPage="1"/>
  </sheetPr>
  <dimension ref="B2:H44"/>
  <sheetViews>
    <sheetView zoomScale="80" zoomScaleNormal="80" workbookViewId="0">
      <selection activeCell="E28" sqref="E28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45050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239</v>
      </c>
      <c r="C7" s="630" t="s">
        <v>669</v>
      </c>
      <c r="D7" s="964">
        <v>315</v>
      </c>
      <c r="E7" s="965">
        <f t="shared" ref="E7:E12" si="0">D7*9.5</f>
        <v>2992.5</v>
      </c>
    </row>
    <row r="8" spans="2:8" ht="15" customHeight="1">
      <c r="B8" s="1198" t="s">
        <v>12</v>
      </c>
      <c r="C8" s="630" t="s">
        <v>669</v>
      </c>
      <c r="D8" s="964">
        <v>478</v>
      </c>
      <c r="E8" s="965">
        <f t="shared" si="0"/>
        <v>4541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793</v>
      </c>
      <c r="E12" s="965">
        <f t="shared" si="0"/>
        <v>7533.5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678</v>
      </c>
      <c r="C17" s="630" t="s">
        <v>669</v>
      </c>
      <c r="D17" s="964">
        <v>587</v>
      </c>
      <c r="E17" s="965">
        <f t="shared" ref="E17:E22" si="1">D17*9.5</f>
        <v>5576.5</v>
      </c>
    </row>
    <row r="18" spans="2:5" ht="15" customHeight="1">
      <c r="B18" s="1198" t="s">
        <v>303</v>
      </c>
      <c r="C18" s="630" t="s">
        <v>669</v>
      </c>
      <c r="D18" s="964">
        <v>891</v>
      </c>
      <c r="E18" s="965">
        <f t="shared" si="1"/>
        <v>8464.5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1478</v>
      </c>
      <c r="E22" s="954">
        <f t="shared" si="1"/>
        <v>14041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45</v>
      </c>
      <c r="C27" s="630" t="s">
        <v>669</v>
      </c>
      <c r="D27" s="964">
        <v>334</v>
      </c>
      <c r="E27" s="965">
        <f>D27*9.5</f>
        <v>3173</v>
      </c>
    </row>
    <row r="28" spans="2:5">
      <c r="B28" s="1198" t="s">
        <v>235</v>
      </c>
      <c r="C28" s="630" t="s">
        <v>669</v>
      </c>
      <c r="D28" s="964">
        <v>573</v>
      </c>
      <c r="E28" s="965">
        <f t="shared" ref="E28:E31" si="2">D28*9.5</f>
        <v>5443.5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907</v>
      </c>
      <c r="E32" s="954">
        <f>SUM(E27:E31)</f>
        <v>8616.5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793</v>
      </c>
      <c r="D35" s="956">
        <f>D22</f>
        <v>1478</v>
      </c>
      <c r="E35" s="956">
        <f>D32</f>
        <v>907</v>
      </c>
    </row>
    <row r="36" spans="2:5">
      <c r="B36" s="953" t="s">
        <v>36</v>
      </c>
      <c r="C36" s="951">
        <f>C35*9.5</f>
        <v>7533.5</v>
      </c>
      <c r="D36" s="951">
        <f>D35*9.5</f>
        <v>14041</v>
      </c>
      <c r="E36" s="951">
        <f>SUM(E32)</f>
        <v>8616.5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3178</v>
      </c>
      <c r="D38" s="378" t="s">
        <v>253</v>
      </c>
      <c r="E38" s="381">
        <f>SUM(E36,D36,C36)</f>
        <v>30191</v>
      </c>
    </row>
    <row r="39" spans="2:5">
      <c r="B39" s="377" t="s">
        <v>197</v>
      </c>
      <c r="C39" s="378">
        <f>C40-C38</f>
        <v>4742</v>
      </c>
      <c r="D39" s="378" t="s">
        <v>204</v>
      </c>
      <c r="E39" s="381">
        <f>C39*9</f>
        <v>42678</v>
      </c>
    </row>
    <row r="40" spans="2:5" ht="19.5">
      <c r="B40" s="941" t="s">
        <v>201</v>
      </c>
      <c r="C40" s="380">
        <v>7920</v>
      </c>
      <c r="D40" s="380" t="s">
        <v>202</v>
      </c>
      <c r="E40" s="379">
        <f>SUM(E38+E39)</f>
        <v>72869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BC3A2-1AB4-4991-A257-2051E19F57F0}">
  <sheetPr>
    <pageSetUpPr fitToPage="1"/>
  </sheetPr>
  <dimension ref="B2:H44"/>
  <sheetViews>
    <sheetView zoomScale="80" zoomScaleNormal="80" workbookViewId="0">
      <selection activeCell="E28" sqref="E28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45051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238</v>
      </c>
      <c r="C7" s="630" t="s">
        <v>669</v>
      </c>
      <c r="D7" s="964">
        <v>335</v>
      </c>
      <c r="E7" s="965">
        <f t="shared" ref="E7:E12" si="0">D7*9.5</f>
        <v>3182.5</v>
      </c>
    </row>
    <row r="8" spans="2:8" ht="15" customHeight="1">
      <c r="B8" s="1198" t="s">
        <v>330</v>
      </c>
      <c r="C8" s="630" t="s">
        <v>669</v>
      </c>
      <c r="D8" s="964">
        <v>814</v>
      </c>
      <c r="E8" s="965">
        <f t="shared" si="0"/>
        <v>7733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1149</v>
      </c>
      <c r="E12" s="965">
        <f t="shared" si="0"/>
        <v>10915.5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279</v>
      </c>
      <c r="C17" s="630" t="s">
        <v>669</v>
      </c>
      <c r="D17" s="964">
        <v>889</v>
      </c>
      <c r="E17" s="965">
        <f t="shared" ref="E17:E22" si="1">D17*9.5</f>
        <v>8445.5</v>
      </c>
    </row>
    <row r="18" spans="2:5" ht="15" customHeight="1">
      <c r="B18" s="1198" t="s">
        <v>802</v>
      </c>
      <c r="C18" s="630" t="s">
        <v>669</v>
      </c>
      <c r="D18" s="964">
        <v>351</v>
      </c>
      <c r="E18" s="965">
        <f t="shared" si="1"/>
        <v>3334.5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1240</v>
      </c>
      <c r="E22" s="954">
        <f t="shared" si="1"/>
        <v>11780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332</v>
      </c>
      <c r="C27" s="630" t="s">
        <v>669</v>
      </c>
      <c r="D27" s="964">
        <v>297</v>
      </c>
      <c r="E27" s="965">
        <f>D27*9.5</f>
        <v>2821.5</v>
      </c>
    </row>
    <row r="28" spans="2:5">
      <c r="B28" s="1198" t="s">
        <v>235</v>
      </c>
      <c r="C28" s="630" t="s">
        <v>669</v>
      </c>
      <c r="D28" s="964">
        <v>399</v>
      </c>
      <c r="E28" s="965">
        <f t="shared" ref="E28:E31" si="2">D28*9.5</f>
        <v>3790.5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696</v>
      </c>
      <c r="E32" s="954">
        <f>SUM(E27:E31)</f>
        <v>6612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1149</v>
      </c>
      <c r="D35" s="956">
        <f>D22</f>
        <v>1240</v>
      </c>
      <c r="E35" s="956">
        <f>D32</f>
        <v>696</v>
      </c>
    </row>
    <row r="36" spans="2:5">
      <c r="B36" s="953" t="s">
        <v>36</v>
      </c>
      <c r="C36" s="951">
        <f>C35*9.5</f>
        <v>10915.5</v>
      </c>
      <c r="D36" s="951">
        <f>D35*9.5</f>
        <v>11780</v>
      </c>
      <c r="E36" s="951">
        <f>SUM(E32)</f>
        <v>6612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3085</v>
      </c>
      <c r="D38" s="378" t="s">
        <v>253</v>
      </c>
      <c r="E38" s="381">
        <f>SUM(E36,D36,C36)</f>
        <v>29307.5</v>
      </c>
    </row>
    <row r="39" spans="2:5">
      <c r="B39" s="377" t="s">
        <v>197</v>
      </c>
      <c r="C39" s="378">
        <f>C40-C38</f>
        <v>3477</v>
      </c>
      <c r="D39" s="378" t="s">
        <v>204</v>
      </c>
      <c r="E39" s="381">
        <f>C39*9</f>
        <v>31293</v>
      </c>
    </row>
    <row r="40" spans="2:5" ht="19.5">
      <c r="B40" s="941" t="s">
        <v>201</v>
      </c>
      <c r="C40" s="380">
        <v>6562</v>
      </c>
      <c r="D40" s="380" t="s">
        <v>202</v>
      </c>
      <c r="E40" s="379">
        <f>SUM(E38+E39)</f>
        <v>60600.5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B1DBA-5956-4D60-B8BD-6991C4A00366}">
  <sheetPr>
    <pageSetUpPr fitToPage="1"/>
  </sheetPr>
  <dimension ref="B2:H44"/>
  <sheetViews>
    <sheetView zoomScale="80" zoomScaleNormal="80" workbookViewId="0">
      <selection activeCell="E28" sqref="E28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45052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250</v>
      </c>
      <c r="C7" s="630" t="s">
        <v>669</v>
      </c>
      <c r="D7" s="964">
        <v>708</v>
      </c>
      <c r="E7" s="965">
        <f t="shared" ref="E7:E12" si="0">D7*9.5</f>
        <v>6726</v>
      </c>
    </row>
    <row r="8" spans="2:8" ht="15" customHeight="1">
      <c r="B8" s="1198" t="s">
        <v>256</v>
      </c>
      <c r="C8" s="630" t="s">
        <v>669</v>
      </c>
      <c r="D8" s="964">
        <v>277</v>
      </c>
      <c r="E8" s="965">
        <f t="shared" si="0"/>
        <v>2631.5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985</v>
      </c>
      <c r="E12" s="965">
        <f t="shared" si="0"/>
        <v>9357.5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250</v>
      </c>
      <c r="C17" s="630" t="s">
        <v>669</v>
      </c>
      <c r="D17" s="964">
        <v>729</v>
      </c>
      <c r="E17" s="965">
        <f t="shared" ref="E17:E22" si="1">D17*9.5</f>
        <v>6925.5</v>
      </c>
    </row>
    <row r="18" spans="2:5" ht="15" customHeight="1">
      <c r="B18" s="1198" t="s">
        <v>189</v>
      </c>
      <c r="C18" s="630" t="s">
        <v>669</v>
      </c>
      <c r="D18" s="964">
        <v>521</v>
      </c>
      <c r="E18" s="965">
        <f t="shared" si="1"/>
        <v>4949.5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1250</v>
      </c>
      <c r="E22" s="954">
        <f t="shared" si="1"/>
        <v>11875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252</v>
      </c>
      <c r="C27" s="630" t="s">
        <v>669</v>
      </c>
      <c r="D27" s="964">
        <v>342</v>
      </c>
      <c r="E27" s="965">
        <f>D27*9.5</f>
        <v>3249</v>
      </c>
    </row>
    <row r="28" spans="2:5">
      <c r="B28" s="1198" t="s">
        <v>331</v>
      </c>
      <c r="C28" s="630" t="s">
        <v>669</v>
      </c>
      <c r="D28" s="964">
        <v>336</v>
      </c>
      <c r="E28" s="965">
        <f t="shared" ref="E28:E31" si="2">D28*9.5</f>
        <v>3192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678</v>
      </c>
      <c r="E32" s="954">
        <f>SUM(E27:E31)</f>
        <v>6441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985</v>
      </c>
      <c r="D35" s="956">
        <f>D22</f>
        <v>1250</v>
      </c>
      <c r="E35" s="956">
        <f>D32</f>
        <v>678</v>
      </c>
    </row>
    <row r="36" spans="2:5">
      <c r="B36" s="953" t="s">
        <v>36</v>
      </c>
      <c r="C36" s="951">
        <f>C35*9.5</f>
        <v>9357.5</v>
      </c>
      <c r="D36" s="951">
        <f>D35*9.5</f>
        <v>11875</v>
      </c>
      <c r="E36" s="951">
        <f>SUM(E32)</f>
        <v>6441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2913</v>
      </c>
      <c r="D38" s="378" t="s">
        <v>253</v>
      </c>
      <c r="E38" s="381">
        <f>SUM(E36,D36,C36)</f>
        <v>27673.5</v>
      </c>
    </row>
    <row r="39" spans="2:5">
      <c r="B39" s="377" t="s">
        <v>197</v>
      </c>
      <c r="C39" s="378">
        <f>C40-C38</f>
        <v>194</v>
      </c>
      <c r="D39" s="378" t="s">
        <v>204</v>
      </c>
      <c r="E39" s="381">
        <f>C39*9</f>
        <v>1746</v>
      </c>
    </row>
    <row r="40" spans="2:5" ht="19.5">
      <c r="B40" s="941" t="s">
        <v>201</v>
      </c>
      <c r="C40" s="380">
        <v>3107</v>
      </c>
      <c r="D40" s="380" t="s">
        <v>202</v>
      </c>
      <c r="E40" s="379">
        <f>SUM(E38+E39)</f>
        <v>29419.5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9401E-0723-486C-98E7-4E1818442B9A}">
  <sheetPr>
    <pageSetUpPr fitToPage="1"/>
  </sheetPr>
  <dimension ref="B2:H44"/>
  <sheetViews>
    <sheetView zoomScale="80" zoomScaleNormal="80" workbookViewId="0">
      <selection activeCell="E32" sqref="E32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45053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189</v>
      </c>
      <c r="C7" s="630" t="s">
        <v>669</v>
      </c>
      <c r="D7" s="964">
        <v>453</v>
      </c>
      <c r="E7" s="965">
        <f t="shared" ref="E7:E12" si="0">D7*9.5</f>
        <v>4303.5</v>
      </c>
    </row>
    <row r="8" spans="2:8" ht="15" customHeight="1">
      <c r="B8" s="1198" t="s">
        <v>279</v>
      </c>
      <c r="C8" s="630" t="s">
        <v>669</v>
      </c>
      <c r="D8" s="964">
        <v>798</v>
      </c>
      <c r="E8" s="965">
        <f t="shared" si="0"/>
        <v>7581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1251</v>
      </c>
      <c r="E12" s="965">
        <f t="shared" si="0"/>
        <v>11884.5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1198" t="s">
        <v>678</v>
      </c>
      <c r="C17" s="630" t="s">
        <v>669</v>
      </c>
      <c r="D17" s="964">
        <v>633</v>
      </c>
      <c r="E17" s="965">
        <f t="shared" ref="E17:E22" si="1">D17*9.5</f>
        <v>6013.5</v>
      </c>
    </row>
    <row r="18" spans="2:6" ht="15" customHeight="1">
      <c r="B18" s="1198" t="s">
        <v>910</v>
      </c>
      <c r="C18" s="630" t="s">
        <v>669</v>
      </c>
      <c r="D18" s="964"/>
      <c r="E18" s="965">
        <f t="shared" si="1"/>
        <v>0</v>
      </c>
      <c r="F18" s="934" t="s">
        <v>911</v>
      </c>
    </row>
    <row r="19" spans="2:6" ht="14.45" customHeight="1">
      <c r="B19" s="972"/>
      <c r="C19" s="973" t="s">
        <v>26</v>
      </c>
      <c r="D19" s="964"/>
      <c r="E19" s="965">
        <f t="shared" si="1"/>
        <v>0</v>
      </c>
    </row>
    <row r="20" spans="2:6" ht="14.45" customHeight="1">
      <c r="B20" s="972"/>
      <c r="C20" s="973" t="s">
        <v>26</v>
      </c>
      <c r="D20" s="964"/>
      <c r="E20" s="965">
        <f t="shared" si="1"/>
        <v>0</v>
      </c>
    </row>
    <row r="21" spans="2:6" ht="14.45" customHeight="1">
      <c r="B21" s="1063"/>
      <c r="C21" s="975" t="s">
        <v>681</v>
      </c>
      <c r="D21" s="964"/>
      <c r="E21" s="965">
        <f t="shared" si="1"/>
        <v>0</v>
      </c>
    </row>
    <row r="22" spans="2:6" ht="14.45" customHeight="1">
      <c r="B22" s="1269" t="s">
        <v>24</v>
      </c>
      <c r="C22" s="1270"/>
      <c r="D22" s="964">
        <f>SUM(D17:D21)</f>
        <v>633</v>
      </c>
      <c r="E22" s="954">
        <f t="shared" si="1"/>
        <v>6013.5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29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1198" t="s">
        <v>912</v>
      </c>
      <c r="C27" s="630" t="s">
        <v>669</v>
      </c>
      <c r="D27" s="964">
        <v>455</v>
      </c>
      <c r="E27" s="965">
        <f>D27*9.5</f>
        <v>4322.5</v>
      </c>
    </row>
    <row r="28" spans="2:6">
      <c r="B28" s="1198" t="s">
        <v>333</v>
      </c>
      <c r="C28" s="630" t="s">
        <v>669</v>
      </c>
      <c r="D28" s="964">
        <v>337</v>
      </c>
      <c r="E28" s="965">
        <f t="shared" ref="E28:E31" si="2">D28*9.5</f>
        <v>3201.5</v>
      </c>
    </row>
    <row r="29" spans="2:6">
      <c r="B29" s="972"/>
      <c r="C29" s="973" t="s">
        <v>26</v>
      </c>
      <c r="D29" s="964"/>
      <c r="E29" s="965">
        <f>D29*9.5</f>
        <v>0</v>
      </c>
    </row>
    <row r="30" spans="2:6">
      <c r="B30" s="972"/>
      <c r="C30" s="975" t="s">
        <v>26</v>
      </c>
      <c r="D30" s="964"/>
      <c r="E30" s="965">
        <f t="shared" si="2"/>
        <v>0</v>
      </c>
    </row>
    <row r="31" spans="2:6">
      <c r="B31" s="1128"/>
      <c r="C31" s="975" t="s">
        <v>667</v>
      </c>
      <c r="D31" s="964"/>
      <c r="E31" s="965">
        <f t="shared" si="2"/>
        <v>0</v>
      </c>
    </row>
    <row r="32" spans="2:6" ht="20.100000000000001" customHeight="1">
      <c r="B32" s="1259" t="s">
        <v>24</v>
      </c>
      <c r="C32" s="1259"/>
      <c r="D32" s="964">
        <f>SUM(D27:D31)</f>
        <v>792</v>
      </c>
      <c r="E32" s="954">
        <f>SUM(E27:E31)</f>
        <v>7524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1251</v>
      </c>
      <c r="D35" s="956">
        <f>D22</f>
        <v>633</v>
      </c>
      <c r="E35" s="956">
        <f>D32</f>
        <v>792</v>
      </c>
    </row>
    <row r="36" spans="2:5">
      <c r="B36" s="953" t="s">
        <v>36</v>
      </c>
      <c r="C36" s="951">
        <f>C35*9.5</f>
        <v>11884.5</v>
      </c>
      <c r="D36" s="951">
        <f>D35*9.5</f>
        <v>6013.5</v>
      </c>
      <c r="E36" s="951">
        <f>SUM(E32)</f>
        <v>7524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2676</v>
      </c>
      <c r="D38" s="378" t="s">
        <v>253</v>
      </c>
      <c r="E38" s="381">
        <f>SUM(E36,D36,C36)</f>
        <v>25422</v>
      </c>
    </row>
    <row r="39" spans="2:5">
      <c r="B39" s="377" t="s">
        <v>197</v>
      </c>
      <c r="C39" s="378">
        <f>C40-C38</f>
        <v>405</v>
      </c>
      <c r="D39" s="378" t="s">
        <v>204</v>
      </c>
      <c r="E39" s="381">
        <f>C39*9</f>
        <v>3645</v>
      </c>
    </row>
    <row r="40" spans="2:5" ht="19.5">
      <c r="B40" s="941" t="s">
        <v>201</v>
      </c>
      <c r="C40" s="380">
        <v>3081</v>
      </c>
      <c r="D40" s="380" t="s">
        <v>202</v>
      </c>
      <c r="E40" s="379">
        <f>SUM(E38+E39)</f>
        <v>29067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938C2-06DC-41EA-AA07-B49224769147}">
  <sheetPr>
    <pageSetUpPr fitToPage="1"/>
  </sheetPr>
  <dimension ref="B2:H44"/>
  <sheetViews>
    <sheetView topLeftCell="A13" zoomScale="80" zoomScaleNormal="80" workbookViewId="0">
      <selection activeCell="D29" sqref="D29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45054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65</v>
      </c>
      <c r="C7" s="630" t="s">
        <v>669</v>
      </c>
      <c r="D7" s="964">
        <v>534</v>
      </c>
      <c r="E7" s="965">
        <f t="shared" ref="E7:E12" si="0">D7*9.5</f>
        <v>5073</v>
      </c>
    </row>
    <row r="8" spans="2:8" ht="15" customHeight="1">
      <c r="B8" s="1198" t="s">
        <v>329</v>
      </c>
      <c r="C8" s="630" t="s">
        <v>669</v>
      </c>
      <c r="D8" s="964">
        <v>366</v>
      </c>
      <c r="E8" s="965">
        <f t="shared" si="0"/>
        <v>3477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900</v>
      </c>
      <c r="E12" s="965">
        <f t="shared" si="0"/>
        <v>8550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45</v>
      </c>
      <c r="C17" s="630" t="s">
        <v>669</v>
      </c>
      <c r="D17" s="964">
        <v>475</v>
      </c>
      <c r="E17" s="965">
        <f t="shared" ref="E17:E22" si="1">D17*9.5</f>
        <v>4512.5</v>
      </c>
    </row>
    <row r="18" spans="2:5" ht="15" customHeight="1">
      <c r="B18" s="1198" t="s">
        <v>678</v>
      </c>
      <c r="C18" s="630" t="s">
        <v>669</v>
      </c>
      <c r="D18" s="964">
        <v>587</v>
      </c>
      <c r="E18" s="965">
        <f t="shared" si="1"/>
        <v>5576.5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1062</v>
      </c>
      <c r="E22" s="954">
        <f t="shared" si="1"/>
        <v>10089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45</v>
      </c>
      <c r="C27" s="630" t="s">
        <v>669</v>
      </c>
      <c r="D27" s="964">
        <v>259</v>
      </c>
      <c r="E27" s="965">
        <f>D27*9.5</f>
        <v>2460.5</v>
      </c>
    </row>
    <row r="28" spans="2:5">
      <c r="B28" s="1198" t="s">
        <v>334</v>
      </c>
      <c r="C28" s="630" t="s">
        <v>669</v>
      </c>
      <c r="D28" s="964">
        <v>505</v>
      </c>
      <c r="E28" s="965">
        <f t="shared" ref="E28:E31" si="2">D28*9.5</f>
        <v>4797.5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764</v>
      </c>
      <c r="E32" s="954">
        <f>SUM(E27:E31)</f>
        <v>7258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900</v>
      </c>
      <c r="D35" s="956">
        <f>D22</f>
        <v>1062</v>
      </c>
      <c r="E35" s="956">
        <f>D32</f>
        <v>764</v>
      </c>
    </row>
    <row r="36" spans="2:5">
      <c r="B36" s="953" t="s">
        <v>36</v>
      </c>
      <c r="C36" s="951">
        <f>C35*9.5</f>
        <v>8550</v>
      </c>
      <c r="D36" s="951">
        <f>D35*9.5</f>
        <v>10089</v>
      </c>
      <c r="E36" s="951">
        <f>SUM(E32)</f>
        <v>7258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2726</v>
      </c>
      <c r="D38" s="378" t="s">
        <v>253</v>
      </c>
      <c r="E38" s="381">
        <f>SUM(E36,D36,C36)</f>
        <v>25897</v>
      </c>
    </row>
    <row r="39" spans="2:5">
      <c r="B39" s="377" t="s">
        <v>197</v>
      </c>
      <c r="C39" s="378">
        <f>C40-C38</f>
        <v>4601</v>
      </c>
      <c r="D39" s="378" t="s">
        <v>204</v>
      </c>
      <c r="E39" s="381">
        <f>C39*9</f>
        <v>41409</v>
      </c>
    </row>
    <row r="40" spans="2:5" ht="19.5">
      <c r="B40" s="941" t="s">
        <v>201</v>
      </c>
      <c r="C40" s="380">
        <v>7327</v>
      </c>
      <c r="D40" s="380" t="s">
        <v>202</v>
      </c>
      <c r="E40" s="379">
        <f>SUM(E38+E39)</f>
        <v>67306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48C0B-E21F-42BF-9FAA-EA5076712F48}">
  <sheetPr>
    <pageSetUpPr fitToPage="1"/>
  </sheetPr>
  <dimension ref="B2:H44"/>
  <sheetViews>
    <sheetView topLeftCell="A13" zoomScale="80" zoomScaleNormal="80" workbookViewId="0">
      <selection activeCell="I22" sqref="I22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45055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44</v>
      </c>
      <c r="C7" s="630" t="s">
        <v>669</v>
      </c>
      <c r="D7" s="964">
        <v>364</v>
      </c>
      <c r="E7" s="965">
        <f t="shared" ref="E7:E12" si="0">D7*9.5</f>
        <v>3458</v>
      </c>
    </row>
    <row r="8" spans="2:8" ht="15" customHeight="1">
      <c r="B8" s="1198" t="s">
        <v>56</v>
      </c>
      <c r="C8" s="630" t="s">
        <v>669</v>
      </c>
      <c r="D8" s="964">
        <v>339</v>
      </c>
      <c r="E8" s="965">
        <f t="shared" si="0"/>
        <v>3220.5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703</v>
      </c>
      <c r="E12" s="965">
        <f t="shared" si="0"/>
        <v>6678.5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913</v>
      </c>
      <c r="C17" s="630" t="s">
        <v>669</v>
      </c>
      <c r="D17" s="964">
        <v>422</v>
      </c>
      <c r="E17" s="965">
        <f t="shared" ref="E17:E22" si="1">D17*9.5</f>
        <v>4009</v>
      </c>
    </row>
    <row r="18" spans="2:5" ht="15" customHeight="1">
      <c r="B18" s="1198" t="s">
        <v>56</v>
      </c>
      <c r="C18" s="630" t="s">
        <v>669</v>
      </c>
      <c r="D18" s="964">
        <v>457</v>
      </c>
      <c r="E18" s="965">
        <f t="shared" si="1"/>
        <v>4341.5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879</v>
      </c>
      <c r="E22" s="954">
        <f t="shared" si="1"/>
        <v>8350.5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238</v>
      </c>
      <c r="C27" s="630" t="s">
        <v>669</v>
      </c>
      <c r="D27" s="964">
        <v>296</v>
      </c>
      <c r="E27" s="965">
        <f>D27*9.5</f>
        <v>2812</v>
      </c>
    </row>
    <row r="28" spans="2:5">
      <c r="B28" s="1198" t="s">
        <v>278</v>
      </c>
      <c r="C28" s="630" t="s">
        <v>669</v>
      </c>
      <c r="D28" s="964">
        <v>451</v>
      </c>
      <c r="E28" s="965">
        <f t="shared" ref="E28:E31" si="2">D28*9.5</f>
        <v>4284.5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747</v>
      </c>
      <c r="E32" s="954">
        <f>SUM(E27:E31)</f>
        <v>7096.5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703</v>
      </c>
      <c r="D35" s="956">
        <f>D22</f>
        <v>879</v>
      </c>
      <c r="E35" s="956">
        <f>D32</f>
        <v>747</v>
      </c>
    </row>
    <row r="36" spans="2:5">
      <c r="B36" s="953" t="s">
        <v>36</v>
      </c>
      <c r="C36" s="951">
        <f>C35*9.5</f>
        <v>6678.5</v>
      </c>
      <c r="D36" s="951">
        <f>D35*9.5</f>
        <v>8350.5</v>
      </c>
      <c r="E36" s="951">
        <f>SUM(E32)</f>
        <v>7096.5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2329</v>
      </c>
      <c r="D38" s="378" t="s">
        <v>253</v>
      </c>
      <c r="E38" s="381">
        <f>SUM(E36,D36,C36)</f>
        <v>22125.5</v>
      </c>
    </row>
    <row r="39" spans="2:5">
      <c r="B39" s="377" t="s">
        <v>197</v>
      </c>
      <c r="C39" s="378">
        <f>C40-C38</f>
        <v>5115</v>
      </c>
      <c r="D39" s="378" t="s">
        <v>204</v>
      </c>
      <c r="E39" s="381">
        <f>C39*9</f>
        <v>46035</v>
      </c>
    </row>
    <row r="40" spans="2:5" ht="19.5">
      <c r="B40" s="941" t="s">
        <v>201</v>
      </c>
      <c r="C40" s="380">
        <v>7444</v>
      </c>
      <c r="D40" s="380" t="s">
        <v>202</v>
      </c>
      <c r="E40" s="379">
        <f>SUM(E38+E39)</f>
        <v>68160.5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0CC39-4EA6-44A6-A861-376E8B7E6E32}">
  <sheetPr>
    <pageSetUpPr fitToPage="1"/>
  </sheetPr>
  <dimension ref="B2:H44"/>
  <sheetViews>
    <sheetView topLeftCell="A13" zoomScale="80" zoomScaleNormal="80" workbookViewId="0">
      <selection activeCell="D29" sqref="D29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45056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914</v>
      </c>
      <c r="C7" s="630" t="s">
        <v>669</v>
      </c>
      <c r="D7" s="964">
        <v>405</v>
      </c>
      <c r="E7" s="965">
        <f t="shared" ref="E7:E12" si="0">D7*9.5</f>
        <v>3847.5</v>
      </c>
    </row>
    <row r="8" spans="2:8" ht="15" customHeight="1">
      <c r="B8" s="1198" t="s">
        <v>675</v>
      </c>
      <c r="C8" s="630" t="s">
        <v>669</v>
      </c>
      <c r="D8" s="964">
        <v>796</v>
      </c>
      <c r="E8" s="965">
        <f t="shared" si="0"/>
        <v>7562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1201</v>
      </c>
      <c r="E12" s="965">
        <f t="shared" si="0"/>
        <v>11409.5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65</v>
      </c>
      <c r="C17" s="630" t="s">
        <v>669</v>
      </c>
      <c r="D17" s="964">
        <v>513</v>
      </c>
      <c r="E17" s="965">
        <f t="shared" ref="E17:E22" si="1">D17*9.5</f>
        <v>4873.5</v>
      </c>
    </row>
    <row r="18" spans="2:5" ht="15" customHeight="1">
      <c r="B18" s="1198" t="s">
        <v>70</v>
      </c>
      <c r="C18" s="630" t="s">
        <v>669</v>
      </c>
      <c r="D18" s="964">
        <v>515</v>
      </c>
      <c r="E18" s="965">
        <f t="shared" si="1"/>
        <v>4892.5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1028</v>
      </c>
      <c r="E22" s="954">
        <f t="shared" si="1"/>
        <v>9766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279</v>
      </c>
      <c r="C27" s="630" t="s">
        <v>669</v>
      </c>
      <c r="D27" s="964">
        <v>634</v>
      </c>
      <c r="E27" s="965">
        <f>D27*9.5</f>
        <v>6023</v>
      </c>
    </row>
    <row r="28" spans="2:5">
      <c r="B28" s="1198" t="s">
        <v>331</v>
      </c>
      <c r="C28" s="630" t="s">
        <v>669</v>
      </c>
      <c r="D28" s="964">
        <v>415</v>
      </c>
      <c r="E28" s="965">
        <f t="shared" ref="E28:E31" si="2">D28*9.5</f>
        <v>3942.5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1049</v>
      </c>
      <c r="E32" s="954">
        <f>SUM(E27:E31)</f>
        <v>9965.5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1201</v>
      </c>
      <c r="D35" s="956">
        <f>D22</f>
        <v>1028</v>
      </c>
      <c r="E35" s="956">
        <f>D32</f>
        <v>1049</v>
      </c>
    </row>
    <row r="36" spans="2:5">
      <c r="B36" s="953" t="s">
        <v>36</v>
      </c>
      <c r="C36" s="951">
        <f>C35*9.5</f>
        <v>11409.5</v>
      </c>
      <c r="D36" s="951">
        <f>D35*9.5</f>
        <v>9766</v>
      </c>
      <c r="E36" s="951">
        <f>SUM(E32)</f>
        <v>9965.5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3278</v>
      </c>
      <c r="D38" s="378" t="s">
        <v>253</v>
      </c>
      <c r="E38" s="381">
        <f>SUM(E36,D36,C36)</f>
        <v>31141</v>
      </c>
    </row>
    <row r="39" spans="2:5">
      <c r="B39" s="377" t="s">
        <v>197</v>
      </c>
      <c r="C39" s="378">
        <f>C40-C38</f>
        <v>4872</v>
      </c>
      <c r="D39" s="378" t="s">
        <v>204</v>
      </c>
      <c r="E39" s="381">
        <f>C39*9</f>
        <v>43848</v>
      </c>
    </row>
    <row r="40" spans="2:5" ht="19.5">
      <c r="B40" s="941" t="s">
        <v>201</v>
      </c>
      <c r="C40" s="380">
        <v>8150</v>
      </c>
      <c r="D40" s="380" t="s">
        <v>202</v>
      </c>
      <c r="E40" s="379">
        <f>SUM(E38+E39)</f>
        <v>74989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ABDCB-2449-4685-BF41-AF53373D3A19}">
  <sheetPr>
    <pageSetUpPr fitToPage="1"/>
  </sheetPr>
  <dimension ref="B2:H44"/>
  <sheetViews>
    <sheetView topLeftCell="A13" zoomScale="80" zoomScaleNormal="80" workbookViewId="0">
      <selection activeCell="L24" sqref="L24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45057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205</v>
      </c>
      <c r="C7" s="630" t="s">
        <v>669</v>
      </c>
      <c r="D7" s="964">
        <v>317</v>
      </c>
      <c r="E7" s="965">
        <f t="shared" ref="E7:E12" si="0">D7*9.5</f>
        <v>3011.5</v>
      </c>
    </row>
    <row r="8" spans="2:8" ht="15" customHeight="1">
      <c r="B8" s="1198" t="s">
        <v>12</v>
      </c>
      <c r="C8" s="630" t="s">
        <v>669</v>
      </c>
      <c r="D8" s="964">
        <v>481</v>
      </c>
      <c r="E8" s="965">
        <f t="shared" si="0"/>
        <v>4569.5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798</v>
      </c>
      <c r="E12" s="965">
        <f t="shared" si="0"/>
        <v>7581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250</v>
      </c>
      <c r="C17" s="630" t="s">
        <v>669</v>
      </c>
      <c r="D17" s="964">
        <v>775</v>
      </c>
      <c r="E17" s="965">
        <f t="shared" ref="E17:E22" si="1">D17*9.5</f>
        <v>7362.5</v>
      </c>
    </row>
    <row r="18" spans="2:5" ht="15" customHeight="1">
      <c r="B18" s="1198" t="s">
        <v>675</v>
      </c>
      <c r="C18" s="630" t="s">
        <v>669</v>
      </c>
      <c r="D18" s="964">
        <v>959</v>
      </c>
      <c r="E18" s="965">
        <f t="shared" si="1"/>
        <v>9110.5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1734</v>
      </c>
      <c r="E22" s="954">
        <f t="shared" si="1"/>
        <v>16473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332</v>
      </c>
      <c r="C27" s="630" t="s">
        <v>669</v>
      </c>
      <c r="D27" s="964">
        <v>453</v>
      </c>
      <c r="E27" s="965">
        <f>D27*9.5</f>
        <v>4303.5</v>
      </c>
    </row>
    <row r="28" spans="2:5">
      <c r="B28" s="1198" t="s">
        <v>235</v>
      </c>
      <c r="C28" s="630" t="s">
        <v>669</v>
      </c>
      <c r="D28" s="964">
        <v>505</v>
      </c>
      <c r="E28" s="965">
        <f t="shared" ref="E28:E31" si="2">D28*9.5</f>
        <v>4797.5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958</v>
      </c>
      <c r="E32" s="954">
        <f>SUM(E27:E31)</f>
        <v>9101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798</v>
      </c>
      <c r="D35" s="956">
        <f>D22</f>
        <v>1734</v>
      </c>
      <c r="E35" s="956">
        <f>D32</f>
        <v>958</v>
      </c>
    </row>
    <row r="36" spans="2:5">
      <c r="B36" s="953" t="s">
        <v>36</v>
      </c>
      <c r="C36" s="951">
        <f>C35*9.5</f>
        <v>7581</v>
      </c>
      <c r="D36" s="951">
        <f>D35*9.5</f>
        <v>16473</v>
      </c>
      <c r="E36" s="951">
        <f>SUM(E32)</f>
        <v>9101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3490</v>
      </c>
      <c r="D38" s="378" t="s">
        <v>253</v>
      </c>
      <c r="E38" s="381">
        <f>SUM(E36,D36,C36)</f>
        <v>33155</v>
      </c>
    </row>
    <row r="39" spans="2:5">
      <c r="B39" s="377" t="s">
        <v>197</v>
      </c>
      <c r="C39" s="378">
        <f>C40-C38</f>
        <v>4751</v>
      </c>
      <c r="D39" s="378" t="s">
        <v>204</v>
      </c>
      <c r="E39" s="381">
        <f>C39*9</f>
        <v>42759</v>
      </c>
    </row>
    <row r="40" spans="2:5" ht="19.5">
      <c r="B40" s="941" t="s">
        <v>201</v>
      </c>
      <c r="C40" s="380">
        <v>8241</v>
      </c>
      <c r="D40" s="380" t="s">
        <v>202</v>
      </c>
      <c r="E40" s="379">
        <f>SUM(E38+E39)</f>
        <v>75914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954B5-456A-4A2D-828A-E792182EA600}">
  <sheetPr>
    <pageSetUpPr fitToPage="1"/>
  </sheetPr>
  <dimension ref="B2:H44"/>
  <sheetViews>
    <sheetView topLeftCell="A7" zoomScale="80" zoomScaleNormal="80" workbookViewId="0">
      <selection activeCell="D29" sqref="D29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45058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332</v>
      </c>
      <c r="C7" s="630" t="s">
        <v>669</v>
      </c>
      <c r="D7" s="964">
        <v>515</v>
      </c>
      <c r="E7" s="965">
        <f t="shared" ref="E7:E12" si="0">D7*9.5</f>
        <v>4892.5</v>
      </c>
    </row>
    <row r="8" spans="2:8" ht="15" customHeight="1">
      <c r="B8" s="1198" t="s">
        <v>256</v>
      </c>
      <c r="C8" s="630" t="s">
        <v>669</v>
      </c>
      <c r="D8" s="964">
        <v>242</v>
      </c>
      <c r="E8" s="965">
        <f t="shared" si="0"/>
        <v>2299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757</v>
      </c>
      <c r="E12" s="965">
        <f t="shared" si="0"/>
        <v>7191.5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802</v>
      </c>
      <c r="C17" s="630" t="s">
        <v>669</v>
      </c>
      <c r="D17" s="964">
        <v>377</v>
      </c>
      <c r="E17" s="965">
        <f t="shared" ref="E17:E22" si="1">D17*9.5</f>
        <v>3581.5</v>
      </c>
    </row>
    <row r="18" spans="2:5" ht="15" customHeight="1">
      <c r="B18" s="1198" t="s">
        <v>256</v>
      </c>
      <c r="C18" s="630" t="s">
        <v>669</v>
      </c>
      <c r="D18" s="964">
        <v>216</v>
      </c>
      <c r="E18" s="965">
        <f t="shared" si="1"/>
        <v>2052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593</v>
      </c>
      <c r="E22" s="954">
        <f t="shared" si="1"/>
        <v>5633.5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239</v>
      </c>
      <c r="C27" s="630" t="s">
        <v>669</v>
      </c>
      <c r="D27" s="964">
        <v>226</v>
      </c>
      <c r="E27" s="965">
        <f>D27*9.5</f>
        <v>2147</v>
      </c>
    </row>
    <row r="28" spans="2:5">
      <c r="B28" s="1198" t="s">
        <v>915</v>
      </c>
      <c r="C28" s="630" t="s">
        <v>669</v>
      </c>
      <c r="D28" s="964">
        <v>352</v>
      </c>
      <c r="E28" s="965">
        <f t="shared" ref="E28:E31" si="2">D28*9.5</f>
        <v>3344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578</v>
      </c>
      <c r="E32" s="954">
        <f>SUM(E27:E31)</f>
        <v>5491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757</v>
      </c>
      <c r="D35" s="956">
        <f>D22</f>
        <v>593</v>
      </c>
      <c r="E35" s="956">
        <f>D32</f>
        <v>578</v>
      </c>
    </row>
    <row r="36" spans="2:5">
      <c r="B36" s="953" t="s">
        <v>36</v>
      </c>
      <c r="C36" s="951">
        <f>C35*9.5</f>
        <v>7191.5</v>
      </c>
      <c r="D36" s="951">
        <f>D35*9.5</f>
        <v>5633.5</v>
      </c>
      <c r="E36" s="951">
        <f>SUM(E32)</f>
        <v>5491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1928</v>
      </c>
      <c r="D38" s="378" t="s">
        <v>253</v>
      </c>
      <c r="E38" s="381">
        <f>SUM(E36,D36,C36)</f>
        <v>18316</v>
      </c>
    </row>
    <row r="39" spans="2:5">
      <c r="B39" s="377" t="s">
        <v>197</v>
      </c>
      <c r="C39" s="378">
        <f>C40-C38</f>
        <v>3367</v>
      </c>
      <c r="D39" s="378" t="s">
        <v>204</v>
      </c>
      <c r="E39" s="381">
        <f>C39*9</f>
        <v>30303</v>
      </c>
    </row>
    <row r="40" spans="2:5" ht="19.5">
      <c r="B40" s="941" t="s">
        <v>201</v>
      </c>
      <c r="C40" s="380">
        <v>5295</v>
      </c>
      <c r="D40" s="380" t="s">
        <v>202</v>
      </c>
      <c r="E40" s="379">
        <f>SUM(E38+E39)</f>
        <v>48619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5911B-CEF0-4603-B081-C0D371ECADC6}">
  <sheetPr>
    <pageSetUpPr fitToPage="1"/>
  </sheetPr>
  <dimension ref="B2:H44"/>
  <sheetViews>
    <sheetView topLeftCell="A7" zoomScale="80" zoomScaleNormal="80" workbookViewId="0">
      <selection activeCell="D29" sqref="D29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45059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329</v>
      </c>
      <c r="C7" s="630" t="s">
        <v>669</v>
      </c>
      <c r="D7" s="964">
        <v>425</v>
      </c>
      <c r="E7" s="965">
        <f t="shared" ref="E7:E12" si="0">D7*9.5</f>
        <v>4037.5</v>
      </c>
    </row>
    <row r="8" spans="2:8" ht="15" customHeight="1">
      <c r="B8" s="1198" t="s">
        <v>802</v>
      </c>
      <c r="C8" s="630" t="s">
        <v>669</v>
      </c>
      <c r="D8" s="964">
        <v>350</v>
      </c>
      <c r="E8" s="965">
        <f t="shared" si="0"/>
        <v>3325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775</v>
      </c>
      <c r="E12" s="965">
        <f t="shared" si="0"/>
        <v>7362.5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250</v>
      </c>
      <c r="C17" s="630" t="s">
        <v>669</v>
      </c>
      <c r="D17" s="964">
        <v>727</v>
      </c>
      <c r="E17" s="965">
        <f t="shared" ref="E17:E22" si="1">D17*9.5</f>
        <v>6906.5</v>
      </c>
    </row>
    <row r="18" spans="2:5" ht="15" customHeight="1">
      <c r="B18" s="1198" t="s">
        <v>696</v>
      </c>
      <c r="C18" s="630" t="s">
        <v>669</v>
      </c>
      <c r="D18" s="964">
        <v>305</v>
      </c>
      <c r="E18" s="965">
        <f t="shared" si="1"/>
        <v>2897.5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1032</v>
      </c>
      <c r="E22" s="954">
        <f t="shared" si="1"/>
        <v>9804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259</v>
      </c>
      <c r="C27" s="630" t="s">
        <v>669</v>
      </c>
      <c r="D27" s="964">
        <v>288</v>
      </c>
      <c r="E27" s="965">
        <f>D27*9.5</f>
        <v>2736</v>
      </c>
    </row>
    <row r="28" spans="2:5">
      <c r="B28" s="1198" t="s">
        <v>333</v>
      </c>
      <c r="C28" s="630" t="s">
        <v>669</v>
      </c>
      <c r="D28" s="964">
        <v>283</v>
      </c>
      <c r="E28" s="965">
        <f t="shared" ref="E28:E31" si="2">D28*9.5</f>
        <v>2688.5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571</v>
      </c>
      <c r="E32" s="954">
        <f>SUM(E27:E31)</f>
        <v>5424.5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775</v>
      </c>
      <c r="D35" s="956">
        <f>D22</f>
        <v>1032</v>
      </c>
      <c r="E35" s="956">
        <f>D32</f>
        <v>571</v>
      </c>
    </row>
    <row r="36" spans="2:5">
      <c r="B36" s="953" t="s">
        <v>36</v>
      </c>
      <c r="C36" s="951">
        <f>C35*9.5</f>
        <v>7362.5</v>
      </c>
      <c r="D36" s="951">
        <f>D35*9.5</f>
        <v>9804</v>
      </c>
      <c r="E36" s="951">
        <f>SUM(E32)</f>
        <v>5424.5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2378</v>
      </c>
      <c r="D38" s="378" t="s">
        <v>253</v>
      </c>
      <c r="E38" s="381">
        <f>SUM(E36,D36,C36)</f>
        <v>22591</v>
      </c>
    </row>
    <row r="39" spans="2:5">
      <c r="B39" s="377" t="s">
        <v>197</v>
      </c>
      <c r="C39" s="378">
        <f>C40-C38</f>
        <v>328</v>
      </c>
      <c r="D39" s="378" t="s">
        <v>204</v>
      </c>
      <c r="E39" s="381">
        <f>C39*9</f>
        <v>2952</v>
      </c>
    </row>
    <row r="40" spans="2:5" ht="19.5">
      <c r="B40" s="941" t="s">
        <v>201</v>
      </c>
      <c r="C40" s="380">
        <v>2706</v>
      </c>
      <c r="D40" s="380" t="s">
        <v>202</v>
      </c>
      <c r="E40" s="379">
        <f>SUM(E38+E39)</f>
        <v>25543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79BF9-376A-41F9-83FA-730D7035AC79}">
  <sheetPr>
    <pageSetUpPr fitToPage="1"/>
  </sheetPr>
  <dimension ref="B2:H44"/>
  <sheetViews>
    <sheetView topLeftCell="A10" zoomScale="80" zoomScaleNormal="80" workbookViewId="0">
      <selection activeCell="D29" sqref="D29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45060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916</v>
      </c>
      <c r="C7" s="630" t="s">
        <v>669</v>
      </c>
      <c r="D7" s="964">
        <v>425</v>
      </c>
      <c r="E7" s="965">
        <f t="shared" ref="E7:E12" si="0">D7*9.5</f>
        <v>4037.5</v>
      </c>
    </row>
    <row r="8" spans="2:8" ht="15" customHeight="1">
      <c r="B8" s="1198" t="s">
        <v>44</v>
      </c>
      <c r="C8" s="630" t="s">
        <v>669</v>
      </c>
      <c r="D8" s="964">
        <v>322</v>
      </c>
      <c r="E8" s="965">
        <f t="shared" si="0"/>
        <v>3059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747</v>
      </c>
      <c r="E12" s="965">
        <f t="shared" si="0"/>
        <v>7096.5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239</v>
      </c>
      <c r="C17" s="630" t="s">
        <v>669</v>
      </c>
      <c r="D17" s="964">
        <v>429</v>
      </c>
      <c r="E17" s="965">
        <f t="shared" ref="E17:E22" si="1">D17*9.5</f>
        <v>4075.5</v>
      </c>
    </row>
    <row r="18" spans="2:5" ht="15" customHeight="1">
      <c r="B18" s="1198" t="s">
        <v>259</v>
      </c>
      <c r="C18" s="630" t="s">
        <v>669</v>
      </c>
      <c r="D18" s="964">
        <v>368</v>
      </c>
      <c r="E18" s="965">
        <f t="shared" si="1"/>
        <v>3496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797</v>
      </c>
      <c r="E22" s="954">
        <f t="shared" si="1"/>
        <v>7571.5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331</v>
      </c>
      <c r="C27" s="630" t="s">
        <v>669</v>
      </c>
      <c r="D27" s="964">
        <v>425</v>
      </c>
      <c r="E27" s="965">
        <f>D27*9.5</f>
        <v>4037.5</v>
      </c>
    </row>
    <row r="28" spans="2:5">
      <c r="B28" s="1198" t="s">
        <v>259</v>
      </c>
      <c r="C28" s="630" t="s">
        <v>669</v>
      </c>
      <c r="D28" s="964">
        <v>289</v>
      </c>
      <c r="E28" s="965">
        <f t="shared" ref="E28:E31" si="2">D28*9.5</f>
        <v>2745.5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714</v>
      </c>
      <c r="E32" s="954">
        <f>SUM(E27:E31)</f>
        <v>6783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747</v>
      </c>
      <c r="D35" s="956">
        <f>D22</f>
        <v>797</v>
      </c>
      <c r="E35" s="956">
        <f>D32</f>
        <v>714</v>
      </c>
    </row>
    <row r="36" spans="2:5">
      <c r="B36" s="953" t="s">
        <v>36</v>
      </c>
      <c r="C36" s="951">
        <f>C35*9.5</f>
        <v>7096.5</v>
      </c>
      <c r="D36" s="951">
        <f>D35*9.5</f>
        <v>7571.5</v>
      </c>
      <c r="E36" s="951">
        <f>SUM(E32)</f>
        <v>6783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2258</v>
      </c>
      <c r="D38" s="378" t="s">
        <v>253</v>
      </c>
      <c r="E38" s="381">
        <f>SUM(E36,D36,C36)</f>
        <v>21451</v>
      </c>
    </row>
    <row r="39" spans="2:5">
      <c r="B39" s="377" t="s">
        <v>197</v>
      </c>
      <c r="C39" s="378">
        <f>C40-C38</f>
        <v>362</v>
      </c>
      <c r="D39" s="378" t="s">
        <v>204</v>
      </c>
      <c r="E39" s="381">
        <f>C39*9</f>
        <v>3258</v>
      </c>
    </row>
    <row r="40" spans="2:5" ht="19.5">
      <c r="B40" s="941" t="s">
        <v>201</v>
      </c>
      <c r="C40" s="380">
        <v>2620</v>
      </c>
      <c r="D40" s="380" t="s">
        <v>202</v>
      </c>
      <c r="E40" s="379">
        <f>SUM(E38+E39)</f>
        <v>24709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49F20-6F08-4987-BEC5-8209F1C1B38B}">
  <sheetPr>
    <pageSetUpPr fitToPage="1"/>
  </sheetPr>
  <dimension ref="B2:H44"/>
  <sheetViews>
    <sheetView topLeftCell="A10" zoomScale="80" zoomScaleNormal="80" workbookViewId="0">
      <selection activeCell="N14" sqref="N14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45061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710</v>
      </c>
      <c r="C7" s="630" t="s">
        <v>669</v>
      </c>
      <c r="D7" s="964">
        <v>352</v>
      </c>
      <c r="E7" s="965">
        <f t="shared" ref="E7:E12" si="0">D7*9.5</f>
        <v>3344</v>
      </c>
    </row>
    <row r="8" spans="2:8" ht="15" customHeight="1">
      <c r="B8" s="1198" t="s">
        <v>65</v>
      </c>
      <c r="C8" s="630" t="s">
        <v>669</v>
      </c>
      <c r="D8" s="964">
        <v>531</v>
      </c>
      <c r="E8" s="965">
        <f t="shared" si="0"/>
        <v>5044.5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883</v>
      </c>
      <c r="E12" s="965">
        <f t="shared" si="0"/>
        <v>8388.5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678</v>
      </c>
      <c r="C17" s="630" t="s">
        <v>669</v>
      </c>
      <c r="D17" s="964">
        <v>650</v>
      </c>
      <c r="E17" s="965">
        <f t="shared" ref="E17:E22" si="1">D17*9.5</f>
        <v>6175</v>
      </c>
    </row>
    <row r="18" spans="2:5" ht="15" customHeight="1">
      <c r="B18" s="1198" t="s">
        <v>82</v>
      </c>
      <c r="C18" s="630" t="s">
        <v>669</v>
      </c>
      <c r="D18" s="964">
        <v>432</v>
      </c>
      <c r="E18" s="965">
        <f t="shared" si="1"/>
        <v>4104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1082</v>
      </c>
      <c r="E22" s="954">
        <f t="shared" si="1"/>
        <v>10279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278</v>
      </c>
      <c r="C27" s="630" t="s">
        <v>669</v>
      </c>
      <c r="D27" s="964">
        <v>431</v>
      </c>
      <c r="E27" s="965">
        <f>D27*9.5</f>
        <v>4094.5</v>
      </c>
    </row>
    <row r="28" spans="2:5">
      <c r="B28" s="1198" t="s">
        <v>12</v>
      </c>
      <c r="C28" s="630" t="s">
        <v>669</v>
      </c>
      <c r="D28" s="964">
        <v>313</v>
      </c>
      <c r="E28" s="965">
        <f t="shared" ref="E28:E31" si="2">D28*9.5</f>
        <v>2973.5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744</v>
      </c>
      <c r="E32" s="954">
        <f>SUM(E27:E31)</f>
        <v>7068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883</v>
      </c>
      <c r="D35" s="956">
        <f>D22</f>
        <v>1082</v>
      </c>
      <c r="E35" s="956">
        <f>D32</f>
        <v>744</v>
      </c>
    </row>
    <row r="36" spans="2:5">
      <c r="B36" s="953" t="s">
        <v>36</v>
      </c>
      <c r="C36" s="951">
        <f>C35*9.5</f>
        <v>8388.5</v>
      </c>
      <c r="D36" s="951">
        <f>D35*9.5</f>
        <v>10279</v>
      </c>
      <c r="E36" s="951">
        <f>SUM(E32)</f>
        <v>7068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2709</v>
      </c>
      <c r="D38" s="378" t="s">
        <v>253</v>
      </c>
      <c r="E38" s="381">
        <f>SUM(E36,D36,C36)</f>
        <v>25735.5</v>
      </c>
    </row>
    <row r="39" spans="2:5">
      <c r="B39" s="377" t="s">
        <v>197</v>
      </c>
      <c r="C39" s="378">
        <f>C40-C38</f>
        <v>4581</v>
      </c>
      <c r="D39" s="378" t="s">
        <v>204</v>
      </c>
      <c r="E39" s="381">
        <f>C39*9</f>
        <v>41229</v>
      </c>
    </row>
    <row r="40" spans="2:5" ht="19.5">
      <c r="B40" s="941" t="s">
        <v>201</v>
      </c>
      <c r="C40" s="380">
        <v>7290</v>
      </c>
      <c r="D40" s="380" t="s">
        <v>202</v>
      </c>
      <c r="E40" s="379">
        <f>SUM(E38+E39)</f>
        <v>66964.5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6B7AD-265B-4AE9-B6AD-69AA44066E37}">
  <sheetPr>
    <pageSetUpPr fitToPage="1"/>
  </sheetPr>
  <dimension ref="B2:H44"/>
  <sheetViews>
    <sheetView topLeftCell="A13" zoomScale="80" zoomScaleNormal="80" workbookViewId="0">
      <selection activeCell="D43" sqref="D43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45062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250</v>
      </c>
      <c r="C7" s="630" t="s">
        <v>669</v>
      </c>
      <c r="D7" s="964">
        <v>826</v>
      </c>
      <c r="E7" s="965">
        <f t="shared" ref="E7:E12" si="0">D7*9.5</f>
        <v>7847</v>
      </c>
    </row>
    <row r="8" spans="2:8" ht="15" customHeight="1">
      <c r="B8" s="1198" t="s">
        <v>300</v>
      </c>
      <c r="C8" s="630" t="s">
        <v>669</v>
      </c>
      <c r="D8" s="964">
        <v>342</v>
      </c>
      <c r="E8" s="965">
        <f t="shared" si="0"/>
        <v>3249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1168</v>
      </c>
      <c r="E12" s="965">
        <f t="shared" si="0"/>
        <v>11096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737</v>
      </c>
      <c r="C17" s="630" t="s">
        <v>669</v>
      </c>
      <c r="D17" s="964">
        <v>290</v>
      </c>
      <c r="E17" s="965">
        <f t="shared" ref="E17:E22" si="1">D17*9.5</f>
        <v>2755</v>
      </c>
    </row>
    <row r="18" spans="2:5" ht="15" customHeight="1">
      <c r="B18" s="1198" t="s">
        <v>244</v>
      </c>
      <c r="C18" s="630" t="s">
        <v>669</v>
      </c>
      <c r="D18" s="964">
        <v>846</v>
      </c>
      <c r="E18" s="965">
        <f t="shared" si="1"/>
        <v>8037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1136</v>
      </c>
      <c r="E22" s="954">
        <f t="shared" si="1"/>
        <v>10792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917</v>
      </c>
      <c r="C27" s="630" t="s">
        <v>669</v>
      </c>
      <c r="D27" s="964">
        <v>507</v>
      </c>
      <c r="E27" s="965">
        <f>D27*9.5</f>
        <v>4816.5</v>
      </c>
    </row>
    <row r="28" spans="2:5">
      <c r="B28" s="1198" t="s">
        <v>332</v>
      </c>
      <c r="C28" s="630" t="s">
        <v>669</v>
      </c>
      <c r="D28" s="964">
        <v>476</v>
      </c>
      <c r="E28" s="965">
        <f t="shared" ref="E28:E31" si="2">D28*9.5</f>
        <v>4522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983</v>
      </c>
      <c r="E32" s="954">
        <f>SUM(E27:E31)</f>
        <v>9338.5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1168</v>
      </c>
      <c r="D35" s="956">
        <f>D22</f>
        <v>1136</v>
      </c>
      <c r="E35" s="956">
        <f>D32</f>
        <v>983</v>
      </c>
    </row>
    <row r="36" spans="2:5">
      <c r="B36" s="953" t="s">
        <v>36</v>
      </c>
      <c r="C36" s="951">
        <f>C35*9.5</f>
        <v>11096</v>
      </c>
      <c r="D36" s="951">
        <f>D35*9.5</f>
        <v>10792</v>
      </c>
      <c r="E36" s="951">
        <f>SUM(E32)</f>
        <v>9338.5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3287</v>
      </c>
      <c r="D38" s="378" t="s">
        <v>253</v>
      </c>
      <c r="E38" s="381">
        <f>SUM(E36,D36,C36)</f>
        <v>31226.5</v>
      </c>
    </row>
    <row r="39" spans="2:5">
      <c r="B39" s="377" t="s">
        <v>197</v>
      </c>
      <c r="C39" s="378">
        <f>C40-C38</f>
        <v>5784</v>
      </c>
      <c r="D39" s="378" t="s">
        <v>204</v>
      </c>
      <c r="E39" s="381">
        <f>C39*9</f>
        <v>52056</v>
      </c>
    </row>
    <row r="40" spans="2:5" ht="19.5">
      <c r="B40" s="941" t="s">
        <v>201</v>
      </c>
      <c r="C40" s="380">
        <v>9071</v>
      </c>
      <c r="D40" s="380" t="s">
        <v>202</v>
      </c>
      <c r="E40" s="379">
        <f>SUM(E38+E39)</f>
        <v>83282.5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EC73F-AFB3-4E49-BDFB-F71226E79EA2}">
  <sheetPr>
    <pageSetUpPr fitToPage="1"/>
  </sheetPr>
  <dimension ref="B2:H44"/>
  <sheetViews>
    <sheetView topLeftCell="A16" zoomScale="80" zoomScaleNormal="80" workbookViewId="0">
      <selection activeCell="C41" sqref="C41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45063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252</v>
      </c>
      <c r="C7" s="630" t="s">
        <v>669</v>
      </c>
      <c r="D7" s="964">
        <v>388</v>
      </c>
      <c r="E7" s="965">
        <f t="shared" ref="E7:E12" si="0">D7*9.5</f>
        <v>3686</v>
      </c>
    </row>
    <row r="8" spans="2:8" ht="15" customHeight="1">
      <c r="B8" s="1198" t="s">
        <v>205</v>
      </c>
      <c r="C8" s="630" t="s">
        <v>669</v>
      </c>
      <c r="D8" s="964">
        <v>335</v>
      </c>
      <c r="E8" s="965">
        <f t="shared" si="0"/>
        <v>3182.5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723</v>
      </c>
      <c r="E12" s="965">
        <f t="shared" si="0"/>
        <v>6868.5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256</v>
      </c>
      <c r="C17" s="630" t="s">
        <v>669</v>
      </c>
      <c r="D17" s="964">
        <v>307</v>
      </c>
      <c r="E17" s="965">
        <f t="shared" ref="E17:E22" si="1">D17*9.5</f>
        <v>2916.5</v>
      </c>
    </row>
    <row r="18" spans="2:5" ht="15" customHeight="1">
      <c r="B18" s="1198" t="s">
        <v>65</v>
      </c>
      <c r="C18" s="630" t="s">
        <v>669</v>
      </c>
      <c r="D18" s="964">
        <v>486</v>
      </c>
      <c r="E18" s="965">
        <f t="shared" si="1"/>
        <v>4617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793</v>
      </c>
      <c r="E22" s="954">
        <f t="shared" si="1"/>
        <v>7533.5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334</v>
      </c>
      <c r="C27" s="630" t="s">
        <v>669</v>
      </c>
      <c r="D27" s="964">
        <v>458</v>
      </c>
      <c r="E27" s="965">
        <f>D27*9.5</f>
        <v>4351</v>
      </c>
    </row>
    <row r="28" spans="2:5">
      <c r="B28" s="1198" t="s">
        <v>45</v>
      </c>
      <c r="C28" s="630" t="s">
        <v>669</v>
      </c>
      <c r="D28" s="964">
        <v>329</v>
      </c>
      <c r="E28" s="965">
        <f t="shared" ref="E28:E31" si="2">D28*9.5</f>
        <v>3125.5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787</v>
      </c>
      <c r="E32" s="954">
        <f>SUM(E27:E31)</f>
        <v>7476.5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723</v>
      </c>
      <c r="D35" s="956">
        <f>D22</f>
        <v>793</v>
      </c>
      <c r="E35" s="956">
        <f>D32</f>
        <v>787</v>
      </c>
    </row>
    <row r="36" spans="2:5">
      <c r="B36" s="953" t="s">
        <v>36</v>
      </c>
      <c r="C36" s="951">
        <f>C35*9.5</f>
        <v>6868.5</v>
      </c>
      <c r="D36" s="951">
        <f>D35*9.5</f>
        <v>7533.5</v>
      </c>
      <c r="E36" s="951">
        <f>SUM(E32)</f>
        <v>7476.5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2303</v>
      </c>
      <c r="D38" s="378" t="s">
        <v>253</v>
      </c>
      <c r="E38" s="381">
        <f>SUM(E36,D36,C36)</f>
        <v>21878.5</v>
      </c>
    </row>
    <row r="39" spans="2:5">
      <c r="B39" s="377" t="s">
        <v>197</v>
      </c>
      <c r="C39" s="378">
        <f>C40-C38</f>
        <v>5891</v>
      </c>
      <c r="D39" s="378" t="s">
        <v>204</v>
      </c>
      <c r="E39" s="381">
        <f>C39*9</f>
        <v>53019</v>
      </c>
    </row>
    <row r="40" spans="2:5" ht="19.5">
      <c r="B40" s="941" t="s">
        <v>201</v>
      </c>
      <c r="C40" s="380">
        <v>8194</v>
      </c>
      <c r="D40" s="380" t="s">
        <v>202</v>
      </c>
      <c r="E40" s="379">
        <f>SUM(E38+E39)</f>
        <v>74897.5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70C2D-EE02-4F06-B3D6-BC3D3B2A8138}">
  <sheetPr>
    <pageSetUpPr fitToPage="1"/>
  </sheetPr>
  <dimension ref="B2:H44"/>
  <sheetViews>
    <sheetView zoomScale="80" zoomScaleNormal="80" workbookViewId="0">
      <selection activeCell="L14" sqref="L14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45064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829</v>
      </c>
      <c r="C7" s="630" t="s">
        <v>669</v>
      </c>
      <c r="D7" s="964"/>
      <c r="E7" s="965">
        <f t="shared" ref="E7:E12" si="0">D7*9.5</f>
        <v>0</v>
      </c>
      <c r="F7" s="934" t="s">
        <v>722</v>
      </c>
    </row>
    <row r="8" spans="2:8" ht="15" customHeight="1">
      <c r="B8" s="1198" t="s">
        <v>303</v>
      </c>
      <c r="C8" s="630" t="s">
        <v>669</v>
      </c>
      <c r="D8" s="964">
        <v>917</v>
      </c>
      <c r="E8" s="965">
        <f t="shared" si="0"/>
        <v>8711.5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917</v>
      </c>
      <c r="E12" s="965">
        <f t="shared" si="0"/>
        <v>8711.5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250</v>
      </c>
      <c r="C17" s="630" t="s">
        <v>669</v>
      </c>
      <c r="D17" s="964">
        <v>1025</v>
      </c>
      <c r="E17" s="965">
        <f t="shared" ref="E17:E22" si="1">D17*9.5</f>
        <v>9737.5</v>
      </c>
    </row>
    <row r="18" spans="2:5" ht="15" customHeight="1">
      <c r="B18" s="1198" t="s">
        <v>45</v>
      </c>
      <c r="C18" s="630" t="s">
        <v>669</v>
      </c>
      <c r="D18" s="964">
        <v>434</v>
      </c>
      <c r="E18" s="965">
        <f t="shared" si="1"/>
        <v>4123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1459</v>
      </c>
      <c r="E22" s="954">
        <f t="shared" si="1"/>
        <v>13860.5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329</v>
      </c>
      <c r="C27" s="630" t="s">
        <v>669</v>
      </c>
      <c r="D27" s="964">
        <v>683</v>
      </c>
      <c r="E27" s="965">
        <f>D27*9.5</f>
        <v>6488.5</v>
      </c>
    </row>
    <row r="28" spans="2:5">
      <c r="B28" s="1198" t="s">
        <v>256</v>
      </c>
      <c r="C28" s="630" t="s">
        <v>669</v>
      </c>
      <c r="D28" s="964">
        <v>203</v>
      </c>
      <c r="E28" s="965">
        <f t="shared" ref="E28:E31" si="2">D28*9.5</f>
        <v>1928.5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886</v>
      </c>
      <c r="E32" s="954">
        <f>SUM(E27:E31)</f>
        <v>8417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917</v>
      </c>
      <c r="D35" s="956">
        <f>D22</f>
        <v>1459</v>
      </c>
      <c r="E35" s="956">
        <f>D32</f>
        <v>886</v>
      </c>
    </row>
    <row r="36" spans="2:5">
      <c r="B36" s="953" t="s">
        <v>36</v>
      </c>
      <c r="C36" s="951">
        <f>C35*9.5</f>
        <v>8711.5</v>
      </c>
      <c r="D36" s="951">
        <f>D35*9.5</f>
        <v>13860.5</v>
      </c>
      <c r="E36" s="951">
        <f>SUM(E32)</f>
        <v>8417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3262</v>
      </c>
      <c r="D38" s="378" t="s">
        <v>253</v>
      </c>
      <c r="E38" s="381">
        <f>SUM(E36,D36,C36)</f>
        <v>30989</v>
      </c>
    </row>
    <row r="39" spans="2:5">
      <c r="B39" s="377" t="s">
        <v>197</v>
      </c>
      <c r="C39" s="378">
        <f>C40-C38</f>
        <v>5728</v>
      </c>
      <c r="D39" s="378" t="s">
        <v>204</v>
      </c>
      <c r="E39" s="381">
        <f>C39*9</f>
        <v>51552</v>
      </c>
    </row>
    <row r="40" spans="2:5" ht="19.5">
      <c r="B40" s="941" t="s">
        <v>201</v>
      </c>
      <c r="C40" s="380">
        <v>8990</v>
      </c>
      <c r="D40" s="380" t="s">
        <v>202</v>
      </c>
      <c r="E40" s="379">
        <f>SUM(E38+E39)</f>
        <v>82541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AF15-75AD-4156-9989-A567A7B4E0D8}">
  <sheetPr>
    <pageSetUpPr fitToPage="1"/>
  </sheetPr>
  <dimension ref="B2:H44"/>
  <sheetViews>
    <sheetView zoomScale="80" zoomScaleNormal="80" workbookViewId="0">
      <selection activeCell="C41" sqref="C41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45065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914</v>
      </c>
      <c r="C7" s="630" t="s">
        <v>669</v>
      </c>
      <c r="D7" s="964">
        <v>438</v>
      </c>
      <c r="E7" s="965">
        <f t="shared" ref="E7:E12" si="0">D7*9.5</f>
        <v>4161</v>
      </c>
    </row>
    <row r="8" spans="2:8" ht="15" customHeight="1">
      <c r="B8" s="1198" t="s">
        <v>78</v>
      </c>
      <c r="C8" s="630" t="s">
        <v>669</v>
      </c>
      <c r="D8" s="964">
        <v>486</v>
      </c>
      <c r="E8" s="965">
        <f t="shared" si="0"/>
        <v>4617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924</v>
      </c>
      <c r="E12" s="965">
        <f t="shared" si="0"/>
        <v>8778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802</v>
      </c>
      <c r="C17" s="630" t="s">
        <v>669</v>
      </c>
      <c r="D17" s="964">
        <v>380</v>
      </c>
      <c r="E17" s="965">
        <f t="shared" ref="E17:E22" si="1">D17*9.5</f>
        <v>3610</v>
      </c>
    </row>
    <row r="18" spans="2:5" ht="15" customHeight="1">
      <c r="B18" s="1198" t="s">
        <v>332</v>
      </c>
      <c r="C18" s="630" t="s">
        <v>669</v>
      </c>
      <c r="D18" s="964">
        <v>600</v>
      </c>
      <c r="E18" s="965">
        <f t="shared" si="1"/>
        <v>5700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980</v>
      </c>
      <c r="E22" s="954">
        <f t="shared" si="1"/>
        <v>9310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235</v>
      </c>
      <c r="C27" s="630" t="s">
        <v>669</v>
      </c>
      <c r="D27" s="964">
        <v>524</v>
      </c>
      <c r="E27" s="965">
        <f>D27*9.5</f>
        <v>4978</v>
      </c>
    </row>
    <row r="28" spans="2:5">
      <c r="B28" s="1198" t="s">
        <v>332</v>
      </c>
      <c r="C28" s="630" t="s">
        <v>669</v>
      </c>
      <c r="D28" s="964">
        <v>422</v>
      </c>
      <c r="E28" s="965">
        <f t="shared" ref="E28:E31" si="2">D28*9.5</f>
        <v>4009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946</v>
      </c>
      <c r="E32" s="954">
        <f>SUM(E27:E31)</f>
        <v>8987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924</v>
      </c>
      <c r="D35" s="956">
        <f>D22</f>
        <v>980</v>
      </c>
      <c r="E35" s="956">
        <f>D32</f>
        <v>946</v>
      </c>
    </row>
    <row r="36" spans="2:5">
      <c r="B36" s="953" t="s">
        <v>36</v>
      </c>
      <c r="C36" s="951">
        <f>C35*9.5</f>
        <v>8778</v>
      </c>
      <c r="D36" s="951">
        <f>D35*9.5</f>
        <v>9310</v>
      </c>
      <c r="E36" s="951">
        <f>SUM(E32)</f>
        <v>8987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2850</v>
      </c>
      <c r="D38" s="378" t="s">
        <v>253</v>
      </c>
      <c r="E38" s="381">
        <f>SUM(E36,D36,C36)</f>
        <v>27075</v>
      </c>
    </row>
    <row r="39" spans="2:5">
      <c r="B39" s="377" t="s">
        <v>197</v>
      </c>
      <c r="C39" s="378">
        <f>C40-C38</f>
        <v>4294</v>
      </c>
      <c r="D39" s="378" t="s">
        <v>204</v>
      </c>
      <c r="E39" s="381">
        <f>C39*9</f>
        <v>38646</v>
      </c>
    </row>
    <row r="40" spans="2:5" ht="19.5">
      <c r="B40" s="941" t="s">
        <v>201</v>
      </c>
      <c r="C40" s="380">
        <v>7144</v>
      </c>
      <c r="D40" s="380" t="s">
        <v>202</v>
      </c>
      <c r="E40" s="379">
        <f>SUM(E38+E39)</f>
        <v>65721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A75D2-6E60-4E52-8C23-A7ACB3F37F67}">
  <sheetPr>
    <pageSetUpPr fitToPage="1"/>
  </sheetPr>
  <dimension ref="B2:H44"/>
  <sheetViews>
    <sheetView zoomScale="80" zoomScaleNormal="80" workbookViewId="0">
      <selection activeCell="C41" sqref="C41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45066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303</v>
      </c>
      <c r="C7" s="630" t="s">
        <v>669</v>
      </c>
      <c r="D7" s="964">
        <v>1014</v>
      </c>
      <c r="E7" s="965">
        <f t="shared" ref="E7:E12" si="0">D7*9.5</f>
        <v>9633</v>
      </c>
    </row>
    <row r="8" spans="2:8" ht="15" customHeight="1">
      <c r="B8" s="1198" t="s">
        <v>252</v>
      </c>
      <c r="C8" s="630" t="s">
        <v>669</v>
      </c>
      <c r="D8" s="964">
        <v>325</v>
      </c>
      <c r="E8" s="965">
        <f t="shared" si="0"/>
        <v>3087.5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1339</v>
      </c>
      <c r="E12" s="965">
        <f t="shared" si="0"/>
        <v>12720.5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250</v>
      </c>
      <c r="C17" s="630" t="s">
        <v>669</v>
      </c>
      <c r="D17" s="964">
        <v>807</v>
      </c>
      <c r="E17" s="965">
        <f t="shared" ref="E17:E22" si="1">D17*9.5</f>
        <v>7666.5</v>
      </c>
    </row>
    <row r="18" spans="2:5" ht="15" customHeight="1">
      <c r="B18" s="1198" t="s">
        <v>281</v>
      </c>
      <c r="C18" s="630" t="s">
        <v>669</v>
      </c>
      <c r="D18" s="964">
        <v>359</v>
      </c>
      <c r="E18" s="965">
        <f t="shared" si="1"/>
        <v>3410.5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1166</v>
      </c>
      <c r="E22" s="954">
        <f t="shared" si="1"/>
        <v>11077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333</v>
      </c>
      <c r="C27" s="630" t="s">
        <v>669</v>
      </c>
      <c r="D27" s="964">
        <v>316</v>
      </c>
      <c r="E27" s="965">
        <f>D27*9.5</f>
        <v>3002</v>
      </c>
    </row>
    <row r="28" spans="2:5">
      <c r="B28" s="1198" t="s">
        <v>281</v>
      </c>
      <c r="C28" s="630" t="s">
        <v>669</v>
      </c>
      <c r="D28" s="964">
        <v>198</v>
      </c>
      <c r="E28" s="965">
        <f t="shared" ref="E28:E31" si="2">D28*9.5</f>
        <v>1881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514</v>
      </c>
      <c r="E32" s="954">
        <f>SUM(E27:E31)</f>
        <v>4883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1339</v>
      </c>
      <c r="D35" s="956">
        <f>D22</f>
        <v>1166</v>
      </c>
      <c r="E35" s="956">
        <f>D32</f>
        <v>514</v>
      </c>
    </row>
    <row r="36" spans="2:5">
      <c r="B36" s="953" t="s">
        <v>36</v>
      </c>
      <c r="C36" s="951">
        <f>C35*9.5</f>
        <v>12720.5</v>
      </c>
      <c r="D36" s="951">
        <f>D35*9.5</f>
        <v>11077</v>
      </c>
      <c r="E36" s="951">
        <f>SUM(E32)</f>
        <v>4883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3019</v>
      </c>
      <c r="D38" s="378" t="s">
        <v>253</v>
      </c>
      <c r="E38" s="381">
        <f>SUM(E36,D36,C36)</f>
        <v>28680.5</v>
      </c>
    </row>
    <row r="39" spans="2:5">
      <c r="B39" s="377" t="s">
        <v>197</v>
      </c>
      <c r="C39" s="378">
        <f>C40-C38</f>
        <v>330</v>
      </c>
      <c r="D39" s="378" t="s">
        <v>204</v>
      </c>
      <c r="E39" s="381">
        <f>C39*9</f>
        <v>2970</v>
      </c>
    </row>
    <row r="40" spans="2:5" ht="19.5">
      <c r="B40" s="941" t="s">
        <v>201</v>
      </c>
      <c r="C40" s="380">
        <v>3349</v>
      </c>
      <c r="D40" s="380" t="s">
        <v>202</v>
      </c>
      <c r="E40" s="379">
        <f>SUM(E38+E39)</f>
        <v>31650.5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A39A9-18EC-49AD-96F2-FB153334D61C}">
  <sheetPr>
    <pageSetUpPr fitToPage="1"/>
  </sheetPr>
  <dimension ref="B2:H44"/>
  <sheetViews>
    <sheetView zoomScale="80" zoomScaleNormal="80" workbookViewId="0">
      <selection activeCell="I9" sqref="I9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45067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678</v>
      </c>
      <c r="C7" s="630" t="s">
        <v>669</v>
      </c>
      <c r="D7" s="964">
        <v>535</v>
      </c>
      <c r="E7" s="965">
        <f t="shared" ref="E7:E12" si="0">D7*9.5</f>
        <v>5082.5</v>
      </c>
    </row>
    <row r="8" spans="2:8" ht="15" customHeight="1">
      <c r="B8" s="1198" t="s">
        <v>900</v>
      </c>
      <c r="C8" s="630" t="s">
        <v>669</v>
      </c>
      <c r="D8" s="964">
        <v>562</v>
      </c>
      <c r="E8" s="965">
        <f t="shared" si="0"/>
        <v>5339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1097</v>
      </c>
      <c r="E12" s="965">
        <f t="shared" si="0"/>
        <v>10421.5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259</v>
      </c>
      <c r="C17" s="630" t="s">
        <v>669</v>
      </c>
      <c r="D17" s="964">
        <v>455</v>
      </c>
      <c r="E17" s="965">
        <f t="shared" ref="E17:E22" si="1">D17*9.5</f>
        <v>4322.5</v>
      </c>
    </row>
    <row r="18" spans="2:5" ht="15" customHeight="1">
      <c r="B18" s="1198" t="s">
        <v>256</v>
      </c>
      <c r="C18" s="630" t="s">
        <v>669</v>
      </c>
      <c r="D18" s="964">
        <v>359</v>
      </c>
      <c r="E18" s="965">
        <f t="shared" si="1"/>
        <v>3410.5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814</v>
      </c>
      <c r="E22" s="954">
        <f t="shared" si="1"/>
        <v>7733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281</v>
      </c>
      <c r="C27" s="630" t="s">
        <v>669</v>
      </c>
      <c r="D27" s="964">
        <v>347</v>
      </c>
      <c r="E27" s="965">
        <f>D27*9.5</f>
        <v>3296.5</v>
      </c>
    </row>
    <row r="28" spans="2:5">
      <c r="B28" s="1198" t="s">
        <v>235</v>
      </c>
      <c r="C28" s="630" t="s">
        <v>669</v>
      </c>
      <c r="D28" s="964">
        <v>571</v>
      </c>
      <c r="E28" s="965">
        <f t="shared" ref="E28:E31" si="2">D28*9.5</f>
        <v>5424.5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918</v>
      </c>
      <c r="E32" s="954">
        <f>SUM(E27:E31)</f>
        <v>8721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1097</v>
      </c>
      <c r="D35" s="956">
        <f>D22</f>
        <v>814</v>
      </c>
      <c r="E35" s="956">
        <f>D32</f>
        <v>918</v>
      </c>
    </row>
    <row r="36" spans="2:5">
      <c r="B36" s="953" t="s">
        <v>36</v>
      </c>
      <c r="C36" s="951">
        <f>C35*9.5</f>
        <v>10421.5</v>
      </c>
      <c r="D36" s="951">
        <f>D35*9.5</f>
        <v>7733</v>
      </c>
      <c r="E36" s="951">
        <f>SUM(E32)</f>
        <v>8721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2829</v>
      </c>
      <c r="D38" s="378" t="s">
        <v>253</v>
      </c>
      <c r="E38" s="381">
        <f>SUM(E36,D36,C36)</f>
        <v>26875.5</v>
      </c>
    </row>
    <row r="39" spans="2:5">
      <c r="B39" s="377" t="s">
        <v>197</v>
      </c>
      <c r="C39" s="378">
        <f>C40-C38</f>
        <v>424</v>
      </c>
      <c r="D39" s="378" t="s">
        <v>204</v>
      </c>
      <c r="E39" s="381">
        <f>C39*9</f>
        <v>3816</v>
      </c>
    </row>
    <row r="40" spans="2:5" ht="19.5">
      <c r="B40" s="941" t="s">
        <v>201</v>
      </c>
      <c r="C40" s="380">
        <v>3253</v>
      </c>
      <c r="D40" s="380" t="s">
        <v>202</v>
      </c>
      <c r="E40" s="379">
        <f>SUM(E38+E39)</f>
        <v>30691.5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F067F-F5BB-4ABA-81F4-87B2F53C2830}">
  <sheetPr>
    <pageSetUpPr fitToPage="1"/>
  </sheetPr>
  <dimension ref="B2:H44"/>
  <sheetViews>
    <sheetView topLeftCell="A10" zoomScale="80" zoomScaleNormal="80" workbookViewId="0">
      <selection activeCell="N32" sqref="N32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45068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281</v>
      </c>
      <c r="C7" s="630" t="s">
        <v>669</v>
      </c>
      <c r="D7" s="964">
        <v>339</v>
      </c>
      <c r="E7" s="965">
        <f t="shared" ref="E7:E12" si="0">D7*9.5</f>
        <v>3220.5</v>
      </c>
    </row>
    <row r="8" spans="2:8" ht="15" customHeight="1">
      <c r="B8" s="1198" t="s">
        <v>65</v>
      </c>
      <c r="C8" s="630" t="s">
        <v>669</v>
      </c>
      <c r="D8" s="964">
        <v>488</v>
      </c>
      <c r="E8" s="965">
        <f t="shared" si="0"/>
        <v>4636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827</v>
      </c>
      <c r="E12" s="965">
        <f t="shared" si="0"/>
        <v>7856.5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205</v>
      </c>
      <c r="C17" s="630" t="s">
        <v>669</v>
      </c>
      <c r="D17" s="964">
        <v>346</v>
      </c>
      <c r="E17" s="965">
        <f t="shared" ref="E17:E22" si="1">D17*9.5</f>
        <v>3287</v>
      </c>
    </row>
    <row r="18" spans="2:5" ht="15" customHeight="1">
      <c r="B18" s="1198" t="s">
        <v>706</v>
      </c>
      <c r="C18" s="630" t="s">
        <v>669</v>
      </c>
      <c r="D18" s="964">
        <v>741</v>
      </c>
      <c r="E18" s="965">
        <f t="shared" si="1"/>
        <v>7039.5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1087</v>
      </c>
      <c r="E22" s="954">
        <f t="shared" si="1"/>
        <v>10326.5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238</v>
      </c>
      <c r="C27" s="630" t="s">
        <v>669</v>
      </c>
      <c r="D27" s="964">
        <v>257</v>
      </c>
      <c r="E27" s="965">
        <f>D27*9.5</f>
        <v>2441.5</v>
      </c>
    </row>
    <row r="28" spans="2:5">
      <c r="B28" s="1198" t="s">
        <v>278</v>
      </c>
      <c r="C28" s="630" t="s">
        <v>669</v>
      </c>
      <c r="D28" s="964">
        <v>425</v>
      </c>
      <c r="E28" s="965">
        <f t="shared" ref="E28:E31" si="2">D28*9.5</f>
        <v>4037.5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682</v>
      </c>
      <c r="E32" s="954">
        <f>SUM(E27:E31)</f>
        <v>6479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827</v>
      </c>
      <c r="D35" s="956">
        <f>D22</f>
        <v>1087</v>
      </c>
      <c r="E35" s="956">
        <f>D32</f>
        <v>682</v>
      </c>
    </row>
    <row r="36" spans="2:5">
      <c r="B36" s="953" t="s">
        <v>36</v>
      </c>
      <c r="C36" s="951">
        <f>C35*9.5</f>
        <v>7856.5</v>
      </c>
      <c r="D36" s="951">
        <f>D35*9.5</f>
        <v>10326.5</v>
      </c>
      <c r="E36" s="951">
        <f>SUM(E32)</f>
        <v>6479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2596</v>
      </c>
      <c r="D38" s="378" t="s">
        <v>253</v>
      </c>
      <c r="E38" s="381">
        <f>SUM(E36,D36,C36)</f>
        <v>24662</v>
      </c>
    </row>
    <row r="39" spans="2:5">
      <c r="B39" s="377" t="s">
        <v>197</v>
      </c>
      <c r="C39" s="378">
        <f>C40-C38</f>
        <v>5524</v>
      </c>
      <c r="D39" s="378" t="s">
        <v>204</v>
      </c>
      <c r="E39" s="381">
        <f>C39*9</f>
        <v>49716</v>
      </c>
    </row>
    <row r="40" spans="2:5" ht="19.5">
      <c r="B40" s="941" t="s">
        <v>201</v>
      </c>
      <c r="C40" s="380">
        <v>8120</v>
      </c>
      <c r="D40" s="380" t="s">
        <v>202</v>
      </c>
      <c r="E40" s="379">
        <f>SUM(E38+E39)</f>
        <v>74378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452F6-F8FD-4E99-8004-A58CBB9D97DE}">
  <sheetPr>
    <pageSetUpPr fitToPage="1"/>
  </sheetPr>
  <dimension ref="B2:H44"/>
  <sheetViews>
    <sheetView topLeftCell="A7" zoomScale="80" zoomScaleNormal="80" workbookViewId="0">
      <selection activeCell="N32" sqref="N32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45069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802</v>
      </c>
      <c r="C7" s="630" t="s">
        <v>669</v>
      </c>
      <c r="D7" s="964">
        <v>381</v>
      </c>
      <c r="E7" s="965">
        <f t="shared" ref="E7:E12" si="0">D7*9.5</f>
        <v>3619.5</v>
      </c>
    </row>
    <row r="8" spans="2:8" ht="15" customHeight="1">
      <c r="B8" s="1198" t="s">
        <v>303</v>
      </c>
      <c r="C8" s="630" t="s">
        <v>669</v>
      </c>
      <c r="D8" s="964">
        <v>959</v>
      </c>
      <c r="E8" s="965">
        <f t="shared" si="0"/>
        <v>9110.5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1340</v>
      </c>
      <c r="E12" s="965">
        <f t="shared" si="0"/>
        <v>12730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728</v>
      </c>
      <c r="C17" s="630" t="s">
        <v>669</v>
      </c>
      <c r="D17" s="964">
        <v>279</v>
      </c>
      <c r="E17" s="965">
        <f t="shared" ref="E17:E22" si="1">D17*9.5</f>
        <v>2650.5</v>
      </c>
    </row>
    <row r="18" spans="2:5" ht="15" customHeight="1">
      <c r="B18" s="1198" t="s">
        <v>44</v>
      </c>
      <c r="C18" s="630" t="s">
        <v>669</v>
      </c>
      <c r="D18" s="964">
        <v>443</v>
      </c>
      <c r="E18" s="965">
        <f t="shared" si="1"/>
        <v>4208.5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722</v>
      </c>
      <c r="E22" s="954">
        <f t="shared" si="1"/>
        <v>6859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334</v>
      </c>
      <c r="C27" s="630" t="s">
        <v>669</v>
      </c>
      <c r="D27" s="964">
        <v>469</v>
      </c>
      <c r="E27" s="965">
        <f>D27*9.5</f>
        <v>4455.5</v>
      </c>
    </row>
    <row r="28" spans="2:5">
      <c r="B28" s="1198" t="s">
        <v>252</v>
      </c>
      <c r="C28" s="630" t="s">
        <v>669</v>
      </c>
      <c r="D28" s="964">
        <v>300</v>
      </c>
      <c r="E28" s="965">
        <f t="shared" ref="E28:E31" si="2">D28*9.5</f>
        <v>2850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769</v>
      </c>
      <c r="E32" s="954">
        <f>SUM(E27:E31)</f>
        <v>7305.5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1340</v>
      </c>
      <c r="D35" s="956">
        <f>D22</f>
        <v>722</v>
      </c>
      <c r="E35" s="956">
        <f>D32</f>
        <v>769</v>
      </c>
    </row>
    <row r="36" spans="2:5">
      <c r="B36" s="953" t="s">
        <v>36</v>
      </c>
      <c r="C36" s="951">
        <f>C35*9.5</f>
        <v>12730</v>
      </c>
      <c r="D36" s="951">
        <f>D35*9.5</f>
        <v>6859</v>
      </c>
      <c r="E36" s="951">
        <f>SUM(E32)</f>
        <v>7305.5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2831</v>
      </c>
      <c r="D38" s="378" t="s">
        <v>253</v>
      </c>
      <c r="E38" s="381">
        <f>SUM(E36,D36,C36)</f>
        <v>26894.5</v>
      </c>
    </row>
    <row r="39" spans="2:5">
      <c r="B39" s="377" t="s">
        <v>197</v>
      </c>
      <c r="C39" s="378">
        <f>C40-C38</f>
        <v>6205</v>
      </c>
      <c r="D39" s="378" t="s">
        <v>204</v>
      </c>
      <c r="E39" s="381">
        <f>C39*9</f>
        <v>55845</v>
      </c>
    </row>
    <row r="40" spans="2:5" ht="19.5">
      <c r="B40" s="941" t="s">
        <v>201</v>
      </c>
      <c r="C40" s="380">
        <v>9036</v>
      </c>
      <c r="D40" s="380" t="s">
        <v>202</v>
      </c>
      <c r="E40" s="379">
        <f>SUM(E38+E39)</f>
        <v>82739.5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B3B02-2CD5-4F00-8FDE-BB82D8AD641E}">
  <sheetPr>
    <pageSetUpPr fitToPage="1"/>
  </sheetPr>
  <dimension ref="B2:H44"/>
  <sheetViews>
    <sheetView topLeftCell="A7" zoomScale="80" zoomScaleNormal="80" workbookViewId="0">
      <selection activeCell="N32" sqref="N32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45070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914</v>
      </c>
      <c r="C7" s="630" t="s">
        <v>669</v>
      </c>
      <c r="D7" s="964">
        <v>411</v>
      </c>
      <c r="E7" s="965">
        <f t="shared" ref="E7:E12" si="0">D7*9.5</f>
        <v>3904.5</v>
      </c>
    </row>
    <row r="8" spans="2:8" ht="15" customHeight="1">
      <c r="B8" s="1198" t="s">
        <v>678</v>
      </c>
      <c r="C8" s="630" t="s">
        <v>669</v>
      </c>
      <c r="D8" s="964">
        <v>466</v>
      </c>
      <c r="E8" s="965">
        <f t="shared" si="0"/>
        <v>4427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877</v>
      </c>
      <c r="E12" s="965">
        <f t="shared" si="0"/>
        <v>8331.5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330</v>
      </c>
      <c r="C17" s="630" t="s">
        <v>669</v>
      </c>
      <c r="D17" s="964">
        <v>817</v>
      </c>
      <c r="E17" s="965">
        <f t="shared" ref="E17:E22" si="1">D17*9.5</f>
        <v>7761.5</v>
      </c>
    </row>
    <row r="18" spans="2:5" ht="15" customHeight="1">
      <c r="B18" s="1198" t="s">
        <v>256</v>
      </c>
      <c r="C18" s="630" t="s">
        <v>669</v>
      </c>
      <c r="D18" s="964">
        <v>329</v>
      </c>
      <c r="E18" s="965">
        <f t="shared" si="1"/>
        <v>3125.5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1146</v>
      </c>
      <c r="E22" s="954">
        <f t="shared" si="1"/>
        <v>10887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331</v>
      </c>
      <c r="C27" s="630" t="s">
        <v>669</v>
      </c>
      <c r="D27" s="964">
        <v>427</v>
      </c>
      <c r="E27" s="965">
        <f>D27*9.5</f>
        <v>4056.5</v>
      </c>
    </row>
    <row r="28" spans="2:5">
      <c r="B28" s="1198" t="s">
        <v>65</v>
      </c>
      <c r="C28" s="630" t="s">
        <v>669</v>
      </c>
      <c r="D28" s="964">
        <v>321</v>
      </c>
      <c r="E28" s="965">
        <f t="shared" ref="E28:E31" si="2">D28*9.5</f>
        <v>3049.5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748</v>
      </c>
      <c r="E32" s="954">
        <f>SUM(E27:E31)</f>
        <v>7106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877</v>
      </c>
      <c r="D35" s="956">
        <f>D22</f>
        <v>1146</v>
      </c>
      <c r="E35" s="956">
        <f>D32</f>
        <v>748</v>
      </c>
    </row>
    <row r="36" spans="2:5">
      <c r="B36" s="953" t="s">
        <v>36</v>
      </c>
      <c r="C36" s="951">
        <f>C35*9.5</f>
        <v>8331.5</v>
      </c>
      <c r="D36" s="951">
        <f>D35*9.5</f>
        <v>10887</v>
      </c>
      <c r="E36" s="951">
        <f>SUM(E32)</f>
        <v>7106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2771</v>
      </c>
      <c r="D38" s="378" t="s">
        <v>253</v>
      </c>
      <c r="E38" s="381">
        <f>SUM(E36,D36,C36)</f>
        <v>26324.5</v>
      </c>
    </row>
    <row r="39" spans="2:5">
      <c r="B39" s="377" t="s">
        <v>197</v>
      </c>
      <c r="C39" s="378">
        <f>C40-C38</f>
        <v>6055</v>
      </c>
      <c r="D39" s="378" t="s">
        <v>204</v>
      </c>
      <c r="E39" s="381">
        <f>C39*9</f>
        <v>54495</v>
      </c>
    </row>
    <row r="40" spans="2:5" ht="19.5">
      <c r="B40" s="941" t="s">
        <v>201</v>
      </c>
      <c r="C40" s="380">
        <v>8826</v>
      </c>
      <c r="D40" s="380" t="s">
        <v>202</v>
      </c>
      <c r="E40" s="379">
        <f>SUM(E38+E39)</f>
        <v>80819.5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4E156-8D21-478E-8E22-533F1407CD19}">
  <sheetPr>
    <pageSetUpPr fitToPage="1"/>
  </sheetPr>
  <dimension ref="B2:H44"/>
  <sheetViews>
    <sheetView topLeftCell="A7" zoomScale="80" zoomScaleNormal="80" workbookViewId="0">
      <selection activeCell="N32" sqref="N32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45071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12</v>
      </c>
      <c r="C7" s="630" t="s">
        <v>669</v>
      </c>
      <c r="D7" s="964">
        <v>439</v>
      </c>
      <c r="E7" s="965">
        <f t="shared" ref="E7:E12" si="0">D7*9.5</f>
        <v>4170.5</v>
      </c>
    </row>
    <row r="8" spans="2:8" ht="15" customHeight="1">
      <c r="B8" s="1198" t="s">
        <v>250</v>
      </c>
      <c r="C8" s="630" t="s">
        <v>669</v>
      </c>
      <c r="D8" s="964">
        <v>812</v>
      </c>
      <c r="E8" s="965">
        <f t="shared" si="0"/>
        <v>7714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1251</v>
      </c>
      <c r="E12" s="965">
        <f t="shared" si="0"/>
        <v>11884.5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250</v>
      </c>
      <c r="C17" s="630" t="s">
        <v>669</v>
      </c>
      <c r="D17" s="964">
        <v>885</v>
      </c>
      <c r="E17" s="965">
        <f t="shared" ref="E17:E22" si="1">D17*9.5</f>
        <v>8407.5</v>
      </c>
    </row>
    <row r="18" spans="2:5" ht="15" customHeight="1">
      <c r="B18" s="1198" t="s">
        <v>303</v>
      </c>
      <c r="C18" s="630" t="s">
        <v>669</v>
      </c>
      <c r="D18" s="964">
        <v>1090</v>
      </c>
      <c r="E18" s="965">
        <f t="shared" si="1"/>
        <v>10355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1975</v>
      </c>
      <c r="E22" s="954">
        <f t="shared" si="1"/>
        <v>18762.5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235</v>
      </c>
      <c r="C27" s="630" t="s">
        <v>669</v>
      </c>
      <c r="D27" s="964">
        <v>467</v>
      </c>
      <c r="E27" s="965">
        <f>D27*9.5</f>
        <v>4436.5</v>
      </c>
    </row>
    <row r="28" spans="2:5">
      <c r="B28" s="1198" t="s">
        <v>70</v>
      </c>
      <c r="C28" s="630" t="s">
        <v>669</v>
      </c>
      <c r="D28" s="964">
        <v>381</v>
      </c>
      <c r="E28" s="965">
        <f t="shared" ref="E28:E31" si="2">D28*9.5</f>
        <v>3619.5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848</v>
      </c>
      <c r="E32" s="954">
        <f>SUM(E27:E31)</f>
        <v>8056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1251</v>
      </c>
      <c r="D35" s="956">
        <f>D22</f>
        <v>1975</v>
      </c>
      <c r="E35" s="956">
        <f>D32</f>
        <v>848</v>
      </c>
    </row>
    <row r="36" spans="2:5">
      <c r="B36" s="953" t="s">
        <v>36</v>
      </c>
      <c r="C36" s="951">
        <f>C35*9.5</f>
        <v>11884.5</v>
      </c>
      <c r="D36" s="951">
        <f>D35*9.5</f>
        <v>18762.5</v>
      </c>
      <c r="E36" s="951">
        <f>SUM(E32)</f>
        <v>8056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4074</v>
      </c>
      <c r="D38" s="378" t="s">
        <v>253</v>
      </c>
      <c r="E38" s="381">
        <f>SUM(E36,D36,C36)</f>
        <v>38703</v>
      </c>
    </row>
    <row r="39" spans="2:5">
      <c r="B39" s="377" t="s">
        <v>197</v>
      </c>
      <c r="C39" s="378">
        <f>C40-C38</f>
        <v>5759</v>
      </c>
      <c r="D39" s="378" t="s">
        <v>204</v>
      </c>
      <c r="E39" s="381">
        <f>C39*9</f>
        <v>51831</v>
      </c>
    </row>
    <row r="40" spans="2:5" ht="19.5">
      <c r="B40" s="941" t="s">
        <v>201</v>
      </c>
      <c r="C40" s="380">
        <v>9833</v>
      </c>
      <c r="D40" s="380" t="s">
        <v>202</v>
      </c>
      <c r="E40" s="379">
        <f>SUM(E38+E39)</f>
        <v>90534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D572D-7018-4C62-9428-3CC19C898658}">
  <sheetPr>
    <pageSetUpPr fitToPage="1"/>
  </sheetPr>
  <dimension ref="B2:H44"/>
  <sheetViews>
    <sheetView zoomScale="80" zoomScaleNormal="80" workbookViewId="0">
      <selection activeCell="C38" sqref="C38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45072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98" t="s">
        <v>711</v>
      </c>
      <c r="C7" s="630" t="s">
        <v>669</v>
      </c>
      <c r="D7" s="964">
        <v>733</v>
      </c>
      <c r="E7" s="965">
        <f t="shared" ref="E7:E11" si="0">D7*9.5</f>
        <v>6963.5</v>
      </c>
    </row>
    <row r="8" spans="2:8" ht="15" customHeight="1">
      <c r="B8" s="1198" t="s">
        <v>53</v>
      </c>
      <c r="C8" s="630" t="s">
        <v>669</v>
      </c>
      <c r="D8" s="964">
        <v>268</v>
      </c>
      <c r="E8" s="965">
        <f>D8*10</f>
        <v>2680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1001</v>
      </c>
      <c r="E12" s="965">
        <f>SUM(E7:E11)</f>
        <v>9643.5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98" t="s">
        <v>244</v>
      </c>
      <c r="C17" s="630" t="s">
        <v>669</v>
      </c>
      <c r="D17" s="964">
        <v>632</v>
      </c>
      <c r="E17" s="965">
        <f t="shared" ref="E17:E22" si="1">D17*9.5</f>
        <v>6004</v>
      </c>
    </row>
    <row r="18" spans="2:5" ht="15" customHeight="1">
      <c r="B18" s="1198" t="s">
        <v>45</v>
      </c>
      <c r="C18" s="630" t="s">
        <v>669</v>
      </c>
      <c r="D18" s="964">
        <v>355</v>
      </c>
      <c r="E18" s="965">
        <f t="shared" si="1"/>
        <v>3372.5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987</v>
      </c>
      <c r="E22" s="954">
        <f t="shared" si="1"/>
        <v>9376.5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333</v>
      </c>
      <c r="C27" s="630" t="s">
        <v>669</v>
      </c>
      <c r="D27" s="964">
        <v>206</v>
      </c>
      <c r="E27" s="965">
        <f>D27*9.5</f>
        <v>1957</v>
      </c>
    </row>
    <row r="28" spans="2:5">
      <c r="B28" s="1198" t="s">
        <v>332</v>
      </c>
      <c r="C28" s="630" t="s">
        <v>669</v>
      </c>
      <c r="D28" s="964">
        <v>343</v>
      </c>
      <c r="E28" s="965">
        <f t="shared" ref="E28:E31" si="2">D28*9.5</f>
        <v>3258.5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549</v>
      </c>
      <c r="E32" s="954">
        <f>SUM(E27:E31)</f>
        <v>5215.5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1001</v>
      </c>
      <c r="D35" s="956">
        <f>D22</f>
        <v>987</v>
      </c>
      <c r="E35" s="956">
        <f>D32</f>
        <v>549</v>
      </c>
    </row>
    <row r="36" spans="2:5">
      <c r="B36" s="953" t="s">
        <v>36</v>
      </c>
      <c r="C36" s="951">
        <f>SUM(E7:E8)</f>
        <v>9643.5</v>
      </c>
      <c r="D36" s="951">
        <f>D35*9.5</f>
        <v>9376.5</v>
      </c>
      <c r="E36" s="951">
        <f>SUM(E32)</f>
        <v>5215.5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2537</v>
      </c>
      <c r="D38" s="378" t="s">
        <v>253</v>
      </c>
      <c r="E38" s="381">
        <f>SUM(E36,D36,C36)</f>
        <v>24235.5</v>
      </c>
    </row>
    <row r="39" spans="2:5">
      <c r="B39" s="377" t="s">
        <v>197</v>
      </c>
      <c r="C39" s="378">
        <f>C40-C38</f>
        <v>4208</v>
      </c>
      <c r="D39" s="378" t="s">
        <v>204</v>
      </c>
      <c r="E39" s="381">
        <f>C39*9</f>
        <v>37872</v>
      </c>
    </row>
    <row r="40" spans="2:5" ht="19.5">
      <c r="B40" s="941" t="s">
        <v>201</v>
      </c>
      <c r="C40" s="380">
        <v>6745</v>
      </c>
      <c r="D40" s="380" t="s">
        <v>202</v>
      </c>
      <c r="E40" s="379">
        <f>SUM(E38+E39)</f>
        <v>62107.5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6588F-97C8-4CE2-92E3-C3A60153A5E7}">
  <sheetPr>
    <pageSetUpPr fitToPage="1"/>
  </sheetPr>
  <dimension ref="B2:H44"/>
  <sheetViews>
    <sheetView topLeftCell="A7" zoomScale="80" zoomScaleNormal="80" workbookViewId="0">
      <selection activeCell="N32" sqref="N32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45073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783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0"/>
      <c r="C7" s="630" t="s">
        <v>669</v>
      </c>
      <c r="D7" s="964"/>
      <c r="E7" s="965">
        <f t="shared" ref="E7:E12" si="0">D7*9.5</f>
        <v>0</v>
      </c>
    </row>
    <row r="8" spans="2:8" ht="15" customHeight="1">
      <c r="B8" s="1130"/>
      <c r="C8" s="630" t="s">
        <v>669</v>
      </c>
      <c r="D8" s="964"/>
      <c r="E8" s="965">
        <f t="shared" si="0"/>
        <v>0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0</v>
      </c>
      <c r="E12" s="965">
        <f t="shared" si="0"/>
        <v>0</v>
      </c>
    </row>
    <row r="14" spans="2:8" ht="19.5">
      <c r="B14" s="941" t="s">
        <v>671</v>
      </c>
      <c r="C14" s="1256" t="s">
        <v>920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30"/>
      <c r="C17" s="630" t="s">
        <v>669</v>
      </c>
      <c r="D17" s="964"/>
      <c r="E17" s="965">
        <f t="shared" ref="E17:E22" si="1">D17*9.5</f>
        <v>0</v>
      </c>
    </row>
    <row r="18" spans="2:5" ht="15" customHeight="1">
      <c r="B18" s="1130"/>
      <c r="C18" s="630" t="s">
        <v>669</v>
      </c>
      <c r="D18" s="964"/>
      <c r="E18" s="965">
        <f t="shared" si="1"/>
        <v>0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0</v>
      </c>
      <c r="E22" s="954">
        <f t="shared" si="1"/>
        <v>0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331</v>
      </c>
      <c r="C27" s="630" t="s">
        <v>669</v>
      </c>
      <c r="D27" s="964">
        <v>371</v>
      </c>
      <c r="E27" s="965">
        <f>D27*9.5</f>
        <v>3524.5</v>
      </c>
    </row>
    <row r="28" spans="2:5">
      <c r="B28" s="1198" t="s">
        <v>252</v>
      </c>
      <c r="C28" s="630" t="s">
        <v>669</v>
      </c>
      <c r="D28" s="964">
        <v>267</v>
      </c>
      <c r="E28" s="965">
        <f t="shared" ref="E28:E31" si="2">D28*9.5</f>
        <v>2536.5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638</v>
      </c>
      <c r="E32" s="954">
        <f>SUM(E27:E31)</f>
        <v>6061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0</v>
      </c>
      <c r="D35" s="956">
        <f>D22</f>
        <v>0</v>
      </c>
      <c r="E35" s="956">
        <f>D32</f>
        <v>638</v>
      </c>
    </row>
    <row r="36" spans="2:5">
      <c r="B36" s="953" t="s">
        <v>36</v>
      </c>
      <c r="C36" s="951">
        <f>C35*9.5</f>
        <v>0</v>
      </c>
      <c r="D36" s="951">
        <f>D35*9.5</f>
        <v>0</v>
      </c>
      <c r="E36" s="951">
        <f>SUM(E32)</f>
        <v>6061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638</v>
      </c>
      <c r="D38" s="378" t="s">
        <v>253</v>
      </c>
      <c r="E38" s="381">
        <f>SUM(E36,D36,C36)</f>
        <v>6061</v>
      </c>
    </row>
    <row r="39" spans="2:5">
      <c r="B39" s="377" t="s">
        <v>197</v>
      </c>
      <c r="C39" s="378">
        <f>C40-C38</f>
        <v>167</v>
      </c>
      <c r="D39" s="378" t="s">
        <v>204</v>
      </c>
      <c r="E39" s="381">
        <f>C39*9</f>
        <v>1503</v>
      </c>
    </row>
    <row r="40" spans="2:5" ht="19.5">
      <c r="B40" s="941" t="s">
        <v>201</v>
      </c>
      <c r="C40" s="380">
        <v>805</v>
      </c>
      <c r="D40" s="380" t="s">
        <v>202</v>
      </c>
      <c r="E40" s="379">
        <f>SUM(E38+E39)</f>
        <v>7564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07D3-94CE-4266-9A9B-6F83F930D774}">
  <sheetPr>
    <pageSetUpPr fitToPage="1"/>
  </sheetPr>
  <dimension ref="B2:H44"/>
  <sheetViews>
    <sheetView zoomScale="80" zoomScaleNormal="80" workbookViewId="0">
      <selection activeCell="N32" sqref="N32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45074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783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0"/>
      <c r="C7" s="630" t="s">
        <v>669</v>
      </c>
      <c r="D7" s="964"/>
      <c r="E7" s="965">
        <f t="shared" ref="E7:E12" si="0">D7*9.5</f>
        <v>0</v>
      </c>
    </row>
    <row r="8" spans="2:8" ht="15" customHeight="1">
      <c r="B8" s="1130"/>
      <c r="C8" s="630" t="s">
        <v>669</v>
      </c>
      <c r="D8" s="964"/>
      <c r="E8" s="965">
        <f t="shared" si="0"/>
        <v>0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0</v>
      </c>
      <c r="E12" s="965">
        <f t="shared" si="0"/>
        <v>0</v>
      </c>
    </row>
    <row r="14" spans="2:8" ht="19.5">
      <c r="B14" s="941" t="s">
        <v>671</v>
      </c>
      <c r="C14" s="1256" t="s">
        <v>920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30"/>
      <c r="C17" s="630" t="s">
        <v>669</v>
      </c>
      <c r="D17" s="964"/>
      <c r="E17" s="965">
        <f t="shared" ref="E17:E22" si="1">D17*9.5</f>
        <v>0</v>
      </c>
    </row>
    <row r="18" spans="2:5" ht="15" customHeight="1">
      <c r="B18" s="1130"/>
      <c r="C18" s="630" t="s">
        <v>669</v>
      </c>
      <c r="D18" s="964"/>
      <c r="E18" s="965">
        <f t="shared" si="1"/>
        <v>0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0</v>
      </c>
      <c r="E22" s="954">
        <f t="shared" si="1"/>
        <v>0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331</v>
      </c>
      <c r="C27" s="630" t="s">
        <v>669</v>
      </c>
      <c r="D27" s="964">
        <v>420</v>
      </c>
      <c r="E27" s="965">
        <f>D27*9.5</f>
        <v>3990</v>
      </c>
    </row>
    <row r="28" spans="2:5">
      <c r="B28" s="1198" t="s">
        <v>301</v>
      </c>
      <c r="C28" s="630" t="s">
        <v>669</v>
      </c>
      <c r="D28" s="964">
        <v>497</v>
      </c>
      <c r="E28" s="965">
        <f t="shared" ref="E28:E31" si="2">D28*9.5</f>
        <v>4721.5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917</v>
      </c>
      <c r="E32" s="954">
        <f>SUM(E27:E31)</f>
        <v>8711.5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0</v>
      </c>
      <c r="D35" s="956">
        <f>D22</f>
        <v>0</v>
      </c>
      <c r="E35" s="956">
        <f>D32</f>
        <v>917</v>
      </c>
    </row>
    <row r="36" spans="2:5">
      <c r="B36" s="953" t="s">
        <v>36</v>
      </c>
      <c r="C36" s="951">
        <f>C35*9.5</f>
        <v>0</v>
      </c>
      <c r="D36" s="951">
        <f>D35*9.5</f>
        <v>0</v>
      </c>
      <c r="E36" s="951">
        <f>SUM(E32)</f>
        <v>8711.5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917</v>
      </c>
      <c r="D38" s="378" t="s">
        <v>253</v>
      </c>
      <c r="E38" s="381">
        <f>SUM(E36,D36,C36)</f>
        <v>8711.5</v>
      </c>
    </row>
    <row r="39" spans="2:5">
      <c r="B39" s="377" t="s">
        <v>197</v>
      </c>
      <c r="C39" s="378">
        <f>C40-C38</f>
        <v>210</v>
      </c>
      <c r="D39" s="378" t="s">
        <v>204</v>
      </c>
      <c r="E39" s="381">
        <f>C39*9</f>
        <v>1890</v>
      </c>
    </row>
    <row r="40" spans="2:5" ht="19.5">
      <c r="B40" s="941" t="s">
        <v>201</v>
      </c>
      <c r="C40" s="380">
        <v>1127</v>
      </c>
      <c r="D40" s="380" t="s">
        <v>202</v>
      </c>
      <c r="E40" s="379">
        <f>SUM(E38+E39)</f>
        <v>10601.5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F515A-9FCA-4CA9-9E81-1DE50F3DEB54}">
  <sheetPr>
    <pageSetUpPr fitToPage="1"/>
  </sheetPr>
  <dimension ref="B2:H44"/>
  <sheetViews>
    <sheetView zoomScale="80" zoomScaleNormal="80" workbookViewId="0">
      <selection activeCell="H23" sqref="H23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45075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783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0"/>
      <c r="C7" s="630" t="s">
        <v>669</v>
      </c>
      <c r="D7" s="964"/>
      <c r="E7" s="965">
        <f t="shared" ref="E7:E12" si="0">D7*9.5</f>
        <v>0</v>
      </c>
    </row>
    <row r="8" spans="2:8" ht="15" customHeight="1">
      <c r="B8" s="1130"/>
      <c r="C8" s="630" t="s">
        <v>669</v>
      </c>
      <c r="D8" s="964"/>
      <c r="E8" s="965">
        <f t="shared" si="0"/>
        <v>0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0</v>
      </c>
      <c r="E12" s="965">
        <f t="shared" si="0"/>
        <v>0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32" t="s">
        <v>281</v>
      </c>
      <c r="C17" s="630" t="s">
        <v>669</v>
      </c>
      <c r="D17" s="964">
        <v>347</v>
      </c>
      <c r="E17" s="965">
        <f t="shared" ref="E17:E22" si="1">D17*9.5</f>
        <v>3296.5</v>
      </c>
    </row>
    <row r="18" spans="2:5" ht="15" customHeight="1">
      <c r="B18" s="1132" t="s">
        <v>332</v>
      </c>
      <c r="C18" s="630" t="s">
        <v>669</v>
      </c>
      <c r="D18" s="964">
        <v>670</v>
      </c>
      <c r="E18" s="965">
        <f t="shared" si="1"/>
        <v>6365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1017</v>
      </c>
      <c r="E22" s="954">
        <f t="shared" si="1"/>
        <v>9661.5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250</v>
      </c>
      <c r="C27" s="630" t="s">
        <v>669</v>
      </c>
      <c r="D27" s="964">
        <v>597</v>
      </c>
      <c r="E27" s="965">
        <f>D27*9.5</f>
        <v>5671.5</v>
      </c>
    </row>
    <row r="28" spans="2:5">
      <c r="B28" s="1198" t="s">
        <v>278</v>
      </c>
      <c r="C28" s="630" t="s">
        <v>669</v>
      </c>
      <c r="D28" s="964">
        <v>437</v>
      </c>
      <c r="E28" s="965">
        <f t="shared" ref="E28:E31" si="2">D28*9.5</f>
        <v>4151.5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1034</v>
      </c>
      <c r="E32" s="954">
        <f>SUM(E27:E31)</f>
        <v>9823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0</v>
      </c>
      <c r="D35" s="956">
        <f>D22</f>
        <v>1017</v>
      </c>
      <c r="E35" s="956">
        <f>D32</f>
        <v>1034</v>
      </c>
    </row>
    <row r="36" spans="2:5">
      <c r="B36" s="953" t="s">
        <v>36</v>
      </c>
      <c r="C36" s="951">
        <f>C35*9.5</f>
        <v>0</v>
      </c>
      <c r="D36" s="951">
        <f>D35*9.5</f>
        <v>9661.5</v>
      </c>
      <c r="E36" s="951">
        <f>SUM(E32)</f>
        <v>9823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2051</v>
      </c>
      <c r="D38" s="378" t="s">
        <v>253</v>
      </c>
      <c r="E38" s="381">
        <f>SUM(E36,D36,C36)</f>
        <v>19484.5</v>
      </c>
    </row>
    <row r="39" spans="2:5">
      <c r="B39" s="377" t="s">
        <v>197</v>
      </c>
      <c r="C39" s="378">
        <f>C40-C38</f>
        <v>220</v>
      </c>
      <c r="D39" s="378" t="s">
        <v>204</v>
      </c>
      <c r="E39" s="381">
        <f>C39*9</f>
        <v>1980</v>
      </c>
    </row>
    <row r="40" spans="2:5" ht="19.5">
      <c r="B40" s="941" t="s">
        <v>201</v>
      </c>
      <c r="C40" s="380">
        <v>2271</v>
      </c>
      <c r="D40" s="380" t="s">
        <v>202</v>
      </c>
      <c r="E40" s="379">
        <f>SUM(E38+E39)</f>
        <v>21464.5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2DD0F-B75F-4B12-923A-FAD03B45D6C2}">
  <sheetPr>
    <pageSetUpPr fitToPage="1"/>
  </sheetPr>
  <dimension ref="B2:H44"/>
  <sheetViews>
    <sheetView zoomScale="80" zoomScaleNormal="80" workbookViewId="0">
      <selection activeCell="J32" sqref="J32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45076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259</v>
      </c>
      <c r="C7" s="630" t="s">
        <v>669</v>
      </c>
      <c r="D7" s="964">
        <v>365</v>
      </c>
      <c r="E7" s="965">
        <f t="shared" ref="E7:E12" si="0">D7*9.5</f>
        <v>3467.5</v>
      </c>
    </row>
    <row r="8" spans="2:8" ht="15" customHeight="1">
      <c r="B8" s="1132" t="s">
        <v>256</v>
      </c>
      <c r="C8" s="630" t="s">
        <v>669</v>
      </c>
      <c r="D8" s="964">
        <v>257</v>
      </c>
      <c r="E8" s="965">
        <f t="shared" si="0"/>
        <v>2441.5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622</v>
      </c>
      <c r="E12" s="965">
        <f t="shared" si="0"/>
        <v>5909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1132" t="s">
        <v>921</v>
      </c>
      <c r="C17" s="630" t="s">
        <v>669</v>
      </c>
      <c r="D17" s="964"/>
      <c r="E17" s="965">
        <f t="shared" ref="E17:E22" si="1">D17*9.5</f>
        <v>0</v>
      </c>
      <c r="F17" s="934" t="s">
        <v>722</v>
      </c>
    </row>
    <row r="18" spans="2:6" ht="15" customHeight="1">
      <c r="B18" s="1132" t="s">
        <v>44</v>
      </c>
      <c r="C18" s="630" t="s">
        <v>669</v>
      </c>
      <c r="D18" s="964">
        <v>461</v>
      </c>
      <c r="E18" s="965">
        <f t="shared" si="1"/>
        <v>4379.5</v>
      </c>
    </row>
    <row r="19" spans="2:6" ht="14.45" customHeight="1">
      <c r="B19" s="972"/>
      <c r="C19" s="973" t="s">
        <v>26</v>
      </c>
      <c r="D19" s="964"/>
      <c r="E19" s="965">
        <f t="shared" si="1"/>
        <v>0</v>
      </c>
    </row>
    <row r="20" spans="2:6" ht="14.45" customHeight="1">
      <c r="B20" s="972"/>
      <c r="C20" s="973" t="s">
        <v>26</v>
      </c>
      <c r="D20" s="964"/>
      <c r="E20" s="965">
        <f t="shared" si="1"/>
        <v>0</v>
      </c>
    </row>
    <row r="21" spans="2:6" ht="14.45" customHeight="1">
      <c r="B21" s="1063"/>
      <c r="C21" s="975" t="s">
        <v>681</v>
      </c>
      <c r="D21" s="964"/>
      <c r="E21" s="965">
        <f t="shared" si="1"/>
        <v>0</v>
      </c>
    </row>
    <row r="22" spans="2:6" ht="14.45" customHeight="1">
      <c r="B22" s="1269" t="s">
        <v>24</v>
      </c>
      <c r="C22" s="1270"/>
      <c r="D22" s="964">
        <f>SUM(D17:D21)</f>
        <v>461</v>
      </c>
      <c r="E22" s="954">
        <f t="shared" si="1"/>
        <v>4379.5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29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1198" t="s">
        <v>65</v>
      </c>
      <c r="C27" s="630" t="s">
        <v>669</v>
      </c>
      <c r="D27" s="964">
        <v>412</v>
      </c>
      <c r="E27" s="965">
        <f>D27*9.5</f>
        <v>3914</v>
      </c>
    </row>
    <row r="28" spans="2:6">
      <c r="B28" s="1198" t="s">
        <v>331</v>
      </c>
      <c r="C28" s="630" t="s">
        <v>669</v>
      </c>
      <c r="D28" s="964">
        <v>476</v>
      </c>
      <c r="E28" s="965">
        <f t="shared" ref="E28:E31" si="2">D28*9.5</f>
        <v>4522</v>
      </c>
    </row>
    <row r="29" spans="2:6">
      <c r="B29" s="972"/>
      <c r="C29" s="973" t="s">
        <v>26</v>
      </c>
      <c r="D29" s="964"/>
      <c r="E29" s="965">
        <f>D29*9.5</f>
        <v>0</v>
      </c>
    </row>
    <row r="30" spans="2:6">
      <c r="B30" s="972"/>
      <c r="C30" s="975" t="s">
        <v>26</v>
      </c>
      <c r="D30" s="964"/>
      <c r="E30" s="965">
        <f t="shared" si="2"/>
        <v>0</v>
      </c>
    </row>
    <row r="31" spans="2:6">
      <c r="B31" s="1128"/>
      <c r="C31" s="975" t="s">
        <v>667</v>
      </c>
      <c r="D31" s="964"/>
      <c r="E31" s="965">
        <f t="shared" si="2"/>
        <v>0</v>
      </c>
    </row>
    <row r="32" spans="2:6" ht="20.100000000000001" customHeight="1">
      <c r="B32" s="1259" t="s">
        <v>24</v>
      </c>
      <c r="C32" s="1259"/>
      <c r="D32" s="964">
        <f>SUM(D27:D31)</f>
        <v>888</v>
      </c>
      <c r="E32" s="954">
        <f>SUM(E27:E31)</f>
        <v>8436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622</v>
      </c>
      <c r="D35" s="956">
        <f>D22</f>
        <v>461</v>
      </c>
      <c r="E35" s="956">
        <f>D32</f>
        <v>888</v>
      </c>
    </row>
    <row r="36" spans="2:5">
      <c r="B36" s="953" t="s">
        <v>36</v>
      </c>
      <c r="C36" s="951">
        <f>C35*9.5</f>
        <v>5909</v>
      </c>
      <c r="D36" s="951">
        <f>D35*9.5</f>
        <v>4379.5</v>
      </c>
      <c r="E36" s="951">
        <f>SUM(E32)</f>
        <v>8436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1971</v>
      </c>
      <c r="D38" s="378" t="s">
        <v>253</v>
      </c>
      <c r="E38" s="381">
        <f>SUM(E36,D36,C36)</f>
        <v>18724.5</v>
      </c>
    </row>
    <row r="39" spans="2:5">
      <c r="B39" s="377" t="s">
        <v>197</v>
      </c>
      <c r="C39" s="378">
        <f>C40-C38</f>
        <v>6538</v>
      </c>
      <c r="D39" s="378" t="s">
        <v>204</v>
      </c>
      <c r="E39" s="381">
        <f>C39*9</f>
        <v>58842</v>
      </c>
    </row>
    <row r="40" spans="2:5" ht="19.5">
      <c r="B40" s="941" t="s">
        <v>201</v>
      </c>
      <c r="C40" s="380">
        <v>8509</v>
      </c>
      <c r="D40" s="380" t="s">
        <v>202</v>
      </c>
      <c r="E40" s="379">
        <f>SUM(E38+E39)</f>
        <v>77566.5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8568C-E570-491F-931C-935F49B599CA}">
  <sheetPr>
    <pageSetUpPr fitToPage="1"/>
  </sheetPr>
  <dimension ref="B2:H44"/>
  <sheetViews>
    <sheetView zoomScale="80" zoomScaleNormal="80" workbookViewId="0">
      <selection activeCell="K42" sqref="K42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45077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802</v>
      </c>
      <c r="C7" s="630" t="s">
        <v>669</v>
      </c>
      <c r="D7" s="964">
        <v>403</v>
      </c>
      <c r="E7" s="965">
        <f t="shared" ref="E7:E12" si="0">D7*9.5</f>
        <v>3828.5</v>
      </c>
    </row>
    <row r="8" spans="2:8" ht="15" customHeight="1">
      <c r="B8" s="1132" t="s">
        <v>189</v>
      </c>
      <c r="C8" s="630" t="s">
        <v>669</v>
      </c>
      <c r="D8" s="964">
        <v>384</v>
      </c>
      <c r="E8" s="965">
        <f t="shared" si="0"/>
        <v>3648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787</v>
      </c>
      <c r="E12" s="965">
        <f t="shared" si="0"/>
        <v>7476.5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32" t="s">
        <v>922</v>
      </c>
      <c r="C17" s="630" t="s">
        <v>669</v>
      </c>
      <c r="D17" s="964">
        <v>443</v>
      </c>
      <c r="E17" s="965">
        <f t="shared" ref="E17:E22" si="1">D17*9.5</f>
        <v>4208.5</v>
      </c>
    </row>
    <row r="18" spans="2:5" ht="15" customHeight="1">
      <c r="B18" s="1132" t="s">
        <v>70</v>
      </c>
      <c r="C18" s="630" t="s">
        <v>669</v>
      </c>
      <c r="D18" s="964">
        <v>512</v>
      </c>
      <c r="E18" s="965">
        <f t="shared" si="1"/>
        <v>4864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955</v>
      </c>
      <c r="E22" s="954">
        <f t="shared" si="1"/>
        <v>9072.5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252</v>
      </c>
      <c r="C27" s="630" t="s">
        <v>669</v>
      </c>
      <c r="D27" s="964">
        <v>333</v>
      </c>
      <c r="E27" s="965">
        <f>D27*9.5</f>
        <v>3163.5</v>
      </c>
    </row>
    <row r="28" spans="2:5">
      <c r="B28" s="1198" t="s">
        <v>334</v>
      </c>
      <c r="C28" s="630" t="s">
        <v>669</v>
      </c>
      <c r="D28" s="964">
        <v>503</v>
      </c>
      <c r="E28" s="965">
        <f t="shared" ref="E28:E31" si="2">D28*9.5</f>
        <v>4778.5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836</v>
      </c>
      <c r="E32" s="954">
        <f>SUM(E27:E31)</f>
        <v>7942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787</v>
      </c>
      <c r="D35" s="956">
        <f>D22</f>
        <v>955</v>
      </c>
      <c r="E35" s="956">
        <f>D32</f>
        <v>836</v>
      </c>
    </row>
    <row r="36" spans="2:5">
      <c r="B36" s="953" t="s">
        <v>36</v>
      </c>
      <c r="C36" s="951">
        <f>C35*9.5</f>
        <v>7476.5</v>
      </c>
      <c r="D36" s="951">
        <f>D35*9.5</f>
        <v>9072.5</v>
      </c>
      <c r="E36" s="951">
        <f>SUM(E32)</f>
        <v>7942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2578</v>
      </c>
      <c r="D38" s="378" t="s">
        <v>253</v>
      </c>
      <c r="E38" s="381">
        <f>SUM(E36,D36,C36)</f>
        <v>24491</v>
      </c>
    </row>
    <row r="39" spans="2:5">
      <c r="B39" s="377" t="s">
        <v>197</v>
      </c>
      <c r="C39" s="378">
        <f>C40-C38</f>
        <v>6804</v>
      </c>
      <c r="D39" s="378" t="s">
        <v>204</v>
      </c>
      <c r="E39" s="381">
        <f>C39*9</f>
        <v>61236</v>
      </c>
    </row>
    <row r="40" spans="2:5" ht="19.5">
      <c r="B40" s="941" t="s">
        <v>201</v>
      </c>
      <c r="C40" s="380">
        <v>9382</v>
      </c>
      <c r="D40" s="380" t="s">
        <v>202</v>
      </c>
      <c r="E40" s="379">
        <f>SUM(E38+E39)</f>
        <v>85727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30F6A-73DC-4038-B019-DC05B6ADBDDA}">
  <sheetPr>
    <pageSetUpPr fitToPage="1"/>
  </sheetPr>
  <dimension ref="B2:H44"/>
  <sheetViews>
    <sheetView topLeftCell="A14" zoomScale="80" zoomScaleNormal="80" workbookViewId="0">
      <selection activeCell="C35" sqref="C35:E35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45078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78</v>
      </c>
      <c r="C7" s="630" t="s">
        <v>669</v>
      </c>
      <c r="D7" s="964">
        <v>502</v>
      </c>
      <c r="E7" s="965">
        <f t="shared" ref="E7:E12" si="0">D7*9.5</f>
        <v>4769</v>
      </c>
    </row>
    <row r="8" spans="2:8" ht="15" customHeight="1">
      <c r="B8" s="1132" t="s">
        <v>244</v>
      </c>
      <c r="C8" s="630" t="s">
        <v>669</v>
      </c>
      <c r="D8" s="964">
        <v>686</v>
      </c>
      <c r="E8" s="965">
        <f t="shared" si="0"/>
        <v>6517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1188</v>
      </c>
      <c r="E12" s="965">
        <f t="shared" si="0"/>
        <v>11286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32" t="s">
        <v>678</v>
      </c>
      <c r="C17" s="630" t="s">
        <v>669</v>
      </c>
      <c r="D17" s="964">
        <v>600</v>
      </c>
      <c r="E17" s="965">
        <f t="shared" ref="E17:E22" si="1">D17*9.5</f>
        <v>5700</v>
      </c>
    </row>
    <row r="18" spans="2:5" ht="15" customHeight="1">
      <c r="B18" s="1132" t="s">
        <v>45</v>
      </c>
      <c r="C18" s="630" t="s">
        <v>669</v>
      </c>
      <c r="D18" s="964">
        <v>442</v>
      </c>
      <c r="E18" s="965">
        <f t="shared" si="1"/>
        <v>4199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1042</v>
      </c>
      <c r="E22" s="954">
        <f t="shared" si="1"/>
        <v>9899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678</v>
      </c>
      <c r="C27" s="630" t="s">
        <v>669</v>
      </c>
      <c r="D27" s="964">
        <v>385</v>
      </c>
      <c r="E27" s="965">
        <f>D27*9.5</f>
        <v>3657.5</v>
      </c>
    </row>
    <row r="28" spans="2:5">
      <c r="B28" s="1198" t="s">
        <v>329</v>
      </c>
      <c r="C28" s="630" t="s">
        <v>669</v>
      </c>
      <c r="D28" s="964">
        <v>668</v>
      </c>
      <c r="E28" s="965">
        <f t="shared" ref="E28:E31" si="2">D28*9.5</f>
        <v>6346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1053</v>
      </c>
      <c r="E32" s="954">
        <f>SUM(E27:E31)</f>
        <v>10003.5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1188</v>
      </c>
      <c r="D35" s="956">
        <f>D22</f>
        <v>1042</v>
      </c>
      <c r="E35" s="956">
        <f>D32</f>
        <v>1053</v>
      </c>
    </row>
    <row r="36" spans="2:5">
      <c r="B36" s="953" t="s">
        <v>36</v>
      </c>
      <c r="C36" s="951">
        <f>C35*9.5</f>
        <v>11286</v>
      </c>
      <c r="D36" s="951">
        <f>D35*9.5</f>
        <v>9899</v>
      </c>
      <c r="E36" s="951">
        <f>SUM(E32)</f>
        <v>10003.5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3283</v>
      </c>
      <c r="D38" s="378" t="s">
        <v>253</v>
      </c>
      <c r="E38" s="381">
        <f>SUM(E36,D36,C36)</f>
        <v>31188.5</v>
      </c>
    </row>
    <row r="39" spans="2:5">
      <c r="B39" s="377" t="s">
        <v>197</v>
      </c>
      <c r="C39" s="378">
        <f>C40-C38</f>
        <v>6531</v>
      </c>
      <c r="D39" s="378" t="s">
        <v>204</v>
      </c>
      <c r="E39" s="381">
        <f>C39*9</f>
        <v>58779</v>
      </c>
    </row>
    <row r="40" spans="2:5" ht="19.5">
      <c r="B40" s="941" t="s">
        <v>201</v>
      </c>
      <c r="C40" s="380">
        <v>9814</v>
      </c>
      <c r="D40" s="380" t="s">
        <v>202</v>
      </c>
      <c r="E40" s="379">
        <f>SUM(E38+E39)</f>
        <v>89967.5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A56D0-AE77-4B19-95B4-616483BFF5D7}">
  <sheetPr>
    <pageSetUpPr fitToPage="1"/>
  </sheetPr>
  <dimension ref="B2:H44"/>
  <sheetViews>
    <sheetView zoomScale="80" zoomScaleNormal="80" workbookViewId="0">
      <selection activeCell="D29" sqref="D29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45079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252</v>
      </c>
      <c r="C7" s="630" t="s">
        <v>669</v>
      </c>
      <c r="D7" s="964">
        <v>344</v>
      </c>
      <c r="E7" s="965">
        <f t="shared" ref="E7:E12" si="0">D7*9.5</f>
        <v>3268</v>
      </c>
    </row>
    <row r="8" spans="2:8" ht="15" customHeight="1">
      <c r="B8" s="1132" t="s">
        <v>675</v>
      </c>
      <c r="C8" s="630" t="s">
        <v>669</v>
      </c>
      <c r="D8" s="964">
        <v>759</v>
      </c>
      <c r="E8" s="965">
        <f t="shared" si="0"/>
        <v>7210.5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1103</v>
      </c>
      <c r="E12" s="965">
        <f t="shared" si="0"/>
        <v>10478.5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32" t="s">
        <v>250</v>
      </c>
      <c r="C17" s="630" t="s">
        <v>669</v>
      </c>
      <c r="D17" s="964">
        <v>848</v>
      </c>
      <c r="E17" s="965">
        <f t="shared" ref="E17:E22" si="1">D17*9.5</f>
        <v>8056</v>
      </c>
    </row>
    <row r="18" spans="2:5" ht="15" customHeight="1">
      <c r="B18" s="1132" t="s">
        <v>925</v>
      </c>
      <c r="C18" s="630" t="s">
        <v>669</v>
      </c>
      <c r="D18" s="964">
        <v>345</v>
      </c>
      <c r="E18" s="965">
        <f t="shared" si="1"/>
        <v>3277.5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1193</v>
      </c>
      <c r="E22" s="954">
        <f t="shared" si="1"/>
        <v>11333.5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238</v>
      </c>
      <c r="C27" s="630" t="s">
        <v>669</v>
      </c>
      <c r="D27" s="964">
        <v>172</v>
      </c>
      <c r="E27" s="965">
        <f>D27*9.5</f>
        <v>1634</v>
      </c>
    </row>
    <row r="28" spans="2:5">
      <c r="B28" s="1198" t="s">
        <v>235</v>
      </c>
      <c r="C28" s="630" t="s">
        <v>669</v>
      </c>
      <c r="D28" s="964">
        <v>514</v>
      </c>
      <c r="E28" s="965">
        <f t="shared" ref="E28:E31" si="2">D28*9.5</f>
        <v>4883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686</v>
      </c>
      <c r="E32" s="954">
        <f>SUM(E27:E31)</f>
        <v>6517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1103</v>
      </c>
      <c r="D35" s="956">
        <f>D22</f>
        <v>1193</v>
      </c>
      <c r="E35" s="956">
        <f>D32</f>
        <v>686</v>
      </c>
    </row>
    <row r="36" spans="2:5">
      <c r="B36" s="953" t="s">
        <v>36</v>
      </c>
      <c r="C36" s="951">
        <f>C35*9.5</f>
        <v>10478.5</v>
      </c>
      <c r="D36" s="951">
        <f>D35*9.5</f>
        <v>11333.5</v>
      </c>
      <c r="E36" s="951">
        <f>SUM(E32)</f>
        <v>6517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2982</v>
      </c>
      <c r="D38" s="378" t="s">
        <v>253</v>
      </c>
      <c r="E38" s="381">
        <f>SUM(E36,D36,C36)</f>
        <v>28329</v>
      </c>
    </row>
    <row r="39" spans="2:5">
      <c r="B39" s="377" t="s">
        <v>197</v>
      </c>
      <c r="C39" s="378">
        <f>C40-C38</f>
        <v>4985</v>
      </c>
      <c r="D39" s="378" t="s">
        <v>204</v>
      </c>
      <c r="E39" s="381">
        <f>C39*9</f>
        <v>44865</v>
      </c>
    </row>
    <row r="40" spans="2:5" ht="19.5">
      <c r="B40" s="941" t="s">
        <v>201</v>
      </c>
      <c r="C40" s="380">
        <v>7967</v>
      </c>
      <c r="D40" s="380" t="s">
        <v>202</v>
      </c>
      <c r="E40" s="379">
        <f>SUM(E38+E39)</f>
        <v>73194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47FFF-CA9B-4EE8-BF32-3FE4242CA41B}">
  <sheetPr>
    <pageSetUpPr fitToPage="1"/>
  </sheetPr>
  <dimension ref="B2:H44"/>
  <sheetViews>
    <sheetView zoomScale="80" zoomScaleNormal="80" workbookViewId="0">
      <selection activeCell="D29" sqref="D29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45080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332</v>
      </c>
      <c r="C7" s="630" t="s">
        <v>669</v>
      </c>
      <c r="D7" s="964">
        <v>676</v>
      </c>
      <c r="E7" s="965">
        <f t="shared" ref="E7:E12" si="0">D7*9.5</f>
        <v>6422</v>
      </c>
    </row>
    <row r="8" spans="2:8" ht="15" customHeight="1">
      <c r="B8" s="1132" t="s">
        <v>239</v>
      </c>
      <c r="C8" s="630" t="s">
        <v>669</v>
      </c>
      <c r="D8" s="964">
        <v>351</v>
      </c>
      <c r="E8" s="965">
        <f t="shared" si="0"/>
        <v>3334.5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1027</v>
      </c>
      <c r="E12" s="965">
        <f t="shared" si="0"/>
        <v>9756.5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32" t="s">
        <v>279</v>
      </c>
      <c r="C17" s="630" t="s">
        <v>669</v>
      </c>
      <c r="D17" s="964">
        <v>949</v>
      </c>
      <c r="E17" s="965">
        <f t="shared" ref="E17:E22" si="1">D17*9.5</f>
        <v>9015.5</v>
      </c>
    </row>
    <row r="18" spans="2:5" ht="15" customHeight="1">
      <c r="B18" s="1132" t="s">
        <v>728</v>
      </c>
      <c r="C18" s="630" t="s">
        <v>669</v>
      </c>
      <c r="D18" s="964">
        <v>303</v>
      </c>
      <c r="E18" s="965">
        <f t="shared" si="1"/>
        <v>2878.5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1252</v>
      </c>
      <c r="E22" s="954">
        <f t="shared" si="1"/>
        <v>11894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12</v>
      </c>
      <c r="C27" s="630" t="s">
        <v>669</v>
      </c>
      <c r="D27" s="964">
        <v>391</v>
      </c>
      <c r="E27" s="965">
        <f>D27*9.5</f>
        <v>3714.5</v>
      </c>
    </row>
    <row r="28" spans="2:5">
      <c r="B28" s="1198" t="s">
        <v>235</v>
      </c>
      <c r="C28" s="630" t="s">
        <v>669</v>
      </c>
      <c r="D28" s="964">
        <v>585</v>
      </c>
      <c r="E28" s="965">
        <f t="shared" ref="E28:E31" si="2">D28*9.5</f>
        <v>5557.5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976</v>
      </c>
      <c r="E32" s="954">
        <f>SUM(E27:E31)</f>
        <v>9272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1027</v>
      </c>
      <c r="D35" s="956">
        <f>D22</f>
        <v>1252</v>
      </c>
      <c r="E35" s="956">
        <f>D32</f>
        <v>976</v>
      </c>
    </row>
    <row r="36" spans="2:5">
      <c r="B36" s="953" t="s">
        <v>36</v>
      </c>
      <c r="C36" s="951">
        <f>C35*9.5</f>
        <v>9756.5</v>
      </c>
      <c r="D36" s="951">
        <f>D35*9.5</f>
        <v>11894</v>
      </c>
      <c r="E36" s="951">
        <f>SUM(E32)</f>
        <v>9272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3255</v>
      </c>
      <c r="D38" s="378" t="s">
        <v>253</v>
      </c>
      <c r="E38" s="381">
        <f>SUM(E36,D36,C36)</f>
        <v>30922.5</v>
      </c>
    </row>
    <row r="39" spans="2:5">
      <c r="B39" s="377" t="s">
        <v>197</v>
      </c>
      <c r="C39" s="378">
        <f>C40-C38</f>
        <v>257</v>
      </c>
      <c r="D39" s="378" t="s">
        <v>204</v>
      </c>
      <c r="E39" s="381">
        <f>C39*9</f>
        <v>2313</v>
      </c>
    </row>
    <row r="40" spans="2:5" ht="19.5">
      <c r="B40" s="941" t="s">
        <v>201</v>
      </c>
      <c r="C40" s="380">
        <v>3512</v>
      </c>
      <c r="D40" s="380" t="s">
        <v>202</v>
      </c>
      <c r="E40" s="379">
        <f>SUM(E38+E39)</f>
        <v>33235.5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FD464-4BD8-4C7B-89F1-DEA668E12E8C}">
  <sheetPr>
    <pageSetUpPr fitToPage="1"/>
  </sheetPr>
  <dimension ref="B2:H44"/>
  <sheetViews>
    <sheetView zoomScale="80" zoomScaleNormal="80" workbookViewId="0">
      <selection activeCell="D29" sqref="D29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45081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189</v>
      </c>
      <c r="C7" s="630" t="s">
        <v>669</v>
      </c>
      <c r="D7" s="964">
        <v>510</v>
      </c>
      <c r="E7" s="965">
        <f t="shared" ref="E7:E12" si="0">D7*9.5</f>
        <v>4845</v>
      </c>
    </row>
    <row r="8" spans="2:8" ht="15" customHeight="1">
      <c r="B8" s="1132" t="s">
        <v>164</v>
      </c>
      <c r="C8" s="630" t="s">
        <v>669</v>
      </c>
      <c r="D8" s="964">
        <v>528</v>
      </c>
      <c r="E8" s="965">
        <f t="shared" si="0"/>
        <v>5016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1038</v>
      </c>
      <c r="E12" s="965">
        <f t="shared" si="0"/>
        <v>9861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32" t="s">
        <v>65</v>
      </c>
      <c r="C17" s="630" t="s">
        <v>669</v>
      </c>
      <c r="D17" s="964">
        <v>593</v>
      </c>
      <c r="E17" s="965">
        <f t="shared" ref="E17:E22" si="1">D17*9.5</f>
        <v>5633.5</v>
      </c>
    </row>
    <row r="18" spans="2:5" ht="15" customHeight="1">
      <c r="B18" s="1132" t="s">
        <v>189</v>
      </c>
      <c r="C18" s="630" t="s">
        <v>669</v>
      </c>
      <c r="D18" s="964">
        <v>518</v>
      </c>
      <c r="E18" s="965">
        <f t="shared" si="1"/>
        <v>4921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1111</v>
      </c>
      <c r="E22" s="954">
        <f t="shared" si="1"/>
        <v>10554.5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239</v>
      </c>
      <c r="C27" s="630" t="s">
        <v>669</v>
      </c>
      <c r="D27" s="964">
        <v>381</v>
      </c>
      <c r="E27" s="965">
        <f>D27*9.5</f>
        <v>3619.5</v>
      </c>
    </row>
    <row r="28" spans="2:5">
      <c r="B28" s="1198" t="s">
        <v>329</v>
      </c>
      <c r="C28" s="630" t="s">
        <v>669</v>
      </c>
      <c r="D28" s="964">
        <v>733</v>
      </c>
      <c r="E28" s="965">
        <f t="shared" ref="E28:E31" si="2">D28*9.5</f>
        <v>6963.5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1114</v>
      </c>
      <c r="E32" s="954">
        <f>SUM(E27:E31)</f>
        <v>10583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1038</v>
      </c>
      <c r="D35" s="956">
        <f>D22</f>
        <v>1111</v>
      </c>
      <c r="E35" s="956">
        <f>D32</f>
        <v>1114</v>
      </c>
    </row>
    <row r="36" spans="2:5">
      <c r="B36" s="953" t="s">
        <v>36</v>
      </c>
      <c r="C36" s="951">
        <f>C35*9.5</f>
        <v>9861</v>
      </c>
      <c r="D36" s="951">
        <f>D35*9.5</f>
        <v>10554.5</v>
      </c>
      <c r="E36" s="951">
        <f>SUM(E32)</f>
        <v>10583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3263</v>
      </c>
      <c r="D38" s="378" t="s">
        <v>253</v>
      </c>
      <c r="E38" s="381">
        <f>SUM(E36,D36,C36)</f>
        <v>30998.5</v>
      </c>
    </row>
    <row r="39" spans="2:5">
      <c r="B39" s="377" t="s">
        <v>197</v>
      </c>
      <c r="C39" s="378">
        <f>C40-C38</f>
        <v>517</v>
      </c>
      <c r="D39" s="378" t="s">
        <v>204</v>
      </c>
      <c r="E39" s="381">
        <f>C39*9</f>
        <v>4653</v>
      </c>
    </row>
    <row r="40" spans="2:5" ht="19.5">
      <c r="B40" s="941" t="s">
        <v>201</v>
      </c>
      <c r="C40" s="380">
        <v>3780</v>
      </c>
      <c r="D40" s="380" t="s">
        <v>202</v>
      </c>
      <c r="E40" s="379">
        <f>SUM(E38+E39)</f>
        <v>35651.5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4955D-C88C-4174-B931-DBD07BCA10D6}">
  <sheetPr>
    <pageSetUpPr fitToPage="1"/>
  </sheetPr>
  <dimension ref="B2:H44"/>
  <sheetViews>
    <sheetView topLeftCell="A10" zoomScale="80" zoomScaleNormal="80" workbookViewId="0">
      <selection activeCell="H27" sqref="H27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45082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281</v>
      </c>
      <c r="C7" s="630" t="s">
        <v>669</v>
      </c>
      <c r="D7" s="964">
        <v>394</v>
      </c>
      <c r="E7" s="965">
        <f t="shared" ref="E7:E12" si="0">D7*9.5</f>
        <v>3743</v>
      </c>
    </row>
    <row r="8" spans="2:8" ht="15" customHeight="1">
      <c r="B8" s="1132" t="s">
        <v>678</v>
      </c>
      <c r="C8" s="630" t="s">
        <v>669</v>
      </c>
      <c r="D8" s="964">
        <v>550</v>
      </c>
      <c r="E8" s="965">
        <f t="shared" si="0"/>
        <v>5225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944</v>
      </c>
      <c r="E12" s="965">
        <f t="shared" si="0"/>
        <v>8968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1132" t="s">
        <v>45</v>
      </c>
      <c r="C17" s="630" t="s">
        <v>669</v>
      </c>
      <c r="D17" s="964">
        <v>492</v>
      </c>
      <c r="E17" s="965">
        <f t="shared" ref="E17:E22" si="1">D17*9.5</f>
        <v>4674</v>
      </c>
    </row>
    <row r="18" spans="2:6" ht="15" customHeight="1">
      <c r="B18" s="1132" t="s">
        <v>44</v>
      </c>
      <c r="C18" s="630" t="s">
        <v>669</v>
      </c>
      <c r="D18" s="964">
        <v>461</v>
      </c>
      <c r="E18" s="965">
        <f t="shared" si="1"/>
        <v>4379.5</v>
      </c>
    </row>
    <row r="19" spans="2:6" ht="14.45" customHeight="1">
      <c r="B19" s="972"/>
      <c r="C19" s="973" t="s">
        <v>26</v>
      </c>
      <c r="D19" s="964"/>
      <c r="E19" s="965">
        <f t="shared" si="1"/>
        <v>0</v>
      </c>
    </row>
    <row r="20" spans="2:6" ht="14.45" customHeight="1">
      <c r="B20" s="972"/>
      <c r="C20" s="973" t="s">
        <v>26</v>
      </c>
      <c r="D20" s="964"/>
      <c r="E20" s="965">
        <f t="shared" si="1"/>
        <v>0</v>
      </c>
    </row>
    <row r="21" spans="2:6" ht="14.45" customHeight="1">
      <c r="B21" s="1063"/>
      <c r="C21" s="975" t="s">
        <v>681</v>
      </c>
      <c r="D21" s="964"/>
      <c r="E21" s="965">
        <f t="shared" si="1"/>
        <v>0</v>
      </c>
    </row>
    <row r="22" spans="2:6" ht="14.45" customHeight="1">
      <c r="B22" s="1269" t="s">
        <v>24</v>
      </c>
      <c r="C22" s="1270"/>
      <c r="D22" s="964">
        <f>SUM(D17:D21)</f>
        <v>953</v>
      </c>
      <c r="E22" s="954">
        <f t="shared" si="1"/>
        <v>9053.5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29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1198" t="s">
        <v>748</v>
      </c>
      <c r="C27" s="630" t="s">
        <v>669</v>
      </c>
      <c r="D27" s="964"/>
      <c r="E27" s="965">
        <f>D27*9.5</f>
        <v>0</v>
      </c>
      <c r="F27" s="934" t="s">
        <v>722</v>
      </c>
    </row>
    <row r="28" spans="2:6">
      <c r="B28" s="1198" t="s">
        <v>278</v>
      </c>
      <c r="C28" s="630" t="s">
        <v>669</v>
      </c>
      <c r="D28" s="964">
        <v>520</v>
      </c>
      <c r="E28" s="965">
        <f t="shared" ref="E28:E31" si="2">D28*9.5</f>
        <v>4940</v>
      </c>
    </row>
    <row r="29" spans="2:6">
      <c r="B29" s="972"/>
      <c r="C29" s="973" t="s">
        <v>26</v>
      </c>
      <c r="D29" s="964"/>
      <c r="E29" s="965">
        <f>D29*9.5</f>
        <v>0</v>
      </c>
    </row>
    <row r="30" spans="2:6">
      <c r="B30" s="972"/>
      <c r="C30" s="975" t="s">
        <v>26</v>
      </c>
      <c r="D30" s="964"/>
      <c r="E30" s="965">
        <f t="shared" si="2"/>
        <v>0</v>
      </c>
    </row>
    <row r="31" spans="2:6">
      <c r="B31" s="1128"/>
      <c r="C31" s="975" t="s">
        <v>667</v>
      </c>
      <c r="D31" s="964"/>
      <c r="E31" s="965">
        <f t="shared" si="2"/>
        <v>0</v>
      </c>
    </row>
    <row r="32" spans="2:6" ht="20.100000000000001" customHeight="1">
      <c r="B32" s="1259" t="s">
        <v>24</v>
      </c>
      <c r="C32" s="1259"/>
      <c r="D32" s="964">
        <f>SUM(D27:D31)</f>
        <v>520</v>
      </c>
      <c r="E32" s="954">
        <f>SUM(E27:E31)</f>
        <v>4940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944</v>
      </c>
      <c r="D35" s="956">
        <f>D22</f>
        <v>953</v>
      </c>
      <c r="E35" s="956">
        <f>D32</f>
        <v>520</v>
      </c>
    </row>
    <row r="36" spans="2:5">
      <c r="B36" s="953" t="s">
        <v>36</v>
      </c>
      <c r="C36" s="951">
        <f>C35*9.5</f>
        <v>8968</v>
      </c>
      <c r="D36" s="951">
        <f>D35*9.5</f>
        <v>9053.5</v>
      </c>
      <c r="E36" s="951">
        <f>SUM(E32)</f>
        <v>4940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2417</v>
      </c>
      <c r="D38" s="378" t="s">
        <v>253</v>
      </c>
      <c r="E38" s="381">
        <f>SUM(E36,D36,C36)</f>
        <v>22961.5</v>
      </c>
    </row>
    <row r="39" spans="2:5">
      <c r="B39" s="377" t="s">
        <v>197</v>
      </c>
      <c r="C39" s="378">
        <f>C40-C38</f>
        <v>7255</v>
      </c>
      <c r="D39" s="378" t="s">
        <v>204</v>
      </c>
      <c r="E39" s="381">
        <f>C39*9</f>
        <v>65295</v>
      </c>
    </row>
    <row r="40" spans="2:5" ht="19.5">
      <c r="B40" s="941" t="s">
        <v>201</v>
      </c>
      <c r="C40" s="380">
        <v>9672</v>
      </c>
      <c r="D40" s="380" t="s">
        <v>202</v>
      </c>
      <c r="E40" s="379">
        <f>SUM(E38+E39)</f>
        <v>88256.5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60923-DCA7-479D-BF2D-9677D5D4F286}">
  <sheetPr>
    <pageSetUpPr fitToPage="1"/>
  </sheetPr>
  <dimension ref="B2:H44"/>
  <sheetViews>
    <sheetView zoomScale="80" zoomScaleNormal="80" workbookViewId="0">
      <selection activeCell="C41" sqref="C41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45083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711</v>
      </c>
      <c r="C7" s="630" t="s">
        <v>669</v>
      </c>
      <c r="D7" s="964">
        <v>817</v>
      </c>
      <c r="E7" s="965">
        <f t="shared" ref="E7:E12" si="0">D7*9.5</f>
        <v>7761.5</v>
      </c>
    </row>
    <row r="8" spans="2:8" ht="15" customHeight="1">
      <c r="B8" s="1132" t="s">
        <v>12</v>
      </c>
      <c r="C8" s="630" t="s">
        <v>669</v>
      </c>
      <c r="D8" s="964">
        <v>485</v>
      </c>
      <c r="E8" s="965">
        <f t="shared" si="0"/>
        <v>4607.5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1302</v>
      </c>
      <c r="E12" s="965">
        <f t="shared" si="0"/>
        <v>12369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32" t="s">
        <v>332</v>
      </c>
      <c r="C17" s="630" t="s">
        <v>669</v>
      </c>
      <c r="D17" s="964">
        <v>657</v>
      </c>
      <c r="E17" s="965">
        <f t="shared" ref="E17:E22" si="1">D17*9.5</f>
        <v>6241.5</v>
      </c>
    </row>
    <row r="18" spans="2:5" ht="15" customHeight="1">
      <c r="B18" s="1132" t="s">
        <v>303</v>
      </c>
      <c r="C18" s="630" t="s">
        <v>669</v>
      </c>
      <c r="D18" s="964">
        <v>1009</v>
      </c>
      <c r="E18" s="965">
        <f t="shared" si="1"/>
        <v>9585.5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1666</v>
      </c>
      <c r="E22" s="954">
        <f t="shared" si="1"/>
        <v>15827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65</v>
      </c>
      <c r="C27" s="630" t="s">
        <v>669</v>
      </c>
      <c r="D27" s="964">
        <v>378</v>
      </c>
      <c r="E27" s="965">
        <f>D27*9.5</f>
        <v>3591</v>
      </c>
    </row>
    <row r="28" spans="2:5">
      <c r="B28" s="1198" t="s">
        <v>926</v>
      </c>
      <c r="C28" s="630" t="s">
        <v>669</v>
      </c>
      <c r="D28" s="964">
        <v>469</v>
      </c>
      <c r="E28" s="965">
        <f t="shared" ref="E28:E31" si="2">D28*9.5</f>
        <v>4455.5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847</v>
      </c>
      <c r="E32" s="954">
        <f>SUM(E27:E31)</f>
        <v>8046.5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1302</v>
      </c>
      <c r="D35" s="956">
        <f>D22</f>
        <v>1666</v>
      </c>
      <c r="E35" s="956">
        <f>D32</f>
        <v>847</v>
      </c>
    </row>
    <row r="36" spans="2:5">
      <c r="B36" s="953" t="s">
        <v>36</v>
      </c>
      <c r="C36" s="951">
        <f>C35*9.5</f>
        <v>12369</v>
      </c>
      <c r="D36" s="951">
        <f>D35*9.5</f>
        <v>15827</v>
      </c>
      <c r="E36" s="951">
        <f>SUM(E32)</f>
        <v>8046.5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3815</v>
      </c>
      <c r="D38" s="378" t="s">
        <v>253</v>
      </c>
      <c r="E38" s="381">
        <f>SUM(E36,D36,C36)</f>
        <v>36242.5</v>
      </c>
    </row>
    <row r="39" spans="2:5">
      <c r="B39" s="377" t="s">
        <v>197</v>
      </c>
      <c r="C39" s="378">
        <f>C40-C38</f>
        <v>7658</v>
      </c>
      <c r="D39" s="378" t="s">
        <v>204</v>
      </c>
      <c r="E39" s="381">
        <f>C39*9</f>
        <v>68922</v>
      </c>
    </row>
    <row r="40" spans="2:5" ht="19.5">
      <c r="B40" s="941" t="s">
        <v>201</v>
      </c>
      <c r="C40" s="380">
        <v>11473</v>
      </c>
      <c r="D40" s="380" t="s">
        <v>202</v>
      </c>
      <c r="E40" s="379">
        <f>SUM(E38+E39)</f>
        <v>105164.5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B8B54-6051-42EA-A093-39EB80113D83}">
  <sheetPr>
    <pageSetUpPr fitToPage="1"/>
  </sheetPr>
  <dimension ref="B2:H44"/>
  <sheetViews>
    <sheetView zoomScale="80" zoomScaleNormal="80" workbookViewId="0">
      <selection activeCell="C8" sqref="C7:C8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45084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279</v>
      </c>
      <c r="C7" s="630" t="s">
        <v>669</v>
      </c>
      <c r="D7" s="964">
        <v>833</v>
      </c>
      <c r="E7" s="965">
        <f t="shared" ref="E7:E12" si="0">D7*9.5</f>
        <v>7913.5</v>
      </c>
    </row>
    <row r="8" spans="2:8" ht="15" customHeight="1">
      <c r="B8" s="1132" t="s">
        <v>238</v>
      </c>
      <c r="C8" s="630" t="s">
        <v>669</v>
      </c>
      <c r="D8" s="964">
        <v>325</v>
      </c>
      <c r="E8" s="965">
        <f t="shared" si="0"/>
        <v>3087.5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1158</v>
      </c>
      <c r="E12" s="965">
        <f t="shared" si="0"/>
        <v>11001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32" t="s">
        <v>250</v>
      </c>
      <c r="C17" s="630" t="s">
        <v>669</v>
      </c>
      <c r="D17" s="964">
        <v>864</v>
      </c>
      <c r="E17" s="965">
        <f t="shared" ref="E17:E22" si="1">D17*9.5</f>
        <v>8208</v>
      </c>
    </row>
    <row r="18" spans="2:5" ht="15" customHeight="1">
      <c r="B18" s="1132" t="s">
        <v>12</v>
      </c>
      <c r="C18" s="630" t="s">
        <v>669</v>
      </c>
      <c r="D18" s="964">
        <v>500</v>
      </c>
      <c r="E18" s="965">
        <f t="shared" si="1"/>
        <v>4750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1364</v>
      </c>
      <c r="E22" s="954">
        <f t="shared" si="1"/>
        <v>12958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12</v>
      </c>
      <c r="C27" s="630" t="s">
        <v>669</v>
      </c>
      <c r="D27" s="964">
        <v>190</v>
      </c>
      <c r="E27" s="965">
        <f>D27*9.5</f>
        <v>1805</v>
      </c>
    </row>
    <row r="28" spans="2:5">
      <c r="B28" s="1198" t="s">
        <v>917</v>
      </c>
      <c r="C28" s="630" t="s">
        <v>669</v>
      </c>
      <c r="D28" s="964">
        <v>635</v>
      </c>
      <c r="E28" s="965">
        <f t="shared" ref="E28:E31" si="2">D28*9.5</f>
        <v>6032.5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825</v>
      </c>
      <c r="E32" s="954">
        <f>SUM(E27:E31)</f>
        <v>7837.5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1158</v>
      </c>
      <c r="D35" s="956">
        <f>D22</f>
        <v>1364</v>
      </c>
      <c r="E35" s="956">
        <f>D32</f>
        <v>825</v>
      </c>
    </row>
    <row r="36" spans="2:5">
      <c r="B36" s="953" t="s">
        <v>36</v>
      </c>
      <c r="C36" s="951">
        <f>C35*9.5</f>
        <v>11001</v>
      </c>
      <c r="D36" s="951">
        <f>D35*9.5</f>
        <v>12958</v>
      </c>
      <c r="E36" s="951">
        <f>SUM(E32)</f>
        <v>7837.5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3347</v>
      </c>
      <c r="D38" s="378" t="s">
        <v>253</v>
      </c>
      <c r="E38" s="381">
        <f>SUM(E36,D36,C36)</f>
        <v>31796.5</v>
      </c>
    </row>
    <row r="39" spans="2:5">
      <c r="B39" s="377" t="s">
        <v>197</v>
      </c>
      <c r="C39" s="378">
        <f>C40-C38</f>
        <v>7684</v>
      </c>
      <c r="D39" s="378" t="s">
        <v>204</v>
      </c>
      <c r="E39" s="381">
        <f>C39*9</f>
        <v>69156</v>
      </c>
    </row>
    <row r="40" spans="2:5" ht="19.5">
      <c r="B40" s="941" t="s">
        <v>201</v>
      </c>
      <c r="C40" s="380">
        <v>11031</v>
      </c>
      <c r="D40" s="380" t="s">
        <v>202</v>
      </c>
      <c r="E40" s="379">
        <f>SUM(E38+E39)</f>
        <v>100952.5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E2:F2"/>
    <mergeCell ref="G2:H2"/>
    <mergeCell ref="C4:E4"/>
    <mergeCell ref="B5:B6"/>
    <mergeCell ref="C5:C6"/>
    <mergeCell ref="D5:D6"/>
    <mergeCell ref="E5:E6"/>
    <mergeCell ref="B12:C12"/>
    <mergeCell ref="C14:E14"/>
    <mergeCell ref="B15:B16"/>
    <mergeCell ref="C15:C16"/>
    <mergeCell ref="D15:D16"/>
    <mergeCell ref="E15:E16"/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</mergeCells>
  <pageMargins left="0.7" right="0.7" top="0.75" bottom="0.75" header="0.3" footer="0.3"/>
  <pageSetup scale="68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2BE0B-1098-4243-A32F-A3B9B5F075A5}">
  <sheetPr>
    <pageSetUpPr fitToPage="1"/>
  </sheetPr>
  <dimension ref="B2:H44"/>
  <sheetViews>
    <sheetView zoomScale="80" zoomScaleNormal="80" workbookViewId="0">
      <selection activeCell="C8" sqref="C7:C8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45085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65</v>
      </c>
      <c r="C7" s="630" t="s">
        <v>669</v>
      </c>
      <c r="D7" s="964">
        <v>490</v>
      </c>
      <c r="E7" s="965">
        <f t="shared" ref="E7:E12" si="0">D7*9.5</f>
        <v>4655</v>
      </c>
    </row>
    <row r="8" spans="2:8" ht="15" customHeight="1">
      <c r="B8" s="1132" t="s">
        <v>244</v>
      </c>
      <c r="C8" s="630" t="s">
        <v>669</v>
      </c>
      <c r="D8" s="964">
        <v>765</v>
      </c>
      <c r="E8" s="965">
        <f t="shared" si="0"/>
        <v>7267.5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1255</v>
      </c>
      <c r="E12" s="965">
        <f t="shared" si="0"/>
        <v>11922.5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32" t="s">
        <v>303</v>
      </c>
      <c r="C17" s="630" t="s">
        <v>669</v>
      </c>
      <c r="D17" s="964">
        <v>1018</v>
      </c>
      <c r="E17" s="965">
        <f t="shared" ref="E17:E22" si="1">D17*9.5</f>
        <v>9671</v>
      </c>
    </row>
    <row r="18" spans="2:5" ht="15" customHeight="1">
      <c r="B18" s="1132" t="s">
        <v>82</v>
      </c>
      <c r="C18" s="630" t="s">
        <v>669</v>
      </c>
      <c r="D18" s="964">
        <v>468</v>
      </c>
      <c r="E18" s="965">
        <f t="shared" si="1"/>
        <v>4446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1486</v>
      </c>
      <c r="E22" s="954">
        <f t="shared" si="1"/>
        <v>14117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675</v>
      </c>
      <c r="C27" s="630" t="s">
        <v>669</v>
      </c>
      <c r="D27" s="964">
        <v>581</v>
      </c>
      <c r="E27" s="965">
        <f>D27*9.5</f>
        <v>5519.5</v>
      </c>
    </row>
    <row r="28" spans="2:5">
      <c r="B28" s="1198" t="s">
        <v>333</v>
      </c>
      <c r="C28" s="630" t="s">
        <v>669</v>
      </c>
      <c r="D28" s="964">
        <v>309</v>
      </c>
      <c r="E28" s="965">
        <f t="shared" ref="E28:E31" si="2">D28*9.5</f>
        <v>2935.5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890</v>
      </c>
      <c r="E32" s="954">
        <f>SUM(E27:E31)</f>
        <v>8455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1255</v>
      </c>
      <c r="D35" s="956">
        <f>D22</f>
        <v>1486</v>
      </c>
      <c r="E35" s="956">
        <f>D32</f>
        <v>890</v>
      </c>
    </row>
    <row r="36" spans="2:5">
      <c r="B36" s="953" t="s">
        <v>36</v>
      </c>
      <c r="C36" s="951">
        <f>C35*9.5</f>
        <v>11922.5</v>
      </c>
      <c r="D36" s="951">
        <f>D35*9.5</f>
        <v>14117</v>
      </c>
      <c r="E36" s="951">
        <f>SUM(E32)</f>
        <v>8455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3631</v>
      </c>
      <c r="D38" s="378" t="s">
        <v>253</v>
      </c>
      <c r="E38" s="381">
        <f>SUM(E36,D36,C36)</f>
        <v>34494.5</v>
      </c>
    </row>
    <row r="39" spans="2:5">
      <c r="B39" s="377" t="s">
        <v>197</v>
      </c>
      <c r="C39" s="378">
        <f>C40-C38</f>
        <v>7440</v>
      </c>
      <c r="D39" s="378" t="s">
        <v>204</v>
      </c>
      <c r="E39" s="381">
        <f>C39*9</f>
        <v>66960</v>
      </c>
    </row>
    <row r="40" spans="2:5" ht="19.5">
      <c r="B40" s="941" t="s">
        <v>201</v>
      </c>
      <c r="C40" s="380">
        <v>11071</v>
      </c>
      <c r="D40" s="380" t="s">
        <v>202</v>
      </c>
      <c r="E40" s="379">
        <f>SUM(E38+E39)</f>
        <v>101454.5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A1F9E-3697-4C3C-9706-81B21ACFDAD9}">
  <sheetPr>
    <pageSetUpPr fitToPage="1"/>
  </sheetPr>
  <dimension ref="B2:H44"/>
  <sheetViews>
    <sheetView zoomScale="80" zoomScaleNormal="80" workbookViewId="0">
      <selection activeCell="C8" sqref="C7:C8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45086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914</v>
      </c>
      <c r="C7" s="630" t="s">
        <v>669</v>
      </c>
      <c r="D7" s="964">
        <v>417</v>
      </c>
      <c r="E7" s="965">
        <f t="shared" ref="E7:E12" si="0">D7*9.5</f>
        <v>3961.5</v>
      </c>
    </row>
    <row r="8" spans="2:8" ht="15" customHeight="1">
      <c r="B8" s="1132" t="s">
        <v>256</v>
      </c>
      <c r="C8" s="630" t="s">
        <v>669</v>
      </c>
      <c r="D8" s="964">
        <v>270</v>
      </c>
      <c r="E8" s="965">
        <f t="shared" si="0"/>
        <v>2565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687</v>
      </c>
      <c r="E12" s="965">
        <f t="shared" si="0"/>
        <v>6526.5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32" t="s">
        <v>802</v>
      </c>
      <c r="C17" s="630" t="s">
        <v>669</v>
      </c>
      <c r="D17" s="964">
        <v>458</v>
      </c>
      <c r="E17" s="965">
        <f t="shared" ref="E17:E22" si="1">D17*9.5</f>
        <v>4351</v>
      </c>
    </row>
    <row r="18" spans="2:5" ht="15" customHeight="1">
      <c r="B18" s="1132" t="s">
        <v>205</v>
      </c>
      <c r="C18" s="630" t="s">
        <v>669</v>
      </c>
      <c r="D18" s="964">
        <v>324</v>
      </c>
      <c r="E18" s="965">
        <f t="shared" si="1"/>
        <v>3078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782</v>
      </c>
      <c r="E22" s="954">
        <f t="shared" si="1"/>
        <v>7429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53</v>
      </c>
      <c r="C27" s="630" t="s">
        <v>669</v>
      </c>
      <c r="D27" s="964">
        <v>276</v>
      </c>
      <c r="E27" s="965">
        <f>D27*10</f>
        <v>2760</v>
      </c>
    </row>
    <row r="28" spans="2:5">
      <c r="B28" s="1198" t="s">
        <v>235</v>
      </c>
      <c r="C28" s="630" t="s">
        <v>669</v>
      </c>
      <c r="D28" s="964">
        <v>690</v>
      </c>
      <c r="E28" s="965">
        <f t="shared" ref="E28:E31" si="2">D28*9.5</f>
        <v>6555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966</v>
      </c>
      <c r="E32" s="954">
        <f>SUM(E27:E31)</f>
        <v>9315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687</v>
      </c>
      <c r="D35" s="956">
        <f>D22</f>
        <v>782</v>
      </c>
      <c r="E35" s="956">
        <f>D32</f>
        <v>966</v>
      </c>
    </row>
    <row r="36" spans="2:5">
      <c r="B36" s="953" t="s">
        <v>36</v>
      </c>
      <c r="C36" s="951">
        <f>C35*9.5</f>
        <v>6526.5</v>
      </c>
      <c r="D36" s="951">
        <f>D35*9.5</f>
        <v>7429</v>
      </c>
      <c r="E36" s="951">
        <f>SUM(E32)</f>
        <v>9315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2435</v>
      </c>
      <c r="D38" s="378" t="s">
        <v>253</v>
      </c>
      <c r="E38" s="381">
        <f>SUM(E36,D36,C36)</f>
        <v>23270.5</v>
      </c>
    </row>
    <row r="39" spans="2:5">
      <c r="B39" s="377" t="s">
        <v>197</v>
      </c>
      <c r="C39" s="378">
        <f>C40-C38</f>
        <v>6359</v>
      </c>
      <c r="D39" s="378" t="s">
        <v>204</v>
      </c>
      <c r="E39" s="381">
        <f>C39*9</f>
        <v>57231</v>
      </c>
    </row>
    <row r="40" spans="2:5" ht="19.5">
      <c r="B40" s="941" t="s">
        <v>201</v>
      </c>
      <c r="C40" s="380">
        <v>8794</v>
      </c>
      <c r="D40" s="380" t="s">
        <v>202</v>
      </c>
      <c r="E40" s="379">
        <f>SUM(E38+E39)</f>
        <v>80501.5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E1650-2E88-4D0D-9C04-6D42B613A3BF}">
  <sheetPr>
    <pageSetUpPr fitToPage="1"/>
  </sheetPr>
  <dimension ref="B2:H44"/>
  <sheetViews>
    <sheetView zoomScale="80" zoomScaleNormal="80" workbookViewId="0">
      <selection activeCell="C8" sqref="C7:C8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45087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696</v>
      </c>
      <c r="C7" s="630" t="s">
        <v>669</v>
      </c>
      <c r="D7" s="964">
        <v>355</v>
      </c>
      <c r="E7" s="965">
        <f t="shared" ref="E7:E12" si="0">D7*9.5</f>
        <v>3372.5</v>
      </c>
    </row>
    <row r="8" spans="2:8" ht="15" customHeight="1">
      <c r="B8" s="1132" t="s">
        <v>78</v>
      </c>
      <c r="C8" s="630" t="s">
        <v>669</v>
      </c>
      <c r="D8" s="964">
        <v>577</v>
      </c>
      <c r="E8" s="965">
        <f t="shared" si="0"/>
        <v>5481.5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932</v>
      </c>
      <c r="E12" s="965">
        <f t="shared" si="0"/>
        <v>8854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32" t="s">
        <v>303</v>
      </c>
      <c r="C17" s="630" t="s">
        <v>669</v>
      </c>
      <c r="D17" s="964">
        <v>1161</v>
      </c>
      <c r="E17" s="965">
        <f t="shared" ref="E17:E22" si="1">D17*9.5</f>
        <v>11029.5</v>
      </c>
    </row>
    <row r="18" spans="2:5" ht="15" customHeight="1">
      <c r="B18" s="1132" t="s">
        <v>332</v>
      </c>
      <c r="C18" s="630" t="s">
        <v>669</v>
      </c>
      <c r="D18" s="964">
        <v>835</v>
      </c>
      <c r="E18" s="965">
        <f t="shared" si="1"/>
        <v>7932.5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1996</v>
      </c>
      <c r="E22" s="954">
        <f t="shared" si="1"/>
        <v>18962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250</v>
      </c>
      <c r="C27" s="630" t="s">
        <v>669</v>
      </c>
      <c r="D27" s="964">
        <v>771</v>
      </c>
      <c r="E27" s="965">
        <f>D27*9.5</f>
        <v>7324.5</v>
      </c>
    </row>
    <row r="28" spans="2:5">
      <c r="B28" s="1198" t="s">
        <v>331</v>
      </c>
      <c r="C28" s="630" t="s">
        <v>669</v>
      </c>
      <c r="D28" s="964">
        <v>518</v>
      </c>
      <c r="E28" s="965">
        <f t="shared" ref="E28:E31" si="2">D28*9.5</f>
        <v>4921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1289</v>
      </c>
      <c r="E32" s="954">
        <f>SUM(E27:E31)</f>
        <v>12245.5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932</v>
      </c>
      <c r="D35" s="956">
        <f>D22</f>
        <v>1996</v>
      </c>
      <c r="E35" s="956">
        <f>D32</f>
        <v>1289</v>
      </c>
    </row>
    <row r="36" spans="2:5">
      <c r="B36" s="953" t="s">
        <v>36</v>
      </c>
      <c r="C36" s="951">
        <f>C35*9.5</f>
        <v>8854</v>
      </c>
      <c r="D36" s="951">
        <f>D35*9.5</f>
        <v>18962</v>
      </c>
      <c r="E36" s="951">
        <f>SUM(E32)</f>
        <v>12245.5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4217</v>
      </c>
      <c r="D38" s="378" t="s">
        <v>253</v>
      </c>
      <c r="E38" s="381">
        <f>SUM(E36,D36,C36)</f>
        <v>40061.5</v>
      </c>
    </row>
    <row r="39" spans="2:5">
      <c r="B39" s="377" t="s">
        <v>197</v>
      </c>
      <c r="C39" s="378">
        <f>C40-C38</f>
        <v>353</v>
      </c>
      <c r="D39" s="378" t="s">
        <v>204</v>
      </c>
      <c r="E39" s="381">
        <f>C39*9</f>
        <v>3177</v>
      </c>
    </row>
    <row r="40" spans="2:5" ht="19.5">
      <c r="B40" s="941" t="s">
        <v>201</v>
      </c>
      <c r="C40" s="380">
        <v>4570</v>
      </c>
      <c r="D40" s="380" t="s">
        <v>202</v>
      </c>
      <c r="E40" s="379">
        <f>SUM(E38+E39)</f>
        <v>43238.5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C0097-96E2-4B56-80D5-4FA571E5086E}">
  <sheetPr>
    <pageSetUpPr fitToPage="1"/>
  </sheetPr>
  <dimension ref="B2:H44"/>
  <sheetViews>
    <sheetView zoomScale="80" zoomScaleNormal="80" workbookViewId="0">
      <selection activeCell="C8" sqref="C7:C8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45088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256</v>
      </c>
      <c r="C7" s="630" t="s">
        <v>669</v>
      </c>
      <c r="D7" s="964">
        <v>325</v>
      </c>
      <c r="E7" s="965">
        <f t="shared" ref="E7:E12" si="0">D7*9.5</f>
        <v>3087.5</v>
      </c>
    </row>
    <row r="8" spans="2:8" ht="15" customHeight="1">
      <c r="B8" s="1132" t="s">
        <v>239</v>
      </c>
      <c r="C8" s="630" t="s">
        <v>669</v>
      </c>
      <c r="D8" s="964">
        <v>543</v>
      </c>
      <c r="E8" s="965">
        <f t="shared" si="0"/>
        <v>5158.5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868</v>
      </c>
      <c r="E12" s="965">
        <f t="shared" si="0"/>
        <v>8246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6" ht="14.45" customHeight="1">
      <c r="B17" s="1132" t="s">
        <v>252</v>
      </c>
      <c r="C17" s="630" t="s">
        <v>669</v>
      </c>
      <c r="D17" s="964">
        <v>463</v>
      </c>
      <c r="E17" s="965">
        <f t="shared" ref="E17:E22" si="1">D17*9.5</f>
        <v>4398.5</v>
      </c>
    </row>
    <row r="18" spans="2:6" ht="15" customHeight="1">
      <c r="B18" s="1132" t="s">
        <v>910</v>
      </c>
      <c r="C18" s="630" t="s">
        <v>669</v>
      </c>
      <c r="D18" s="964"/>
      <c r="E18" s="965">
        <f t="shared" si="1"/>
        <v>0</v>
      </c>
      <c r="F18" s="934" t="s">
        <v>722</v>
      </c>
    </row>
    <row r="19" spans="2:6" ht="14.45" customHeight="1">
      <c r="B19" s="972"/>
      <c r="C19" s="973" t="s">
        <v>26</v>
      </c>
      <c r="D19" s="964"/>
      <c r="E19" s="965">
        <f t="shared" si="1"/>
        <v>0</v>
      </c>
    </row>
    <row r="20" spans="2:6" ht="14.45" customHeight="1">
      <c r="B20" s="972"/>
      <c r="C20" s="973" t="s">
        <v>26</v>
      </c>
      <c r="D20" s="964"/>
      <c r="E20" s="965">
        <f t="shared" si="1"/>
        <v>0</v>
      </c>
    </row>
    <row r="21" spans="2:6" ht="14.45" customHeight="1">
      <c r="B21" s="1063"/>
      <c r="C21" s="975" t="s">
        <v>681</v>
      </c>
      <c r="D21" s="964"/>
      <c r="E21" s="965">
        <f t="shared" si="1"/>
        <v>0</v>
      </c>
    </row>
    <row r="22" spans="2:6" ht="14.45" customHeight="1">
      <c r="B22" s="1269" t="s">
        <v>24</v>
      </c>
      <c r="C22" s="1270"/>
      <c r="D22" s="964">
        <f>SUM(D17:D21)</f>
        <v>463</v>
      </c>
      <c r="E22" s="954">
        <f t="shared" si="1"/>
        <v>4398.5</v>
      </c>
    </row>
    <row r="23" spans="2:6">
      <c r="B23" s="944"/>
      <c r="C23" s="944"/>
      <c r="D23" s="945"/>
      <c r="E23" s="945"/>
    </row>
    <row r="24" spans="2:6" ht="19.5">
      <c r="B24" s="946" t="s">
        <v>665</v>
      </c>
      <c r="C24" s="1264" t="s">
        <v>29</v>
      </c>
      <c r="D24" s="1265"/>
      <c r="E24" s="1266"/>
    </row>
    <row r="25" spans="2:6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6">
      <c r="B26" s="1251"/>
      <c r="C26" s="1251"/>
      <c r="D26" s="1252"/>
      <c r="E26" s="1254"/>
    </row>
    <row r="27" spans="2:6">
      <c r="B27" s="1198" t="s">
        <v>301</v>
      </c>
      <c r="C27" s="630" t="s">
        <v>669</v>
      </c>
      <c r="D27" s="964">
        <v>555</v>
      </c>
      <c r="E27" s="965">
        <f>D27*9.5</f>
        <v>5272.5</v>
      </c>
    </row>
    <row r="28" spans="2:6">
      <c r="B28" s="1198" t="s">
        <v>235</v>
      </c>
      <c r="C28" s="630" t="s">
        <v>669</v>
      </c>
      <c r="D28" s="964">
        <v>905</v>
      </c>
      <c r="E28" s="965">
        <f t="shared" ref="E28:E31" si="2">D28*9.5</f>
        <v>8597.5</v>
      </c>
    </row>
    <row r="29" spans="2:6">
      <c r="B29" s="972"/>
      <c r="C29" s="973" t="s">
        <v>26</v>
      </c>
      <c r="D29" s="964"/>
      <c r="E29" s="965">
        <f>D29*9.5</f>
        <v>0</v>
      </c>
    </row>
    <row r="30" spans="2:6">
      <c r="B30" s="972"/>
      <c r="C30" s="975" t="s">
        <v>26</v>
      </c>
      <c r="D30" s="964"/>
      <c r="E30" s="965">
        <f t="shared" si="2"/>
        <v>0</v>
      </c>
    </row>
    <row r="31" spans="2:6">
      <c r="B31" s="1128"/>
      <c r="C31" s="975" t="s">
        <v>667</v>
      </c>
      <c r="D31" s="964"/>
      <c r="E31" s="965">
        <f t="shared" si="2"/>
        <v>0</v>
      </c>
    </row>
    <row r="32" spans="2:6" ht="20.100000000000001" customHeight="1">
      <c r="B32" s="1259" t="s">
        <v>24</v>
      </c>
      <c r="C32" s="1259"/>
      <c r="D32" s="964">
        <f>SUM(D27:D31)</f>
        <v>1460</v>
      </c>
      <c r="E32" s="954">
        <f>SUM(E27:E31)</f>
        <v>13870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868</v>
      </c>
      <c r="D35" s="956">
        <f>D22</f>
        <v>463</v>
      </c>
      <c r="E35" s="956">
        <f>D32</f>
        <v>1460</v>
      </c>
    </row>
    <row r="36" spans="2:5">
      <c r="B36" s="953" t="s">
        <v>36</v>
      </c>
      <c r="C36" s="951">
        <f>C35*9.5</f>
        <v>8246</v>
      </c>
      <c r="D36" s="951">
        <f>D35*9.5</f>
        <v>4398.5</v>
      </c>
      <c r="E36" s="951">
        <f>SUM(E32)</f>
        <v>13870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2791</v>
      </c>
      <c r="D38" s="378" t="s">
        <v>253</v>
      </c>
      <c r="E38" s="381">
        <f>SUM(E36,D36,C36)</f>
        <v>26514.5</v>
      </c>
    </row>
    <row r="39" spans="2:5">
      <c r="B39" s="377" t="s">
        <v>197</v>
      </c>
      <c r="C39" s="378">
        <f>C40-C38</f>
        <v>602</v>
      </c>
      <c r="D39" s="378" t="s">
        <v>204</v>
      </c>
      <c r="E39" s="381">
        <f>C39*9</f>
        <v>5418</v>
      </c>
    </row>
    <row r="40" spans="2:5" ht="19.5">
      <c r="B40" s="941" t="s">
        <v>201</v>
      </c>
      <c r="C40" s="380">
        <v>3393</v>
      </c>
      <c r="D40" s="380" t="s">
        <v>202</v>
      </c>
      <c r="E40" s="379">
        <f>SUM(E38+E39)</f>
        <v>31932.5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3A73A-8A27-4F87-8CA6-2C4181B62F48}">
  <sheetPr>
    <pageSetUpPr fitToPage="1"/>
  </sheetPr>
  <dimension ref="B2:H44"/>
  <sheetViews>
    <sheetView tabSelected="1" zoomScale="80" zoomScaleNormal="80" workbookViewId="0">
      <selection activeCell="J13" sqref="J13"/>
    </sheetView>
  </sheetViews>
  <sheetFormatPr defaultColWidth="9.140625" defaultRowHeight="15"/>
  <cols>
    <col min="1" max="1" width="9.140625" style="934"/>
    <col min="2" max="2" width="36.7109375" style="934" customWidth="1"/>
    <col min="3" max="3" width="33.85546875" style="934" customWidth="1"/>
    <col min="4" max="4" width="36.7109375" style="934" customWidth="1"/>
    <col min="5" max="5" width="34.28515625" style="934" customWidth="1"/>
    <col min="6" max="8" width="15.7109375" style="934" customWidth="1"/>
    <col min="9" max="16384" width="9.140625" style="934"/>
  </cols>
  <sheetData>
    <row r="2" spans="2:8" ht="19.5">
      <c r="B2" s="939" t="s">
        <v>13</v>
      </c>
      <c r="C2" s="936"/>
      <c r="D2" s="942" t="s">
        <v>27</v>
      </c>
      <c r="E2" s="1247">
        <v>45089</v>
      </c>
      <c r="F2" s="1247"/>
      <c r="G2" s="1247"/>
      <c r="H2" s="1247"/>
    </row>
    <row r="3" spans="2:8">
      <c r="B3" s="936"/>
      <c r="C3" s="936"/>
    </row>
    <row r="4" spans="2:8" ht="19.5">
      <c r="B4" s="940" t="s">
        <v>674</v>
      </c>
      <c r="C4" s="1248" t="s">
        <v>195</v>
      </c>
      <c r="D4" s="1249"/>
      <c r="E4" s="1250"/>
    </row>
    <row r="5" spans="2:8">
      <c r="B5" s="1251" t="s">
        <v>0</v>
      </c>
      <c r="C5" s="1251" t="s">
        <v>1</v>
      </c>
      <c r="D5" s="1252" t="s">
        <v>40</v>
      </c>
      <c r="E5" s="1253" t="s">
        <v>31</v>
      </c>
    </row>
    <row r="6" spans="2:8" s="974" customFormat="1">
      <c r="B6" s="1251"/>
      <c r="C6" s="1251"/>
      <c r="D6" s="1252"/>
      <c r="E6" s="1254"/>
    </row>
    <row r="7" spans="2:8" ht="15" customHeight="1">
      <c r="B7" s="1132" t="s">
        <v>330</v>
      </c>
      <c r="C7" s="630" t="s">
        <v>669</v>
      </c>
      <c r="D7" s="964">
        <v>984</v>
      </c>
      <c r="E7" s="965">
        <f t="shared" ref="E7:E12" si="0">D7*9.5</f>
        <v>9348</v>
      </c>
    </row>
    <row r="8" spans="2:8" ht="15" customHeight="1">
      <c r="B8" s="1132" t="s">
        <v>12</v>
      </c>
      <c r="C8" s="630" t="s">
        <v>669</v>
      </c>
      <c r="D8" s="964">
        <v>560</v>
      </c>
      <c r="E8" s="965">
        <f t="shared" si="0"/>
        <v>5320</v>
      </c>
    </row>
    <row r="9" spans="2:8" ht="15" customHeight="1">
      <c r="B9" s="972"/>
      <c r="C9" s="973" t="s">
        <v>26</v>
      </c>
      <c r="D9" s="964"/>
      <c r="E9" s="965">
        <f t="shared" si="0"/>
        <v>0</v>
      </c>
      <c r="F9" s="936"/>
    </row>
    <row r="10" spans="2:8" ht="15" customHeight="1">
      <c r="B10" s="972"/>
      <c r="C10" s="973" t="s">
        <v>26</v>
      </c>
      <c r="D10" s="943"/>
      <c r="E10" s="965">
        <f t="shared" si="0"/>
        <v>0</v>
      </c>
    </row>
    <row r="11" spans="2:8" ht="15" customHeight="1">
      <c r="B11" s="1063"/>
      <c r="C11" s="975" t="s">
        <v>687</v>
      </c>
      <c r="D11" s="943"/>
      <c r="E11" s="965">
        <f t="shared" si="0"/>
        <v>0</v>
      </c>
    </row>
    <row r="12" spans="2:8" ht="20.100000000000001" customHeight="1">
      <c r="B12" s="1255" t="s">
        <v>24</v>
      </c>
      <c r="C12" s="1255"/>
      <c r="D12" s="964">
        <f>SUM(D7:D11)</f>
        <v>1544</v>
      </c>
      <c r="E12" s="965">
        <f t="shared" si="0"/>
        <v>14668</v>
      </c>
    </row>
    <row r="14" spans="2:8" ht="19.5">
      <c r="B14" s="941" t="s">
        <v>671</v>
      </c>
      <c r="C14" s="1256" t="s">
        <v>182</v>
      </c>
      <c r="D14" s="1257"/>
      <c r="E14" s="1258"/>
    </row>
    <row r="15" spans="2:8" ht="15" customHeight="1">
      <c r="B15" s="1251" t="s">
        <v>0</v>
      </c>
      <c r="C15" s="1251" t="s">
        <v>1</v>
      </c>
      <c r="D15" s="1252" t="s">
        <v>40</v>
      </c>
      <c r="E15" s="1253" t="s">
        <v>31</v>
      </c>
    </row>
    <row r="16" spans="2:8" s="974" customFormat="1">
      <c r="B16" s="1251"/>
      <c r="C16" s="1251"/>
      <c r="D16" s="1252"/>
      <c r="E16" s="1254"/>
    </row>
    <row r="17" spans="2:5" ht="14.45" customHeight="1">
      <c r="B17" s="1132" t="s">
        <v>65</v>
      </c>
      <c r="C17" s="630" t="s">
        <v>669</v>
      </c>
      <c r="D17" s="964">
        <v>553</v>
      </c>
      <c r="E17" s="965">
        <f t="shared" ref="E17:E22" si="1">D17*9.5</f>
        <v>5253.5</v>
      </c>
    </row>
    <row r="18" spans="2:5" ht="15" customHeight="1">
      <c r="B18" s="1132" t="s">
        <v>189</v>
      </c>
      <c r="C18" s="630" t="s">
        <v>669</v>
      </c>
      <c r="D18" s="964">
        <v>471</v>
      </c>
      <c r="E18" s="965">
        <f t="shared" si="1"/>
        <v>4474.5</v>
      </c>
    </row>
    <row r="19" spans="2:5" ht="14.45" customHeight="1">
      <c r="B19" s="972"/>
      <c r="C19" s="973" t="s">
        <v>26</v>
      </c>
      <c r="D19" s="964"/>
      <c r="E19" s="965">
        <f t="shared" si="1"/>
        <v>0</v>
      </c>
    </row>
    <row r="20" spans="2:5" ht="14.45" customHeight="1">
      <c r="B20" s="972"/>
      <c r="C20" s="973" t="s">
        <v>26</v>
      </c>
      <c r="D20" s="964"/>
      <c r="E20" s="965">
        <f t="shared" si="1"/>
        <v>0</v>
      </c>
    </row>
    <row r="21" spans="2:5" ht="14.45" customHeight="1">
      <c r="B21" s="1063"/>
      <c r="C21" s="975" t="s">
        <v>681</v>
      </c>
      <c r="D21" s="964"/>
      <c r="E21" s="965">
        <f t="shared" si="1"/>
        <v>0</v>
      </c>
    </row>
    <row r="22" spans="2:5" ht="14.45" customHeight="1">
      <c r="B22" s="1269" t="s">
        <v>24</v>
      </c>
      <c r="C22" s="1270"/>
      <c r="D22" s="964">
        <f>SUM(D17:D21)</f>
        <v>1024</v>
      </c>
      <c r="E22" s="954">
        <f t="shared" si="1"/>
        <v>9728</v>
      </c>
    </row>
    <row r="23" spans="2:5">
      <c r="B23" s="944"/>
      <c r="C23" s="944"/>
      <c r="D23" s="945"/>
      <c r="E23" s="945"/>
    </row>
    <row r="24" spans="2:5" ht="19.5">
      <c r="B24" s="946" t="s">
        <v>665</v>
      </c>
      <c r="C24" s="1264" t="s">
        <v>29</v>
      </c>
      <c r="D24" s="1265"/>
      <c r="E24" s="1266"/>
    </row>
    <row r="25" spans="2:5" ht="15" customHeight="1">
      <c r="B25" s="1251" t="s">
        <v>0</v>
      </c>
      <c r="C25" s="1251" t="s">
        <v>1</v>
      </c>
      <c r="D25" s="1252" t="s">
        <v>40</v>
      </c>
      <c r="E25" s="1253" t="s">
        <v>31</v>
      </c>
    </row>
    <row r="26" spans="2:5">
      <c r="B26" s="1251"/>
      <c r="C26" s="1251"/>
      <c r="D26" s="1252"/>
      <c r="E26" s="1254"/>
    </row>
    <row r="27" spans="2:5">
      <c r="B27" s="1198" t="s">
        <v>45</v>
      </c>
      <c r="C27" s="630" t="s">
        <v>669</v>
      </c>
      <c r="D27" s="964">
        <v>407</v>
      </c>
      <c r="E27" s="965">
        <f>D27*9.5</f>
        <v>3866.5</v>
      </c>
    </row>
    <row r="28" spans="2:5">
      <c r="B28" s="1198" t="s">
        <v>334</v>
      </c>
      <c r="C28" s="630" t="s">
        <v>669</v>
      </c>
      <c r="D28" s="964">
        <v>537</v>
      </c>
      <c r="E28" s="965">
        <f t="shared" ref="E28:E31" si="2">D28*9.5</f>
        <v>5101.5</v>
      </c>
    </row>
    <row r="29" spans="2:5">
      <c r="B29" s="972"/>
      <c r="C29" s="973" t="s">
        <v>26</v>
      </c>
      <c r="D29" s="964"/>
      <c r="E29" s="965">
        <f>D29*9.5</f>
        <v>0</v>
      </c>
    </row>
    <row r="30" spans="2:5">
      <c r="B30" s="972"/>
      <c r="C30" s="975" t="s">
        <v>26</v>
      </c>
      <c r="D30" s="964"/>
      <c r="E30" s="965">
        <f t="shared" si="2"/>
        <v>0</v>
      </c>
    </row>
    <row r="31" spans="2:5">
      <c r="B31" s="1128"/>
      <c r="C31" s="975" t="s">
        <v>667</v>
      </c>
      <c r="D31" s="964"/>
      <c r="E31" s="965">
        <f t="shared" si="2"/>
        <v>0</v>
      </c>
    </row>
    <row r="32" spans="2:5" ht="20.100000000000001" customHeight="1">
      <c r="B32" s="1259" t="s">
        <v>24</v>
      </c>
      <c r="C32" s="1259"/>
      <c r="D32" s="964">
        <f>SUM(D27:D31)</f>
        <v>944</v>
      </c>
      <c r="E32" s="954">
        <f>SUM(E27:E31)</f>
        <v>8968</v>
      </c>
    </row>
    <row r="33" spans="2:5" ht="19.5">
      <c r="B33" s="1260" t="s">
        <v>200</v>
      </c>
      <c r="C33" s="1260"/>
      <c r="D33" s="1260"/>
      <c r="E33" s="1260"/>
    </row>
    <row r="34" spans="2:5">
      <c r="B34" s="950"/>
      <c r="C34" s="952" t="s">
        <v>34</v>
      </c>
      <c r="D34" s="952" t="s">
        <v>35</v>
      </c>
      <c r="E34" s="952" t="s">
        <v>37</v>
      </c>
    </row>
    <row r="35" spans="2:5">
      <c r="B35" s="953" t="s">
        <v>39</v>
      </c>
      <c r="C35" s="955">
        <f>D12</f>
        <v>1544</v>
      </c>
      <c r="D35" s="956">
        <f>D22</f>
        <v>1024</v>
      </c>
      <c r="E35" s="956">
        <f>D32</f>
        <v>944</v>
      </c>
    </row>
    <row r="36" spans="2:5">
      <c r="B36" s="953" t="s">
        <v>36</v>
      </c>
      <c r="C36" s="951">
        <f>C35*9.5</f>
        <v>14668</v>
      </c>
      <c r="D36" s="951">
        <f>D35*9.5</f>
        <v>9728</v>
      </c>
      <c r="E36" s="951">
        <f>SUM(E32)</f>
        <v>8968</v>
      </c>
    </row>
    <row r="37" spans="2:5" ht="19.5">
      <c r="B37" s="1261" t="s">
        <v>199</v>
      </c>
      <c r="C37" s="1262"/>
      <c r="D37" s="1262"/>
      <c r="E37" s="1263"/>
    </row>
    <row r="38" spans="2:5">
      <c r="B38" s="377" t="s">
        <v>198</v>
      </c>
      <c r="C38" s="378">
        <f>C35+D35+E35</f>
        <v>3512</v>
      </c>
      <c r="D38" s="378" t="s">
        <v>253</v>
      </c>
      <c r="E38" s="381">
        <f>SUM(E36,D36,C36)</f>
        <v>33364</v>
      </c>
    </row>
    <row r="39" spans="2:5">
      <c r="B39" s="377" t="s">
        <v>197</v>
      </c>
      <c r="C39" s="378">
        <f>C40-C38</f>
        <v>6118</v>
      </c>
      <c r="D39" s="378" t="s">
        <v>204</v>
      </c>
      <c r="E39" s="381">
        <f>C39*9</f>
        <v>55062</v>
      </c>
    </row>
    <row r="40" spans="2:5" ht="19.5">
      <c r="B40" s="941" t="s">
        <v>201</v>
      </c>
      <c r="C40" s="380">
        <v>9630</v>
      </c>
      <c r="D40" s="380" t="s">
        <v>202</v>
      </c>
      <c r="E40" s="379">
        <f>SUM(E38+E39)</f>
        <v>88426</v>
      </c>
    </row>
    <row r="42" spans="2:5">
      <c r="B42" s="938" t="s">
        <v>5</v>
      </c>
      <c r="C42" s="947"/>
    </row>
    <row r="43" spans="2:5">
      <c r="B43" s="948" t="s">
        <v>4</v>
      </c>
      <c r="C43" s="949"/>
    </row>
    <row r="44" spans="2:5">
      <c r="B44" s="948" t="s">
        <v>25</v>
      </c>
      <c r="C44" s="949"/>
    </row>
  </sheetData>
  <mergeCells count="22">
    <mergeCell ref="B32:C32"/>
    <mergeCell ref="B33:E33"/>
    <mergeCell ref="B37:E37"/>
    <mergeCell ref="B22:C22"/>
    <mergeCell ref="C24:E24"/>
    <mergeCell ref="B25:B26"/>
    <mergeCell ref="C25:C26"/>
    <mergeCell ref="D25:D26"/>
    <mergeCell ref="E25:E26"/>
    <mergeCell ref="B12:C12"/>
    <mergeCell ref="C14:E14"/>
    <mergeCell ref="B15:B16"/>
    <mergeCell ref="C15:C16"/>
    <mergeCell ref="D15:D16"/>
    <mergeCell ref="E15:E16"/>
    <mergeCell ref="E2:F2"/>
    <mergeCell ref="G2:H2"/>
    <mergeCell ref="C4:E4"/>
    <mergeCell ref="B5:B6"/>
    <mergeCell ref="C5:C6"/>
    <mergeCell ref="D5:D6"/>
    <mergeCell ref="E5:E6"/>
  </mergeCells>
  <pageMargins left="0.7" right="0.7" top="0.75" bottom="0.75" header="0.3" footer="0.3"/>
  <pageSetup scale="68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7EB17-649E-408F-9CF2-2016722099EB}">
  <sheetPr codeName="Sheet346"/>
  <dimension ref="A1:JG71"/>
  <sheetViews>
    <sheetView workbookViewId="0">
      <pane xSplit="1" ySplit="2" topLeftCell="HY3" activePane="bottomRight" state="frozen"/>
      <selection pane="topRight" activeCell="B1" sqref="B1"/>
      <selection pane="bottomLeft" activeCell="A3" sqref="A3"/>
      <selection pane="bottomRight" activeCell="IG66" sqref="IG66"/>
    </sheetView>
  </sheetViews>
  <sheetFormatPr defaultColWidth="8.85546875" defaultRowHeight="15"/>
  <cols>
    <col min="1" max="1" width="21.85546875" style="974" bestFit="1" customWidth="1"/>
    <col min="2" max="4" width="8.28515625" style="974" customWidth="1"/>
    <col min="5" max="5" width="8.7109375" style="974" customWidth="1"/>
    <col min="6" max="6" width="8.42578125" style="974" customWidth="1"/>
    <col min="7" max="8" width="8.28515625" style="974" customWidth="1"/>
    <col min="9" max="11" width="8.5703125" style="974" customWidth="1"/>
    <col min="12" max="12" width="8.42578125" style="974" customWidth="1"/>
    <col min="13" max="13" width="8.5703125" style="974" customWidth="1"/>
    <col min="14" max="19" width="8.28515625" style="974" customWidth="1"/>
    <col min="20" max="21" width="8.42578125" style="974" customWidth="1"/>
    <col min="22" max="22" width="8.5703125" style="974" customWidth="1"/>
    <col min="23" max="25" width="8.42578125" style="974" customWidth="1"/>
    <col min="26" max="27" width="8.28515625" style="974" customWidth="1"/>
    <col min="28" max="30" width="8.42578125" style="974" customWidth="1"/>
    <col min="31" max="34" width="8.5703125" style="974" customWidth="1"/>
    <col min="35" max="35" width="8.28515625" style="974" customWidth="1"/>
    <col min="36" max="36" width="8.5703125" style="974" customWidth="1"/>
    <col min="37" max="37" width="8.7109375" style="974" customWidth="1"/>
    <col min="38" max="61" width="8.5703125" style="974" customWidth="1"/>
    <col min="62" max="62" width="8.7109375" style="974" customWidth="1"/>
    <col min="63" max="92" width="8.5703125" style="974" customWidth="1"/>
    <col min="93" max="94" width="8" style="974" customWidth="1"/>
    <col min="95" max="117" width="8.5703125" style="974" customWidth="1"/>
    <col min="118" max="118" width="8.42578125" style="974" customWidth="1"/>
    <col min="119" max="127" width="8.5703125" style="974" customWidth="1"/>
    <col min="128" max="129" width="8" style="974" customWidth="1"/>
    <col min="130" max="157" width="8.5703125" style="974" bestFit="1" customWidth="1"/>
    <col min="158" max="158" width="8.42578125" style="974" customWidth="1"/>
    <col min="159" max="161" width="8.5703125" style="974" bestFit="1" customWidth="1"/>
    <col min="162" max="170" width="8" style="974" customWidth="1"/>
    <col min="171" max="178" width="8.5703125" style="974" bestFit="1" customWidth="1"/>
    <col min="179" max="181" width="8.5703125" style="974" customWidth="1"/>
    <col min="182" max="225" width="8.5703125" style="974" bestFit="1" customWidth="1"/>
    <col min="226" max="227" width="8" style="974" customWidth="1"/>
    <col min="228" max="234" width="8.5703125" style="974" bestFit="1" customWidth="1"/>
    <col min="235" max="245" width="7.42578125" style="974" customWidth="1"/>
    <col min="246" max="246" width="12.28515625" style="934" customWidth="1"/>
    <col min="247" max="247" width="18" style="934" customWidth="1"/>
    <col min="248" max="248" width="18.28515625" style="934" customWidth="1"/>
    <col min="249" max="249" width="5.85546875" style="934" customWidth="1"/>
    <col min="250" max="250" width="9.7109375" style="934" customWidth="1"/>
    <col min="251" max="251" width="6.85546875" style="934" customWidth="1"/>
    <col min="252" max="253" width="5.85546875" style="934" customWidth="1"/>
    <col min="254" max="254" width="12.42578125" style="934" customWidth="1"/>
    <col min="255" max="255" width="6.5703125" style="934" customWidth="1"/>
    <col min="256" max="256" width="3.42578125" style="934" customWidth="1"/>
    <col min="257" max="257" width="8.28515625" style="974" customWidth="1"/>
    <col min="258" max="258" width="10.7109375" style="934" customWidth="1"/>
    <col min="259" max="259" width="21.28515625" style="934" bestFit="1" customWidth="1"/>
    <col min="260" max="16384" width="8.85546875" style="934"/>
  </cols>
  <sheetData>
    <row r="1" spans="1:259">
      <c r="A1" s="1251" t="s">
        <v>77</v>
      </c>
      <c r="B1" s="250" t="s">
        <v>91</v>
      </c>
      <c r="C1" s="250" t="s">
        <v>92</v>
      </c>
      <c r="D1" s="250" t="s">
        <v>93</v>
      </c>
      <c r="E1" s="250" t="s">
        <v>87</v>
      </c>
      <c r="F1" s="250" t="s">
        <v>88</v>
      </c>
      <c r="G1" s="250" t="s">
        <v>89</v>
      </c>
      <c r="H1" s="250" t="s">
        <v>90</v>
      </c>
      <c r="I1" s="250" t="s">
        <v>91</v>
      </c>
      <c r="J1" s="250" t="s">
        <v>92</v>
      </c>
      <c r="K1" s="250" t="s">
        <v>93</v>
      </c>
      <c r="L1" s="250" t="s">
        <v>87</v>
      </c>
      <c r="M1" s="250" t="s">
        <v>88</v>
      </c>
      <c r="N1" s="250" t="s">
        <v>89</v>
      </c>
      <c r="O1" s="250" t="s">
        <v>90</v>
      </c>
      <c r="P1" s="250" t="s">
        <v>91</v>
      </c>
      <c r="Q1" s="250" t="s">
        <v>92</v>
      </c>
      <c r="R1" s="250" t="s">
        <v>93</v>
      </c>
      <c r="S1" s="250" t="s">
        <v>87</v>
      </c>
      <c r="T1" s="250" t="s">
        <v>88</v>
      </c>
      <c r="U1" s="250" t="s">
        <v>89</v>
      </c>
      <c r="V1" s="250" t="s">
        <v>90</v>
      </c>
      <c r="W1" s="250" t="s">
        <v>91</v>
      </c>
      <c r="X1" s="250" t="s">
        <v>92</v>
      </c>
      <c r="Y1" s="250" t="s">
        <v>93</v>
      </c>
      <c r="Z1" s="250" t="s">
        <v>87</v>
      </c>
      <c r="AA1" s="250" t="s">
        <v>88</v>
      </c>
      <c r="AB1" s="250" t="s">
        <v>89</v>
      </c>
      <c r="AC1" s="250" t="s">
        <v>90</v>
      </c>
      <c r="AD1" s="250" t="s">
        <v>91</v>
      </c>
      <c r="AE1" s="250" t="s">
        <v>92</v>
      </c>
      <c r="AF1" s="250" t="s">
        <v>93</v>
      </c>
      <c r="AG1" s="250" t="s">
        <v>87</v>
      </c>
      <c r="AH1" s="250" t="s">
        <v>88</v>
      </c>
      <c r="AI1" s="250" t="s">
        <v>89</v>
      </c>
      <c r="AJ1" s="250" t="s">
        <v>90</v>
      </c>
      <c r="AK1" s="250" t="s">
        <v>91</v>
      </c>
      <c r="AL1" s="250" t="s">
        <v>92</v>
      </c>
      <c r="AM1" s="250" t="s">
        <v>93</v>
      </c>
      <c r="AN1" s="250" t="s">
        <v>87</v>
      </c>
      <c r="AO1" s="250" t="s">
        <v>88</v>
      </c>
      <c r="AP1" s="250" t="s">
        <v>89</v>
      </c>
      <c r="AQ1" s="250" t="s">
        <v>90</v>
      </c>
      <c r="AR1" s="250" t="s">
        <v>91</v>
      </c>
      <c r="AS1" s="250" t="s">
        <v>92</v>
      </c>
      <c r="AT1" s="250" t="s">
        <v>93</v>
      </c>
      <c r="AU1" s="250" t="s">
        <v>87</v>
      </c>
      <c r="AV1" s="250" t="s">
        <v>88</v>
      </c>
      <c r="AW1" s="250" t="s">
        <v>89</v>
      </c>
      <c r="AX1" s="250" t="s">
        <v>90</v>
      </c>
      <c r="AY1" s="250" t="s">
        <v>91</v>
      </c>
      <c r="AZ1" s="250" t="s">
        <v>92</v>
      </c>
      <c r="BA1" s="250" t="s">
        <v>93</v>
      </c>
      <c r="BB1" s="250" t="s">
        <v>87</v>
      </c>
      <c r="BC1" s="250" t="s">
        <v>88</v>
      </c>
      <c r="BD1" s="250" t="s">
        <v>89</v>
      </c>
      <c r="BE1" s="250" t="s">
        <v>90</v>
      </c>
      <c r="BF1" s="250" t="s">
        <v>91</v>
      </c>
      <c r="BG1" s="250" t="s">
        <v>92</v>
      </c>
      <c r="BH1" s="250" t="s">
        <v>93</v>
      </c>
      <c r="BI1" s="250" t="s">
        <v>87</v>
      </c>
      <c r="BJ1" s="250" t="s">
        <v>88</v>
      </c>
      <c r="BK1" s="250" t="s">
        <v>89</v>
      </c>
      <c r="BL1" s="250" t="s">
        <v>90</v>
      </c>
      <c r="BM1" s="250" t="s">
        <v>91</v>
      </c>
      <c r="BN1" s="250" t="s">
        <v>92</v>
      </c>
      <c r="BO1" s="250" t="s">
        <v>93</v>
      </c>
      <c r="BP1" s="250" t="s">
        <v>87</v>
      </c>
      <c r="BQ1" s="250" t="s">
        <v>88</v>
      </c>
      <c r="BR1" s="250" t="s">
        <v>89</v>
      </c>
      <c r="BS1" s="250" t="s">
        <v>90</v>
      </c>
      <c r="BT1" s="250" t="s">
        <v>91</v>
      </c>
      <c r="BU1" s="250" t="s">
        <v>92</v>
      </c>
      <c r="BV1" s="250" t="s">
        <v>93</v>
      </c>
      <c r="BW1" s="250" t="s">
        <v>87</v>
      </c>
      <c r="BX1" s="250" t="s">
        <v>88</v>
      </c>
      <c r="BY1" s="250" t="s">
        <v>89</v>
      </c>
      <c r="BZ1" s="250" t="s">
        <v>90</v>
      </c>
      <c r="CA1" s="250" t="s">
        <v>91</v>
      </c>
      <c r="CB1" s="250" t="s">
        <v>92</v>
      </c>
      <c r="CC1" s="250" t="s">
        <v>93</v>
      </c>
      <c r="CD1" s="250" t="s">
        <v>87</v>
      </c>
      <c r="CE1" s="250" t="s">
        <v>88</v>
      </c>
      <c r="CF1" s="250" t="s">
        <v>89</v>
      </c>
      <c r="CG1" s="250" t="s">
        <v>90</v>
      </c>
      <c r="CH1" s="250" t="s">
        <v>88</v>
      </c>
      <c r="CI1" s="1135" t="s">
        <v>93</v>
      </c>
      <c r="CJ1" s="250" t="s">
        <v>87</v>
      </c>
      <c r="CK1" s="250" t="s">
        <v>88</v>
      </c>
      <c r="CL1" s="250" t="s">
        <v>89</v>
      </c>
      <c r="CM1" s="250" t="s">
        <v>90</v>
      </c>
      <c r="CN1" s="250" t="s">
        <v>91</v>
      </c>
      <c r="CO1" s="250" t="s">
        <v>92</v>
      </c>
      <c r="CP1" s="250" t="s">
        <v>93</v>
      </c>
      <c r="CQ1" s="250" t="s">
        <v>87</v>
      </c>
      <c r="CR1" s="250" t="s">
        <v>88</v>
      </c>
      <c r="CS1" s="250" t="s">
        <v>89</v>
      </c>
      <c r="CT1" s="250" t="s">
        <v>90</v>
      </c>
      <c r="CU1" s="250" t="s">
        <v>91</v>
      </c>
      <c r="CV1" s="250" t="s">
        <v>92</v>
      </c>
      <c r="CW1" s="250" t="s">
        <v>93</v>
      </c>
      <c r="CX1" s="250" t="s">
        <v>87</v>
      </c>
      <c r="CY1" s="250" t="s">
        <v>88</v>
      </c>
      <c r="CZ1" s="250" t="s">
        <v>89</v>
      </c>
      <c r="DA1" s="250" t="s">
        <v>90</v>
      </c>
      <c r="DB1" s="250" t="s">
        <v>91</v>
      </c>
      <c r="DC1" s="250" t="s">
        <v>92</v>
      </c>
      <c r="DD1" s="250" t="s">
        <v>93</v>
      </c>
      <c r="DE1" s="250" t="s">
        <v>87</v>
      </c>
      <c r="DF1" s="250" t="s">
        <v>88</v>
      </c>
      <c r="DG1" s="250" t="s">
        <v>89</v>
      </c>
      <c r="DH1" s="250" t="s">
        <v>90</v>
      </c>
      <c r="DI1" s="250" t="s">
        <v>91</v>
      </c>
      <c r="DJ1" s="250" t="s">
        <v>92</v>
      </c>
      <c r="DK1" s="250" t="s">
        <v>93</v>
      </c>
      <c r="DL1" s="250" t="s">
        <v>87</v>
      </c>
      <c r="DM1" s="250" t="s">
        <v>88</v>
      </c>
      <c r="DN1" s="250" t="s">
        <v>89</v>
      </c>
      <c r="DO1" s="250" t="s">
        <v>90</v>
      </c>
      <c r="DP1" s="250" t="s">
        <v>91</v>
      </c>
      <c r="DQ1" s="250" t="s">
        <v>92</v>
      </c>
      <c r="DR1" s="250" t="s">
        <v>93</v>
      </c>
      <c r="DS1" s="250" t="s">
        <v>87</v>
      </c>
      <c r="DT1" s="250" t="s">
        <v>88</v>
      </c>
      <c r="DU1" s="250" t="s">
        <v>89</v>
      </c>
      <c r="DV1" s="250" t="s">
        <v>90</v>
      </c>
      <c r="DW1" s="250" t="s">
        <v>91</v>
      </c>
      <c r="DX1" s="250" t="s">
        <v>92</v>
      </c>
      <c r="DY1" s="250" t="s">
        <v>93</v>
      </c>
      <c r="DZ1" s="250" t="s">
        <v>87</v>
      </c>
      <c r="EA1" s="250" t="s">
        <v>88</v>
      </c>
      <c r="EB1" s="250" t="s">
        <v>89</v>
      </c>
      <c r="EC1" s="250" t="s">
        <v>90</v>
      </c>
      <c r="ED1" s="250" t="s">
        <v>91</v>
      </c>
      <c r="EE1" s="250" t="s">
        <v>92</v>
      </c>
      <c r="EF1" s="250" t="s">
        <v>93</v>
      </c>
      <c r="EG1" s="250" t="s">
        <v>87</v>
      </c>
      <c r="EH1" s="250" t="s">
        <v>88</v>
      </c>
      <c r="EI1" s="250" t="s">
        <v>89</v>
      </c>
      <c r="EJ1" s="250" t="s">
        <v>90</v>
      </c>
      <c r="EK1" s="250" t="s">
        <v>91</v>
      </c>
      <c r="EL1" s="250" t="s">
        <v>92</v>
      </c>
      <c r="EM1" s="250" t="s">
        <v>93</v>
      </c>
      <c r="EN1" s="250" t="s">
        <v>87</v>
      </c>
      <c r="EO1" s="250" t="s">
        <v>88</v>
      </c>
      <c r="EP1" s="250" t="s">
        <v>89</v>
      </c>
      <c r="EQ1" s="250" t="s">
        <v>90</v>
      </c>
      <c r="ER1" s="250" t="s">
        <v>91</v>
      </c>
      <c r="ES1" s="250" t="s">
        <v>92</v>
      </c>
      <c r="ET1" s="250" t="s">
        <v>93</v>
      </c>
      <c r="EU1" s="250" t="s">
        <v>87</v>
      </c>
      <c r="EV1" s="250" t="s">
        <v>88</v>
      </c>
      <c r="EW1" s="250" t="s">
        <v>89</v>
      </c>
      <c r="EX1" s="250" t="s">
        <v>90</v>
      </c>
      <c r="EY1" s="250" t="s">
        <v>91</v>
      </c>
      <c r="EZ1" s="250" t="s">
        <v>92</v>
      </c>
      <c r="FA1" s="250" t="s">
        <v>93</v>
      </c>
      <c r="FB1" s="250" t="s">
        <v>87</v>
      </c>
      <c r="FC1" s="250" t="s">
        <v>88</v>
      </c>
      <c r="FD1" s="250" t="s">
        <v>89</v>
      </c>
      <c r="FE1" s="250" t="s">
        <v>90</v>
      </c>
      <c r="FF1" s="250" t="s">
        <v>91</v>
      </c>
      <c r="FG1" s="250" t="s">
        <v>92</v>
      </c>
      <c r="FH1" s="250" t="s">
        <v>93</v>
      </c>
      <c r="FI1" s="250" t="s">
        <v>87</v>
      </c>
      <c r="FJ1" s="250" t="s">
        <v>88</v>
      </c>
      <c r="FK1" s="250" t="s">
        <v>89</v>
      </c>
      <c r="FL1" s="250" t="s">
        <v>90</v>
      </c>
      <c r="FM1" s="250" t="s">
        <v>91</v>
      </c>
      <c r="FN1" s="250" t="s">
        <v>92</v>
      </c>
      <c r="FO1" s="250" t="s">
        <v>93</v>
      </c>
      <c r="FP1" s="250" t="s">
        <v>87</v>
      </c>
      <c r="FQ1" s="250" t="s">
        <v>88</v>
      </c>
      <c r="FR1" s="250" t="s">
        <v>89</v>
      </c>
      <c r="FS1" s="250" t="s">
        <v>90</v>
      </c>
      <c r="FT1" s="250" t="s">
        <v>91</v>
      </c>
      <c r="FU1" s="250" t="s">
        <v>92</v>
      </c>
      <c r="FV1" s="250" t="s">
        <v>93</v>
      </c>
      <c r="FW1" s="250" t="s">
        <v>87</v>
      </c>
      <c r="FX1" s="250" t="s">
        <v>88</v>
      </c>
      <c r="FY1" s="250" t="s">
        <v>89</v>
      </c>
      <c r="FZ1" s="250" t="s">
        <v>90</v>
      </c>
      <c r="GA1" s="250" t="s">
        <v>91</v>
      </c>
      <c r="GB1" s="250" t="s">
        <v>92</v>
      </c>
      <c r="GC1" s="250" t="s">
        <v>93</v>
      </c>
      <c r="GD1" s="250" t="s">
        <v>87</v>
      </c>
      <c r="GE1" s="250" t="s">
        <v>88</v>
      </c>
      <c r="GF1" s="250" t="s">
        <v>89</v>
      </c>
      <c r="GG1" s="250" t="s">
        <v>90</v>
      </c>
      <c r="GH1" s="250" t="s">
        <v>91</v>
      </c>
      <c r="GI1" s="250" t="s">
        <v>92</v>
      </c>
      <c r="GJ1" s="250" t="s">
        <v>93</v>
      </c>
      <c r="GK1" s="250" t="s">
        <v>87</v>
      </c>
      <c r="GL1" s="250" t="s">
        <v>88</v>
      </c>
      <c r="GM1" s="250" t="s">
        <v>89</v>
      </c>
      <c r="GN1" s="250" t="s">
        <v>90</v>
      </c>
      <c r="GO1" s="250" t="s">
        <v>91</v>
      </c>
      <c r="GP1" s="250" t="s">
        <v>92</v>
      </c>
      <c r="GQ1" s="250" t="s">
        <v>93</v>
      </c>
      <c r="GR1" s="250" t="s">
        <v>87</v>
      </c>
      <c r="GS1" s="250" t="s">
        <v>88</v>
      </c>
      <c r="GT1" s="250" t="s">
        <v>89</v>
      </c>
      <c r="GU1" s="250" t="s">
        <v>90</v>
      </c>
      <c r="GV1" s="250" t="s">
        <v>91</v>
      </c>
      <c r="GW1" s="250" t="s">
        <v>92</v>
      </c>
      <c r="GX1" s="250" t="s">
        <v>93</v>
      </c>
      <c r="GY1" s="250" t="s">
        <v>87</v>
      </c>
      <c r="GZ1" s="250" t="s">
        <v>88</v>
      </c>
      <c r="HA1" s="250" t="s">
        <v>89</v>
      </c>
      <c r="HB1" s="250" t="s">
        <v>90</v>
      </c>
      <c r="HC1" s="250" t="s">
        <v>91</v>
      </c>
      <c r="HD1" s="250" t="s">
        <v>92</v>
      </c>
      <c r="HE1" s="250" t="s">
        <v>93</v>
      </c>
      <c r="HF1" s="250" t="s">
        <v>87</v>
      </c>
      <c r="HG1" s="250" t="s">
        <v>88</v>
      </c>
      <c r="HH1" s="250" t="s">
        <v>89</v>
      </c>
      <c r="HI1" s="250" t="s">
        <v>90</v>
      </c>
      <c r="HJ1" s="250" t="s">
        <v>91</v>
      </c>
      <c r="HK1" s="250" t="s">
        <v>92</v>
      </c>
      <c r="HL1" s="250" t="s">
        <v>93</v>
      </c>
      <c r="HM1" s="250" t="s">
        <v>87</v>
      </c>
      <c r="HN1" s="250" t="s">
        <v>88</v>
      </c>
      <c r="HO1" s="250" t="s">
        <v>89</v>
      </c>
      <c r="HP1" s="250" t="s">
        <v>90</v>
      </c>
      <c r="HQ1" s="250" t="s">
        <v>91</v>
      </c>
      <c r="HR1" s="250" t="s">
        <v>92</v>
      </c>
      <c r="HS1" s="250" t="s">
        <v>93</v>
      </c>
      <c r="HT1" s="250" t="s">
        <v>87</v>
      </c>
      <c r="HU1" s="250" t="s">
        <v>88</v>
      </c>
      <c r="HV1" s="250" t="s">
        <v>89</v>
      </c>
      <c r="HW1" s="250" t="s">
        <v>90</v>
      </c>
      <c r="HX1" s="250" t="s">
        <v>91</v>
      </c>
      <c r="HY1" s="250" t="s">
        <v>92</v>
      </c>
      <c r="HZ1" s="250" t="s">
        <v>93</v>
      </c>
      <c r="IA1" s="250" t="s">
        <v>87</v>
      </c>
      <c r="IB1" s="250" t="s">
        <v>88</v>
      </c>
      <c r="IC1" s="250" t="s">
        <v>89</v>
      </c>
      <c r="ID1" s="250" t="s">
        <v>90</v>
      </c>
      <c r="IE1" s="250" t="s">
        <v>91</v>
      </c>
      <c r="IF1" s="250" t="s">
        <v>92</v>
      </c>
      <c r="IG1" s="250" t="s">
        <v>93</v>
      </c>
      <c r="IH1" s="250" t="s">
        <v>87</v>
      </c>
      <c r="II1" s="250" t="s">
        <v>88</v>
      </c>
      <c r="IJ1" s="250" t="s">
        <v>89</v>
      </c>
      <c r="IK1" s="250" t="s">
        <v>90</v>
      </c>
      <c r="IL1" s="1253" t="s">
        <v>31</v>
      </c>
      <c r="IM1" s="1282" t="s">
        <v>190</v>
      </c>
      <c r="IQ1" s="1226">
        <v>45047</v>
      </c>
      <c r="IT1" s="974" t="s">
        <v>222</v>
      </c>
    </row>
    <row r="2" spans="1:259" ht="15.75" thickBot="1">
      <c r="A2" s="1280"/>
      <c r="B2" s="251">
        <v>44820</v>
      </c>
      <c r="C2" s="251">
        <v>44821</v>
      </c>
      <c r="D2" s="251">
        <v>44822</v>
      </c>
      <c r="E2" s="251">
        <v>44823</v>
      </c>
      <c r="F2" s="251">
        <v>44824</v>
      </c>
      <c r="G2" s="251">
        <v>44825</v>
      </c>
      <c r="H2" s="251">
        <v>44826</v>
      </c>
      <c r="I2" s="251">
        <v>44827</v>
      </c>
      <c r="J2" s="251">
        <v>44828</v>
      </c>
      <c r="K2" s="251">
        <v>44829</v>
      </c>
      <c r="L2" s="251">
        <v>44830</v>
      </c>
      <c r="M2" s="251">
        <v>44831</v>
      </c>
      <c r="N2" s="251">
        <v>44832</v>
      </c>
      <c r="O2" s="251">
        <v>44833</v>
      </c>
      <c r="P2" s="251">
        <v>44834</v>
      </c>
      <c r="Q2" s="251">
        <v>44835</v>
      </c>
      <c r="R2" s="251">
        <v>44836</v>
      </c>
      <c r="S2" s="251">
        <v>44837</v>
      </c>
      <c r="T2" s="251">
        <v>44838</v>
      </c>
      <c r="U2" s="251">
        <v>44839</v>
      </c>
      <c r="V2" s="251">
        <v>44840</v>
      </c>
      <c r="W2" s="251">
        <v>44841</v>
      </c>
      <c r="X2" s="251">
        <v>44842</v>
      </c>
      <c r="Y2" s="251">
        <v>44843</v>
      </c>
      <c r="Z2" s="251">
        <v>44844</v>
      </c>
      <c r="AA2" s="251">
        <v>44845</v>
      </c>
      <c r="AB2" s="251">
        <v>44846</v>
      </c>
      <c r="AC2" s="251">
        <v>44847</v>
      </c>
      <c r="AD2" s="251">
        <v>44848</v>
      </c>
      <c r="AE2" s="251">
        <v>44849</v>
      </c>
      <c r="AF2" s="251">
        <v>44850</v>
      </c>
      <c r="AG2" s="251">
        <v>44851</v>
      </c>
      <c r="AH2" s="251">
        <v>44852</v>
      </c>
      <c r="AI2" s="251">
        <v>44853</v>
      </c>
      <c r="AJ2" s="251">
        <v>44854</v>
      </c>
      <c r="AK2" s="251">
        <v>44855</v>
      </c>
      <c r="AL2" s="251">
        <v>44856</v>
      </c>
      <c r="AM2" s="251">
        <v>44857</v>
      </c>
      <c r="AN2" s="251">
        <v>44858</v>
      </c>
      <c r="AO2" s="251">
        <v>44859</v>
      </c>
      <c r="AP2" s="251">
        <v>44860</v>
      </c>
      <c r="AQ2" s="251">
        <v>44861</v>
      </c>
      <c r="AR2" s="251">
        <v>44862</v>
      </c>
      <c r="AS2" s="251">
        <v>44863</v>
      </c>
      <c r="AT2" s="251">
        <v>44864</v>
      </c>
      <c r="AU2" s="251">
        <v>44865</v>
      </c>
      <c r="AV2" s="251">
        <v>44866</v>
      </c>
      <c r="AW2" s="251">
        <v>44867</v>
      </c>
      <c r="AX2" s="251">
        <v>44868</v>
      </c>
      <c r="AY2" s="251">
        <v>44869</v>
      </c>
      <c r="AZ2" s="251">
        <v>44870</v>
      </c>
      <c r="BA2" s="251">
        <v>44871</v>
      </c>
      <c r="BB2" s="251">
        <v>44872</v>
      </c>
      <c r="BC2" s="251">
        <v>44873</v>
      </c>
      <c r="BD2" s="251">
        <v>44874</v>
      </c>
      <c r="BE2" s="251">
        <v>44875</v>
      </c>
      <c r="BF2" s="251">
        <v>44876</v>
      </c>
      <c r="BG2" s="251">
        <v>44877</v>
      </c>
      <c r="BH2" s="251">
        <v>44878</v>
      </c>
      <c r="BI2" s="251">
        <v>44879</v>
      </c>
      <c r="BJ2" s="251">
        <v>44880</v>
      </c>
      <c r="BK2" s="251">
        <v>44881</v>
      </c>
      <c r="BL2" s="251">
        <v>44882</v>
      </c>
      <c r="BM2" s="251">
        <v>44883</v>
      </c>
      <c r="BN2" s="251">
        <v>44884</v>
      </c>
      <c r="BO2" s="251">
        <v>44885</v>
      </c>
      <c r="BP2" s="251">
        <v>44886</v>
      </c>
      <c r="BQ2" s="251">
        <v>44887</v>
      </c>
      <c r="BR2" s="251">
        <v>44888</v>
      </c>
      <c r="BS2" s="251">
        <v>44889</v>
      </c>
      <c r="BT2" s="251">
        <v>44890</v>
      </c>
      <c r="BU2" s="251">
        <v>44891</v>
      </c>
      <c r="BV2" s="251">
        <v>44892</v>
      </c>
      <c r="BW2" s="251">
        <v>44893</v>
      </c>
      <c r="BX2" s="251">
        <v>44894</v>
      </c>
      <c r="BY2" s="251">
        <v>44895</v>
      </c>
      <c r="BZ2" s="251">
        <v>44896</v>
      </c>
      <c r="CA2" s="251">
        <v>44897</v>
      </c>
      <c r="CB2" s="251">
        <v>44898</v>
      </c>
      <c r="CC2" s="251">
        <v>44899</v>
      </c>
      <c r="CD2" s="251">
        <v>44900</v>
      </c>
      <c r="CE2" s="251">
        <v>44901</v>
      </c>
      <c r="CF2" s="251">
        <v>44902</v>
      </c>
      <c r="CG2" s="251">
        <v>44903</v>
      </c>
      <c r="CH2" s="251">
        <v>44908</v>
      </c>
      <c r="CI2" s="1136">
        <v>44934</v>
      </c>
      <c r="CJ2" s="251">
        <v>44935</v>
      </c>
      <c r="CK2" s="251">
        <v>44936</v>
      </c>
      <c r="CL2" s="251">
        <v>44937</v>
      </c>
      <c r="CM2" s="251">
        <v>44938</v>
      </c>
      <c r="CN2" s="251">
        <v>44939</v>
      </c>
      <c r="CO2" s="251">
        <v>44940</v>
      </c>
      <c r="CP2" s="251">
        <v>44941</v>
      </c>
      <c r="CQ2" s="251">
        <v>44942</v>
      </c>
      <c r="CR2" s="251">
        <v>44943</v>
      </c>
      <c r="CS2" s="251">
        <v>44944</v>
      </c>
      <c r="CT2" s="251">
        <v>44945</v>
      </c>
      <c r="CU2" s="251">
        <v>44946</v>
      </c>
      <c r="CV2" s="251">
        <v>44947</v>
      </c>
      <c r="CW2" s="251">
        <v>44948</v>
      </c>
      <c r="CX2" s="251">
        <v>44949</v>
      </c>
      <c r="CY2" s="251">
        <v>44950</v>
      </c>
      <c r="CZ2" s="251">
        <v>44951</v>
      </c>
      <c r="DA2" s="251">
        <v>44952</v>
      </c>
      <c r="DB2" s="251">
        <v>44953</v>
      </c>
      <c r="DC2" s="251">
        <v>44954</v>
      </c>
      <c r="DD2" s="251">
        <v>44955</v>
      </c>
      <c r="DE2" s="251">
        <v>44956</v>
      </c>
      <c r="DF2" s="251">
        <v>44957</v>
      </c>
      <c r="DG2" s="251">
        <v>44958</v>
      </c>
      <c r="DH2" s="251">
        <v>44959</v>
      </c>
      <c r="DI2" s="251">
        <v>44960</v>
      </c>
      <c r="DJ2" s="251">
        <v>44961</v>
      </c>
      <c r="DK2" s="251">
        <v>44962</v>
      </c>
      <c r="DL2" s="251">
        <v>44963</v>
      </c>
      <c r="DM2" s="251">
        <v>44964</v>
      </c>
      <c r="DN2" s="251">
        <v>44965</v>
      </c>
      <c r="DO2" s="251">
        <v>44966</v>
      </c>
      <c r="DP2" s="251">
        <v>44967</v>
      </c>
      <c r="DQ2" s="251">
        <v>44968</v>
      </c>
      <c r="DR2" s="251">
        <v>44969</v>
      </c>
      <c r="DS2" s="251">
        <v>44970</v>
      </c>
      <c r="DT2" s="251">
        <v>44971</v>
      </c>
      <c r="DU2" s="251">
        <v>44972</v>
      </c>
      <c r="DV2" s="251">
        <v>44973</v>
      </c>
      <c r="DW2" s="251">
        <v>44974</v>
      </c>
      <c r="DX2" s="251">
        <v>44975</v>
      </c>
      <c r="DY2" s="251">
        <v>44976</v>
      </c>
      <c r="DZ2" s="251">
        <v>44977</v>
      </c>
      <c r="EA2" s="251">
        <v>44978</v>
      </c>
      <c r="EB2" s="251">
        <v>44979</v>
      </c>
      <c r="EC2" s="251">
        <v>44980</v>
      </c>
      <c r="ED2" s="251">
        <v>44981</v>
      </c>
      <c r="EE2" s="251">
        <v>44982</v>
      </c>
      <c r="EF2" s="251">
        <v>44983</v>
      </c>
      <c r="EG2" s="251">
        <v>44984</v>
      </c>
      <c r="EH2" s="251">
        <v>44985</v>
      </c>
      <c r="EI2" s="251">
        <v>44986</v>
      </c>
      <c r="EJ2" s="251">
        <v>44987</v>
      </c>
      <c r="EK2" s="251">
        <v>44988</v>
      </c>
      <c r="EL2" s="251">
        <v>44989</v>
      </c>
      <c r="EM2" s="251">
        <v>44990</v>
      </c>
      <c r="EN2" s="251">
        <v>44991</v>
      </c>
      <c r="EO2" s="251">
        <v>44992</v>
      </c>
      <c r="EP2" s="251">
        <v>44993</v>
      </c>
      <c r="EQ2" s="251">
        <v>44994</v>
      </c>
      <c r="ER2" s="251">
        <v>44995</v>
      </c>
      <c r="ES2" s="251">
        <v>44996</v>
      </c>
      <c r="ET2" s="251">
        <v>44997</v>
      </c>
      <c r="EU2" s="251">
        <v>44998</v>
      </c>
      <c r="EV2" s="251">
        <v>44999</v>
      </c>
      <c r="EW2" s="251">
        <v>45000</v>
      </c>
      <c r="EX2" s="251">
        <v>45001</v>
      </c>
      <c r="EY2" s="251">
        <v>45002</v>
      </c>
      <c r="EZ2" s="251">
        <v>45003</v>
      </c>
      <c r="FA2" s="251">
        <v>45004</v>
      </c>
      <c r="FB2" s="251">
        <v>45005</v>
      </c>
      <c r="FC2" s="251">
        <v>45006</v>
      </c>
      <c r="FD2" s="251">
        <v>45007</v>
      </c>
      <c r="FE2" s="251">
        <v>45008</v>
      </c>
      <c r="FF2" s="251">
        <v>45009</v>
      </c>
      <c r="FG2" s="251">
        <v>45010</v>
      </c>
      <c r="FH2" s="251">
        <v>45011</v>
      </c>
      <c r="FI2" s="251">
        <v>45012</v>
      </c>
      <c r="FJ2" s="251">
        <v>45013</v>
      </c>
      <c r="FK2" s="251">
        <v>45014</v>
      </c>
      <c r="FL2" s="251">
        <v>45015</v>
      </c>
      <c r="FM2" s="251">
        <v>45016</v>
      </c>
      <c r="FN2" s="251">
        <v>45017</v>
      </c>
      <c r="FO2" s="251">
        <v>45018</v>
      </c>
      <c r="FP2" s="251">
        <v>45019</v>
      </c>
      <c r="FQ2" s="251">
        <v>45020</v>
      </c>
      <c r="FR2" s="251">
        <v>45021</v>
      </c>
      <c r="FS2" s="251">
        <v>45022</v>
      </c>
      <c r="FT2" s="251">
        <v>45023</v>
      </c>
      <c r="FU2" s="251">
        <v>45024</v>
      </c>
      <c r="FV2" s="251">
        <v>45025</v>
      </c>
      <c r="FW2" s="251">
        <v>45026</v>
      </c>
      <c r="FX2" s="251">
        <v>45027</v>
      </c>
      <c r="FY2" s="251">
        <v>45028</v>
      </c>
      <c r="FZ2" s="251">
        <v>45029</v>
      </c>
      <c r="GA2" s="251">
        <v>45030</v>
      </c>
      <c r="GB2" s="251">
        <v>45031</v>
      </c>
      <c r="GC2" s="251">
        <v>45032</v>
      </c>
      <c r="GD2" s="251">
        <v>45033</v>
      </c>
      <c r="GE2" s="251">
        <v>45034</v>
      </c>
      <c r="GF2" s="251">
        <v>45035</v>
      </c>
      <c r="GG2" s="251">
        <v>45036</v>
      </c>
      <c r="GH2" s="251">
        <v>45037</v>
      </c>
      <c r="GI2" s="251">
        <v>45038</v>
      </c>
      <c r="GJ2" s="251">
        <v>45039</v>
      </c>
      <c r="GK2" s="251">
        <v>45040</v>
      </c>
      <c r="GL2" s="251">
        <v>45041</v>
      </c>
      <c r="GM2" s="251">
        <v>45042</v>
      </c>
      <c r="GN2" s="251">
        <v>45043</v>
      </c>
      <c r="GO2" s="251">
        <v>45044</v>
      </c>
      <c r="GP2" s="251">
        <v>45045</v>
      </c>
      <c r="GQ2" s="251">
        <v>45046</v>
      </c>
      <c r="GR2" s="251">
        <v>45047</v>
      </c>
      <c r="GS2" s="251">
        <v>45048</v>
      </c>
      <c r="GT2" s="251">
        <v>45049</v>
      </c>
      <c r="GU2" s="251">
        <v>45050</v>
      </c>
      <c r="GV2" s="251">
        <v>45051</v>
      </c>
      <c r="GW2" s="251">
        <v>45052</v>
      </c>
      <c r="GX2" s="251">
        <v>45053</v>
      </c>
      <c r="GY2" s="251">
        <v>45054</v>
      </c>
      <c r="GZ2" s="251">
        <v>45055</v>
      </c>
      <c r="HA2" s="251">
        <v>45056</v>
      </c>
      <c r="HB2" s="251">
        <v>45057</v>
      </c>
      <c r="HC2" s="251">
        <v>45058</v>
      </c>
      <c r="HD2" s="251">
        <v>45059</v>
      </c>
      <c r="HE2" s="251">
        <v>45060</v>
      </c>
      <c r="HF2" s="251">
        <v>45061</v>
      </c>
      <c r="HG2" s="251">
        <v>45062</v>
      </c>
      <c r="HH2" s="251">
        <v>45063</v>
      </c>
      <c r="HI2" s="251">
        <v>45064</v>
      </c>
      <c r="HJ2" s="251">
        <v>45065</v>
      </c>
      <c r="HK2" s="251">
        <v>45066</v>
      </c>
      <c r="HL2" s="251">
        <v>45067</v>
      </c>
      <c r="HM2" s="251">
        <v>45068</v>
      </c>
      <c r="HN2" s="251">
        <v>45069</v>
      </c>
      <c r="HO2" s="251">
        <v>45070</v>
      </c>
      <c r="HP2" s="251">
        <v>45071</v>
      </c>
      <c r="HQ2" s="251">
        <v>45072</v>
      </c>
      <c r="HR2" s="251">
        <v>45073</v>
      </c>
      <c r="HS2" s="251">
        <v>45074</v>
      </c>
      <c r="HT2" s="251">
        <v>45075</v>
      </c>
      <c r="HU2" s="251">
        <v>45076</v>
      </c>
      <c r="HV2" s="251">
        <v>45077</v>
      </c>
      <c r="HW2" s="251">
        <v>45078</v>
      </c>
      <c r="HX2" s="251">
        <v>45079</v>
      </c>
      <c r="HY2" s="251">
        <v>45080</v>
      </c>
      <c r="HZ2" s="251">
        <v>45081</v>
      </c>
      <c r="IA2" s="251">
        <v>45082</v>
      </c>
      <c r="IB2" s="251">
        <v>45083</v>
      </c>
      <c r="IC2" s="251">
        <v>45084</v>
      </c>
      <c r="ID2" s="251">
        <v>45085</v>
      </c>
      <c r="IE2" s="251">
        <v>45086</v>
      </c>
      <c r="IF2" s="251">
        <v>45087</v>
      </c>
      <c r="IG2" s="251">
        <v>45088</v>
      </c>
      <c r="IH2" s="251">
        <v>45089</v>
      </c>
      <c r="II2" s="251">
        <v>45090</v>
      </c>
      <c r="IJ2" s="251">
        <v>45091</v>
      </c>
      <c r="IK2" s="251">
        <v>45092</v>
      </c>
      <c r="IL2" s="1281"/>
      <c r="IM2" s="1283"/>
      <c r="IO2" s="974"/>
      <c r="IP2" s="974" t="s">
        <v>705</v>
      </c>
      <c r="IQ2" s="974" t="s">
        <v>885</v>
      </c>
      <c r="IR2" s="974"/>
      <c r="IS2" s="974"/>
      <c r="IT2" s="974" t="s">
        <v>132</v>
      </c>
      <c r="IU2" s="974"/>
      <c r="IV2" s="937"/>
      <c r="IW2" s="756" t="s">
        <v>316</v>
      </c>
      <c r="IX2" s="937" t="s">
        <v>906</v>
      </c>
      <c r="IY2" s="937"/>
    </row>
    <row r="3" spans="1:259" ht="10.5" customHeight="1">
      <c r="A3" s="194" t="s">
        <v>185</v>
      </c>
      <c r="B3" s="591"/>
      <c r="C3" s="591"/>
      <c r="D3" s="591">
        <f>'9.18.22'!E10+'9.18.22'!E24:E24</f>
        <v>9956</v>
      </c>
      <c r="E3" s="638"/>
      <c r="F3" s="638"/>
      <c r="G3" s="638"/>
      <c r="H3" s="638"/>
      <c r="I3" s="638"/>
      <c r="J3" s="638">
        <f>'9.24.22'!E9</f>
        <v>7191.5</v>
      </c>
      <c r="K3" s="638"/>
      <c r="L3" s="701"/>
      <c r="M3" s="701">
        <f>'9.27.22'!E9+'9.27.22'!E19</f>
        <v>13594.5</v>
      </c>
      <c r="N3" s="701"/>
      <c r="O3" s="701"/>
      <c r="P3" s="701">
        <f>'9.30.22'!E17</f>
        <v>7343.5</v>
      </c>
      <c r="Q3" s="700"/>
      <c r="R3" s="701"/>
      <c r="S3" s="737"/>
      <c r="T3" s="736">
        <f>'10.04.22'!E11+'10.04.22'!E21</f>
        <v>13157.5</v>
      </c>
      <c r="U3" s="736"/>
      <c r="V3" s="736">
        <f>'10.06.22'!E19</f>
        <v>7942</v>
      </c>
      <c r="W3" s="736"/>
      <c r="X3" s="736">
        <f>'10.08.22'!E8+'10.08.22'!E18</f>
        <v>12635</v>
      </c>
      <c r="Y3" s="736"/>
      <c r="Z3" s="512"/>
      <c r="AA3" s="512"/>
      <c r="AB3" s="512"/>
      <c r="AC3" s="512"/>
      <c r="AD3" s="512"/>
      <c r="AE3" s="512"/>
      <c r="AF3" s="512"/>
      <c r="AG3" s="638"/>
      <c r="AH3" s="638"/>
      <c r="AI3" s="638"/>
      <c r="AJ3" s="640">
        <f>'10.20.22'!E11</f>
        <v>7096.5</v>
      </c>
      <c r="AK3" s="638"/>
      <c r="AL3" s="640">
        <f>'10.22.22'!E11 + '10.22.22'!E21</f>
        <v>13471</v>
      </c>
      <c r="AM3" s="638"/>
      <c r="AN3" s="701"/>
      <c r="AO3" s="701"/>
      <c r="AP3" s="701"/>
      <c r="AQ3" s="701">
        <f>'10.27.22'!E11+'10.27.22'!E21</f>
        <v>14763</v>
      </c>
      <c r="AR3" s="701"/>
      <c r="AS3" s="701">
        <f>'10.29.22'!E11+'10.29.22'!E21</f>
        <v>13043.5</v>
      </c>
      <c r="AT3" s="701"/>
      <c r="AU3" s="736">
        <f>'10.31.22'!E21+'10.31.22'!E31</f>
        <v>11096</v>
      </c>
      <c r="AV3" s="736">
        <f>'11.01.22'!E28</f>
        <v>4094.5</v>
      </c>
      <c r="AW3" s="736">
        <f>'11.02.22'!E21+'11.02.22'!E31</f>
        <v>11970</v>
      </c>
      <c r="AX3" s="736">
        <f>'11.03.22'!E28</f>
        <v>5937.5</v>
      </c>
      <c r="AY3" s="736"/>
      <c r="AZ3" s="736">
        <f>'11.05.22'!E18</f>
        <v>8065.5</v>
      </c>
      <c r="BA3" s="736"/>
      <c r="BB3" s="591"/>
      <c r="BC3" s="591"/>
      <c r="BD3" s="591"/>
      <c r="BE3" s="591"/>
      <c r="BF3" s="591">
        <f>'11.11.22'!E18+'11.11.22'!E28</f>
        <v>11010.5</v>
      </c>
      <c r="BG3" s="591"/>
      <c r="BH3" s="591"/>
      <c r="BI3" s="638"/>
      <c r="BJ3" s="638"/>
      <c r="BK3" s="638">
        <f>'11.16.22'!E29</f>
        <v>5187</v>
      </c>
      <c r="BL3" s="638">
        <f>'11.17.22'!E17+'11.17.22'!E27</f>
        <v>13005.5</v>
      </c>
      <c r="BM3" s="638"/>
      <c r="BN3" s="638">
        <f>'11.19.22'!E8</f>
        <v>8987</v>
      </c>
      <c r="BO3" s="638"/>
      <c r="BP3" s="701"/>
      <c r="BQ3" s="701">
        <f>'11.22.22'!E29</f>
        <v>4607.5</v>
      </c>
      <c r="BR3" s="1134"/>
      <c r="BS3" s="1134"/>
      <c r="BT3" s="1134"/>
      <c r="BU3" s="1134"/>
      <c r="BV3" s="701"/>
      <c r="BW3" s="736">
        <f>'11.28.22'!E9+'11.28.22'!E19</f>
        <v>16302</v>
      </c>
      <c r="BX3" s="736"/>
      <c r="BY3" s="736"/>
      <c r="BZ3" s="736">
        <f>'12.01.22'!E29</f>
        <v>6431.5</v>
      </c>
      <c r="CA3" s="736"/>
      <c r="CB3" s="736">
        <f>'12.03.22'!E10</f>
        <v>9424</v>
      </c>
      <c r="CC3" s="736"/>
      <c r="CD3" s="512"/>
      <c r="CE3" s="512"/>
      <c r="CF3" s="512"/>
      <c r="CG3" s="512"/>
      <c r="CH3" s="591">
        <f>'12.13.22'!E7</f>
        <v>741</v>
      </c>
      <c r="CI3" s="638"/>
      <c r="CJ3" s="638"/>
      <c r="CK3" s="638">
        <f>'1.10.23'!E27</f>
        <v>6631</v>
      </c>
      <c r="CL3" s="638">
        <f>'1.11.23'!E27</f>
        <v>5985</v>
      </c>
      <c r="CM3" s="638">
        <f>'1.12.23'!E9</f>
        <v>7210.5</v>
      </c>
      <c r="CN3" s="638"/>
      <c r="CO3" s="1164"/>
      <c r="CP3" s="1164"/>
      <c r="CQ3" s="701"/>
      <c r="CR3" s="701"/>
      <c r="CS3" s="701"/>
      <c r="CT3" s="701"/>
      <c r="CU3" s="701"/>
      <c r="CV3" s="701">
        <f>'1.21.23'!E19</f>
        <v>8236.5</v>
      </c>
      <c r="CW3" s="701"/>
      <c r="CX3" s="512"/>
      <c r="CY3" s="512"/>
      <c r="CZ3" s="512"/>
      <c r="DA3" s="512"/>
      <c r="DB3" s="512"/>
      <c r="DC3" s="512"/>
      <c r="DD3" s="512"/>
      <c r="DE3" s="591"/>
      <c r="DF3" s="591">
        <f>'1.31.23'!E7</f>
        <v>7932.5</v>
      </c>
      <c r="DG3" s="591"/>
      <c r="DH3" s="591">
        <f>'2.02.23'!E18</f>
        <v>8550</v>
      </c>
      <c r="DI3" s="591"/>
      <c r="DJ3" s="591">
        <f>'2.04.23'!E18</f>
        <v>8863.5</v>
      </c>
      <c r="DK3" s="591"/>
      <c r="DL3" s="638"/>
      <c r="DM3" s="638">
        <f>'2.07.23'!E19</f>
        <v>9044</v>
      </c>
      <c r="DN3" s="638"/>
      <c r="DO3" s="638">
        <f>'2.09.23'!E17</f>
        <v>9006</v>
      </c>
      <c r="DP3" s="638"/>
      <c r="DQ3" s="638">
        <f>'2.11.23'!E9</f>
        <v>9481</v>
      </c>
      <c r="DR3" s="638"/>
      <c r="DS3" s="701"/>
      <c r="DT3" s="701">
        <f>'2.14.23'!E27</f>
        <v>5234.5</v>
      </c>
      <c r="DU3" s="701"/>
      <c r="DV3" s="701">
        <f>'2.16.23'!E9</f>
        <v>8255.5</v>
      </c>
      <c r="DW3" s="701"/>
      <c r="DX3" s="1164"/>
      <c r="DY3" s="1164"/>
      <c r="DZ3" s="736"/>
      <c r="EA3" s="736">
        <f>'2.21.23'!E9</f>
        <v>8341</v>
      </c>
      <c r="EB3" s="736"/>
      <c r="EC3" s="736">
        <f>'2.23.23'!E19</f>
        <v>8901.5</v>
      </c>
      <c r="ED3" s="736"/>
      <c r="EE3" s="736"/>
      <c r="EF3" s="736"/>
      <c r="EG3" s="701"/>
      <c r="EH3" s="701">
        <f>'2.28.23'!E19</f>
        <v>7913.5</v>
      </c>
      <c r="EI3" s="701"/>
      <c r="EJ3" s="701">
        <f>'3.2.23'!E7+'3.2.23'!E18</f>
        <v>17527.5</v>
      </c>
      <c r="EK3" s="701"/>
      <c r="EL3" s="701">
        <f>'3.4.23'!E8</f>
        <v>9272</v>
      </c>
      <c r="EM3" s="701"/>
      <c r="EN3" s="512"/>
      <c r="EO3" s="512"/>
      <c r="EP3" s="512"/>
      <c r="EQ3" s="512"/>
      <c r="ER3" s="512"/>
      <c r="ES3" s="512"/>
      <c r="ET3" s="512"/>
      <c r="EU3" s="591"/>
      <c r="EV3" s="591"/>
      <c r="EW3" s="591"/>
      <c r="EX3" s="591">
        <f>'3.16.23'!E7 + '3.16.23'!E17</f>
        <v>17024</v>
      </c>
      <c r="EY3" s="591"/>
      <c r="EZ3" s="591">
        <f>'3.18.23'!E19</f>
        <v>10231.5</v>
      </c>
      <c r="FA3" s="591"/>
      <c r="FB3" s="638"/>
      <c r="FC3" s="638">
        <f>'3.21.23'!E7+'3.21.23'!E17</f>
        <v>17869.5</v>
      </c>
      <c r="FD3" s="638"/>
      <c r="FE3" s="638"/>
      <c r="FF3" s="1220"/>
      <c r="FG3" s="1220"/>
      <c r="FH3" s="1220"/>
      <c r="FI3" s="1220"/>
      <c r="FJ3" s="1220"/>
      <c r="FK3" s="1220"/>
      <c r="FL3" s="1220"/>
      <c r="FM3" s="1220"/>
      <c r="FN3" s="1220"/>
      <c r="FO3" s="701"/>
      <c r="FP3" s="701"/>
      <c r="FQ3" s="701">
        <f>'4.4.23'!E9+'4.4.23'!E19</f>
        <v>15960</v>
      </c>
      <c r="FR3" s="701"/>
      <c r="FS3" s="701">
        <f>'4.6.23'!E7+'4.6.23'!E17</f>
        <v>15352</v>
      </c>
      <c r="FT3" s="701"/>
      <c r="FU3" s="701">
        <f>'4.8.23'!E9</f>
        <v>7600</v>
      </c>
      <c r="FV3" s="701"/>
      <c r="FW3" s="736"/>
      <c r="FX3" s="736"/>
      <c r="FY3" s="736"/>
      <c r="FZ3" s="736">
        <f>'4.13.23'!E8</f>
        <v>8483.5</v>
      </c>
      <c r="GA3" s="736"/>
      <c r="GB3" s="736">
        <f>'4.15.23'!E8 + '4.15.23'!E19</f>
        <v>16216.5</v>
      </c>
      <c r="GC3" s="736"/>
      <c r="GD3" s="512"/>
      <c r="GE3" s="512"/>
      <c r="GF3" s="512"/>
      <c r="GG3" s="512"/>
      <c r="GH3" s="512"/>
      <c r="GI3" s="512"/>
      <c r="GJ3" s="512"/>
      <c r="GK3" s="638"/>
      <c r="GL3" s="638"/>
      <c r="GM3" s="638"/>
      <c r="GN3" s="638">
        <f>'4.27.23'!E27</f>
        <v>6042</v>
      </c>
      <c r="GO3" s="638"/>
      <c r="GP3" s="638">
        <f>'4.29.23'!E8</f>
        <v>8683</v>
      </c>
      <c r="GQ3" s="638"/>
      <c r="GR3" s="591"/>
      <c r="GS3" s="591"/>
      <c r="GT3" s="591">
        <f>'5.03.23'!E17+'5.03.23'!E27</f>
        <v>13566</v>
      </c>
      <c r="GU3" s="591">
        <f>'5.04.23'!E18</f>
        <v>8464.5</v>
      </c>
      <c r="GV3" s="591"/>
      <c r="GW3" s="591"/>
      <c r="GX3" s="591"/>
      <c r="GY3" s="512"/>
      <c r="GZ3" s="512"/>
      <c r="HA3" s="512"/>
      <c r="HB3" s="512"/>
      <c r="HC3" s="512"/>
      <c r="HD3" s="512"/>
      <c r="HE3" s="512"/>
      <c r="HF3" s="701"/>
      <c r="HG3" s="701"/>
      <c r="HH3" s="701"/>
      <c r="HI3" s="701">
        <f>'5.18.23'!E8</f>
        <v>8711.5</v>
      </c>
      <c r="HJ3" s="701"/>
      <c r="HK3" s="701">
        <f>'5.20.23'!E7</f>
        <v>9633</v>
      </c>
      <c r="HL3" s="701"/>
      <c r="HM3" s="638"/>
      <c r="HN3" s="638">
        <f>'5.23.23'!E8</f>
        <v>9110.5</v>
      </c>
      <c r="HO3" s="638"/>
      <c r="HP3" s="638">
        <f>'5.25.23'!E18</f>
        <v>10355</v>
      </c>
      <c r="HQ3" s="638"/>
      <c r="HR3" s="638"/>
      <c r="HS3" s="638"/>
      <c r="HT3" s="512"/>
      <c r="HU3" s="512"/>
      <c r="HV3" s="512"/>
      <c r="HW3" s="512"/>
      <c r="HX3" s="512"/>
      <c r="HY3" s="512"/>
      <c r="HZ3" s="512"/>
      <c r="IA3" s="512"/>
      <c r="IB3" s="512">
        <f>'6.6.23'!E18</f>
        <v>9585.5</v>
      </c>
      <c r="IC3" s="512"/>
      <c r="ID3" s="512">
        <f>'6.8.23'!E17</f>
        <v>9671</v>
      </c>
      <c r="IE3" s="512"/>
      <c r="IF3" s="512">
        <f>'6.10.23'!E17</f>
        <v>11029.5</v>
      </c>
      <c r="IG3" s="512"/>
      <c r="IH3" s="512"/>
      <c r="II3" s="512"/>
      <c r="IJ3" s="512"/>
      <c r="IK3" s="512"/>
      <c r="IL3" s="189">
        <f t="shared" ref="IL3:IL62" si="0">SUM(B3:IK3)</f>
        <v>597027.5</v>
      </c>
      <c r="IM3" s="189">
        <f>449000-IL3+350000</f>
        <v>201972.5</v>
      </c>
      <c r="IN3" s="194" t="str">
        <f t="shared" ref="IN3:IN34" si="1">A3</f>
        <v>8E8 Thai Street Food</v>
      </c>
      <c r="IP3" s="234">
        <f>IL3</f>
        <v>597027.5</v>
      </c>
      <c r="IQ3" s="316">
        <f>COUNT(B3:FZ3)+17+6</f>
        <v>72</v>
      </c>
      <c r="IT3" s="234">
        <v>415532</v>
      </c>
      <c r="IU3" s="234"/>
      <c r="IV3" s="979">
        <v>1</v>
      </c>
      <c r="IW3" s="981">
        <f t="shared" ref="IW3:IW40" si="2">IX3/9.5</f>
        <v>62845</v>
      </c>
      <c r="IX3" s="977">
        <f>IP3</f>
        <v>597027.5</v>
      </c>
      <c r="IY3" s="978" t="str">
        <f>IN3</f>
        <v>8E8 Thai Street Food</v>
      </c>
    </row>
    <row r="4" spans="1:259" ht="10.9" customHeight="1">
      <c r="A4" s="194" t="s">
        <v>330</v>
      </c>
      <c r="B4" s="591"/>
      <c r="C4" s="591">
        <f>'9.17.22'!E15</f>
        <v>1216</v>
      </c>
      <c r="D4" s="591"/>
      <c r="E4" s="638"/>
      <c r="F4" s="638"/>
      <c r="G4" s="638"/>
      <c r="H4" s="638"/>
      <c r="I4" s="638"/>
      <c r="J4" s="638"/>
      <c r="K4" s="638">
        <f>'9.25.22'!E18</f>
        <v>3486.5</v>
      </c>
      <c r="L4" s="512"/>
      <c r="M4" s="512"/>
      <c r="N4" s="512"/>
      <c r="O4" s="512"/>
      <c r="P4" s="512"/>
      <c r="Q4" s="452"/>
      <c r="R4" s="512"/>
      <c r="S4" s="737"/>
      <c r="T4" s="736"/>
      <c r="U4" s="736"/>
      <c r="V4" s="736"/>
      <c r="W4" s="736"/>
      <c r="X4" s="736"/>
      <c r="Y4" s="736">
        <f>'10.09.22'!E21</f>
        <v>5956.5</v>
      </c>
      <c r="Z4" s="591">
        <f>'10.10.22'!E10</f>
        <v>5367.5</v>
      </c>
      <c r="AA4" s="591"/>
      <c r="AB4" s="591">
        <f>'10.12.22'!E10</f>
        <v>5082.5</v>
      </c>
      <c r="AC4" s="591"/>
      <c r="AD4" s="591">
        <f>'10.14.22'!E19+'10.14.22'!E29</f>
        <v>7191.5</v>
      </c>
      <c r="AE4" s="591"/>
      <c r="AF4" s="591"/>
      <c r="AG4" s="638">
        <f>'10.17.22'!E7</f>
        <v>6070.5</v>
      </c>
      <c r="AH4" s="638"/>
      <c r="AI4" s="638"/>
      <c r="AJ4" s="640">
        <f>'10.20.22'!E21 + '10.20.22'!E31</f>
        <v>7685.5</v>
      </c>
      <c r="AK4" s="640">
        <f>'10.21.22'!E29</f>
        <v>2270.5</v>
      </c>
      <c r="AL4" s="638"/>
      <c r="AM4" s="638"/>
      <c r="AN4" s="512"/>
      <c r="AO4" s="512"/>
      <c r="AP4" s="512"/>
      <c r="AQ4" s="512"/>
      <c r="AR4" s="512"/>
      <c r="AS4" s="512"/>
      <c r="AT4" s="512"/>
      <c r="AU4" s="736"/>
      <c r="AV4" s="736">
        <f>'11.01.22'!E8+'11.01.22'!E18</f>
        <v>11837</v>
      </c>
      <c r="AW4" s="736"/>
      <c r="AX4" s="736"/>
      <c r="AY4" s="736"/>
      <c r="AZ4" s="736"/>
      <c r="BA4" s="736"/>
      <c r="BB4" s="591"/>
      <c r="BC4" s="591">
        <f>'11.08.22'!E9</f>
        <v>6460</v>
      </c>
      <c r="BD4" s="591"/>
      <c r="BE4" s="591">
        <f>'11.10.22'!E21</f>
        <v>5985</v>
      </c>
      <c r="BF4" s="591"/>
      <c r="BG4" s="591"/>
      <c r="BH4" s="591">
        <f>'11.13.22'!E18</f>
        <v>7334</v>
      </c>
      <c r="BI4" s="638"/>
      <c r="BJ4" s="638"/>
      <c r="BK4" s="638">
        <f>'11.16.22'!E20</f>
        <v>7372</v>
      </c>
      <c r="BL4" s="638"/>
      <c r="BM4" s="638"/>
      <c r="BN4" s="638"/>
      <c r="BO4" s="638"/>
      <c r="BP4" s="512"/>
      <c r="BQ4" s="512"/>
      <c r="BR4" s="1131"/>
      <c r="BS4" s="1131"/>
      <c r="BT4" s="1131"/>
      <c r="BU4" s="1131"/>
      <c r="BV4" s="512"/>
      <c r="BW4" s="736"/>
      <c r="BX4" s="736"/>
      <c r="BY4" s="736">
        <f>'11.30.22'!E8</f>
        <v>8198.5</v>
      </c>
      <c r="BZ4" s="736"/>
      <c r="CA4" s="736">
        <f>'12.02.22'!E27</f>
        <v>5462.5</v>
      </c>
      <c r="CB4" s="736"/>
      <c r="CC4" s="736"/>
      <c r="CD4" s="591">
        <f>'12.05.22'!E8</f>
        <v>8835</v>
      </c>
      <c r="CE4" s="591"/>
      <c r="CF4" s="591">
        <f>'12.07.22'!E27</f>
        <v>6089.5</v>
      </c>
      <c r="CG4" s="591"/>
      <c r="CH4" s="591">
        <f>'12.13.22'!E10</f>
        <v>2460.5</v>
      </c>
      <c r="CI4" s="638"/>
      <c r="CJ4" s="638">
        <f>'1.09.23'!E7</f>
        <v>6868.5</v>
      </c>
      <c r="CK4" s="638">
        <f>'1.10.23'!E19 +'1.10.23'!E29</f>
        <v>11143.5</v>
      </c>
      <c r="CL4" s="638"/>
      <c r="CM4" s="638"/>
      <c r="CN4" s="638">
        <f>'1.13.23'!E29</f>
        <v>4636</v>
      </c>
      <c r="CO4" s="1164"/>
      <c r="CP4" s="1164"/>
      <c r="CQ4" s="512"/>
      <c r="CR4" s="512"/>
      <c r="CS4" s="512"/>
      <c r="CT4" s="512"/>
      <c r="CU4" s="512"/>
      <c r="CV4" s="512"/>
      <c r="CW4" s="512"/>
      <c r="CX4" s="512"/>
      <c r="CY4" s="512"/>
      <c r="CZ4" s="512"/>
      <c r="DA4" s="512"/>
      <c r="DB4" s="512"/>
      <c r="DC4" s="512"/>
      <c r="DD4" s="512"/>
      <c r="DE4" s="591">
        <f>'1.30.23'!E18</f>
        <v>7704.5</v>
      </c>
      <c r="DF4" s="591"/>
      <c r="DG4" s="591"/>
      <c r="DH4" s="591"/>
      <c r="DI4" s="591">
        <f>'2.03.23'!E18</f>
        <v>7866</v>
      </c>
      <c r="DJ4" s="591"/>
      <c r="DK4" s="591"/>
      <c r="DL4" s="638"/>
      <c r="DM4" s="638">
        <f>'2.07.23'!E8</f>
        <v>7866</v>
      </c>
      <c r="DN4" s="638">
        <f>'2.08.23'!E9+'2.08.23'!E19</f>
        <v>13784.5</v>
      </c>
      <c r="DO4" s="638"/>
      <c r="DP4" s="638"/>
      <c r="DQ4" s="638"/>
      <c r="DR4" s="638"/>
      <c r="DS4" s="701">
        <f>'2.13.23'!E19</f>
        <v>9376.5</v>
      </c>
      <c r="DT4" s="701">
        <f>'2.14.23'!E7+'2.14.23'!E17</f>
        <v>14487.5</v>
      </c>
      <c r="DU4" s="701"/>
      <c r="DV4" s="701"/>
      <c r="DW4" s="701"/>
      <c r="DX4" s="1164"/>
      <c r="DY4" s="1164"/>
      <c r="DZ4" s="1194"/>
      <c r="EA4" s="512"/>
      <c r="EB4" s="512"/>
      <c r="EC4" s="512"/>
      <c r="ED4" s="512"/>
      <c r="EE4" s="512"/>
      <c r="EF4" s="512"/>
      <c r="EG4" s="701"/>
      <c r="EH4" s="701"/>
      <c r="EI4" s="701"/>
      <c r="EJ4" s="701"/>
      <c r="EK4" s="701"/>
      <c r="EL4" s="701"/>
      <c r="EM4" s="701">
        <f>'3.5.23'!E17</f>
        <v>8835</v>
      </c>
      <c r="EN4" s="736">
        <f>'3.6.23'!E17</f>
        <v>9091.5</v>
      </c>
      <c r="EO4" s="736"/>
      <c r="EP4" s="736"/>
      <c r="EQ4" s="736"/>
      <c r="ER4" s="736"/>
      <c r="ES4" s="736">
        <f>'3.11.23'!E8+'3.11.23'!E18</f>
        <v>15599</v>
      </c>
      <c r="ET4" s="736"/>
      <c r="EU4" s="591"/>
      <c r="EV4" s="591"/>
      <c r="EW4" s="591">
        <f>'3.15.23'!E18</f>
        <v>9215</v>
      </c>
      <c r="EX4" s="591"/>
      <c r="EY4" s="591">
        <f>'3.17.23'!E8 + '3.17.23'!E17</f>
        <v>16207</v>
      </c>
      <c r="EZ4" s="591"/>
      <c r="FA4" s="591"/>
      <c r="FB4" s="638"/>
      <c r="FC4" s="638"/>
      <c r="FD4" s="638">
        <f>'3.22.23'!E8 + '3.22.23'!E18</f>
        <v>16720</v>
      </c>
      <c r="FE4" s="638"/>
      <c r="FF4" s="1220"/>
      <c r="FG4" s="1220"/>
      <c r="FH4" s="1220"/>
      <c r="FI4" s="1220"/>
      <c r="FJ4" s="1220"/>
      <c r="FK4" s="1220"/>
      <c r="FL4" s="1220"/>
      <c r="FM4" s="1220"/>
      <c r="FN4" s="1220"/>
      <c r="FO4" s="512"/>
      <c r="FP4" s="512"/>
      <c r="FQ4" s="512"/>
      <c r="FR4" s="512"/>
      <c r="FS4" s="512"/>
      <c r="FT4" s="512"/>
      <c r="FU4" s="512"/>
      <c r="FV4" s="512"/>
      <c r="FW4" s="512"/>
      <c r="FX4" s="512"/>
      <c r="FY4" s="512"/>
      <c r="FZ4" s="512"/>
      <c r="GA4" s="512"/>
      <c r="GB4" s="512"/>
      <c r="GC4" s="512"/>
      <c r="GD4" s="701"/>
      <c r="GE4" s="701"/>
      <c r="GF4" s="701"/>
      <c r="GG4" s="701"/>
      <c r="GH4" s="701"/>
      <c r="GI4" s="701">
        <f>'4.22.23'!E17</f>
        <v>8189</v>
      </c>
      <c r="GJ4" s="701"/>
      <c r="GK4" s="638"/>
      <c r="GL4" s="638"/>
      <c r="GM4" s="638"/>
      <c r="GN4" s="638"/>
      <c r="GO4" s="638">
        <f>'4.28.23'!E17</f>
        <v>8616.5</v>
      </c>
      <c r="GP4" s="638"/>
      <c r="GQ4" s="638"/>
      <c r="GR4" s="591">
        <f>'5.01.23'!E18</f>
        <v>9414.5</v>
      </c>
      <c r="GS4" s="591"/>
      <c r="GT4" s="591"/>
      <c r="GU4" s="591"/>
      <c r="GV4" s="591">
        <f>'5.05.23'!E8</f>
        <v>7733</v>
      </c>
      <c r="GW4" s="591"/>
      <c r="GX4" s="591"/>
      <c r="GY4" s="736"/>
      <c r="GZ4" s="736"/>
      <c r="HA4" s="736">
        <f>'5.10.23'!E8</f>
        <v>7562</v>
      </c>
      <c r="HB4" s="736">
        <f>'5.11.23'!E18</f>
        <v>9110.5</v>
      </c>
      <c r="HC4" s="736"/>
      <c r="HD4" s="736"/>
      <c r="HE4" s="736"/>
      <c r="HF4" s="512"/>
      <c r="HG4" s="512"/>
      <c r="HH4" s="512"/>
      <c r="HI4" s="512"/>
      <c r="HJ4" s="512"/>
      <c r="HK4" s="512"/>
      <c r="HL4" s="512"/>
      <c r="HM4" s="638"/>
      <c r="HN4" s="638"/>
      <c r="HO4" s="638">
        <f>'5.24.23'!E17</f>
        <v>7761.5</v>
      </c>
      <c r="HP4" s="638"/>
      <c r="HQ4" s="638">
        <f>'5.26.23'!E7</f>
        <v>6963.5</v>
      </c>
      <c r="HR4" s="638"/>
      <c r="HS4" s="638"/>
      <c r="HT4" s="591"/>
      <c r="HU4" s="591"/>
      <c r="HV4" s="591"/>
      <c r="HW4" s="591"/>
      <c r="HX4" s="591">
        <f>'6.02.23'!E8</f>
        <v>7210.5</v>
      </c>
      <c r="HY4" s="591"/>
      <c r="HZ4" s="591"/>
      <c r="IA4" s="512"/>
      <c r="IB4" s="512">
        <f>'6.6.23'!E7</f>
        <v>7761.5</v>
      </c>
      <c r="IC4" s="512"/>
      <c r="ID4" s="512">
        <f>'6.8.23'!E27</f>
        <v>5519.5</v>
      </c>
      <c r="IE4" s="512"/>
      <c r="IF4" s="512"/>
      <c r="IG4" s="512"/>
      <c r="IH4" s="512"/>
      <c r="II4" s="512"/>
      <c r="IJ4" s="512"/>
      <c r="IK4" s="512"/>
      <c r="IL4" s="189">
        <f t="shared" si="0"/>
        <v>359603.5</v>
      </c>
      <c r="IM4" s="189">
        <v>99000</v>
      </c>
      <c r="IN4" s="194" t="str">
        <f t="shared" si="1"/>
        <v>Aloha Friday</v>
      </c>
      <c r="IP4" s="234">
        <f t="shared" ref="IP4:IP63" si="3">IL4</f>
        <v>359603.5</v>
      </c>
      <c r="IQ4" s="316">
        <f>COUNT(B4:FZ4)+10+3</f>
        <v>47</v>
      </c>
      <c r="IT4" s="234"/>
      <c r="IU4" s="234"/>
      <c r="IV4" s="979">
        <v>2</v>
      </c>
      <c r="IW4" s="981">
        <f t="shared" si="2"/>
        <v>37853</v>
      </c>
      <c r="IX4" s="977">
        <f t="shared" ref="IX4:IX63" si="4">IP4</f>
        <v>359603.5</v>
      </c>
      <c r="IY4" s="978" t="str">
        <f t="shared" ref="IY4:IY63" si="5">IN4</f>
        <v>Aloha Friday</v>
      </c>
    </row>
    <row r="5" spans="1:259" ht="10.9" customHeight="1">
      <c r="A5" s="194" t="s">
        <v>164</v>
      </c>
      <c r="B5" s="452"/>
      <c r="C5" s="452"/>
      <c r="D5" s="452"/>
      <c r="E5" s="639"/>
      <c r="F5" s="639"/>
      <c r="G5" s="639"/>
      <c r="H5" s="639"/>
      <c r="I5" s="638"/>
      <c r="J5" s="639"/>
      <c r="K5" s="638">
        <f>'9.25.22'!E16 + '9.25.22'!E26</f>
        <v>5842.5</v>
      </c>
      <c r="L5" s="700"/>
      <c r="M5" s="700"/>
      <c r="N5" s="700"/>
      <c r="O5" s="700"/>
      <c r="P5" s="701"/>
      <c r="Q5" s="700"/>
      <c r="R5" s="701">
        <f>'10.02.22'!E27</f>
        <v>1985.5</v>
      </c>
      <c r="S5" s="737"/>
      <c r="T5" s="737"/>
      <c r="U5" s="737"/>
      <c r="V5" s="737"/>
      <c r="W5" s="737"/>
      <c r="X5" s="737"/>
      <c r="Y5" s="736">
        <f>'10.09.22'!E17+'10.09.22'!E27</f>
        <v>6878</v>
      </c>
      <c r="Z5" s="452"/>
      <c r="AA5" s="452"/>
      <c r="AB5" s="452"/>
      <c r="AC5" s="452"/>
      <c r="AD5" s="452"/>
      <c r="AE5" s="452"/>
      <c r="AF5" s="452"/>
      <c r="AG5" s="639"/>
      <c r="AH5" s="639"/>
      <c r="AI5" s="639"/>
      <c r="AJ5" s="639"/>
      <c r="AK5" s="638"/>
      <c r="AL5" s="639"/>
      <c r="AM5" s="640">
        <f>'10.23.22'!E8 + '10.23.22'!E18</f>
        <v>8683</v>
      </c>
      <c r="AN5" s="700"/>
      <c r="AO5" s="700"/>
      <c r="AP5" s="700"/>
      <c r="AQ5" s="700"/>
      <c r="AR5" s="700"/>
      <c r="AS5" s="700"/>
      <c r="AT5" s="700">
        <f>'10.30.22'!E17+'10.30.22'!E27</f>
        <v>7666.5</v>
      </c>
      <c r="AU5" s="737"/>
      <c r="AV5" s="737"/>
      <c r="AW5" s="737"/>
      <c r="AX5" s="737"/>
      <c r="AY5" s="736"/>
      <c r="AZ5" s="737"/>
      <c r="BA5" s="736">
        <f>'11.06.22'!E19+'11.06.22'!E29</f>
        <v>8056</v>
      </c>
      <c r="BB5" s="590"/>
      <c r="BC5" s="590"/>
      <c r="BD5" s="590"/>
      <c r="BE5" s="590"/>
      <c r="BF5" s="591"/>
      <c r="BG5" s="590"/>
      <c r="BH5" s="591">
        <f>'11.13.22'!E27</f>
        <v>3686</v>
      </c>
      <c r="BI5" s="639"/>
      <c r="BJ5" s="639"/>
      <c r="BK5" s="639"/>
      <c r="BL5" s="639"/>
      <c r="BM5" s="639"/>
      <c r="BN5" s="639"/>
      <c r="BO5" s="639">
        <f>'11.20.22'!E27</f>
        <v>3515</v>
      </c>
      <c r="BP5" s="700"/>
      <c r="BQ5" s="700"/>
      <c r="BR5" s="1134"/>
      <c r="BS5" s="1134"/>
      <c r="BT5" s="1134"/>
      <c r="BU5" s="1134"/>
      <c r="BV5" s="700">
        <f>'11.27.22'!E27</f>
        <v>3572</v>
      </c>
      <c r="BW5" s="737"/>
      <c r="BX5" s="737"/>
      <c r="BY5" s="737"/>
      <c r="BZ5" s="737"/>
      <c r="CA5" s="737"/>
      <c r="CB5" s="737"/>
      <c r="CC5" s="736">
        <f>'12.04.22'!E27</f>
        <v>4113.5</v>
      </c>
      <c r="CD5" s="452"/>
      <c r="CE5" s="452"/>
      <c r="CF5" s="452"/>
      <c r="CG5" s="452"/>
      <c r="CH5" s="452"/>
      <c r="CI5" s="639">
        <f>'1.08.23'!E27</f>
        <v>3686</v>
      </c>
      <c r="CJ5" s="639"/>
      <c r="CK5" s="639"/>
      <c r="CL5" s="639"/>
      <c r="CM5" s="639"/>
      <c r="CN5" s="639"/>
      <c r="CO5" s="1165"/>
      <c r="CP5" s="1165"/>
      <c r="CQ5" s="701"/>
      <c r="CR5" s="701"/>
      <c r="CS5" s="701"/>
      <c r="CT5" s="701"/>
      <c r="CU5" s="701"/>
      <c r="CV5" s="701"/>
      <c r="CW5" s="701">
        <f>'1.22.23'!E27</f>
        <v>4313</v>
      </c>
      <c r="CX5" s="736"/>
      <c r="CY5" s="736"/>
      <c r="CZ5" s="737"/>
      <c r="DA5" s="737"/>
      <c r="DB5" s="736">
        <f>'1.27.23'!E7</f>
        <v>4408</v>
      </c>
      <c r="DC5" s="737"/>
      <c r="DD5" s="736">
        <f>'1.29.23'!E18</f>
        <v>4569.5</v>
      </c>
      <c r="DE5" s="590"/>
      <c r="DF5" s="590"/>
      <c r="DG5" s="590"/>
      <c r="DH5" s="590"/>
      <c r="DI5" s="590"/>
      <c r="DJ5" s="590"/>
      <c r="DK5" s="591">
        <f>'2.05.23'!E17</f>
        <v>4351</v>
      </c>
      <c r="DL5" s="639"/>
      <c r="DM5" s="639"/>
      <c r="DN5" s="639"/>
      <c r="DO5" s="639"/>
      <c r="DP5" s="639"/>
      <c r="DQ5" s="639"/>
      <c r="DR5" s="639">
        <f>'2.12.23'!E17</f>
        <v>4474.5</v>
      </c>
      <c r="DS5" s="452"/>
      <c r="DT5" s="452"/>
      <c r="DU5" s="452"/>
      <c r="DV5" s="452"/>
      <c r="DW5" s="452"/>
      <c r="DX5" s="1165"/>
      <c r="DY5" s="1165"/>
      <c r="DZ5" s="737"/>
      <c r="EA5" s="737"/>
      <c r="EB5" s="737"/>
      <c r="EC5" s="737"/>
      <c r="ED5" s="737"/>
      <c r="EE5" s="736">
        <f>'2.25.23'!E17</f>
        <v>3885.5</v>
      </c>
      <c r="EF5" s="737"/>
      <c r="EG5" s="700"/>
      <c r="EH5" s="700"/>
      <c r="EI5" s="700"/>
      <c r="EJ5" s="700">
        <f>'3.2.23'!E17</f>
        <v>4664.5</v>
      </c>
      <c r="EK5" s="700"/>
      <c r="EL5" s="700"/>
      <c r="EM5" s="701">
        <f>'3.5.23'!E9</f>
        <v>4902</v>
      </c>
      <c r="EN5" s="737"/>
      <c r="EO5" s="737"/>
      <c r="EP5" s="737"/>
      <c r="EQ5" s="737"/>
      <c r="ER5" s="737"/>
      <c r="ES5" s="737"/>
      <c r="ET5" s="736">
        <f>'3.12.23'!E18</f>
        <v>4845</v>
      </c>
      <c r="EU5" s="590"/>
      <c r="EV5" s="590"/>
      <c r="EW5" s="590"/>
      <c r="EX5" s="590"/>
      <c r="EY5" s="590"/>
      <c r="EZ5" s="590"/>
      <c r="FA5" s="590">
        <f>'3.19.23'!E29</f>
        <v>4275</v>
      </c>
      <c r="FB5" s="452"/>
      <c r="FC5" s="452"/>
      <c r="FD5" s="452"/>
      <c r="FE5" s="452"/>
      <c r="FF5" s="1221"/>
      <c r="FG5" s="1221"/>
      <c r="FH5" s="1221"/>
      <c r="FI5" s="1221"/>
      <c r="FJ5" s="1221"/>
      <c r="FK5" s="1221"/>
      <c r="FL5" s="1221"/>
      <c r="FM5" s="1221"/>
      <c r="FN5" s="1221"/>
      <c r="FO5" s="452"/>
      <c r="FP5" s="452"/>
      <c r="FQ5" s="452"/>
      <c r="FR5" s="452"/>
      <c r="FS5" s="452"/>
      <c r="FT5" s="452"/>
      <c r="FU5" s="452"/>
      <c r="FV5" s="452"/>
      <c r="FW5" s="737"/>
      <c r="FX5" s="737"/>
      <c r="FY5" s="737"/>
      <c r="FZ5" s="737"/>
      <c r="GA5" s="737"/>
      <c r="GB5" s="737"/>
      <c r="GC5" s="737">
        <f>'4.16.23'!E18</f>
        <v>4655</v>
      </c>
      <c r="GD5" s="452"/>
      <c r="GE5" s="452"/>
      <c r="GF5" s="452"/>
      <c r="GG5" s="452"/>
      <c r="GH5" s="452"/>
      <c r="GI5" s="452"/>
      <c r="GJ5" s="452"/>
      <c r="GK5" s="639"/>
      <c r="GL5" s="639"/>
      <c r="GM5" s="639"/>
      <c r="GN5" s="639"/>
      <c r="GO5" s="639"/>
      <c r="GP5" s="639"/>
      <c r="GQ5" s="639">
        <f>'4.30.23'!E7</f>
        <v>5329.5</v>
      </c>
      <c r="GR5" s="590"/>
      <c r="GS5" s="590"/>
      <c r="GT5" s="590"/>
      <c r="GU5" s="590"/>
      <c r="GV5" s="590"/>
      <c r="GW5" s="590"/>
      <c r="GX5" s="591">
        <f>'5.07.23'!E27</f>
        <v>4322.5</v>
      </c>
      <c r="GY5" s="736"/>
      <c r="GZ5" s="736"/>
      <c r="HA5" s="736"/>
      <c r="HB5" s="736"/>
      <c r="HC5" s="736"/>
      <c r="HD5" s="736"/>
      <c r="HE5" s="736">
        <f>'5.14.23'!E7</f>
        <v>4037.5</v>
      </c>
      <c r="HF5" s="701"/>
      <c r="HG5" s="701"/>
      <c r="HH5" s="701"/>
      <c r="HI5" s="701"/>
      <c r="HJ5" s="701"/>
      <c r="HK5" s="701"/>
      <c r="HL5" s="701">
        <f>'5.21.23'!E8</f>
        <v>5339</v>
      </c>
      <c r="HM5" s="638"/>
      <c r="HN5" s="638"/>
      <c r="HO5" s="639"/>
      <c r="HP5" s="639"/>
      <c r="HQ5" s="639"/>
      <c r="HR5" s="639"/>
      <c r="HS5" s="639">
        <f>'5.28.23'!E28</f>
        <v>4721.5</v>
      </c>
      <c r="HT5" s="590"/>
      <c r="HU5" s="590"/>
      <c r="HV5" s="590"/>
      <c r="HW5" s="590"/>
      <c r="HX5" s="590"/>
      <c r="HY5" s="590"/>
      <c r="HZ5" s="591">
        <f>'6.04.23'!E8</f>
        <v>5016</v>
      </c>
      <c r="IA5" s="452"/>
      <c r="IB5" s="452"/>
      <c r="IC5" s="452"/>
      <c r="ID5" s="452"/>
      <c r="IE5" s="452"/>
      <c r="IF5" s="452"/>
      <c r="IG5" s="452">
        <f>'6.11.23'!E27</f>
        <v>5272.5</v>
      </c>
      <c r="IH5" s="452"/>
      <c r="II5" s="452"/>
      <c r="IJ5" s="452"/>
      <c r="IK5" s="452"/>
      <c r="IL5" s="189">
        <f t="shared" si="0"/>
        <v>141065.5</v>
      </c>
      <c r="IM5" s="189">
        <f>449000-IL5</f>
        <v>307934.5</v>
      </c>
      <c r="IN5" s="194" t="str">
        <f t="shared" si="1"/>
        <v>Austyn's Burgers</v>
      </c>
      <c r="IP5" s="234">
        <f t="shared" si="3"/>
        <v>141065.5</v>
      </c>
      <c r="IQ5" s="316">
        <f>COUNT(B5:FZ5)+5+2</f>
        <v>28</v>
      </c>
      <c r="IT5" s="234">
        <v>270375.5</v>
      </c>
      <c r="IU5" s="234"/>
      <c r="IV5" s="979">
        <v>3</v>
      </c>
      <c r="IW5" s="981">
        <f t="shared" si="2"/>
        <v>14849</v>
      </c>
      <c r="IX5" s="977">
        <f t="shared" si="4"/>
        <v>141065.5</v>
      </c>
      <c r="IY5" s="978" t="str">
        <f t="shared" si="5"/>
        <v>Austyn's Burgers</v>
      </c>
    </row>
    <row r="6" spans="1:259" ht="10.9" customHeight="1">
      <c r="A6" s="195" t="s">
        <v>51</v>
      </c>
      <c r="B6" s="589">
        <f>'9.16.22'!E26</f>
        <v>532</v>
      </c>
      <c r="C6" s="589"/>
      <c r="D6" s="589"/>
      <c r="E6" s="640">
        <f>'9.19.22'!E16</f>
        <v>3125.5</v>
      </c>
      <c r="F6" s="640"/>
      <c r="G6" s="640">
        <f>'9.21.22'!E19</f>
        <v>3201.5</v>
      </c>
      <c r="H6" s="640"/>
      <c r="I6" s="640"/>
      <c r="J6" s="640"/>
      <c r="K6" s="640"/>
      <c r="L6" s="702">
        <f>'9.26.22'!E20</f>
        <v>2869</v>
      </c>
      <c r="M6" s="702"/>
      <c r="N6" s="702">
        <f>'9.28.22'!E20+'9.28.22'!E30</f>
        <v>5120.5</v>
      </c>
      <c r="O6" s="702"/>
      <c r="P6" s="702"/>
      <c r="Q6" s="702"/>
      <c r="R6" s="702"/>
      <c r="S6" s="738">
        <f>'10.03.22'!E10</f>
        <v>2660</v>
      </c>
      <c r="T6" s="738">
        <f>'10.04.22'!E7+'10.04.22'!E17</f>
        <v>6707</v>
      </c>
      <c r="U6" s="738"/>
      <c r="V6" s="738"/>
      <c r="W6" s="738"/>
      <c r="X6" s="738"/>
      <c r="Y6" s="738"/>
      <c r="Z6" s="589"/>
      <c r="AA6" s="589"/>
      <c r="AB6" s="589"/>
      <c r="AC6" s="589"/>
      <c r="AD6" s="589">
        <f>'10.14.22'!E31</f>
        <v>1140</v>
      </c>
      <c r="AE6" s="589"/>
      <c r="AF6" s="589"/>
      <c r="AG6" s="640"/>
      <c r="AH6" s="640"/>
      <c r="AI6" s="640"/>
      <c r="AJ6" s="640">
        <f>'10.20.22'!E7</f>
        <v>3638.5</v>
      </c>
      <c r="AK6" s="640"/>
      <c r="AL6" s="640"/>
      <c r="AM6" s="640"/>
      <c r="AN6" s="702"/>
      <c r="AO6" s="702">
        <f>'10.25.22'!E9</f>
        <v>3477</v>
      </c>
      <c r="AP6" s="702"/>
      <c r="AQ6" s="702"/>
      <c r="AR6" s="702"/>
      <c r="AS6" s="702"/>
      <c r="AT6" s="702"/>
      <c r="AU6" s="252"/>
      <c r="AV6" s="252"/>
      <c r="AW6" s="252"/>
      <c r="AX6" s="252"/>
      <c r="AY6" s="252"/>
      <c r="AZ6" s="252"/>
      <c r="BA6" s="252"/>
      <c r="BB6" s="589"/>
      <c r="BC6" s="589">
        <f>'11.08.22'!E8</f>
        <v>4199</v>
      </c>
      <c r="BD6" s="589"/>
      <c r="BE6" s="589"/>
      <c r="BF6" s="589">
        <f>'11.11.22'!E17</f>
        <v>4047</v>
      </c>
      <c r="BG6" s="589"/>
      <c r="BH6" s="589"/>
      <c r="BI6" s="640"/>
      <c r="BJ6" s="640"/>
      <c r="BK6" s="640">
        <f>'11.16.22'!E9</f>
        <v>4522</v>
      </c>
      <c r="BL6" s="640"/>
      <c r="BM6" s="640"/>
      <c r="BN6" s="640"/>
      <c r="BO6" s="640"/>
      <c r="BP6" s="702">
        <f>'11.21.22'!E8</f>
        <v>4997</v>
      </c>
      <c r="BQ6" s="702"/>
      <c r="BR6" s="1134"/>
      <c r="BS6" s="1134"/>
      <c r="BT6" s="1134"/>
      <c r="BU6" s="1134"/>
      <c r="BV6" s="702"/>
      <c r="BW6" s="738"/>
      <c r="BX6" s="738"/>
      <c r="BY6" s="738"/>
      <c r="BZ6" s="738"/>
      <c r="CA6" s="738">
        <f>'12.02.22'!E10</f>
        <v>4512.5</v>
      </c>
      <c r="CB6" s="738"/>
      <c r="CC6" s="738"/>
      <c r="CD6" s="252"/>
      <c r="CE6" s="252"/>
      <c r="CF6" s="252"/>
      <c r="CG6" s="252"/>
      <c r="CH6" s="252"/>
      <c r="CI6" s="1139"/>
      <c r="CJ6" s="252"/>
      <c r="CK6" s="252"/>
      <c r="CL6" s="252"/>
      <c r="CM6" s="252"/>
      <c r="CN6" s="252"/>
      <c r="CO6" s="1166"/>
      <c r="CP6" s="1166"/>
      <c r="CQ6" s="252"/>
      <c r="CR6" s="252"/>
      <c r="CS6" s="252"/>
      <c r="CT6" s="252"/>
      <c r="CU6" s="252"/>
      <c r="CV6" s="252"/>
      <c r="CW6" s="252"/>
      <c r="CX6" s="252"/>
      <c r="CY6" s="252"/>
      <c r="CZ6" s="252"/>
      <c r="DA6" s="252"/>
      <c r="DB6" s="252"/>
      <c r="DC6" s="252"/>
      <c r="DD6" s="252"/>
      <c r="DE6" s="252"/>
      <c r="DF6" s="252"/>
      <c r="DG6" s="252"/>
      <c r="DH6" s="252"/>
      <c r="DI6" s="252"/>
      <c r="DJ6" s="252"/>
      <c r="DK6" s="252"/>
      <c r="DL6" s="252"/>
      <c r="DM6" s="252"/>
      <c r="DN6" s="252"/>
      <c r="DO6" s="252"/>
      <c r="DP6" s="252"/>
      <c r="DQ6" s="252"/>
      <c r="DR6" s="252"/>
      <c r="DS6" s="252"/>
      <c r="DT6" s="252"/>
      <c r="DU6" s="252"/>
      <c r="DV6" s="252"/>
      <c r="DW6" s="252"/>
      <c r="DX6" s="1166"/>
      <c r="DY6" s="1166"/>
      <c r="DZ6" s="1196"/>
      <c r="EA6" s="252"/>
      <c r="EB6" s="252"/>
      <c r="EC6" s="252"/>
      <c r="ED6" s="252"/>
      <c r="EE6" s="252"/>
      <c r="EF6" s="252"/>
      <c r="EG6" s="252"/>
      <c r="EH6" s="252"/>
      <c r="EI6" s="252"/>
      <c r="EJ6" s="252"/>
      <c r="EK6" s="252"/>
      <c r="EL6" s="252"/>
      <c r="EM6" s="252"/>
      <c r="EN6" s="252"/>
      <c r="EO6" s="252"/>
      <c r="EP6" s="252"/>
      <c r="EQ6" s="252"/>
      <c r="ER6" s="252"/>
      <c r="ES6" s="252"/>
      <c r="ET6" s="252"/>
      <c r="EU6" s="252"/>
      <c r="EV6" s="252"/>
      <c r="EW6" s="252"/>
      <c r="EX6" s="252"/>
      <c r="EY6" s="252"/>
      <c r="EZ6" s="252"/>
      <c r="FA6" s="252"/>
      <c r="FB6" s="252"/>
      <c r="FC6" s="252"/>
      <c r="FD6" s="252"/>
      <c r="FE6" s="252"/>
      <c r="FF6" s="1218"/>
      <c r="FG6" s="1218"/>
      <c r="FH6" s="1218"/>
      <c r="FI6" s="1218"/>
      <c r="FJ6" s="1218"/>
      <c r="FK6" s="1218"/>
      <c r="FL6" s="1218"/>
      <c r="FM6" s="1218"/>
      <c r="FN6" s="1218"/>
      <c r="FO6" s="252"/>
      <c r="FP6" s="252"/>
      <c r="FQ6" s="252"/>
      <c r="FR6" s="252"/>
      <c r="FS6" s="252"/>
      <c r="FT6" s="252"/>
      <c r="FU6" s="252"/>
      <c r="FV6" s="252"/>
      <c r="FW6" s="252"/>
      <c r="FX6" s="252"/>
      <c r="FY6" s="252"/>
      <c r="FZ6" s="252"/>
      <c r="GA6" s="252"/>
      <c r="GB6" s="252"/>
      <c r="GC6" s="252"/>
      <c r="GD6" s="252"/>
      <c r="GE6" s="252"/>
      <c r="GF6" s="252"/>
      <c r="GG6" s="252"/>
      <c r="GH6" s="252"/>
      <c r="GI6" s="252"/>
      <c r="GJ6" s="252"/>
      <c r="GK6" s="252"/>
      <c r="GL6" s="252"/>
      <c r="GM6" s="252"/>
      <c r="GN6" s="252"/>
      <c r="GO6" s="252"/>
      <c r="GP6" s="252"/>
      <c r="GQ6" s="252"/>
      <c r="GR6" s="252"/>
      <c r="GS6" s="252"/>
      <c r="GT6" s="252"/>
      <c r="GU6" s="252"/>
      <c r="GV6" s="252"/>
      <c r="GW6" s="252"/>
      <c r="GX6" s="252"/>
      <c r="GY6" s="252"/>
      <c r="GZ6" s="252"/>
      <c r="HA6" s="252"/>
      <c r="HB6" s="252"/>
      <c r="HC6" s="252"/>
      <c r="HD6" s="252"/>
      <c r="HE6" s="252"/>
      <c r="HF6" s="252"/>
      <c r="HG6" s="252"/>
      <c r="HH6" s="252"/>
      <c r="HI6" s="252"/>
      <c r="HJ6" s="252"/>
      <c r="HK6" s="252"/>
      <c r="HL6" s="252"/>
      <c r="HM6" s="252"/>
      <c r="HN6" s="252"/>
      <c r="HO6" s="252"/>
      <c r="HP6" s="252"/>
      <c r="HQ6" s="252"/>
      <c r="HR6" s="252"/>
      <c r="HS6" s="252"/>
      <c r="HT6" s="252"/>
      <c r="HU6" s="252"/>
      <c r="HV6" s="252"/>
      <c r="HW6" s="252"/>
      <c r="HX6" s="252"/>
      <c r="HY6" s="252"/>
      <c r="HZ6" s="252"/>
      <c r="IA6" s="252"/>
      <c r="IB6" s="252"/>
      <c r="IC6" s="252"/>
      <c r="ID6" s="252"/>
      <c r="IE6" s="252"/>
      <c r="IF6" s="252"/>
      <c r="IG6" s="252"/>
      <c r="IH6" s="252"/>
      <c r="II6" s="252"/>
      <c r="IJ6" s="252"/>
      <c r="IK6" s="252"/>
      <c r="IL6" s="189">
        <f t="shared" si="0"/>
        <v>54748.5</v>
      </c>
      <c r="IM6" s="961">
        <f>100000-IL6+350000</f>
        <v>395251.5</v>
      </c>
      <c r="IN6" s="194" t="str">
        <f t="shared" si="1"/>
        <v>Baby's Burgers</v>
      </c>
      <c r="IP6" s="234">
        <f t="shared" si="3"/>
        <v>54748.5</v>
      </c>
      <c r="IQ6" s="316">
        <f>COUNT(B6:FZ6)+2</f>
        <v>17</v>
      </c>
      <c r="IT6" s="234">
        <v>128995</v>
      </c>
      <c r="IU6" s="234"/>
      <c r="IV6" s="979">
        <v>4</v>
      </c>
      <c r="IW6" s="981">
        <f t="shared" si="2"/>
        <v>5763</v>
      </c>
      <c r="IX6" s="977">
        <f t="shared" si="4"/>
        <v>54748.5</v>
      </c>
      <c r="IY6" s="978" t="str">
        <f t="shared" si="5"/>
        <v>Baby's Burgers</v>
      </c>
    </row>
    <row r="7" spans="1:259" ht="10.9" customHeight="1">
      <c r="A7" s="195" t="s">
        <v>62</v>
      </c>
      <c r="B7" s="589">
        <f>'9.16.22'!E8</f>
        <v>1235</v>
      </c>
      <c r="C7" s="589"/>
      <c r="D7" s="589"/>
      <c r="E7" s="640"/>
      <c r="F7" s="640"/>
      <c r="G7" s="640"/>
      <c r="H7" s="640">
        <f>'9.22.22'!E10</f>
        <v>1957</v>
      </c>
      <c r="I7" s="640">
        <f>'9.23.22'!E7</f>
        <v>1871.5</v>
      </c>
      <c r="J7" s="640"/>
      <c r="K7" s="640">
        <f>'9.25.22'!E7</f>
        <v>2375</v>
      </c>
      <c r="L7" s="702"/>
      <c r="M7" s="702"/>
      <c r="N7" s="702">
        <f>'9.28.22'!E7</f>
        <v>2384.5</v>
      </c>
      <c r="O7" s="702"/>
      <c r="P7" s="702"/>
      <c r="Q7" s="702"/>
      <c r="R7" s="702"/>
      <c r="S7" s="738"/>
      <c r="T7" s="738"/>
      <c r="U7" s="738"/>
      <c r="V7" s="738"/>
      <c r="W7" s="738">
        <f>'10.07.22'!E21</f>
        <v>1016.5</v>
      </c>
      <c r="X7" s="738"/>
      <c r="Y7" s="738"/>
      <c r="Z7" s="589"/>
      <c r="AA7" s="589">
        <f>'10.11.22'!E19</f>
        <v>2650.5</v>
      </c>
      <c r="AB7" s="589"/>
      <c r="AC7" s="589"/>
      <c r="AD7" s="589"/>
      <c r="AE7" s="589"/>
      <c r="AF7" s="589"/>
      <c r="AG7" s="640"/>
      <c r="AH7" s="640"/>
      <c r="AI7" s="640"/>
      <c r="AJ7" s="640"/>
      <c r="AK7" s="640">
        <f>'10.21.22'!E10 + '10.21.22'!E20</f>
        <v>3448.5</v>
      </c>
      <c r="AL7" s="640">
        <f>'10.22.22'!E19</f>
        <v>1795.5</v>
      </c>
      <c r="AM7" s="640"/>
      <c r="AN7" s="702">
        <f>'10.24.22'!E10+'10.24.22'!E20</f>
        <v>3999.5</v>
      </c>
      <c r="AO7" s="702"/>
      <c r="AP7" s="702"/>
      <c r="AQ7" s="702"/>
      <c r="AR7" s="702"/>
      <c r="AS7" s="702"/>
      <c r="AT7" s="702">
        <f>'10.30.22'!E10+'10.30.22'!E20</f>
        <v>2498.5</v>
      </c>
      <c r="AU7" s="738"/>
      <c r="AV7" s="738"/>
      <c r="AW7" s="738"/>
      <c r="AX7" s="738">
        <f>'11.03.22'!E19</f>
        <v>2403.5</v>
      </c>
      <c r="AY7" s="738"/>
      <c r="AZ7" s="738"/>
      <c r="BA7" s="738"/>
      <c r="BB7" s="589"/>
      <c r="BC7" s="589"/>
      <c r="BD7" s="589">
        <f>'11.09.22'!E9</f>
        <v>1957</v>
      </c>
      <c r="BE7" s="589"/>
      <c r="BF7" s="589"/>
      <c r="BG7" s="589"/>
      <c r="BH7" s="589"/>
      <c r="BI7" s="252"/>
      <c r="BJ7" s="252"/>
      <c r="BK7" s="252"/>
      <c r="BL7" s="252"/>
      <c r="BM7" s="252"/>
      <c r="BN7" s="252"/>
      <c r="BO7" s="252"/>
      <c r="BP7" s="252"/>
      <c r="BQ7" s="252"/>
      <c r="BR7" s="1131"/>
      <c r="BS7" s="1131"/>
      <c r="BT7" s="1131"/>
      <c r="BU7" s="1131"/>
      <c r="BV7" s="252"/>
      <c r="BW7" s="252"/>
      <c r="BX7" s="252"/>
      <c r="BY7" s="252"/>
      <c r="BZ7" s="252"/>
      <c r="CA7" s="252"/>
      <c r="CB7" s="252"/>
      <c r="CC7" s="252"/>
      <c r="CD7" s="252"/>
      <c r="CE7" s="252"/>
      <c r="CF7" s="252"/>
      <c r="CG7" s="252"/>
      <c r="CH7" s="252"/>
      <c r="CI7" s="1139"/>
      <c r="CJ7" s="252"/>
      <c r="CK7" s="252"/>
      <c r="CL7" s="252"/>
      <c r="CM7" s="252"/>
      <c r="CN7" s="252"/>
      <c r="CO7" s="1166"/>
      <c r="CP7" s="1166"/>
      <c r="CQ7" s="252"/>
      <c r="CR7" s="252"/>
      <c r="CS7" s="252"/>
      <c r="CT7" s="252"/>
      <c r="CU7" s="252"/>
      <c r="CV7" s="252"/>
      <c r="CW7" s="252"/>
      <c r="CX7" s="738"/>
      <c r="CY7" s="738"/>
      <c r="CZ7" s="738"/>
      <c r="DA7" s="738">
        <f>'1.26.23'!E7</f>
        <v>2299</v>
      </c>
      <c r="DB7" s="738"/>
      <c r="DC7" s="738"/>
      <c r="DD7" s="738"/>
      <c r="DE7" s="589"/>
      <c r="DF7" s="589"/>
      <c r="DG7" s="589">
        <f>'2.01.23'!E19</f>
        <v>1814.5</v>
      </c>
      <c r="DH7" s="589"/>
      <c r="DI7" s="589"/>
      <c r="DJ7" s="589"/>
      <c r="DK7" s="589"/>
      <c r="DL7" s="252"/>
      <c r="DM7" s="252"/>
      <c r="DN7" s="252"/>
      <c r="DO7" s="252"/>
      <c r="DP7" s="252"/>
      <c r="DQ7" s="252"/>
      <c r="DR7" s="252"/>
      <c r="DS7" s="702"/>
      <c r="DT7" s="702"/>
      <c r="DU7" s="702"/>
      <c r="DV7" s="702"/>
      <c r="DW7" s="702">
        <f>'2.17.23'!E7</f>
        <v>2346.5</v>
      </c>
      <c r="DX7" s="1166"/>
      <c r="DY7" s="1166"/>
      <c r="DZ7" s="1196"/>
      <c r="EA7" s="252"/>
      <c r="EB7" s="252"/>
      <c r="EC7" s="252"/>
      <c r="ED7" s="252"/>
      <c r="EE7" s="252"/>
      <c r="EF7" s="252"/>
      <c r="EG7" s="252"/>
      <c r="EH7" s="252"/>
      <c r="EI7" s="252"/>
      <c r="EJ7" s="252"/>
      <c r="EK7" s="252"/>
      <c r="EL7" s="252"/>
      <c r="EM7" s="252"/>
      <c r="EN7" s="252"/>
      <c r="EO7" s="252"/>
      <c r="EP7" s="252"/>
      <c r="EQ7" s="252"/>
      <c r="ER7" s="252"/>
      <c r="ES7" s="252"/>
      <c r="ET7" s="252"/>
      <c r="EU7" s="252"/>
      <c r="EV7" s="252"/>
      <c r="EW7" s="252"/>
      <c r="EX7" s="252"/>
      <c r="EY7" s="252"/>
      <c r="EZ7" s="252"/>
      <c r="FA7" s="252"/>
      <c r="FB7" s="252"/>
      <c r="FC7" s="252"/>
      <c r="FD7" s="252"/>
      <c r="FE7" s="252"/>
      <c r="FF7" s="1218"/>
      <c r="FG7" s="1218"/>
      <c r="FH7" s="1218"/>
      <c r="FI7" s="1218"/>
      <c r="FJ7" s="1218"/>
      <c r="FK7" s="1218"/>
      <c r="FL7" s="1218"/>
      <c r="FM7" s="1218"/>
      <c r="FN7" s="1218"/>
      <c r="FO7" s="252"/>
      <c r="FP7" s="252"/>
      <c r="FQ7" s="252"/>
      <c r="FR7" s="252"/>
      <c r="FS7" s="252"/>
      <c r="FT7" s="252"/>
      <c r="FU7" s="252"/>
      <c r="FV7" s="252"/>
      <c r="FW7" s="252"/>
      <c r="FX7" s="252"/>
      <c r="FY7" s="252"/>
      <c r="FZ7" s="252"/>
      <c r="GA7" s="252"/>
      <c r="GB7" s="252"/>
      <c r="GC7" s="252"/>
      <c r="GD7" s="252"/>
      <c r="GE7" s="252"/>
      <c r="GF7" s="252"/>
      <c r="GG7" s="252"/>
      <c r="GH7" s="252"/>
      <c r="GI7" s="252"/>
      <c r="GJ7" s="252"/>
      <c r="GK7" s="252"/>
      <c r="GL7" s="252"/>
      <c r="GM7" s="252"/>
      <c r="GN7" s="252"/>
      <c r="GO7" s="252"/>
      <c r="GP7" s="252"/>
      <c r="GQ7" s="252"/>
      <c r="GR7" s="252"/>
      <c r="GS7" s="252"/>
      <c r="GT7" s="252"/>
      <c r="GU7" s="252"/>
      <c r="GV7" s="252"/>
      <c r="GW7" s="252"/>
      <c r="GX7" s="252"/>
      <c r="GY7" s="252"/>
      <c r="GZ7" s="252"/>
      <c r="HA7" s="252"/>
      <c r="HB7" s="252"/>
      <c r="HC7" s="252"/>
      <c r="HD7" s="252"/>
      <c r="HE7" s="252"/>
      <c r="HF7" s="252"/>
      <c r="HG7" s="252"/>
      <c r="HH7" s="252"/>
      <c r="HI7" s="252"/>
      <c r="HJ7" s="252"/>
      <c r="HK7" s="252"/>
      <c r="HL7" s="252"/>
      <c r="HM7" s="252"/>
      <c r="HN7" s="252"/>
      <c r="HO7" s="252"/>
      <c r="HP7" s="252"/>
      <c r="HQ7" s="252"/>
      <c r="HR7" s="252"/>
      <c r="HS7" s="252"/>
      <c r="HT7" s="252"/>
      <c r="HU7" s="252"/>
      <c r="HV7" s="252"/>
      <c r="HW7" s="252"/>
      <c r="HX7" s="252"/>
      <c r="HY7" s="252"/>
      <c r="HZ7" s="252"/>
      <c r="IA7" s="252"/>
      <c r="IB7" s="252"/>
      <c r="IC7" s="252"/>
      <c r="ID7" s="252"/>
      <c r="IE7" s="252"/>
      <c r="IF7" s="252"/>
      <c r="IG7" s="252"/>
      <c r="IH7" s="252"/>
      <c r="II7" s="252"/>
      <c r="IJ7" s="252"/>
      <c r="IK7" s="252"/>
      <c r="IL7" s="189">
        <f t="shared" si="0"/>
        <v>36052.5</v>
      </c>
      <c r="IM7" s="961">
        <f>100000-IL7</f>
        <v>63947.5</v>
      </c>
      <c r="IN7" s="194" t="str">
        <f t="shared" si="1"/>
        <v>Belly's Sliders Wings</v>
      </c>
      <c r="IP7" s="234">
        <f t="shared" si="3"/>
        <v>36052.5</v>
      </c>
      <c r="IQ7" s="316">
        <f>COUNT(B7:FZ7)+3</f>
        <v>19</v>
      </c>
      <c r="IT7" s="234">
        <v>67842.5</v>
      </c>
      <c r="IU7" s="234"/>
      <c r="IV7" s="979">
        <v>5</v>
      </c>
      <c r="IW7" s="981">
        <f t="shared" si="2"/>
        <v>3795</v>
      </c>
      <c r="IX7" s="977">
        <f t="shared" si="4"/>
        <v>36052.5</v>
      </c>
      <c r="IY7" s="978" t="str">
        <f t="shared" si="5"/>
        <v>Belly's Sliders Wings</v>
      </c>
    </row>
    <row r="8" spans="1:259" ht="10.15" customHeight="1">
      <c r="A8" s="195" t="s">
        <v>12</v>
      </c>
      <c r="B8" s="252"/>
      <c r="C8" s="252"/>
      <c r="D8" s="252"/>
      <c r="E8" s="640"/>
      <c r="F8" s="640"/>
      <c r="G8" s="640"/>
      <c r="H8" s="640"/>
      <c r="I8" s="640">
        <f>'9.23.22'!E27</f>
        <v>950</v>
      </c>
      <c r="J8" s="640"/>
      <c r="K8" s="640"/>
      <c r="L8" s="702"/>
      <c r="M8" s="702"/>
      <c r="N8" s="702"/>
      <c r="O8" s="702"/>
      <c r="P8" s="702"/>
      <c r="Q8" s="702"/>
      <c r="R8" s="702">
        <f>'10.02.22'!E18</f>
        <v>2878.5</v>
      </c>
      <c r="S8" s="738">
        <f>'10.03.22'!E29</f>
        <v>2118.5</v>
      </c>
      <c r="T8" s="738"/>
      <c r="U8" s="738">
        <f>'10.05.22'!E10</f>
        <v>2878.5</v>
      </c>
      <c r="V8" s="738"/>
      <c r="W8" s="738"/>
      <c r="X8" s="738"/>
      <c r="Y8" s="738">
        <f>'10.09.22'!E8</f>
        <v>3287</v>
      </c>
      <c r="Z8" s="589">
        <f>'10.10.22'!E30</f>
        <v>1909.5</v>
      </c>
      <c r="AA8" s="589"/>
      <c r="AB8" s="589"/>
      <c r="AC8" s="589">
        <f>'10.13.22'!E29</f>
        <v>1643.5</v>
      </c>
      <c r="AD8" s="589"/>
      <c r="AE8" s="589"/>
      <c r="AF8" s="589">
        <f>'10.16.22'!E19+'10.16.22'!E29</f>
        <v>5766.5</v>
      </c>
      <c r="AG8" s="640"/>
      <c r="AH8" s="640">
        <f>'10.18.22'!E11</f>
        <v>2356</v>
      </c>
      <c r="AI8" s="640"/>
      <c r="AJ8" s="640"/>
      <c r="AK8" s="640"/>
      <c r="AL8" s="640"/>
      <c r="AM8" s="640"/>
      <c r="AN8" s="702">
        <f>'10.24.22'!E27</f>
        <v>2318</v>
      </c>
      <c r="AO8" s="702">
        <f>'10.25.22'!E27</f>
        <v>1871.5</v>
      </c>
      <c r="AP8" s="702">
        <f>'10.26.22'!E7</f>
        <v>3315.5</v>
      </c>
      <c r="AQ8" s="702"/>
      <c r="AR8" s="702"/>
      <c r="AS8" s="702"/>
      <c r="AT8" s="702"/>
      <c r="AU8" s="738"/>
      <c r="AV8" s="738"/>
      <c r="AW8" s="738">
        <f>'11.02.22'!E7</f>
        <v>4512.5</v>
      </c>
      <c r="AX8" s="738"/>
      <c r="AY8" s="738">
        <f>'11.04.22'!E8</f>
        <v>3857</v>
      </c>
      <c r="AZ8" s="738"/>
      <c r="BA8" s="738">
        <f>'11.06.22'!E20</f>
        <v>2983</v>
      </c>
      <c r="BB8" s="252"/>
      <c r="BC8" s="252"/>
      <c r="BD8" s="252"/>
      <c r="BE8" s="252"/>
      <c r="BF8" s="252"/>
      <c r="BG8" s="252"/>
      <c r="BH8" s="252"/>
      <c r="BI8" s="640"/>
      <c r="BJ8" s="640"/>
      <c r="BK8" s="640"/>
      <c r="BL8" s="640">
        <f>'11.17.22'!E29</f>
        <v>2536.5</v>
      </c>
      <c r="BM8" s="640">
        <f>'11.18.22'!E7</f>
        <v>4056.5</v>
      </c>
      <c r="BN8" s="640"/>
      <c r="BO8" s="640"/>
      <c r="BP8" s="702"/>
      <c r="BQ8" s="702">
        <f>'11.22.22'!E18</f>
        <v>2555.5</v>
      </c>
      <c r="BR8" s="1134"/>
      <c r="BS8" s="1134"/>
      <c r="BT8" s="1134"/>
      <c r="BU8" s="1134"/>
      <c r="BV8" s="702">
        <f>'11.27.22'!E19</f>
        <v>3106.5</v>
      </c>
      <c r="BW8" s="738"/>
      <c r="BX8" s="738">
        <f>'11.29.22'!E10</f>
        <v>4246.5</v>
      </c>
      <c r="BY8" s="738"/>
      <c r="BZ8" s="738"/>
      <c r="CA8" s="738"/>
      <c r="CB8" s="738"/>
      <c r="CC8" s="738"/>
      <c r="CD8" s="589"/>
      <c r="CE8" s="589">
        <f>'12.06.22'!E7</f>
        <v>5016</v>
      </c>
      <c r="CF8" s="589">
        <f>'12.07.22'!E20+'12.07.22'!E29</f>
        <v>4123</v>
      </c>
      <c r="CG8" s="589"/>
      <c r="CH8" s="252"/>
      <c r="CI8" s="640"/>
      <c r="CJ8" s="640">
        <f>'1.09.23'!E29</f>
        <v>1890.5</v>
      </c>
      <c r="CK8" s="640"/>
      <c r="CL8" s="640"/>
      <c r="CM8" s="640"/>
      <c r="CN8" s="640"/>
      <c r="CO8" s="1166"/>
      <c r="CP8" s="1166"/>
      <c r="CQ8" s="702"/>
      <c r="CR8" s="702"/>
      <c r="CS8" s="702">
        <f>'1.18.23'!E27</f>
        <v>3059</v>
      </c>
      <c r="CT8" s="702"/>
      <c r="CU8" s="702"/>
      <c r="CV8" s="702"/>
      <c r="CW8" s="702"/>
      <c r="CX8" s="252"/>
      <c r="CY8" s="252"/>
      <c r="CZ8" s="252"/>
      <c r="DA8" s="252"/>
      <c r="DB8" s="252"/>
      <c r="DC8" s="252"/>
      <c r="DD8" s="252"/>
      <c r="DE8" s="589">
        <f>'1.30.23'!E8</f>
        <v>3638.5</v>
      </c>
      <c r="DF8" s="589"/>
      <c r="DG8" s="589">
        <f>'2.01.23'!E18</f>
        <v>3040</v>
      </c>
      <c r="DH8" s="589"/>
      <c r="DI8" s="589"/>
      <c r="DJ8" s="589"/>
      <c r="DK8" s="589"/>
      <c r="DL8" s="640">
        <f>'2.06.23'!E29</f>
        <v>3353.5</v>
      </c>
      <c r="DM8" s="640"/>
      <c r="DN8" s="640"/>
      <c r="DO8" s="640"/>
      <c r="DP8" s="640">
        <f>'2.10.23'!E19</f>
        <v>3372.5</v>
      </c>
      <c r="DQ8" s="640">
        <f>'2.11.23'!E27</f>
        <v>3847.5</v>
      </c>
      <c r="DR8" s="640">
        <f>'2.12.23'!E29</f>
        <v>3125.5</v>
      </c>
      <c r="DS8" s="702"/>
      <c r="DT8" s="702"/>
      <c r="DU8" s="702">
        <f>'2.15.23'!E27</f>
        <v>2897.5</v>
      </c>
      <c r="DV8" s="702"/>
      <c r="DW8" s="702"/>
      <c r="DX8" s="1166"/>
      <c r="DY8" s="1166"/>
      <c r="DZ8" s="738"/>
      <c r="EA8" s="738">
        <f>'2.21.23'!E19</f>
        <v>4066</v>
      </c>
      <c r="EB8" s="738">
        <f>'2.22.23'!E29</f>
        <v>2612.5</v>
      </c>
      <c r="EC8" s="738"/>
      <c r="ED8" s="738"/>
      <c r="EE8" s="738"/>
      <c r="EF8" s="738">
        <f>'2.26.23'!E29</f>
        <v>3809.5</v>
      </c>
      <c r="EG8" s="702"/>
      <c r="EH8" s="702"/>
      <c r="EI8" s="702">
        <f>'3.1.23'!E8</f>
        <v>4113.5</v>
      </c>
      <c r="EJ8" s="702"/>
      <c r="EK8" s="702"/>
      <c r="EL8" s="702"/>
      <c r="EM8" s="702"/>
      <c r="EN8" s="738"/>
      <c r="EO8" s="738">
        <f>'3.7.23'!E8</f>
        <v>4569.5</v>
      </c>
      <c r="EP8" s="738">
        <f>'3.8.23'!E18</f>
        <v>4484</v>
      </c>
      <c r="EQ8" s="738"/>
      <c r="ER8" s="738"/>
      <c r="ES8" s="738"/>
      <c r="ET8" s="738"/>
      <c r="EU8" s="589">
        <f>'3.13.23'!E9</f>
        <v>3828.5</v>
      </c>
      <c r="EV8" s="589"/>
      <c r="EW8" s="589"/>
      <c r="EX8" s="589"/>
      <c r="EY8" s="589"/>
      <c r="EZ8" s="589">
        <f>'3.18.23'!E29</f>
        <v>4113.5</v>
      </c>
      <c r="FA8" s="589"/>
      <c r="FB8" s="640">
        <f>'3.20.23'!E19</f>
        <v>5139.5</v>
      </c>
      <c r="FC8" s="640"/>
      <c r="FD8" s="640"/>
      <c r="FE8" s="640"/>
      <c r="FF8" s="1218"/>
      <c r="FG8" s="1218"/>
      <c r="FH8" s="1218"/>
      <c r="FI8" s="1218"/>
      <c r="FJ8" s="1218"/>
      <c r="FK8" s="1218"/>
      <c r="FL8" s="1218"/>
      <c r="FM8" s="1218"/>
      <c r="FN8" s="1218"/>
      <c r="FO8" s="702"/>
      <c r="FP8" s="702"/>
      <c r="FQ8" s="702"/>
      <c r="FR8" s="702"/>
      <c r="FS8" s="702"/>
      <c r="FT8" s="702"/>
      <c r="FU8" s="702"/>
      <c r="FV8" s="702">
        <f>'4.9.23'!E18</f>
        <v>4275</v>
      </c>
      <c r="FW8" s="738"/>
      <c r="FX8" s="738"/>
      <c r="FY8" s="738">
        <f>'4.12.23'!E29</f>
        <v>2612.5</v>
      </c>
      <c r="FZ8" s="738"/>
      <c r="GA8" s="738"/>
      <c r="GB8" s="738"/>
      <c r="GC8" s="738"/>
      <c r="GD8" s="702">
        <f>'4.17.23'!E18</f>
        <v>5006.5</v>
      </c>
      <c r="GE8" s="702"/>
      <c r="GF8" s="702">
        <f>'4.19.23'!E17+'4.19.23'!E27</f>
        <v>7742.5</v>
      </c>
      <c r="GG8" s="702"/>
      <c r="GH8" s="702"/>
      <c r="GI8" s="702"/>
      <c r="GJ8" s="702"/>
      <c r="GK8" s="640"/>
      <c r="GL8" s="640">
        <f>'4.25.23'!E18</f>
        <v>5158.5</v>
      </c>
      <c r="GM8" s="640"/>
      <c r="GN8" s="640">
        <f>'4.27.23'!E18</f>
        <v>5025.5</v>
      </c>
      <c r="GO8" s="640"/>
      <c r="GP8" s="640"/>
      <c r="GQ8" s="640"/>
      <c r="GR8" s="589"/>
      <c r="GS8" s="589"/>
      <c r="GT8" s="589"/>
      <c r="GU8" s="589">
        <f>'5.04.23'!E8</f>
        <v>4541</v>
      </c>
      <c r="GV8" s="589"/>
      <c r="GW8" s="589"/>
      <c r="GX8" s="589"/>
      <c r="GY8" s="738"/>
      <c r="GZ8" s="738"/>
      <c r="HA8" s="738"/>
      <c r="HB8" s="738">
        <f>'5.11.23'!E8</f>
        <v>4569.5</v>
      </c>
      <c r="HC8" s="738"/>
      <c r="HD8" s="738"/>
      <c r="HE8" s="738"/>
      <c r="HF8" s="702">
        <f>'5.15.23'!E28</f>
        <v>2973.5</v>
      </c>
      <c r="HG8" s="702"/>
      <c r="HH8" s="702"/>
      <c r="HI8" s="702"/>
      <c r="HJ8" s="702"/>
      <c r="HK8" s="702"/>
      <c r="HL8" s="702"/>
      <c r="HM8" s="640"/>
      <c r="HN8" s="640"/>
      <c r="HO8" s="640"/>
      <c r="HP8" s="640">
        <f>'5.25.23'!E7</f>
        <v>4170.5</v>
      </c>
      <c r="HQ8" s="640"/>
      <c r="HR8" s="640"/>
      <c r="HS8" s="640"/>
      <c r="HT8" s="589"/>
      <c r="HU8" s="589"/>
      <c r="HV8" s="589"/>
      <c r="HW8" s="589"/>
      <c r="HX8" s="589"/>
      <c r="HY8" s="589">
        <f>'6.03.23'!E27</f>
        <v>3714.5</v>
      </c>
      <c r="HZ8" s="589"/>
      <c r="IA8" s="252"/>
      <c r="IB8" s="252">
        <f>'6.6.23'!E8</f>
        <v>4607.5</v>
      </c>
      <c r="IC8" s="252">
        <f>'6.7.23'!E18+'6.7.23'!E27</f>
        <v>6555</v>
      </c>
      <c r="ID8" s="252"/>
      <c r="IE8" s="252"/>
      <c r="IF8" s="252"/>
      <c r="IG8" s="252"/>
      <c r="IH8" s="252"/>
      <c r="II8" s="252"/>
      <c r="IJ8" s="252"/>
      <c r="IK8" s="252"/>
      <c r="IL8" s="189">
        <f t="shared" si="0"/>
        <v>194199</v>
      </c>
      <c r="IM8" s="961">
        <f>100000-IL8</f>
        <v>-94199</v>
      </c>
      <c r="IN8" s="194" t="str">
        <f t="shared" si="1"/>
        <v>Bison Burger</v>
      </c>
      <c r="IP8" s="234">
        <f t="shared" si="3"/>
        <v>194199</v>
      </c>
      <c r="IQ8" s="316">
        <f>COUNT(B8:FZ8)+2+7</f>
        <v>51</v>
      </c>
      <c r="IT8" s="234">
        <v>36161.5</v>
      </c>
      <c r="IU8" s="234"/>
      <c r="IV8" s="979">
        <v>6</v>
      </c>
      <c r="IW8" s="981">
        <f t="shared" si="2"/>
        <v>20442</v>
      </c>
      <c r="IX8" s="977">
        <f t="shared" si="4"/>
        <v>194199</v>
      </c>
      <c r="IY8" s="978" t="str">
        <f t="shared" si="5"/>
        <v>Bison Burger</v>
      </c>
    </row>
    <row r="9" spans="1:259" ht="10.15" customHeight="1">
      <c r="A9" s="195" t="s">
        <v>331</v>
      </c>
      <c r="B9" s="252"/>
      <c r="C9" s="252"/>
      <c r="D9" s="252"/>
      <c r="E9" s="252"/>
      <c r="F9" s="252"/>
      <c r="G9" s="252"/>
      <c r="H9" s="252"/>
      <c r="I9" s="252"/>
      <c r="J9" s="252"/>
      <c r="K9" s="252"/>
      <c r="L9" s="702"/>
      <c r="M9" s="702">
        <f>'9.27.22'!E28</f>
        <v>3106.5</v>
      </c>
      <c r="N9" s="702"/>
      <c r="O9" s="702"/>
      <c r="P9" s="702"/>
      <c r="Q9" s="702"/>
      <c r="R9" s="702"/>
      <c r="S9" s="738"/>
      <c r="T9" s="738">
        <f>'10.04.22'!E28</f>
        <v>3971</v>
      </c>
      <c r="U9" s="738">
        <f>'10.05.22'!E28</f>
        <v>3401</v>
      </c>
      <c r="V9" s="738"/>
      <c r="W9" s="738"/>
      <c r="X9" s="738"/>
      <c r="Y9" s="738"/>
      <c r="Z9" s="589"/>
      <c r="AA9" s="589">
        <f>'10.11.22'!E27</f>
        <v>4075.5</v>
      </c>
      <c r="AB9" s="589"/>
      <c r="AC9" s="589"/>
      <c r="AD9" s="589">
        <f>'10.14.22'!E27</f>
        <v>2945</v>
      </c>
      <c r="AE9" s="589"/>
      <c r="AF9" s="589"/>
      <c r="AG9" s="640"/>
      <c r="AH9" s="640">
        <f>'10.18.22'!E28</f>
        <v>4066</v>
      </c>
      <c r="AI9" s="640"/>
      <c r="AJ9" s="640"/>
      <c r="AK9" s="640">
        <f>'10.21.22'!E31</f>
        <v>2821.5</v>
      </c>
      <c r="AL9" s="640"/>
      <c r="AM9" s="640">
        <f>'10.23.22'!E30</f>
        <v>3572</v>
      </c>
      <c r="AN9" s="702"/>
      <c r="AO9" s="702">
        <f>'10.25.22'!E31</f>
        <v>3876</v>
      </c>
      <c r="AP9" s="702">
        <f>'10.26.22'!E27</f>
        <v>3572</v>
      </c>
      <c r="AQ9" s="702"/>
      <c r="AR9" s="702"/>
      <c r="AS9" s="702">
        <f>'10.29.22'!E31</f>
        <v>2242</v>
      </c>
      <c r="AT9" s="702">
        <f>'10.30.22'!E28</f>
        <v>3705</v>
      </c>
      <c r="AU9" s="738"/>
      <c r="AV9" s="738"/>
      <c r="AW9" s="738"/>
      <c r="AX9" s="738">
        <f>'11.03.22'!E27</f>
        <v>3904.5</v>
      </c>
      <c r="AY9" s="738">
        <f>'11.04.22'!E31</f>
        <v>3239.5</v>
      </c>
      <c r="AZ9" s="738"/>
      <c r="BA9" s="738"/>
      <c r="BB9" s="589"/>
      <c r="BC9" s="589"/>
      <c r="BD9" s="589"/>
      <c r="BE9" s="589">
        <f>'11.10.22'!E31</f>
        <v>3667</v>
      </c>
      <c r="BF9" s="589"/>
      <c r="BG9" s="589"/>
      <c r="BH9" s="589"/>
      <c r="BI9" s="640"/>
      <c r="BJ9" s="640"/>
      <c r="BK9" s="640">
        <f>'11.16.22'!E31</f>
        <v>4132.5</v>
      </c>
      <c r="BL9" s="640"/>
      <c r="BM9" s="640">
        <f>'11.18.22'!E31</f>
        <v>3553</v>
      </c>
      <c r="BN9" s="640"/>
      <c r="BO9" s="640"/>
      <c r="BP9" s="252"/>
      <c r="BQ9" s="252"/>
      <c r="BR9" s="1131"/>
      <c r="BS9" s="1131"/>
      <c r="BT9" s="1131"/>
      <c r="BU9" s="1131"/>
      <c r="BV9" s="252"/>
      <c r="BW9" s="738"/>
      <c r="BX9" s="738"/>
      <c r="BY9" s="738"/>
      <c r="BZ9" s="738">
        <f>'12.01.22'!E28</f>
        <v>5016</v>
      </c>
      <c r="CA9" s="738"/>
      <c r="CB9" s="738">
        <f>'12.03.22'!E28</f>
        <v>4598</v>
      </c>
      <c r="CC9" s="738"/>
      <c r="CD9" s="252"/>
      <c r="CE9" s="252"/>
      <c r="CF9" s="252"/>
      <c r="CG9" s="589">
        <f>'12.08.22'!E21</f>
        <v>5329.5</v>
      </c>
      <c r="CH9" s="589">
        <f>'12.13.22'!E14</f>
        <v>2764.5</v>
      </c>
      <c r="CI9" s="640">
        <f>'1.08.23'!E28</f>
        <v>3619.5</v>
      </c>
      <c r="CJ9" s="640">
        <f>'1.09.23'!E28</f>
        <v>2812</v>
      </c>
      <c r="CK9" s="640"/>
      <c r="CL9" s="640"/>
      <c r="CM9" s="640"/>
      <c r="CN9" s="640"/>
      <c r="CO9" s="1166"/>
      <c r="CP9" s="1166"/>
      <c r="CQ9" s="702">
        <f>'1.16.23'!E28</f>
        <v>4968.5</v>
      </c>
      <c r="CR9" s="702"/>
      <c r="CS9" s="702"/>
      <c r="CT9" s="702"/>
      <c r="CU9" s="702"/>
      <c r="CV9" s="702">
        <f>'1.21.23'!E7</f>
        <v>2679</v>
      </c>
      <c r="CW9" s="702"/>
      <c r="CX9" s="738"/>
      <c r="CY9" s="738">
        <f>'1.24.23'!E28</f>
        <v>4712</v>
      </c>
      <c r="CZ9" s="738"/>
      <c r="DA9" s="738"/>
      <c r="DB9" s="738">
        <f>'1.27.23'!E28</f>
        <v>5073</v>
      </c>
      <c r="DC9" s="738"/>
      <c r="DD9" s="738"/>
      <c r="DE9" s="589"/>
      <c r="DF9" s="589"/>
      <c r="DG9" s="589"/>
      <c r="DH9" s="589">
        <f>'2.02.23'!E28</f>
        <v>5282</v>
      </c>
      <c r="DI9" s="589">
        <f>'2.03.23'!E28</f>
        <v>5082.5</v>
      </c>
      <c r="DJ9" s="589"/>
      <c r="DK9" s="589"/>
      <c r="DL9" s="640"/>
      <c r="DM9" s="640">
        <f>'2.07.23'!E28</f>
        <v>5101.5</v>
      </c>
      <c r="DN9" s="640"/>
      <c r="DO9" s="640">
        <f>'2.09.23'!E28</f>
        <v>5367.5</v>
      </c>
      <c r="DP9" s="640"/>
      <c r="DQ9" s="640"/>
      <c r="DR9" s="640"/>
      <c r="DS9" s="702">
        <f>'2.13.23'!E28</f>
        <v>4940</v>
      </c>
      <c r="DT9" s="702"/>
      <c r="DU9" s="702">
        <f>'2.15.23'!E28</f>
        <v>4750</v>
      </c>
      <c r="DV9" s="702"/>
      <c r="DW9" s="702"/>
      <c r="DX9" s="1166"/>
      <c r="DY9" s="1166"/>
      <c r="DZ9" s="738">
        <f>'2.20.23'!E28</f>
        <v>4702.5</v>
      </c>
      <c r="EA9" s="738"/>
      <c r="EB9" s="738"/>
      <c r="EC9" s="738"/>
      <c r="ED9" s="738"/>
      <c r="EE9" s="738"/>
      <c r="EF9" s="738"/>
      <c r="EG9" s="702"/>
      <c r="EH9" s="702"/>
      <c r="EI9" s="702">
        <f>'3.1.23'!E28</f>
        <v>4902</v>
      </c>
      <c r="EJ9" s="702">
        <f>'3.2.23'!E28</f>
        <v>4322.5</v>
      </c>
      <c r="EK9" s="702"/>
      <c r="EL9" s="702"/>
      <c r="EM9" s="702"/>
      <c r="EN9" s="738">
        <f>'3.6.23'!E27</f>
        <v>4132.5</v>
      </c>
      <c r="EO9" s="738"/>
      <c r="EP9" s="738"/>
      <c r="EQ9" s="738"/>
      <c r="ER9" s="738">
        <f>'3.10.23'!E28</f>
        <v>3743</v>
      </c>
      <c r="ES9" s="738"/>
      <c r="ET9" s="738"/>
      <c r="EU9" s="589"/>
      <c r="EV9" s="589">
        <f>'3.14.23'!E28</f>
        <v>3743</v>
      </c>
      <c r="EW9" s="589"/>
      <c r="EX9" s="589"/>
      <c r="EY9" s="589">
        <f>'3.17.23'!E28</f>
        <v>3895</v>
      </c>
      <c r="EZ9" s="589"/>
      <c r="FA9" s="589"/>
      <c r="FB9" s="640">
        <f>'3.20.23'!E28</f>
        <v>5158.5</v>
      </c>
      <c r="FC9" s="640"/>
      <c r="FD9" s="640"/>
      <c r="FE9" s="640"/>
      <c r="FF9" s="1218"/>
      <c r="FG9" s="1218"/>
      <c r="FH9" s="1218"/>
      <c r="FI9" s="1218"/>
      <c r="FJ9" s="1218"/>
      <c r="FK9" s="1218"/>
      <c r="FL9" s="1218"/>
      <c r="FM9" s="1218"/>
      <c r="FN9" s="1218"/>
      <c r="FO9" s="702"/>
      <c r="FP9" s="702"/>
      <c r="FQ9" s="702">
        <f>'4.4.23'!E28</f>
        <v>3458</v>
      </c>
      <c r="FR9" s="702"/>
      <c r="FS9" s="702">
        <f>'4.6.23'!E28</f>
        <v>3581.5</v>
      </c>
      <c r="FT9" s="702"/>
      <c r="FU9" s="702"/>
      <c r="FV9" s="702"/>
      <c r="FW9" s="738"/>
      <c r="FX9" s="738"/>
      <c r="FY9" s="738">
        <f>'4.12.23'!E28</f>
        <v>3638.5</v>
      </c>
      <c r="FZ9" s="738"/>
      <c r="GA9" s="738">
        <f>'4.14.23'!E28</f>
        <v>3382</v>
      </c>
      <c r="GB9" s="738"/>
      <c r="GC9" s="738"/>
      <c r="GD9" s="702"/>
      <c r="GE9" s="702">
        <f>'4.18.23'!E28</f>
        <v>3496</v>
      </c>
      <c r="GF9" s="702"/>
      <c r="GG9" s="702"/>
      <c r="GH9" s="702"/>
      <c r="GI9" s="702">
        <f>'4.22.23'!E28</f>
        <v>2764.5</v>
      </c>
      <c r="GJ9" s="702">
        <f>'4.23.23'!E28</f>
        <v>3220.5</v>
      </c>
      <c r="GK9" s="640"/>
      <c r="GL9" s="640"/>
      <c r="GM9" s="640"/>
      <c r="GN9" s="640">
        <f>'4.27.23'!E28</f>
        <v>3648</v>
      </c>
      <c r="GO9" s="640"/>
      <c r="GP9" s="640"/>
      <c r="GQ9" s="640"/>
      <c r="GR9" s="589"/>
      <c r="GS9" s="589"/>
      <c r="GT9" s="589">
        <f>'5.03.23'!E28</f>
        <v>3657.5</v>
      </c>
      <c r="GU9" s="589"/>
      <c r="GV9" s="589"/>
      <c r="GW9" s="589">
        <f>'5.06.23'!E28</f>
        <v>3192</v>
      </c>
      <c r="GX9" s="589"/>
      <c r="GY9" s="738"/>
      <c r="GZ9" s="738"/>
      <c r="HA9" s="738">
        <f>'5.10.23'!E28</f>
        <v>3942.5</v>
      </c>
      <c r="HB9" s="738"/>
      <c r="HC9" s="738">
        <f>'5.12.23'!E28</f>
        <v>3344</v>
      </c>
      <c r="HD9" s="738"/>
      <c r="HE9" s="738">
        <f>'5.14.23'!E27</f>
        <v>4037.5</v>
      </c>
      <c r="HF9" s="252"/>
      <c r="HG9" s="252"/>
      <c r="HH9" s="252"/>
      <c r="HI9" s="252"/>
      <c r="HJ9" s="252"/>
      <c r="HK9" s="252"/>
      <c r="HL9" s="252"/>
      <c r="HM9" s="640"/>
      <c r="HN9" s="640"/>
      <c r="HO9" s="640">
        <f>'5.24.23'!E27</f>
        <v>4056.5</v>
      </c>
      <c r="HP9" s="640"/>
      <c r="HQ9" s="640"/>
      <c r="HR9" s="640">
        <f>'5.27.23'!E27</f>
        <v>3524.5</v>
      </c>
      <c r="HS9" s="640">
        <f>'5.28.23'!E27</f>
        <v>3990</v>
      </c>
      <c r="HT9" s="589"/>
      <c r="HU9" s="589">
        <f>'5.30.23'!E28</f>
        <v>4522</v>
      </c>
      <c r="HV9" s="589"/>
      <c r="HW9" s="589"/>
      <c r="HX9" s="589"/>
      <c r="HY9" s="589"/>
      <c r="HZ9" s="589"/>
      <c r="IA9" s="252"/>
      <c r="IB9" s="252"/>
      <c r="IC9" s="252"/>
      <c r="ID9" s="252"/>
      <c r="IE9" s="252"/>
      <c r="IF9" s="252">
        <f>'6.10.23'!E28</f>
        <v>4921</v>
      </c>
      <c r="IG9" s="252"/>
      <c r="IH9" s="252"/>
      <c r="II9" s="252"/>
      <c r="IJ9" s="252"/>
      <c r="IK9" s="252"/>
      <c r="IL9" s="189">
        <f t="shared" si="0"/>
        <v>232921</v>
      </c>
      <c r="IM9" s="189">
        <v>99000</v>
      </c>
      <c r="IN9" s="194" t="str">
        <f t="shared" si="1"/>
        <v>Bittie Bitez</v>
      </c>
      <c r="IP9" s="234">
        <f t="shared" si="3"/>
        <v>232921</v>
      </c>
      <c r="IQ9" s="316">
        <f>COUNT(B9:FZ9)+6</f>
        <v>50</v>
      </c>
      <c r="IT9" s="234"/>
      <c r="IU9" s="234"/>
      <c r="IV9" s="979">
        <v>7</v>
      </c>
      <c r="IW9" s="981">
        <f t="shared" si="2"/>
        <v>24518</v>
      </c>
      <c r="IX9" s="977">
        <f t="shared" si="4"/>
        <v>232921</v>
      </c>
      <c r="IY9" s="978" t="str">
        <f t="shared" si="5"/>
        <v>Bittie Bitez</v>
      </c>
    </row>
    <row r="10" spans="1:259" ht="10.15" customHeight="1">
      <c r="A10" s="195" t="s">
        <v>239</v>
      </c>
      <c r="B10" s="252"/>
      <c r="C10" s="252"/>
      <c r="D10" s="252"/>
      <c r="E10" s="640"/>
      <c r="F10" s="640"/>
      <c r="G10" s="640"/>
      <c r="H10" s="640"/>
      <c r="I10" s="640"/>
      <c r="J10" s="640"/>
      <c r="K10" s="640">
        <f>'9.25.22'!E9 + '9.25.22'!E19</f>
        <v>5519.5</v>
      </c>
      <c r="L10" s="702">
        <f>'9.26.22'!E8</f>
        <v>1710</v>
      </c>
      <c r="M10" s="702">
        <f>'9.27.22'!E21</f>
        <v>1244.5</v>
      </c>
      <c r="N10" s="702"/>
      <c r="O10" s="702"/>
      <c r="P10" s="702">
        <f>'9.30.22'!E18</f>
        <v>2232.5</v>
      </c>
      <c r="Q10" s="702">
        <f>'10.01.22'!E10</f>
        <v>2413</v>
      </c>
      <c r="R10" s="702">
        <f>'10.02.22'!E20+'10.02.22'!E30</f>
        <v>3410.5</v>
      </c>
      <c r="S10" s="738"/>
      <c r="T10" s="738"/>
      <c r="U10" s="738">
        <f>'10.05.22'!E31</f>
        <v>665</v>
      </c>
      <c r="V10" s="738"/>
      <c r="W10" s="738"/>
      <c r="X10" s="738">
        <f>'10.08.22'!E30</f>
        <v>978.5</v>
      </c>
      <c r="Y10" s="738">
        <f>'10.09.22'!E30</f>
        <v>1311</v>
      </c>
      <c r="Z10" s="589"/>
      <c r="AA10" s="589"/>
      <c r="AB10" s="589"/>
      <c r="AC10" s="589"/>
      <c r="AD10" s="589">
        <f>'10.14.22'!E17+'10.14.22'!E28</f>
        <v>2669.5</v>
      </c>
      <c r="AE10" s="589"/>
      <c r="AF10" s="589"/>
      <c r="AG10" s="640">
        <f>'10.17.22'!E19</f>
        <v>2223</v>
      </c>
      <c r="AH10" s="640"/>
      <c r="AI10" s="640">
        <f>'10.19.22'!E8+'10.19.22'!E18</f>
        <v>3980.5</v>
      </c>
      <c r="AJ10" s="640"/>
      <c r="AK10" s="640"/>
      <c r="AL10" s="640"/>
      <c r="AM10" s="640"/>
      <c r="AN10" s="702"/>
      <c r="AO10" s="702"/>
      <c r="AP10" s="702"/>
      <c r="AQ10" s="702"/>
      <c r="AR10" s="702">
        <f>'10.28.22'!E7</f>
        <v>2451</v>
      </c>
      <c r="AS10" s="702"/>
      <c r="AT10" s="702"/>
      <c r="AU10" s="738">
        <f>'10.31.22'!E20</f>
        <v>2280</v>
      </c>
      <c r="AV10" s="738"/>
      <c r="AW10" s="738"/>
      <c r="AX10" s="738"/>
      <c r="AY10" s="738">
        <f>'11.04.22'!E10</f>
        <v>2080.5</v>
      </c>
      <c r="AZ10" s="738">
        <f>'11.05.22'!E8</f>
        <v>1947.5</v>
      </c>
      <c r="BA10" s="738"/>
      <c r="BB10" s="589">
        <f>'11.07.22'!E28</f>
        <v>1938</v>
      </c>
      <c r="BC10" s="589">
        <f>'11.08.22'!E20</f>
        <v>1938</v>
      </c>
      <c r="BD10" s="589"/>
      <c r="BE10" s="589"/>
      <c r="BF10" s="589"/>
      <c r="BG10" s="589">
        <f>'11.12.22'!E28</f>
        <v>1947.5</v>
      </c>
      <c r="BH10" s="589">
        <f>'11.13.22'!E29</f>
        <v>1862</v>
      </c>
      <c r="BI10" s="640"/>
      <c r="BJ10" s="640"/>
      <c r="BK10" s="640"/>
      <c r="BL10" s="640"/>
      <c r="BM10" s="640">
        <f>'11.18.22'!E19+'11.18.22'!E29</f>
        <v>3201.5</v>
      </c>
      <c r="BN10" s="640"/>
      <c r="BO10" s="640">
        <f>'11.20.22'!E19</f>
        <v>2888</v>
      </c>
      <c r="BP10" s="702"/>
      <c r="BQ10" s="702"/>
      <c r="BR10" s="1134"/>
      <c r="BS10" s="1134"/>
      <c r="BT10" s="1134"/>
      <c r="BU10" s="1134"/>
      <c r="BV10" s="702">
        <f>'11.27.22'!E18</f>
        <v>2603</v>
      </c>
      <c r="BW10" s="738"/>
      <c r="BX10" s="738"/>
      <c r="BY10" s="738"/>
      <c r="BZ10" s="738"/>
      <c r="CA10" s="738"/>
      <c r="CB10" s="738">
        <f>'12.03.22'!E19</f>
        <v>3809.5</v>
      </c>
      <c r="CC10" s="738"/>
      <c r="CD10" s="589"/>
      <c r="CE10" s="589">
        <f>'12.06.22'!E10</f>
        <v>3391.5</v>
      </c>
      <c r="CF10" s="589"/>
      <c r="CG10" s="589"/>
      <c r="CH10" s="252"/>
      <c r="CI10" s="640">
        <f>'1.08.23'!E17</f>
        <v>1197</v>
      </c>
      <c r="CJ10" s="640"/>
      <c r="CK10" s="640"/>
      <c r="CL10" s="640"/>
      <c r="CM10" s="640"/>
      <c r="CN10" s="640"/>
      <c r="CO10" s="1166"/>
      <c r="CP10" s="1166"/>
      <c r="CQ10" s="702"/>
      <c r="CR10" s="702">
        <f>'1.17.23'!E19+'1.17.23'!E29</f>
        <v>4417.5</v>
      </c>
      <c r="CS10" s="702"/>
      <c r="CT10" s="702"/>
      <c r="CU10" s="702"/>
      <c r="CV10" s="702"/>
      <c r="CW10" s="702">
        <f>'1.22.23'!E18</f>
        <v>2318</v>
      </c>
      <c r="CX10" s="738"/>
      <c r="CY10" s="738"/>
      <c r="CZ10" s="738"/>
      <c r="DA10" s="738"/>
      <c r="DB10" s="738">
        <f>'1.27.23'!E19</f>
        <v>2099.5</v>
      </c>
      <c r="DC10" s="738"/>
      <c r="DD10" s="738"/>
      <c r="DE10" s="589">
        <f>'1.30.23'!E19</f>
        <v>2289.5</v>
      </c>
      <c r="DF10" s="589">
        <f>'1.31.23'!E8</f>
        <v>2555.5</v>
      </c>
      <c r="DG10" s="589"/>
      <c r="DH10" s="589"/>
      <c r="DI10" s="589"/>
      <c r="DJ10" s="589"/>
      <c r="DK10" s="589"/>
      <c r="DL10" s="640">
        <f>'2.06.23'!E19</f>
        <v>2384.5</v>
      </c>
      <c r="DM10" s="640"/>
      <c r="DN10" s="640"/>
      <c r="DO10" s="640"/>
      <c r="DP10" s="640"/>
      <c r="DQ10" s="640"/>
      <c r="DR10" s="640">
        <f>'2.12.23'!E19</f>
        <v>3771.5</v>
      </c>
      <c r="DS10" s="252"/>
      <c r="DT10" s="252"/>
      <c r="DU10" s="252"/>
      <c r="DV10" s="252"/>
      <c r="DW10" s="252"/>
      <c r="DX10" s="1166"/>
      <c r="DY10" s="1166"/>
      <c r="DZ10" s="738"/>
      <c r="EA10" s="738">
        <f>'2.21.23'!E29</f>
        <v>1643.5</v>
      </c>
      <c r="EB10" s="738"/>
      <c r="EC10" s="738"/>
      <c r="ED10" s="738">
        <f>'2.24.23'!E8</f>
        <v>2641</v>
      </c>
      <c r="EE10" s="738">
        <f>'2.25.23'!E18</f>
        <v>3372.5</v>
      </c>
      <c r="EF10" s="738"/>
      <c r="EG10" s="702"/>
      <c r="EH10" s="702">
        <f>'2.28.23'!E27</f>
        <v>2175.5</v>
      </c>
      <c r="EI10" s="702"/>
      <c r="EJ10" s="702"/>
      <c r="EK10" s="702">
        <f>'3.3.23'!E9</f>
        <v>2299</v>
      </c>
      <c r="EL10" s="702"/>
      <c r="EM10" s="702"/>
      <c r="EN10" s="738"/>
      <c r="EO10" s="738">
        <f>'3.7.23'!E9</f>
        <v>2403.5</v>
      </c>
      <c r="EP10" s="738"/>
      <c r="EQ10" s="738">
        <f>'3.9.23'!E27</f>
        <v>2118.5</v>
      </c>
      <c r="ER10" s="738"/>
      <c r="ES10" s="738"/>
      <c r="ET10" s="738"/>
      <c r="EU10" s="589"/>
      <c r="EV10" s="589"/>
      <c r="EW10" s="589"/>
      <c r="EX10" s="589">
        <f>'3.16.23'!E9</f>
        <v>2185</v>
      </c>
      <c r="EY10" s="589">
        <f>'3.17.23'!E27</f>
        <v>2384.5</v>
      </c>
      <c r="EZ10" s="589"/>
      <c r="FA10" s="589"/>
      <c r="FB10" s="640"/>
      <c r="FC10" s="640"/>
      <c r="FD10" s="640">
        <f>'3.22.23'!E29</f>
        <v>2137.5</v>
      </c>
      <c r="FE10" s="640"/>
      <c r="FF10" s="1218"/>
      <c r="FG10" s="1218"/>
      <c r="FH10" s="1218"/>
      <c r="FI10" s="1218"/>
      <c r="FJ10" s="1218"/>
      <c r="FK10" s="1218"/>
      <c r="FL10" s="1218"/>
      <c r="FM10" s="1218"/>
      <c r="FN10" s="1218"/>
      <c r="FO10" s="702">
        <f>'4.2.23'!E17</f>
        <v>1206.5</v>
      </c>
      <c r="FP10" s="702"/>
      <c r="FQ10" s="702"/>
      <c r="FR10" s="702"/>
      <c r="FS10" s="702"/>
      <c r="FT10" s="702">
        <f>'4.7.23'!E29</f>
        <v>1434.5</v>
      </c>
      <c r="FU10" s="702"/>
      <c r="FV10" s="702"/>
      <c r="FW10" s="738"/>
      <c r="FX10" s="738"/>
      <c r="FY10" s="738"/>
      <c r="FZ10" s="738"/>
      <c r="GA10" s="738">
        <f>'4.14.23'!E19+'4.14.23'!E29</f>
        <v>3258.5</v>
      </c>
      <c r="GB10" s="738">
        <f>'4.15.23'!E29</f>
        <v>1206.5</v>
      </c>
      <c r="GC10" s="738"/>
      <c r="GD10" s="702"/>
      <c r="GE10" s="702">
        <f>'4.18.23'!E8</f>
        <v>1881</v>
      </c>
      <c r="GF10" s="702"/>
      <c r="GG10" s="702"/>
      <c r="GH10" s="702"/>
      <c r="GI10" s="702"/>
      <c r="GJ10" s="702"/>
      <c r="GK10" s="640"/>
      <c r="GL10" s="640"/>
      <c r="GM10" s="640"/>
      <c r="GN10" s="640">
        <f>'4.27.23'!E7</f>
        <v>3353.5</v>
      </c>
      <c r="GO10" s="640"/>
      <c r="GP10" s="640"/>
      <c r="GQ10" s="640"/>
      <c r="GR10" s="589"/>
      <c r="GS10" s="589"/>
      <c r="GT10" s="589"/>
      <c r="GU10" s="589">
        <f>'5.04.23'!E7</f>
        <v>2992.5</v>
      </c>
      <c r="GV10" s="589"/>
      <c r="GW10" s="589"/>
      <c r="GX10" s="589"/>
      <c r="GY10" s="738"/>
      <c r="GZ10" s="738"/>
      <c r="HA10" s="738"/>
      <c r="HB10" s="738"/>
      <c r="HC10" s="738">
        <f>'5.12.23'!E27</f>
        <v>2147</v>
      </c>
      <c r="HD10" s="738"/>
      <c r="HE10" s="738">
        <f>'5.14.23'!E17</f>
        <v>4075.5</v>
      </c>
      <c r="HF10" s="252"/>
      <c r="HG10" s="252"/>
      <c r="HH10" s="252"/>
      <c r="HI10" s="252"/>
      <c r="HJ10" s="252"/>
      <c r="HK10" s="252"/>
      <c r="HL10" s="252"/>
      <c r="HM10" s="252"/>
      <c r="HN10" s="252"/>
      <c r="HO10" s="252"/>
      <c r="HP10" s="252"/>
      <c r="HQ10" s="252"/>
      <c r="HR10" s="252"/>
      <c r="HS10" s="252"/>
      <c r="HT10" s="589"/>
      <c r="HU10" s="589"/>
      <c r="HV10" s="589"/>
      <c r="HW10" s="589"/>
      <c r="HX10" s="589"/>
      <c r="HY10" s="589">
        <f>'6.03.23'!E8</f>
        <v>3334.5</v>
      </c>
      <c r="HZ10" s="589">
        <f>'6.04.23'!E27</f>
        <v>3619.5</v>
      </c>
      <c r="IA10" s="252"/>
      <c r="IB10" s="252"/>
      <c r="IC10" s="252"/>
      <c r="ID10" s="252"/>
      <c r="IE10" s="252"/>
      <c r="IF10" s="252"/>
      <c r="IG10" s="252">
        <f>'6.11.23'!E8</f>
        <v>5158.5</v>
      </c>
      <c r="IH10" s="252"/>
      <c r="II10" s="252"/>
      <c r="IJ10" s="252"/>
      <c r="IK10" s="252"/>
      <c r="IL10" s="189">
        <f t="shared" si="0"/>
        <v>138757</v>
      </c>
      <c r="IM10" s="961">
        <f>100000-IL10</f>
        <v>-38757</v>
      </c>
      <c r="IN10" s="194" t="str">
        <f t="shared" si="1"/>
        <v>Bollywood Kitchen</v>
      </c>
      <c r="IP10" s="234">
        <f t="shared" si="3"/>
        <v>138757</v>
      </c>
      <c r="IQ10" s="316">
        <f>COUNT(B10:FZ10)+5</f>
        <v>50</v>
      </c>
      <c r="IT10" s="234">
        <v>41845.5</v>
      </c>
      <c r="IU10" s="234"/>
      <c r="IV10" s="979">
        <v>8</v>
      </c>
      <c r="IW10" s="981">
        <f t="shared" si="2"/>
        <v>14606</v>
      </c>
      <c r="IX10" s="977">
        <f t="shared" si="4"/>
        <v>138757</v>
      </c>
      <c r="IY10" s="978" t="str">
        <f t="shared" si="5"/>
        <v>Bollywood Kitchen</v>
      </c>
    </row>
    <row r="11" spans="1:259" ht="10.15" customHeight="1">
      <c r="A11" s="195" t="s">
        <v>68</v>
      </c>
      <c r="B11" s="589">
        <f>'9.16.22'!E22</f>
        <v>1273</v>
      </c>
      <c r="C11" s="589"/>
      <c r="D11" s="589"/>
      <c r="E11" s="640"/>
      <c r="F11" s="640"/>
      <c r="G11" s="640">
        <f>'9.21.22'!E9</f>
        <v>1881</v>
      </c>
      <c r="H11" s="640">
        <f>'9.22.22'!E20</f>
        <v>1719.5</v>
      </c>
      <c r="I11" s="640"/>
      <c r="J11" s="640"/>
      <c r="K11" s="640"/>
      <c r="L11" s="702"/>
      <c r="M11" s="702"/>
      <c r="N11" s="702">
        <f>'9.28.22'!E11</f>
        <v>1729</v>
      </c>
      <c r="O11" s="702">
        <f>'9.29.22'!E18</f>
        <v>1985.5</v>
      </c>
      <c r="P11" s="702"/>
      <c r="Q11" s="702"/>
      <c r="R11" s="702"/>
      <c r="S11" s="252"/>
      <c r="T11" s="252"/>
      <c r="U11" s="252"/>
      <c r="V11" s="252"/>
      <c r="W11" s="252"/>
      <c r="X11" s="252"/>
      <c r="Y11" s="252"/>
      <c r="Z11" s="252"/>
      <c r="AA11" s="252"/>
      <c r="AB11" s="252"/>
      <c r="AC11" s="252"/>
      <c r="AD11" s="252"/>
      <c r="AE11" s="252"/>
      <c r="AF11" s="252"/>
      <c r="AG11" s="252"/>
      <c r="AH11" s="252"/>
      <c r="AI11" s="252"/>
      <c r="AJ11" s="252"/>
      <c r="AK11" s="252"/>
      <c r="AL11" s="252"/>
      <c r="AM11" s="252"/>
      <c r="AN11" s="252"/>
      <c r="AO11" s="252"/>
      <c r="AP11" s="252"/>
      <c r="AQ11" s="252"/>
      <c r="AR11" s="252"/>
      <c r="AS11" s="252"/>
      <c r="AT11" s="252"/>
      <c r="AU11" s="252"/>
      <c r="AV11" s="252"/>
      <c r="AW11" s="252"/>
      <c r="AX11" s="252"/>
      <c r="AY11" s="252"/>
      <c r="AZ11" s="252"/>
      <c r="BA11" s="252"/>
      <c r="BB11" s="252"/>
      <c r="BC11" s="252"/>
      <c r="BD11" s="252"/>
      <c r="BE11" s="252"/>
      <c r="BF11" s="252"/>
      <c r="BG11" s="252"/>
      <c r="BH11" s="252"/>
      <c r="BI11" s="252"/>
      <c r="BJ11" s="252"/>
      <c r="BK11" s="252"/>
      <c r="BL11" s="252"/>
      <c r="BM11" s="252"/>
      <c r="BN11" s="252"/>
      <c r="BO11" s="252"/>
      <c r="BP11" s="252"/>
      <c r="BQ11" s="252"/>
      <c r="BR11" s="1131"/>
      <c r="BS11" s="1131"/>
      <c r="BT11" s="1131"/>
      <c r="BU11" s="1131"/>
      <c r="BV11" s="252"/>
      <c r="BW11" s="252"/>
      <c r="BX11" s="252"/>
      <c r="BY11" s="252"/>
      <c r="BZ11" s="252"/>
      <c r="CA11" s="252"/>
      <c r="CB11" s="252"/>
      <c r="CC11" s="252"/>
      <c r="CD11" s="252"/>
      <c r="CE11" s="252"/>
      <c r="CF11" s="252"/>
      <c r="CG11" s="252"/>
      <c r="CH11" s="252"/>
      <c r="CI11" s="1139"/>
      <c r="CJ11" s="252"/>
      <c r="CK11" s="252"/>
      <c r="CL11" s="252"/>
      <c r="CM11" s="252"/>
      <c r="CN11" s="252"/>
      <c r="CO11" s="1166"/>
      <c r="CP11" s="1166"/>
      <c r="CQ11" s="252"/>
      <c r="CR11" s="252"/>
      <c r="CS11" s="252"/>
      <c r="CT11" s="252"/>
      <c r="CU11" s="252"/>
      <c r="CV11" s="252"/>
      <c r="CW11" s="252"/>
      <c r="CX11" s="252"/>
      <c r="CY11" s="252"/>
      <c r="CZ11" s="252"/>
      <c r="DA11" s="252"/>
      <c r="DB11" s="252"/>
      <c r="DC11" s="252"/>
      <c r="DD11" s="252"/>
      <c r="DE11" s="252"/>
      <c r="DF11" s="252"/>
      <c r="DG11" s="252"/>
      <c r="DH11" s="252"/>
      <c r="DI11" s="252"/>
      <c r="DJ11" s="252"/>
      <c r="DK11" s="252"/>
      <c r="DL11" s="252"/>
      <c r="DM11" s="252"/>
      <c r="DN11" s="252"/>
      <c r="DO11" s="252"/>
      <c r="DP11" s="252"/>
      <c r="DQ11" s="252"/>
      <c r="DR11" s="252"/>
      <c r="DS11" s="252"/>
      <c r="DT11" s="252"/>
      <c r="DU11" s="252"/>
      <c r="DV11" s="252"/>
      <c r="DW11" s="252"/>
      <c r="DX11" s="1166"/>
      <c r="DY11" s="1166"/>
      <c r="DZ11" s="1196"/>
      <c r="EA11" s="252"/>
      <c r="EB11" s="252"/>
      <c r="EC11" s="252"/>
      <c r="ED11" s="252"/>
      <c r="EE11" s="252"/>
      <c r="EF11" s="252"/>
      <c r="EG11" s="252"/>
      <c r="EH11" s="252"/>
      <c r="EI11" s="252"/>
      <c r="EJ11" s="252"/>
      <c r="EK11" s="252"/>
      <c r="EL11" s="252"/>
      <c r="EM11" s="252"/>
      <c r="EN11" s="252"/>
      <c r="EO11" s="252"/>
      <c r="EP11" s="252"/>
      <c r="EQ11" s="252"/>
      <c r="ER11" s="252"/>
      <c r="ES11" s="252"/>
      <c r="ET11" s="252"/>
      <c r="EU11" s="252"/>
      <c r="EV11" s="252"/>
      <c r="EW11" s="252"/>
      <c r="EX11" s="252"/>
      <c r="EY11" s="252"/>
      <c r="EZ11" s="252"/>
      <c r="FA11" s="252"/>
      <c r="FB11" s="252"/>
      <c r="FC11" s="252"/>
      <c r="FD11" s="252"/>
      <c r="FE11" s="252"/>
      <c r="FF11" s="1218"/>
      <c r="FG11" s="1218"/>
      <c r="FH11" s="1218"/>
      <c r="FI11" s="1218"/>
      <c r="FJ11" s="1218"/>
      <c r="FK11" s="1218"/>
      <c r="FL11" s="1218"/>
      <c r="FM11" s="1218"/>
      <c r="FN11" s="1218"/>
      <c r="FO11" s="252"/>
      <c r="FP11" s="252"/>
      <c r="FQ11" s="252"/>
      <c r="FR11" s="252"/>
      <c r="FS11" s="252"/>
      <c r="FT11" s="252"/>
      <c r="FU11" s="252"/>
      <c r="FV11" s="252"/>
      <c r="FW11" s="252"/>
      <c r="FX11" s="252"/>
      <c r="FY11" s="252"/>
      <c r="FZ11" s="252"/>
      <c r="GA11" s="252"/>
      <c r="GB11" s="252"/>
      <c r="GC11" s="252"/>
      <c r="GD11" s="252"/>
      <c r="GE11" s="252"/>
      <c r="GF11" s="252"/>
      <c r="GG11" s="252"/>
      <c r="GH11" s="252"/>
      <c r="GI11" s="252"/>
      <c r="GJ11" s="252"/>
      <c r="GK11" s="252"/>
      <c r="GL11" s="252"/>
      <c r="GM11" s="252"/>
      <c r="GN11" s="252"/>
      <c r="GO11" s="252"/>
      <c r="GP11" s="252"/>
      <c r="GQ11" s="252"/>
      <c r="GR11" s="252"/>
      <c r="GS11" s="252"/>
      <c r="GT11" s="252"/>
      <c r="GU11" s="252"/>
      <c r="GV11" s="252"/>
      <c r="GW11" s="252"/>
      <c r="GX11" s="252"/>
      <c r="GY11" s="252"/>
      <c r="GZ11" s="252"/>
      <c r="HA11" s="252"/>
      <c r="HB11" s="252"/>
      <c r="HC11" s="252"/>
      <c r="HD11" s="252"/>
      <c r="HE11" s="252"/>
      <c r="HF11" s="252"/>
      <c r="HG11" s="252"/>
      <c r="HH11" s="252"/>
      <c r="HI11" s="252"/>
      <c r="HJ11" s="252"/>
      <c r="HK11" s="252"/>
      <c r="HL11" s="252"/>
      <c r="HM11" s="252"/>
      <c r="HN11" s="252"/>
      <c r="HO11" s="252"/>
      <c r="HP11" s="252"/>
      <c r="HQ11" s="252"/>
      <c r="HR11" s="252"/>
      <c r="HS11" s="252"/>
      <c r="HT11" s="252"/>
      <c r="HU11" s="252"/>
      <c r="HV11" s="252"/>
      <c r="HW11" s="252"/>
      <c r="HX11" s="252"/>
      <c r="HY11" s="252"/>
      <c r="HZ11" s="252"/>
      <c r="IA11" s="252"/>
      <c r="IB11" s="252"/>
      <c r="IC11" s="252"/>
      <c r="ID11" s="252"/>
      <c r="IE11" s="252"/>
      <c r="IF11" s="252"/>
      <c r="IG11" s="252"/>
      <c r="IH11" s="252"/>
      <c r="II11" s="252"/>
      <c r="IJ11" s="252"/>
      <c r="IK11" s="252"/>
      <c r="IL11" s="189">
        <f t="shared" si="0"/>
        <v>8588</v>
      </c>
      <c r="IM11" s="961">
        <f>100000-IL11</f>
        <v>91412</v>
      </c>
      <c r="IN11" s="194" t="str">
        <f t="shared" si="1"/>
        <v>Bunz Gourmet Burgers</v>
      </c>
      <c r="IP11" s="234">
        <f t="shared" si="3"/>
        <v>8588</v>
      </c>
      <c r="IQ11" s="316">
        <f>COUNT(B11:FZ11)</f>
        <v>5</v>
      </c>
      <c r="IT11" s="234">
        <v>18672</v>
      </c>
      <c r="IU11" s="234"/>
      <c r="IV11" s="979">
        <v>9</v>
      </c>
      <c r="IW11" s="981">
        <f t="shared" si="2"/>
        <v>904</v>
      </c>
      <c r="IX11" s="977">
        <f t="shared" si="4"/>
        <v>8588</v>
      </c>
      <c r="IY11" s="978" t="str">
        <f t="shared" si="5"/>
        <v>Bunz Gourmet Burgers</v>
      </c>
    </row>
    <row r="12" spans="1:259" ht="10.15" customHeight="1">
      <c r="A12" s="195" t="s">
        <v>245</v>
      </c>
      <c r="B12" s="589">
        <f>'9.16.22'!E28</f>
        <v>332.5</v>
      </c>
      <c r="C12" s="589">
        <f>'9.17.22'!E10</f>
        <v>408.5</v>
      </c>
      <c r="D12" s="589"/>
      <c r="E12" s="640"/>
      <c r="F12" s="640">
        <f>'9.20.22'!E8+'9.20.22'!E17</f>
        <v>4313</v>
      </c>
      <c r="G12" s="640"/>
      <c r="H12" s="640"/>
      <c r="I12" s="640"/>
      <c r="J12" s="640"/>
      <c r="K12" s="640"/>
      <c r="L12" s="702">
        <f>'9.26.22'!E10</f>
        <v>2308.5</v>
      </c>
      <c r="M12" s="702"/>
      <c r="N12" s="702"/>
      <c r="O12" s="702"/>
      <c r="P12" s="702">
        <f>'9.30.22'!E21+'9.30.22'!E31</f>
        <v>1681.5</v>
      </c>
      <c r="Q12" s="702">
        <f>'10.01.22'!E9</f>
        <v>2945</v>
      </c>
      <c r="R12" s="702"/>
      <c r="S12" s="738"/>
      <c r="T12" s="738"/>
      <c r="U12" s="738"/>
      <c r="V12" s="738"/>
      <c r="W12" s="738"/>
      <c r="X12" s="738"/>
      <c r="Y12" s="738">
        <f>'10.09.22'!E29</f>
        <v>4123</v>
      </c>
      <c r="Z12" s="252"/>
      <c r="AA12" s="252"/>
      <c r="AB12" s="252"/>
      <c r="AC12" s="252"/>
      <c r="AD12" s="252"/>
      <c r="AE12" s="252"/>
      <c r="AF12" s="252"/>
      <c r="AG12" s="640"/>
      <c r="AH12" s="640"/>
      <c r="AI12" s="640"/>
      <c r="AJ12" s="640"/>
      <c r="AK12" s="640">
        <f>'10.21.22'!E21</f>
        <v>1890.5</v>
      </c>
      <c r="AL12" s="640">
        <f>'10.22.22'!E18 + '10.22.22'!E28</f>
        <v>3629</v>
      </c>
      <c r="AM12" s="640">
        <f>'10.23.22'!E29</f>
        <v>1757.5</v>
      </c>
      <c r="AN12" s="702">
        <f>'10.24.22'!E31</f>
        <v>1083</v>
      </c>
      <c r="AO12" s="702"/>
      <c r="AP12" s="702">
        <f>'10.26.22'!E10</f>
        <v>2793</v>
      </c>
      <c r="AQ12" s="702"/>
      <c r="AR12" s="702"/>
      <c r="AS12" s="702"/>
      <c r="AT12" s="702"/>
      <c r="AU12" s="738">
        <f>'10.31.22'!E9</f>
        <v>2935.5</v>
      </c>
      <c r="AV12" s="738"/>
      <c r="AW12" s="738">
        <f>'11.02.22'!E17</f>
        <v>2318</v>
      </c>
      <c r="AX12" s="738"/>
      <c r="AY12" s="738"/>
      <c r="AZ12" s="738"/>
      <c r="BA12" s="738">
        <f>'11.06.22'!E31</f>
        <v>1130.5</v>
      </c>
      <c r="BB12" s="589"/>
      <c r="BC12" s="589">
        <f>'11.08.22'!E10</f>
        <v>2717</v>
      </c>
      <c r="BD12" s="589"/>
      <c r="BE12" s="589"/>
      <c r="BF12" s="589"/>
      <c r="BG12" s="589"/>
      <c r="BH12" s="589">
        <f>'11.13.22'!E20</f>
        <v>2850</v>
      </c>
      <c r="BI12" s="640"/>
      <c r="BJ12" s="640">
        <f>'11.15.22'!E19+'11.15.22'!E29</f>
        <v>4170.5</v>
      </c>
      <c r="BK12" s="640"/>
      <c r="BL12" s="640"/>
      <c r="BM12" s="640"/>
      <c r="BN12" s="640"/>
      <c r="BO12" s="640"/>
      <c r="BP12" s="702">
        <f>'11.21.22'!E30</f>
        <v>1501</v>
      </c>
      <c r="BQ12" s="702"/>
      <c r="BR12" s="1134"/>
      <c r="BS12" s="1134"/>
      <c r="BT12" s="1134"/>
      <c r="BU12" s="1134"/>
      <c r="BV12" s="702"/>
      <c r="BW12" s="738"/>
      <c r="BX12" s="738">
        <f>'11.29.22'!E19</f>
        <v>3030.5</v>
      </c>
      <c r="BY12" s="738">
        <f>'11.30.22'!E17</f>
        <v>2489</v>
      </c>
      <c r="BZ12" s="738"/>
      <c r="CA12" s="738"/>
      <c r="CB12" s="738"/>
      <c r="CC12" s="738"/>
      <c r="CD12" s="589"/>
      <c r="CE12" s="589">
        <f>'12.06.22'!E19</f>
        <v>2935.5</v>
      </c>
      <c r="CF12" s="589"/>
      <c r="CG12" s="589"/>
      <c r="CH12" s="252"/>
      <c r="CI12" s="1139"/>
      <c r="CJ12" s="252"/>
      <c r="CK12" s="252"/>
      <c r="CL12" s="252"/>
      <c r="CM12" s="252"/>
      <c r="CN12" s="252"/>
      <c r="CO12" s="1166"/>
      <c r="CP12" s="1166"/>
      <c r="CQ12" s="252"/>
      <c r="CR12" s="252"/>
      <c r="CS12" s="252"/>
      <c r="CT12" s="252"/>
      <c r="CU12" s="252"/>
      <c r="CV12" s="252"/>
      <c r="CW12" s="252"/>
      <c r="CX12" s="252"/>
      <c r="CY12" s="252"/>
      <c r="CZ12" s="252"/>
      <c r="DA12" s="252"/>
      <c r="DB12" s="252"/>
      <c r="DC12" s="252"/>
      <c r="DD12" s="252"/>
      <c r="DE12" s="252"/>
      <c r="DF12" s="252"/>
      <c r="DG12" s="252"/>
      <c r="DH12" s="252"/>
      <c r="DI12" s="252"/>
      <c r="DJ12" s="252"/>
      <c r="DK12" s="252"/>
      <c r="DL12" s="252"/>
      <c r="DM12" s="252"/>
      <c r="DN12" s="252"/>
      <c r="DO12" s="252"/>
      <c r="DP12" s="252"/>
      <c r="DQ12" s="252"/>
      <c r="DR12" s="252"/>
      <c r="DS12" s="252"/>
      <c r="DT12" s="252"/>
      <c r="DU12" s="252"/>
      <c r="DV12" s="252"/>
      <c r="DW12" s="252"/>
      <c r="DX12" s="1166"/>
      <c r="DY12" s="1166"/>
      <c r="DZ12" s="1196"/>
      <c r="EA12" s="252"/>
      <c r="EB12" s="252"/>
      <c r="EC12" s="252"/>
      <c r="ED12" s="252"/>
      <c r="EE12" s="252"/>
      <c r="EF12" s="252"/>
      <c r="EG12" s="252"/>
      <c r="EH12" s="252"/>
      <c r="EI12" s="252"/>
      <c r="EJ12" s="252"/>
      <c r="EK12" s="252"/>
      <c r="EL12" s="252"/>
      <c r="EM12" s="252"/>
      <c r="EN12" s="252"/>
      <c r="EO12" s="252"/>
      <c r="EP12" s="252"/>
      <c r="EQ12" s="252"/>
      <c r="ER12" s="252"/>
      <c r="ES12" s="252"/>
      <c r="ET12" s="252"/>
      <c r="EU12" s="252"/>
      <c r="EV12" s="252"/>
      <c r="EW12" s="252"/>
      <c r="EX12" s="252"/>
      <c r="EY12" s="252"/>
      <c r="EZ12" s="252"/>
      <c r="FA12" s="252"/>
      <c r="FB12" s="252"/>
      <c r="FC12" s="252"/>
      <c r="FD12" s="252"/>
      <c r="FE12" s="252"/>
      <c r="FF12" s="1218"/>
      <c r="FG12" s="1218"/>
      <c r="FH12" s="1218"/>
      <c r="FI12" s="1218"/>
      <c r="FJ12" s="1218"/>
      <c r="FK12" s="1218"/>
      <c r="FL12" s="1218"/>
      <c r="FM12" s="1218"/>
      <c r="FN12" s="1218"/>
      <c r="FO12" s="252"/>
      <c r="FP12" s="252"/>
      <c r="FQ12" s="252"/>
      <c r="FR12" s="252"/>
      <c r="FS12" s="252"/>
      <c r="FT12" s="252"/>
      <c r="FU12" s="252"/>
      <c r="FV12" s="252"/>
      <c r="FW12" s="252"/>
      <c r="FX12" s="252"/>
      <c r="FY12" s="252"/>
      <c r="FZ12" s="252"/>
      <c r="GA12" s="252"/>
      <c r="GB12" s="252"/>
      <c r="GC12" s="252"/>
      <c r="GD12" s="252"/>
      <c r="GE12" s="252"/>
      <c r="GF12" s="252"/>
      <c r="GG12" s="252"/>
      <c r="GH12" s="252"/>
      <c r="GI12" s="252"/>
      <c r="GJ12" s="252"/>
      <c r="GK12" s="252"/>
      <c r="GL12" s="252"/>
      <c r="GM12" s="252"/>
      <c r="GN12" s="252"/>
      <c r="GO12" s="252"/>
      <c r="GP12" s="252"/>
      <c r="GQ12" s="252"/>
      <c r="GR12" s="252"/>
      <c r="GS12" s="252"/>
      <c r="GT12" s="252"/>
      <c r="GU12" s="252"/>
      <c r="GV12" s="252"/>
      <c r="GW12" s="252"/>
      <c r="GX12" s="252"/>
      <c r="GY12" s="252"/>
      <c r="GZ12" s="252"/>
      <c r="HA12" s="252"/>
      <c r="HB12" s="252"/>
      <c r="HC12" s="252"/>
      <c r="HD12" s="252"/>
      <c r="HE12" s="252"/>
      <c r="HF12" s="252"/>
      <c r="HG12" s="252"/>
      <c r="HH12" s="252"/>
      <c r="HI12" s="252"/>
      <c r="HJ12" s="252"/>
      <c r="HK12" s="252"/>
      <c r="HL12" s="252"/>
      <c r="HM12" s="252"/>
      <c r="HN12" s="252"/>
      <c r="HO12" s="252"/>
      <c r="HP12" s="252"/>
      <c r="HQ12" s="252"/>
      <c r="HR12" s="252"/>
      <c r="HS12" s="252"/>
      <c r="HT12" s="252"/>
      <c r="HU12" s="252"/>
      <c r="HV12" s="252"/>
      <c r="HW12" s="252"/>
      <c r="HX12" s="252"/>
      <c r="HY12" s="252"/>
      <c r="HZ12" s="252"/>
      <c r="IA12" s="252"/>
      <c r="IB12" s="252"/>
      <c r="IC12" s="252"/>
      <c r="ID12" s="252"/>
      <c r="IE12" s="252"/>
      <c r="IF12" s="252"/>
      <c r="IG12" s="252"/>
      <c r="IH12" s="252"/>
      <c r="II12" s="252"/>
      <c r="IJ12" s="252"/>
      <c r="IK12" s="252"/>
      <c r="IL12" s="189">
        <f t="shared" si="0"/>
        <v>53342.5</v>
      </c>
      <c r="IM12" s="961">
        <f>100000-IL12</f>
        <v>46657.5</v>
      </c>
      <c r="IN12" s="194" t="str">
        <f t="shared" si="1"/>
        <v>Café Vietnam</v>
      </c>
      <c r="IP12" s="234">
        <f t="shared" si="3"/>
        <v>53342.5</v>
      </c>
      <c r="IQ12" s="316">
        <f>COUNT(B12:FZ12)+3</f>
        <v>25</v>
      </c>
      <c r="IT12" s="234">
        <v>32515.5</v>
      </c>
      <c r="IU12" s="234"/>
      <c r="IV12" s="979">
        <v>10</v>
      </c>
      <c r="IW12" s="981">
        <f t="shared" si="2"/>
        <v>5615</v>
      </c>
      <c r="IX12" s="977">
        <f t="shared" si="4"/>
        <v>53342.5</v>
      </c>
      <c r="IY12" s="978" t="str">
        <f t="shared" si="5"/>
        <v>Café Vietnam</v>
      </c>
    </row>
    <row r="13" spans="1:259" ht="9.75" customHeight="1">
      <c r="A13" s="195" t="s">
        <v>254</v>
      </c>
      <c r="B13" s="589">
        <f>'9.16.22'!E12</f>
        <v>1206.5</v>
      </c>
      <c r="C13" s="589"/>
      <c r="D13" s="589">
        <f>'9.18.22'!E9+'9.18.22'!E23</f>
        <v>2242</v>
      </c>
      <c r="E13" s="640"/>
      <c r="F13" s="640"/>
      <c r="G13" s="640"/>
      <c r="H13" s="640">
        <f>'9.22.22'!E9</f>
        <v>1919</v>
      </c>
      <c r="I13" s="640">
        <f>'9.23.22'!E8</f>
        <v>2878.5</v>
      </c>
      <c r="J13" s="640">
        <f>'9.24.22'!E7</f>
        <v>2242</v>
      </c>
      <c r="K13" s="640">
        <f>'9.25.22'!E8</f>
        <v>3467.5</v>
      </c>
      <c r="L13" s="702">
        <f>'9.26.22'!E11</f>
        <v>2356</v>
      </c>
      <c r="M13" s="702"/>
      <c r="N13" s="702"/>
      <c r="O13" s="702"/>
      <c r="P13" s="702"/>
      <c r="Q13" s="702">
        <f>'10.01.22'!E11</f>
        <v>2042.5</v>
      </c>
      <c r="R13" s="702"/>
      <c r="S13" s="738">
        <f>'10.03.22'!E28</f>
        <v>1510.5</v>
      </c>
      <c r="T13" s="738">
        <f>'10.04.22'!E8</f>
        <v>2964</v>
      </c>
      <c r="U13" s="738">
        <f>'10.05.22'!E11</f>
        <v>2698</v>
      </c>
      <c r="V13" s="738">
        <f>'10.06.22'!E10+'10.06.22'!E20</f>
        <v>5415</v>
      </c>
      <c r="W13" s="738"/>
      <c r="X13" s="738"/>
      <c r="Y13" s="738">
        <f>'10.09.22'!E7</f>
        <v>3087.5</v>
      </c>
      <c r="Z13" s="589">
        <f>'10.10.22'!E8</f>
        <v>2612.5</v>
      </c>
      <c r="AA13" s="589"/>
      <c r="AB13" s="589"/>
      <c r="AC13" s="589">
        <f>'10.13.22'!E21+'10.13.22'!E31</f>
        <v>3781</v>
      </c>
      <c r="AD13" s="589"/>
      <c r="AE13" s="589"/>
      <c r="AF13" s="589">
        <f>'10.16.22'!E11</f>
        <v>2736</v>
      </c>
      <c r="AG13" s="252"/>
      <c r="AH13" s="252"/>
      <c r="AI13" s="252"/>
      <c r="AJ13" s="252"/>
      <c r="AK13" s="252"/>
      <c r="AL13" s="252"/>
      <c r="AM13" s="252"/>
      <c r="AN13" s="702"/>
      <c r="AO13" s="702"/>
      <c r="AP13" s="702"/>
      <c r="AQ13" s="702">
        <f>'10.27.22'!E27</f>
        <v>1843</v>
      </c>
      <c r="AR13" s="702"/>
      <c r="AS13" s="702"/>
      <c r="AT13" s="702"/>
      <c r="AU13" s="738"/>
      <c r="AV13" s="738"/>
      <c r="AW13" s="738">
        <f>'11.02.22'!E20</f>
        <v>2527</v>
      </c>
      <c r="AX13" s="738"/>
      <c r="AY13" s="738"/>
      <c r="AZ13" s="738"/>
      <c r="BA13" s="738"/>
      <c r="BB13" s="589">
        <f>'11.07.22'!E31</f>
        <v>2099.5</v>
      </c>
      <c r="BC13" s="589"/>
      <c r="BD13" s="589"/>
      <c r="BE13" s="589">
        <f>'11.10.22'!E7</f>
        <v>2964</v>
      </c>
      <c r="BF13" s="589"/>
      <c r="BG13" s="589">
        <f>'11.12.22'!E19+'11.12.22'!E29</f>
        <v>4446</v>
      </c>
      <c r="BH13" s="589"/>
      <c r="BI13" s="640"/>
      <c r="BJ13" s="640">
        <f>'11.15.22'!E7</f>
        <v>3686</v>
      </c>
      <c r="BK13" s="640"/>
      <c r="BL13" s="640">
        <f>'11.17.22'!E7</f>
        <v>3581.5</v>
      </c>
      <c r="BM13" s="640">
        <f>'11.18.22'!E20+'11.18.22'!E30</f>
        <v>4636</v>
      </c>
      <c r="BN13" s="640"/>
      <c r="BO13" s="640"/>
      <c r="BP13" s="702"/>
      <c r="BQ13" s="702">
        <f>'11.22.22'!E19</f>
        <v>2014</v>
      </c>
      <c r="BR13" s="1134"/>
      <c r="BS13" s="1134"/>
      <c r="BT13" s="1134"/>
      <c r="BU13" s="1134"/>
      <c r="BV13" s="702">
        <f>'11.27.22'!E29</f>
        <v>2764.5</v>
      </c>
      <c r="BW13" s="738">
        <f>'11.28.22'!E27</f>
        <v>2755</v>
      </c>
      <c r="BX13" s="738"/>
      <c r="BY13" s="738"/>
      <c r="BZ13" s="738"/>
      <c r="CA13" s="738"/>
      <c r="CB13" s="738">
        <f>'12.03.22'!E17</f>
        <v>3334.5</v>
      </c>
      <c r="CC13" s="738"/>
      <c r="CD13" s="252"/>
      <c r="CE13" s="589">
        <f>'12.06.22'!E18</f>
        <v>3363</v>
      </c>
      <c r="CF13" s="589">
        <f>'12.07.22'!E18</f>
        <v>3258.5</v>
      </c>
      <c r="CG13" s="589"/>
      <c r="CH13" s="589">
        <f>'12.13.22'!E11</f>
        <v>2603</v>
      </c>
      <c r="CI13" s="640"/>
      <c r="CJ13" s="640"/>
      <c r="CK13" s="640"/>
      <c r="CL13" s="640">
        <f>'1.11.23'!E8</f>
        <v>2821.5</v>
      </c>
      <c r="CM13" s="640"/>
      <c r="CN13" s="640">
        <f>'1.13.23'!E8 +'1.13.23'!E18</f>
        <v>5405.5</v>
      </c>
      <c r="CO13" s="1166"/>
      <c r="CP13" s="1166"/>
      <c r="CQ13" s="702"/>
      <c r="CR13" s="702"/>
      <c r="CS13" s="702"/>
      <c r="CT13" s="702">
        <f>'1.19.23'!E7</f>
        <v>2546</v>
      </c>
      <c r="CU13" s="702"/>
      <c r="CV13" s="702">
        <f>'1.21.23'!E27</f>
        <v>2926</v>
      </c>
      <c r="CW13" s="702">
        <f>'1.22.23'!E8</f>
        <v>2764.5</v>
      </c>
      <c r="CX13" s="738">
        <f>'1.23.23'!E17</f>
        <v>2460.5</v>
      </c>
      <c r="CY13" s="738"/>
      <c r="CZ13" s="738"/>
      <c r="DA13" s="738">
        <f>'1.26.23'!E29</f>
        <v>2736</v>
      </c>
      <c r="DB13" s="738">
        <f>'1.27.23'!E8</f>
        <v>3325</v>
      </c>
      <c r="DC13" s="738">
        <f>'1.28.23'!E29</f>
        <v>2878.5</v>
      </c>
      <c r="DD13" s="738">
        <f>'1.29.23'!E29</f>
        <v>3258.5</v>
      </c>
      <c r="DE13" s="589"/>
      <c r="DF13" s="589"/>
      <c r="DG13" s="589"/>
      <c r="DH13" s="589">
        <f>'2.02.23'!E7</f>
        <v>2945</v>
      </c>
      <c r="DI13" s="589"/>
      <c r="DJ13" s="589"/>
      <c r="DK13" s="589"/>
      <c r="DL13" s="640"/>
      <c r="DM13" s="640">
        <f>'2.07.23'!E18</f>
        <v>2774</v>
      </c>
      <c r="DN13" s="640"/>
      <c r="DO13" s="640">
        <f>'2.09.23'!E29</f>
        <v>3562.5</v>
      </c>
      <c r="DP13" s="640"/>
      <c r="DQ13" s="640">
        <f>'2.11.23'!E7</f>
        <v>2878.5</v>
      </c>
      <c r="DR13" s="640"/>
      <c r="DS13" s="702"/>
      <c r="DT13" s="702">
        <f>'2.14.23'!E18</f>
        <v>3078</v>
      </c>
      <c r="DU13" s="702">
        <f>'2.15.23'!E8</f>
        <v>2859.5</v>
      </c>
      <c r="DV13" s="702"/>
      <c r="DW13" s="702"/>
      <c r="DX13" s="1166"/>
      <c r="DY13" s="1166"/>
      <c r="DZ13" s="738"/>
      <c r="EA13" s="738"/>
      <c r="EB13" s="738">
        <f>'2.22.23'!E7</f>
        <v>2850</v>
      </c>
      <c r="EC13" s="738"/>
      <c r="ED13" s="738">
        <f>'2.24.23'!E29</f>
        <v>1463</v>
      </c>
      <c r="EE13" s="738"/>
      <c r="EF13" s="738">
        <f>'2.26.23'!E8</f>
        <v>3239.5</v>
      </c>
      <c r="EG13" s="702"/>
      <c r="EH13" s="702"/>
      <c r="EI13" s="702"/>
      <c r="EJ13" s="702"/>
      <c r="EK13" s="702">
        <f>'3.3.23'!E17+'3.3.23'!E27</f>
        <v>5443.5</v>
      </c>
      <c r="EL13" s="702"/>
      <c r="EM13" s="702">
        <f>'3.5.23'!E28</f>
        <v>2631.5</v>
      </c>
      <c r="EN13" s="738"/>
      <c r="EO13" s="738"/>
      <c r="EP13" s="738">
        <f>'3.8.23'!E29</f>
        <v>2859.5</v>
      </c>
      <c r="EQ13" s="738"/>
      <c r="ER13" s="738">
        <f>'3.10.23'!E8</f>
        <v>3078</v>
      </c>
      <c r="ES13" s="738"/>
      <c r="ET13" s="738"/>
      <c r="EU13" s="589">
        <f>'3.13.23'!E8</f>
        <v>2973.5</v>
      </c>
      <c r="EV13" s="589">
        <f>'3.14.23'!E17</f>
        <v>3239.5</v>
      </c>
      <c r="EW13" s="589"/>
      <c r="EX13" s="589"/>
      <c r="EY13" s="589"/>
      <c r="EZ13" s="589"/>
      <c r="FA13" s="589"/>
      <c r="FB13" s="640">
        <f>'3.20.23'!E18+'3.20.23'!E27</f>
        <v>5785.5</v>
      </c>
      <c r="FC13" s="640"/>
      <c r="FD13" s="640"/>
      <c r="FE13" s="640"/>
      <c r="FF13" s="1218"/>
      <c r="FG13" s="1218"/>
      <c r="FH13" s="1218"/>
      <c r="FI13" s="1218"/>
      <c r="FJ13" s="1218"/>
      <c r="FK13" s="1218"/>
      <c r="FL13" s="1218"/>
      <c r="FM13" s="1218"/>
      <c r="FN13" s="1218"/>
      <c r="FO13" s="702"/>
      <c r="FP13" s="702"/>
      <c r="FQ13" s="702"/>
      <c r="FR13" s="702">
        <f>'4.5.23'!E29</f>
        <v>2394</v>
      </c>
      <c r="FS13" s="702"/>
      <c r="FT13" s="702">
        <f>'4.7.23'!E17 + '4.7.23'!E27</f>
        <v>4750</v>
      </c>
      <c r="FU13" s="702"/>
      <c r="FV13" s="702"/>
      <c r="FW13" s="738"/>
      <c r="FX13" s="738"/>
      <c r="FY13" s="738">
        <f>'4.12.23'!E8</f>
        <v>3277.5</v>
      </c>
      <c r="FZ13" s="738"/>
      <c r="GA13" s="738">
        <f>'4.14.23'!E7</f>
        <v>3477</v>
      </c>
      <c r="GB13" s="738"/>
      <c r="GC13" s="738"/>
      <c r="GD13" s="702"/>
      <c r="GE13" s="702">
        <f>'4.18.23'!E27</f>
        <v>2821.5</v>
      </c>
      <c r="GF13" s="702"/>
      <c r="GG13" s="702"/>
      <c r="GH13" s="702">
        <f>'4.21.23'!E17</f>
        <v>3382</v>
      </c>
      <c r="GI13" s="702"/>
      <c r="GJ13" s="702"/>
      <c r="GK13" s="640">
        <f>'4.24.23'!E17</f>
        <v>3477</v>
      </c>
      <c r="GL13" s="640"/>
      <c r="GM13" s="640"/>
      <c r="GN13" s="640"/>
      <c r="GO13" s="640"/>
      <c r="GP13" s="640"/>
      <c r="GQ13" s="640"/>
      <c r="GR13" s="589"/>
      <c r="GS13" s="589"/>
      <c r="GT13" s="589"/>
      <c r="GU13" s="589"/>
      <c r="GV13" s="589"/>
      <c r="GW13" s="589">
        <f>'5.06.23'!E27</f>
        <v>3249</v>
      </c>
      <c r="GX13" s="589"/>
      <c r="GY13" s="738"/>
      <c r="GZ13" s="738">
        <f>'5.09.23'!E8+'5.09.23'!E18</f>
        <v>7562</v>
      </c>
      <c r="HA13" s="738"/>
      <c r="HB13" s="738"/>
      <c r="HC13" s="738"/>
      <c r="HD13" s="738"/>
      <c r="HE13" s="738"/>
      <c r="HF13" s="702"/>
      <c r="HG13" s="702"/>
      <c r="HH13" s="702">
        <f>'5.17.23'!E7</f>
        <v>3686</v>
      </c>
      <c r="HI13" s="702"/>
      <c r="HJ13" s="702"/>
      <c r="HK13" s="702">
        <f>'5.20.23'!E8</f>
        <v>3087.5</v>
      </c>
      <c r="HL13" s="702"/>
      <c r="HM13" s="640"/>
      <c r="HN13" s="640">
        <f>'5.23.23'!E28</f>
        <v>2850</v>
      </c>
      <c r="HO13" s="640"/>
      <c r="HP13" s="640"/>
      <c r="HQ13" s="640"/>
      <c r="HR13" s="640">
        <f>'5.27.23'!E28</f>
        <v>2536.5</v>
      </c>
      <c r="HS13" s="640"/>
      <c r="HT13" s="589"/>
      <c r="HU13" s="589"/>
      <c r="HV13" s="589">
        <f>'5.31.23'!E27</f>
        <v>3163.5</v>
      </c>
      <c r="HW13" s="589"/>
      <c r="HX13" s="589">
        <f>'6.02.23'!E7</f>
        <v>3268</v>
      </c>
      <c r="HY13" s="589"/>
      <c r="HZ13" s="589"/>
      <c r="IA13" s="252"/>
      <c r="IB13" s="252"/>
      <c r="IC13" s="252"/>
      <c r="ID13" s="252"/>
      <c r="IE13" s="252"/>
      <c r="IF13" s="252"/>
      <c r="IG13" s="252">
        <f>'6.11.23'!E17</f>
        <v>4398.5</v>
      </c>
      <c r="IH13" s="252"/>
      <c r="II13" s="252"/>
      <c r="IJ13" s="252"/>
      <c r="IK13" s="252"/>
      <c r="IL13" s="189">
        <f t="shared" si="0"/>
        <v>229197</v>
      </c>
      <c r="IM13" s="961">
        <f>100000-IL13+350000</f>
        <v>220803</v>
      </c>
      <c r="IN13" s="194" t="str">
        <f t="shared" si="1"/>
        <v>Cartel Taco Truck</v>
      </c>
      <c r="IP13" s="234">
        <f t="shared" si="3"/>
        <v>229197</v>
      </c>
      <c r="IQ13" s="316">
        <f>COUNT(B13:FZ13)+6</f>
        <v>66</v>
      </c>
      <c r="IT13" s="234">
        <v>126406.5</v>
      </c>
      <c r="IU13" s="234"/>
      <c r="IV13" s="979">
        <v>11</v>
      </c>
      <c r="IW13" s="981">
        <f t="shared" si="2"/>
        <v>24126</v>
      </c>
      <c r="IX13" s="977">
        <f t="shared" si="4"/>
        <v>229197</v>
      </c>
      <c r="IY13" s="978" t="str">
        <f t="shared" si="5"/>
        <v>Cartel Taco Truck</v>
      </c>
    </row>
    <row r="14" spans="1:259" ht="10.15" customHeight="1">
      <c r="A14" s="195" t="s">
        <v>49</v>
      </c>
      <c r="B14" s="589">
        <f>'9.16.22'!E7</f>
        <v>2137.5</v>
      </c>
      <c r="C14" s="589"/>
      <c r="D14" s="589"/>
      <c r="E14" s="640">
        <f>'9.19.22'!E9</f>
        <v>2536.5</v>
      </c>
      <c r="F14" s="640">
        <f>'9.20.22'!E18</f>
        <v>2707.5</v>
      </c>
      <c r="G14" s="640"/>
      <c r="H14" s="640">
        <f>'9.22.22'!E31</f>
        <v>1681.5</v>
      </c>
      <c r="I14" s="640">
        <f>'9.23.22'!E10</f>
        <v>2565</v>
      </c>
      <c r="J14" s="640">
        <f>'9.24.22'!E21+'9.24.22'!E31</f>
        <v>2622</v>
      </c>
      <c r="K14" s="640"/>
      <c r="L14" s="702">
        <f>'9.26.22'!E17</f>
        <v>2612.5</v>
      </c>
      <c r="M14" s="702">
        <f>'9.27.22'!E27</f>
        <v>1349</v>
      </c>
      <c r="N14" s="702"/>
      <c r="O14" s="702"/>
      <c r="P14" s="702"/>
      <c r="Q14" s="702"/>
      <c r="R14" s="702"/>
      <c r="S14" s="738">
        <f>'10.03.22'!E11+'10.03.22'!E21</f>
        <v>5244</v>
      </c>
      <c r="T14" s="738">
        <f>'10.04.22'!E27</f>
        <v>2612.5</v>
      </c>
      <c r="U14" s="738"/>
      <c r="V14" s="738"/>
      <c r="W14" s="738">
        <f>'10.07.22'!E7</f>
        <v>3372.5</v>
      </c>
      <c r="X14" s="738"/>
      <c r="Y14" s="738"/>
      <c r="Z14" s="589">
        <f>'10.10.22'!E20</f>
        <v>3467.5</v>
      </c>
      <c r="AA14" s="589">
        <f>'10.11.22'!E11</f>
        <v>3002</v>
      </c>
      <c r="AB14" s="589"/>
      <c r="AC14" s="589"/>
      <c r="AD14" s="589"/>
      <c r="AE14" s="589">
        <f>'10.15.22'!E8+'10.15.22'!E18</f>
        <v>5386.5</v>
      </c>
      <c r="AF14" s="589"/>
      <c r="AG14" s="640">
        <f>'10.17.22'!E31</f>
        <v>2109</v>
      </c>
      <c r="AH14" s="640">
        <f>'10.18.22'!E29</f>
        <v>2337</v>
      </c>
      <c r="AI14" s="640">
        <f>'10.19.22'!E17+'10.19.22'!E27</f>
        <v>6346</v>
      </c>
      <c r="AJ14" s="640"/>
      <c r="AK14" s="640"/>
      <c r="AL14" s="640"/>
      <c r="AM14" s="640"/>
      <c r="AN14" s="702">
        <f>'10.24.22'!E19+'10.24.22'!E29</f>
        <v>6070.5</v>
      </c>
      <c r="AO14" s="702"/>
      <c r="AP14" s="702">
        <f>'10.26.22'!E18</f>
        <v>4465</v>
      </c>
      <c r="AQ14" s="702">
        <f>'10.27.22'!E31</f>
        <v>1567.5</v>
      </c>
      <c r="AR14" s="702">
        <f>'10.28.22'!E17</f>
        <v>3667</v>
      </c>
      <c r="AS14" s="702"/>
      <c r="AT14" s="702"/>
      <c r="AU14" s="738"/>
      <c r="AV14" s="738">
        <f>'11.01.22'!E9+'11.01.22'!E19</f>
        <v>6384</v>
      </c>
      <c r="AW14" s="738">
        <f>'11.02.22'!E18+'11.02.22'!E28</f>
        <v>7011</v>
      </c>
      <c r="AX14" s="738"/>
      <c r="AY14" s="738"/>
      <c r="AZ14" s="738"/>
      <c r="BA14" s="738"/>
      <c r="BB14" s="589"/>
      <c r="BC14" s="589"/>
      <c r="BD14" s="589">
        <f>'11.09.22'!E19+'11.09.22'!E30</f>
        <v>6707</v>
      </c>
      <c r="BE14" s="589">
        <f>'11.10.22'!E20+'11.10.22'!E30</f>
        <v>5149</v>
      </c>
      <c r="BF14" s="589"/>
      <c r="BG14" s="589"/>
      <c r="BH14" s="589"/>
      <c r="BI14" s="252"/>
      <c r="BJ14" s="252"/>
      <c r="BK14" s="252"/>
      <c r="BL14" s="252"/>
      <c r="BM14" s="252"/>
      <c r="BN14" s="252"/>
      <c r="BO14" s="252"/>
      <c r="BP14" s="252"/>
      <c r="BQ14" s="252"/>
      <c r="BR14" s="1131"/>
      <c r="BS14" s="1131"/>
      <c r="BT14" s="1131"/>
      <c r="BU14" s="1131"/>
      <c r="BV14" s="252"/>
      <c r="BW14" s="738"/>
      <c r="BX14" s="738"/>
      <c r="BY14" s="738"/>
      <c r="BZ14" s="738">
        <f>'12.01.22'!E27</f>
        <v>3439</v>
      </c>
      <c r="CA14" s="738">
        <f>'12.02.22'!E9</f>
        <v>4398.5</v>
      </c>
      <c r="CB14" s="738">
        <f>'12.03.22'!E27</f>
        <v>4275</v>
      </c>
      <c r="CC14" s="738">
        <f>'12.04.22'!E7</f>
        <v>5633.5</v>
      </c>
      <c r="CD14" s="589"/>
      <c r="CE14" s="589">
        <f>'12.06.22'!E8</f>
        <v>4759.5</v>
      </c>
      <c r="CF14" s="589"/>
      <c r="CG14" s="589"/>
      <c r="CH14" s="252"/>
      <c r="CI14" s="640">
        <f>'1.08.23'!E19</f>
        <v>1976</v>
      </c>
      <c r="CJ14" s="640"/>
      <c r="CK14" s="640"/>
      <c r="CL14" s="640"/>
      <c r="CM14" s="640"/>
      <c r="CN14" s="640">
        <f>'1.13.23'!E27</f>
        <v>2584</v>
      </c>
      <c r="CO14" s="1166"/>
      <c r="CP14" s="1166"/>
      <c r="CQ14" s="702"/>
      <c r="CR14" s="702"/>
      <c r="CS14" s="702"/>
      <c r="CT14" s="702"/>
      <c r="CU14" s="702"/>
      <c r="CV14" s="702"/>
      <c r="CW14" s="702">
        <f>'1.22.23'!E17</f>
        <v>4275</v>
      </c>
      <c r="CX14" s="738">
        <f>'1.23.23'!E29</f>
        <v>3809.5</v>
      </c>
      <c r="CY14" s="738"/>
      <c r="CZ14" s="738"/>
      <c r="DA14" s="738"/>
      <c r="DB14" s="738">
        <f>'1.27.23'!E17</f>
        <v>3562.5</v>
      </c>
      <c r="DC14" s="738"/>
      <c r="DD14" s="738">
        <f>'1.29.23'!E7</f>
        <v>4455.5</v>
      </c>
      <c r="DE14" s="589"/>
      <c r="DF14" s="589"/>
      <c r="DG14" s="589">
        <f>'2.01.23'!E8</f>
        <v>4123</v>
      </c>
      <c r="DH14" s="589"/>
      <c r="DI14" s="589"/>
      <c r="DJ14" s="589"/>
      <c r="DK14" s="589">
        <f>'2.05.23'!E27</f>
        <v>4778.5</v>
      </c>
      <c r="DL14" s="640"/>
      <c r="DM14" s="640">
        <f>'2.07.23'!E9</f>
        <v>3325</v>
      </c>
      <c r="DN14" s="640"/>
      <c r="DO14" s="640"/>
      <c r="DP14" s="640">
        <f>'2.10.23'!E7</f>
        <v>4417.5</v>
      </c>
      <c r="DQ14" s="640"/>
      <c r="DR14" s="640"/>
      <c r="DS14" s="702">
        <f>'2.13.23'!E17+'2.13.23'!E27</f>
        <v>8312.5</v>
      </c>
      <c r="DT14" s="702"/>
      <c r="DU14" s="702"/>
      <c r="DV14" s="702"/>
      <c r="DW14" s="702"/>
      <c r="DX14" s="1166"/>
      <c r="DY14" s="1166"/>
      <c r="DZ14" s="738"/>
      <c r="EA14" s="738">
        <f>'2.21.23'!E27</f>
        <v>3059</v>
      </c>
      <c r="EB14" s="738">
        <f>'2.22.23'!E18</f>
        <v>4161</v>
      </c>
      <c r="EC14" s="738"/>
      <c r="ED14" s="738">
        <f>'2.24.23'!E27</f>
        <v>1434.5</v>
      </c>
      <c r="EE14" s="738"/>
      <c r="EF14" s="738">
        <f>'2.26.23'!E17</f>
        <v>4560</v>
      </c>
      <c r="EG14" s="702">
        <f>'2.27.23'!E8</f>
        <v>3800</v>
      </c>
      <c r="EH14" s="702"/>
      <c r="EI14" s="702"/>
      <c r="EJ14" s="702"/>
      <c r="EK14" s="702"/>
      <c r="EL14" s="702"/>
      <c r="EM14" s="702">
        <f>'3.5.23'!E7</f>
        <v>4294</v>
      </c>
      <c r="EN14" s="738"/>
      <c r="EO14" s="738"/>
      <c r="EP14" s="738"/>
      <c r="EQ14" s="738"/>
      <c r="ER14" s="738">
        <f>'3.10.23'!E29</f>
        <v>2755</v>
      </c>
      <c r="ES14" s="738"/>
      <c r="ET14" s="738">
        <f>'3.12.23'!E7</f>
        <v>4493.5</v>
      </c>
      <c r="EU14" s="589"/>
      <c r="EV14" s="589">
        <f>'3.14.23'!E7</f>
        <v>4104</v>
      </c>
      <c r="EW14" s="589"/>
      <c r="EX14" s="589"/>
      <c r="EY14" s="589"/>
      <c r="EZ14" s="589">
        <f>'3.18.23'!E27</f>
        <v>4275</v>
      </c>
      <c r="FA14" s="589">
        <f>'3.19.23'!E7</f>
        <v>5510</v>
      </c>
      <c r="FB14" s="640"/>
      <c r="FC14" s="640"/>
      <c r="FD14" s="640"/>
      <c r="FE14" s="640">
        <f>'3.23.23'!E18</f>
        <v>4769</v>
      </c>
      <c r="FF14" s="1218"/>
      <c r="FG14" s="1218"/>
      <c r="FH14" s="1218"/>
      <c r="FI14" s="1218"/>
      <c r="FJ14" s="1218"/>
      <c r="FK14" s="1218"/>
      <c r="FL14" s="1218"/>
      <c r="FM14" s="1218"/>
      <c r="FN14" s="1218"/>
      <c r="FO14" s="702"/>
      <c r="FP14" s="702">
        <f>'4.3.23'!E29</f>
        <v>2033</v>
      </c>
      <c r="FQ14" s="702">
        <f>'4.4.23'!E7</f>
        <v>4284.5</v>
      </c>
      <c r="FR14" s="702"/>
      <c r="FS14" s="702"/>
      <c r="FT14" s="702"/>
      <c r="FU14" s="702"/>
      <c r="FV14" s="702"/>
      <c r="FW14" s="738">
        <f>'4.10.23'!E17 + '4.10.23'!E27</f>
        <v>7989.5</v>
      </c>
      <c r="FX14" s="738"/>
      <c r="FY14" s="738"/>
      <c r="FZ14" s="738"/>
      <c r="GA14" s="738"/>
      <c r="GB14" s="738"/>
      <c r="GC14" s="738">
        <f>'4.16.23'!E9</f>
        <v>3914</v>
      </c>
      <c r="GD14" s="702"/>
      <c r="GE14" s="702"/>
      <c r="GF14" s="702"/>
      <c r="GG14" s="702">
        <f>'4.20.23'!E8</f>
        <v>4626.5</v>
      </c>
      <c r="GH14" s="702"/>
      <c r="GI14" s="702"/>
      <c r="GJ14" s="702"/>
      <c r="GK14" s="252"/>
      <c r="GL14" s="252"/>
      <c r="GM14" s="252"/>
      <c r="GN14" s="252"/>
      <c r="GO14" s="252"/>
      <c r="GP14" s="252"/>
      <c r="GQ14" s="252"/>
      <c r="GR14" s="589"/>
      <c r="GS14" s="589"/>
      <c r="GT14" s="589"/>
      <c r="GU14" s="589">
        <f>'5.04.23'!E17</f>
        <v>5576.5</v>
      </c>
      <c r="GV14" s="589"/>
      <c r="GW14" s="589"/>
      <c r="GX14" s="589">
        <f>'5.07.23'!E17</f>
        <v>6013.5</v>
      </c>
      <c r="GY14" s="738">
        <f>'5.08.23'!E18</f>
        <v>5576.5</v>
      </c>
      <c r="GZ14" s="738"/>
      <c r="HA14" s="738"/>
      <c r="HB14" s="738"/>
      <c r="HC14" s="738"/>
      <c r="HD14" s="738"/>
      <c r="HE14" s="738"/>
      <c r="HF14" s="702">
        <f>'5.15.23'!E17</f>
        <v>6175</v>
      </c>
      <c r="HG14" s="702"/>
      <c r="HH14" s="702"/>
      <c r="HI14" s="702"/>
      <c r="HJ14" s="702"/>
      <c r="HK14" s="702"/>
      <c r="HL14" s="702">
        <f>'5.21.23'!E7</f>
        <v>5082.5</v>
      </c>
      <c r="HM14" s="640"/>
      <c r="HN14" s="640"/>
      <c r="HO14" s="640">
        <f>'5.24.23'!E8</f>
        <v>4427</v>
      </c>
      <c r="HP14" s="640"/>
      <c r="HQ14" s="640"/>
      <c r="HR14" s="640"/>
      <c r="HS14" s="640"/>
      <c r="HT14" s="589"/>
      <c r="HU14" s="589"/>
      <c r="HV14" s="589"/>
      <c r="HW14" s="589">
        <f>'6.01.23'!E17+'6.01.23'!E27</f>
        <v>9357.5</v>
      </c>
      <c r="HX14" s="589"/>
      <c r="HY14" s="589"/>
      <c r="HZ14" s="589"/>
      <c r="IA14" s="252">
        <f>'6.5.23'!E8</f>
        <v>5225</v>
      </c>
      <c r="IB14" s="252"/>
      <c r="IC14" s="252"/>
      <c r="ID14" s="252"/>
      <c r="IE14" s="252"/>
      <c r="IF14" s="252"/>
      <c r="IG14" s="252"/>
      <c r="IH14" s="252"/>
      <c r="II14" s="252"/>
      <c r="IJ14" s="252"/>
      <c r="IK14" s="252"/>
      <c r="IL14" s="189">
        <f t="shared" si="0"/>
        <v>278730</v>
      </c>
      <c r="IM14" s="961">
        <f>100000-IL14</f>
        <v>-178730</v>
      </c>
      <c r="IN14" s="194" t="str">
        <f t="shared" si="1"/>
        <v>Cerda Vega Tacos</v>
      </c>
      <c r="IP14" s="234">
        <f t="shared" si="3"/>
        <v>278730</v>
      </c>
      <c r="IQ14" s="316">
        <f>COUNT(B14:FZ14)+10+4</f>
        <v>70</v>
      </c>
      <c r="IT14" s="782">
        <v>103495</v>
      </c>
      <c r="IU14" s="234"/>
      <c r="IV14" s="979">
        <v>12</v>
      </c>
      <c r="IW14" s="981">
        <f t="shared" si="2"/>
        <v>29340</v>
      </c>
      <c r="IX14" s="977">
        <f t="shared" si="4"/>
        <v>278730</v>
      </c>
      <c r="IY14" s="978" t="str">
        <f t="shared" si="5"/>
        <v>Cerda Vega Tacos</v>
      </c>
    </row>
    <row r="15" spans="1:259" ht="10.15" customHeight="1">
      <c r="A15" s="195" t="s">
        <v>235</v>
      </c>
      <c r="B15" s="589">
        <f>'9.16.22'!E21</f>
        <v>693.5</v>
      </c>
      <c r="C15" s="589">
        <f>'9.17.22'!E8+'9.17.22'!E22</f>
        <v>1501</v>
      </c>
      <c r="D15" s="589">
        <f>'9.18.22'!E22</f>
        <v>1691</v>
      </c>
      <c r="E15" s="640"/>
      <c r="F15" s="640">
        <f>'9.20.22'!E16</f>
        <v>2812</v>
      </c>
      <c r="G15" s="640">
        <f>'9.21.22'!E18</f>
        <v>3401</v>
      </c>
      <c r="H15" s="640"/>
      <c r="I15" s="640"/>
      <c r="J15" s="640">
        <f>'9.24.22'!E28</f>
        <v>3420</v>
      </c>
      <c r="K15" s="640"/>
      <c r="L15" s="702">
        <f>'9.26.22'!E28</f>
        <v>4199</v>
      </c>
      <c r="M15" s="702"/>
      <c r="N15" s="702"/>
      <c r="O15" s="702"/>
      <c r="P15" s="702">
        <f>'9.30.22'!E28</f>
        <v>3961.5</v>
      </c>
      <c r="Q15" s="702">
        <f>'10.01.22'!E28</f>
        <v>2603</v>
      </c>
      <c r="R15" s="702">
        <f>'10.02.22'!E28</f>
        <v>3676.5</v>
      </c>
      <c r="S15" s="738"/>
      <c r="T15" s="738"/>
      <c r="U15" s="738"/>
      <c r="V15" s="738"/>
      <c r="W15" s="738">
        <f>'10.07.22'!E30</f>
        <v>4294</v>
      </c>
      <c r="X15" s="738">
        <f>'10.08.22'!E28</f>
        <v>4028</v>
      </c>
      <c r="Y15" s="738">
        <f>'10.09.22'!E28</f>
        <v>5054</v>
      </c>
      <c r="Z15" s="589"/>
      <c r="AA15" s="589"/>
      <c r="AB15" s="589">
        <f>'10.12.22'!E27</f>
        <v>5035</v>
      </c>
      <c r="AC15" s="589"/>
      <c r="AD15" s="589"/>
      <c r="AE15" s="589">
        <f>'10.15.22'!E27</f>
        <v>4788</v>
      </c>
      <c r="AF15" s="589">
        <f>'10.16.22'!E28</f>
        <v>4208.5</v>
      </c>
      <c r="AG15" s="640"/>
      <c r="AH15" s="640"/>
      <c r="AI15" s="640">
        <f>'10.19.22'!E28</f>
        <v>5823.5</v>
      </c>
      <c r="AJ15" s="640"/>
      <c r="AK15" s="640">
        <f>'10.21.22'!E27</f>
        <v>3648</v>
      </c>
      <c r="AL15" s="640">
        <f>'10.22.22'!E27</f>
        <v>3923.5</v>
      </c>
      <c r="AM15" s="640">
        <f>'10.23.22'!E28</f>
        <v>2726.5</v>
      </c>
      <c r="AN15" s="702"/>
      <c r="AO15" s="702"/>
      <c r="AP15" s="702"/>
      <c r="AQ15" s="702"/>
      <c r="AR15" s="702">
        <f>'10.28.22'!E27</f>
        <v>2935.5</v>
      </c>
      <c r="AS15" s="702">
        <f>'10.29.22'!E27</f>
        <v>3021</v>
      </c>
      <c r="AT15" s="702"/>
      <c r="AU15" s="738"/>
      <c r="AV15" s="738"/>
      <c r="AW15" s="738">
        <f>'11.02.22'!E27</f>
        <v>5158.5</v>
      </c>
      <c r="AX15" s="738"/>
      <c r="AY15" s="738">
        <f>'11.04.22'!E28</f>
        <v>3942.5</v>
      </c>
      <c r="AZ15" s="738">
        <f>'11.05.22'!E28</f>
        <v>3467.5</v>
      </c>
      <c r="BA15" s="738"/>
      <c r="BB15" s="589"/>
      <c r="BC15" s="589"/>
      <c r="BD15" s="589">
        <f>'11.09.22'!E27</f>
        <v>5586</v>
      </c>
      <c r="BE15" s="589"/>
      <c r="BF15" s="589">
        <f>'11.11.22'!E27</f>
        <v>4446</v>
      </c>
      <c r="BG15" s="589">
        <f>'11.12.22'!E27</f>
        <v>3942.5</v>
      </c>
      <c r="BH15" s="589">
        <f>'11.13.22'!E28</f>
        <v>5481.5</v>
      </c>
      <c r="BI15" s="640"/>
      <c r="BJ15" s="640">
        <f>'11.15.22'!E28</f>
        <v>5443.5</v>
      </c>
      <c r="BK15" s="640"/>
      <c r="BL15" s="640"/>
      <c r="BM15" s="640">
        <f>'11.18.22'!E28</f>
        <v>3942.5</v>
      </c>
      <c r="BN15" s="640">
        <f>'11.19.22'!E31</f>
        <v>4332</v>
      </c>
      <c r="BO15" s="640">
        <f>'11.20.22'!E28</f>
        <v>5975.5</v>
      </c>
      <c r="BP15" s="252"/>
      <c r="BQ15" s="252"/>
      <c r="BR15" s="1131"/>
      <c r="BS15" s="1131"/>
      <c r="BT15" s="1131"/>
      <c r="BU15" s="1131"/>
      <c r="BV15" s="252"/>
      <c r="BW15" s="738"/>
      <c r="BX15" s="738"/>
      <c r="BY15" s="738">
        <f>'11.30.22'!E28</f>
        <v>6336.5</v>
      </c>
      <c r="BZ15" s="738"/>
      <c r="CA15" s="738"/>
      <c r="CB15" s="738"/>
      <c r="CC15" s="738">
        <f>'12.04.22'!E28</f>
        <v>6906.5</v>
      </c>
      <c r="CD15" s="252"/>
      <c r="CE15" s="252"/>
      <c r="CF15" s="252"/>
      <c r="CG15" s="252"/>
      <c r="CH15" s="589">
        <f>'12.13.22'!E15</f>
        <v>1453.5</v>
      </c>
      <c r="CI15" s="640"/>
      <c r="CJ15" s="640"/>
      <c r="CK15" s="640">
        <f>'1.10.23'!E28</f>
        <v>2764.5</v>
      </c>
      <c r="CL15" s="640"/>
      <c r="CM15" s="640"/>
      <c r="CN15" s="640"/>
      <c r="CO15" s="1166"/>
      <c r="CP15" s="1166"/>
      <c r="CQ15" s="702"/>
      <c r="CR15" s="702"/>
      <c r="CS15" s="702">
        <f>'1.18.23'!E28</f>
        <v>4892.5</v>
      </c>
      <c r="CT15" s="702"/>
      <c r="CU15" s="702"/>
      <c r="CV15" s="702">
        <f>'1.21.23'!E28</f>
        <v>4275</v>
      </c>
      <c r="CW15" s="702"/>
      <c r="CX15" s="738"/>
      <c r="CY15" s="738"/>
      <c r="CZ15" s="738"/>
      <c r="DA15" s="738">
        <f>'1.26.23'!E28</f>
        <v>5225</v>
      </c>
      <c r="DB15" s="738"/>
      <c r="DC15" s="738">
        <f>'1.28.23'!E28</f>
        <v>5187</v>
      </c>
      <c r="DD15" s="738"/>
      <c r="DE15" s="589"/>
      <c r="DF15" s="589"/>
      <c r="DG15" s="589">
        <f>'2.01.23'!E28</f>
        <v>5120.5</v>
      </c>
      <c r="DH15" s="589"/>
      <c r="DI15" s="589"/>
      <c r="DJ15" s="589">
        <f>'2.04.23'!E28</f>
        <v>5614.5</v>
      </c>
      <c r="DK15" s="589"/>
      <c r="DL15" s="640">
        <f>'2.06.23'!E28</f>
        <v>5519.5</v>
      </c>
      <c r="DM15" s="640"/>
      <c r="DN15" s="640">
        <f>'2.08.23'!E28</f>
        <v>6203.5</v>
      </c>
      <c r="DO15" s="640"/>
      <c r="DP15" s="640"/>
      <c r="DQ15" s="640"/>
      <c r="DR15" s="640"/>
      <c r="DS15" s="702"/>
      <c r="DT15" s="702">
        <f>'2.14.23'!E28</f>
        <v>3990</v>
      </c>
      <c r="DU15" s="702"/>
      <c r="DV15" s="702"/>
      <c r="DW15" s="702"/>
      <c r="DX15" s="1166"/>
      <c r="DY15" s="1166"/>
      <c r="DZ15" s="738"/>
      <c r="EA15" s="738">
        <f>'2.21.23'!E28</f>
        <v>4265.5</v>
      </c>
      <c r="EB15" s="738"/>
      <c r="EC15" s="738">
        <f>'2.23.23'!E28</f>
        <v>4598</v>
      </c>
      <c r="ED15" s="738"/>
      <c r="EE15" s="738"/>
      <c r="EF15" s="738">
        <f>'2.26.23'!E28</f>
        <v>5111</v>
      </c>
      <c r="EG15" s="702"/>
      <c r="EH15" s="702"/>
      <c r="EI15" s="702"/>
      <c r="EJ15" s="702"/>
      <c r="EK15" s="702">
        <f>'3.3.23'!E28</f>
        <v>4911.5</v>
      </c>
      <c r="EL15" s="702"/>
      <c r="EM15" s="702">
        <f>'3.5.23'!E27</f>
        <v>5595.5</v>
      </c>
      <c r="EN15" s="738"/>
      <c r="EO15" s="738">
        <f>'3.7.23'!E28</f>
        <v>6118</v>
      </c>
      <c r="EP15" s="738"/>
      <c r="EQ15" s="738"/>
      <c r="ER15" s="738"/>
      <c r="ES15" s="738"/>
      <c r="ET15" s="738">
        <f>'3.12.23'!E28</f>
        <v>6137</v>
      </c>
      <c r="EU15" s="589"/>
      <c r="EV15" s="589"/>
      <c r="EW15" s="589"/>
      <c r="EX15" s="589"/>
      <c r="EY15" s="589"/>
      <c r="EZ15" s="589">
        <f>'3.18.23'!E28</f>
        <v>6830.5</v>
      </c>
      <c r="FA15" s="589">
        <f>'3.19.23'!E28</f>
        <v>7286.5</v>
      </c>
      <c r="FB15" s="640"/>
      <c r="FC15" s="640"/>
      <c r="FD15" s="640"/>
      <c r="FE15" s="640">
        <f>'3.23.23'!E28</f>
        <v>7533.5</v>
      </c>
      <c r="FF15" s="1218"/>
      <c r="FG15" s="1218"/>
      <c r="FH15" s="1218"/>
      <c r="FI15" s="1218"/>
      <c r="FJ15" s="1218"/>
      <c r="FK15" s="1218"/>
      <c r="FL15" s="1218"/>
      <c r="FM15" s="1218"/>
      <c r="FN15" s="1218"/>
      <c r="FO15" s="702"/>
      <c r="FP15" s="702"/>
      <c r="FQ15" s="702"/>
      <c r="FR15" s="702">
        <f>'4.5.23'!E28</f>
        <v>4788</v>
      </c>
      <c r="FS15" s="702"/>
      <c r="FT15" s="702"/>
      <c r="FU15" s="702">
        <f>'4.8.23'!E28</f>
        <v>4522</v>
      </c>
      <c r="FV15" s="702">
        <f>'4.9.23'!E28</f>
        <v>4883</v>
      </c>
      <c r="FW15" s="738"/>
      <c r="FX15" s="738"/>
      <c r="FY15" s="738"/>
      <c r="FZ15" s="738"/>
      <c r="GA15" s="738"/>
      <c r="GB15" s="738">
        <f>'4.15.23'!E28</f>
        <v>5367.5</v>
      </c>
      <c r="GC15" s="738"/>
      <c r="GD15" s="702"/>
      <c r="GE15" s="702"/>
      <c r="GF15" s="702"/>
      <c r="GG15" s="702">
        <f>'4.20.23'!E28</f>
        <v>5044.5</v>
      </c>
      <c r="GH15" s="702">
        <f>'4.21.23'!E28</f>
        <v>4161</v>
      </c>
      <c r="GI15" s="702"/>
      <c r="GJ15" s="702"/>
      <c r="GK15" s="640"/>
      <c r="GL15" s="640">
        <f>'4.25.23'!E28</f>
        <v>5329.5</v>
      </c>
      <c r="GM15" s="640"/>
      <c r="GN15" s="640"/>
      <c r="GO15" s="640">
        <f>'4.28.23'!E28</f>
        <v>4816.5</v>
      </c>
      <c r="GP15" s="640"/>
      <c r="GQ15" s="640"/>
      <c r="GR15" s="589"/>
      <c r="GS15" s="589"/>
      <c r="GT15" s="589"/>
      <c r="GU15" s="589">
        <f>'5.04.23'!E28</f>
        <v>5443.5</v>
      </c>
      <c r="GV15" s="589">
        <f>'5.05.23'!E28</f>
        <v>3790.5</v>
      </c>
      <c r="GW15" s="589"/>
      <c r="GX15" s="589"/>
      <c r="GY15" s="738"/>
      <c r="GZ15" s="738"/>
      <c r="HA15" s="738"/>
      <c r="HB15" s="738">
        <f>'5.11.23'!E28</f>
        <v>4797.5</v>
      </c>
      <c r="HC15" s="738"/>
      <c r="HD15" s="738"/>
      <c r="HE15" s="738"/>
      <c r="HF15" s="702"/>
      <c r="HG15" s="702">
        <f>'5.16.23'!E27</f>
        <v>4816.5</v>
      </c>
      <c r="HH15" s="702"/>
      <c r="HI15" s="702"/>
      <c r="HJ15" s="702">
        <f>'5.19.23'!E27</f>
        <v>4978</v>
      </c>
      <c r="HK15" s="702"/>
      <c r="HL15" s="702">
        <f>'5.21.23'!E28</f>
        <v>5424.5</v>
      </c>
      <c r="HM15" s="640"/>
      <c r="HN15" s="640"/>
      <c r="HO15" s="640"/>
      <c r="HP15" s="640">
        <f>'5.25.23'!E27</f>
        <v>4436.5</v>
      </c>
      <c r="HQ15" s="640"/>
      <c r="HR15" s="640"/>
      <c r="HS15" s="640"/>
      <c r="HT15" s="589"/>
      <c r="HU15" s="589"/>
      <c r="HV15" s="589"/>
      <c r="HW15" s="589"/>
      <c r="HX15" s="589">
        <f>'6.02.23'!E28</f>
        <v>4883</v>
      </c>
      <c r="HY15" s="589">
        <f>'6.03.23'!E28</f>
        <v>5557.5</v>
      </c>
      <c r="HZ15" s="589"/>
      <c r="IA15" s="252"/>
      <c r="IB15" s="252"/>
      <c r="IC15" s="252">
        <f>'6.7.23'!E28</f>
        <v>6032.5</v>
      </c>
      <c r="ID15" s="252"/>
      <c r="IE15" s="252">
        <f>'6.9.23'!E28</f>
        <v>6555</v>
      </c>
      <c r="IF15" s="252"/>
      <c r="IG15" s="252">
        <f>'6.11.23'!E28</f>
        <v>8597.5</v>
      </c>
      <c r="IH15" s="252"/>
      <c r="II15" s="252"/>
      <c r="IJ15" s="252"/>
      <c r="IK15" s="252"/>
      <c r="IL15" s="189">
        <f t="shared" si="0"/>
        <v>355262</v>
      </c>
      <c r="IM15" s="961">
        <f>100000-IL15+350000</f>
        <v>94738</v>
      </c>
      <c r="IN15" s="194" t="str">
        <f t="shared" si="1"/>
        <v>Creamy Boys</v>
      </c>
      <c r="IP15" s="234">
        <f t="shared" si="3"/>
        <v>355262</v>
      </c>
      <c r="IQ15" s="316">
        <f>COUNT(B15:FZ15)+6</f>
        <v>65</v>
      </c>
      <c r="IT15" s="234">
        <v>292911</v>
      </c>
      <c r="IU15" s="234"/>
      <c r="IV15" s="979">
        <v>13</v>
      </c>
      <c r="IW15" s="981">
        <f t="shared" si="2"/>
        <v>37396</v>
      </c>
      <c r="IX15" s="977">
        <f t="shared" si="4"/>
        <v>355262</v>
      </c>
      <c r="IY15" s="978" t="str">
        <f t="shared" si="5"/>
        <v>Creamy Boys</v>
      </c>
    </row>
    <row r="16" spans="1:259" ht="10.15" customHeight="1">
      <c r="A16" s="195" t="s">
        <v>188</v>
      </c>
      <c r="B16" s="252"/>
      <c r="C16" s="252"/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  <c r="AA16" s="252"/>
      <c r="AB16" s="252"/>
      <c r="AC16" s="252"/>
      <c r="AD16" s="252"/>
      <c r="AE16" s="252"/>
      <c r="AF16" s="252"/>
      <c r="AG16" s="252"/>
      <c r="AH16" s="252"/>
      <c r="AI16" s="252"/>
      <c r="AJ16" s="252"/>
      <c r="AK16" s="252"/>
      <c r="AL16" s="252"/>
      <c r="AM16" s="252"/>
      <c r="AN16" s="702"/>
      <c r="AO16" s="702"/>
      <c r="AP16" s="702"/>
      <c r="AQ16" s="702">
        <f>'10.27.22'!E19+'10.27.22'!E29</f>
        <v>3239.5</v>
      </c>
      <c r="AR16" s="702"/>
      <c r="AS16" s="702"/>
      <c r="AT16" s="702"/>
      <c r="AU16" s="252"/>
      <c r="AV16" s="252"/>
      <c r="AW16" s="252"/>
      <c r="AX16" s="252"/>
      <c r="AY16" s="252"/>
      <c r="AZ16" s="252"/>
      <c r="BA16" s="252"/>
      <c r="BB16" s="252"/>
      <c r="BC16" s="252"/>
      <c r="BD16" s="252"/>
      <c r="BE16" s="252"/>
      <c r="BF16" s="252"/>
      <c r="BG16" s="252"/>
      <c r="BH16" s="252"/>
      <c r="BI16" s="640"/>
      <c r="BJ16" s="640">
        <f>'11.15.22'!E30</f>
        <v>1244.5</v>
      </c>
      <c r="BK16" s="640"/>
      <c r="BL16" s="640"/>
      <c r="BM16" s="640">
        <f>'11.18.22'!E27</f>
        <v>1482</v>
      </c>
      <c r="BN16" s="640"/>
      <c r="BO16" s="640"/>
      <c r="BP16" s="252"/>
      <c r="BQ16" s="252"/>
      <c r="BR16" s="1131"/>
      <c r="BS16" s="1131"/>
      <c r="BT16" s="1131"/>
      <c r="BU16" s="1131"/>
      <c r="BV16" s="252"/>
      <c r="BW16" s="738">
        <f>'11.28.22'!E29</f>
        <v>2346.5</v>
      </c>
      <c r="BX16" s="738"/>
      <c r="BY16" s="738"/>
      <c r="BZ16" s="738"/>
      <c r="CA16" s="738"/>
      <c r="CB16" s="738"/>
      <c r="CC16" s="738"/>
      <c r="CD16" s="738">
        <f>'12.05.22'!E17</f>
        <v>3144.5</v>
      </c>
      <c r="CE16" s="252"/>
      <c r="CF16" s="252"/>
      <c r="CG16" s="252"/>
      <c r="CH16" s="252"/>
      <c r="CI16" s="1139"/>
      <c r="CJ16" s="252"/>
      <c r="CK16" s="252"/>
      <c r="CL16" s="252"/>
      <c r="CM16" s="252"/>
      <c r="CN16" s="252"/>
      <c r="CO16" s="1166"/>
      <c r="CP16" s="1166"/>
      <c r="CQ16" s="252"/>
      <c r="CR16" s="252"/>
      <c r="CS16" s="252"/>
      <c r="CT16" s="252"/>
      <c r="CU16" s="252"/>
      <c r="CV16" s="252"/>
      <c r="CW16" s="252"/>
      <c r="CX16" s="252"/>
      <c r="CY16" s="252"/>
      <c r="CZ16" s="252"/>
      <c r="DA16" s="252"/>
      <c r="DB16" s="252"/>
      <c r="DC16" s="252"/>
      <c r="DD16" s="252"/>
      <c r="DE16" s="252"/>
      <c r="DF16" s="252"/>
      <c r="DG16" s="252"/>
      <c r="DH16" s="252"/>
      <c r="DI16" s="252"/>
      <c r="DJ16" s="252"/>
      <c r="DK16" s="252"/>
      <c r="DL16" s="252"/>
      <c r="DM16" s="252"/>
      <c r="DN16" s="252"/>
      <c r="DO16" s="252"/>
      <c r="DP16" s="252"/>
      <c r="DQ16" s="252"/>
      <c r="DR16" s="252"/>
      <c r="DS16" s="252"/>
      <c r="DT16" s="252"/>
      <c r="DU16" s="252"/>
      <c r="DV16" s="252"/>
      <c r="DW16" s="252"/>
      <c r="DX16" s="1166"/>
      <c r="DY16" s="1166"/>
      <c r="DZ16" s="1196"/>
      <c r="EA16" s="252"/>
      <c r="EB16" s="252"/>
      <c r="EC16" s="252"/>
      <c r="ED16" s="252"/>
      <c r="EE16" s="252"/>
      <c r="EF16" s="252"/>
      <c r="EG16" s="252"/>
      <c r="EH16" s="252"/>
      <c r="EI16" s="252"/>
      <c r="EJ16" s="252"/>
      <c r="EK16" s="252"/>
      <c r="EL16" s="252"/>
      <c r="EM16" s="252"/>
      <c r="EN16" s="252"/>
      <c r="EO16" s="252"/>
      <c r="EP16" s="252"/>
      <c r="EQ16" s="252"/>
      <c r="ER16" s="252"/>
      <c r="ES16" s="252"/>
      <c r="ET16" s="252"/>
      <c r="EU16" s="252"/>
      <c r="EV16" s="252"/>
      <c r="EW16" s="252"/>
      <c r="EX16" s="252"/>
      <c r="EY16" s="252"/>
      <c r="EZ16" s="252"/>
      <c r="FA16" s="252"/>
      <c r="FB16" s="252"/>
      <c r="FC16" s="252"/>
      <c r="FD16" s="252"/>
      <c r="FE16" s="252"/>
      <c r="FF16" s="1218"/>
      <c r="FG16" s="1218"/>
      <c r="FH16" s="1218"/>
      <c r="FI16" s="1218"/>
      <c r="FJ16" s="1218"/>
      <c r="FK16" s="1218"/>
      <c r="FL16" s="1218"/>
      <c r="FM16" s="1218"/>
      <c r="FN16" s="1218"/>
      <c r="FO16" s="252"/>
      <c r="FP16" s="252"/>
      <c r="FQ16" s="252"/>
      <c r="FR16" s="252"/>
      <c r="FS16" s="252"/>
      <c r="FT16" s="252"/>
      <c r="FU16" s="252"/>
      <c r="FV16" s="252"/>
      <c r="FW16" s="252"/>
      <c r="FX16" s="252"/>
      <c r="FY16" s="252"/>
      <c r="FZ16" s="252"/>
      <c r="GA16" s="252"/>
      <c r="GB16" s="252"/>
      <c r="GC16" s="252"/>
      <c r="GD16" s="252"/>
      <c r="GE16" s="252"/>
      <c r="GF16" s="252"/>
      <c r="GG16" s="252"/>
      <c r="GH16" s="252"/>
      <c r="GI16" s="252"/>
      <c r="GJ16" s="252"/>
      <c r="GK16" s="252"/>
      <c r="GL16" s="252"/>
      <c r="GM16" s="252"/>
      <c r="GN16" s="252"/>
      <c r="GO16" s="252"/>
      <c r="GP16" s="252"/>
      <c r="GQ16" s="252"/>
      <c r="GR16" s="252"/>
      <c r="GS16" s="252"/>
      <c r="GT16" s="252"/>
      <c r="GU16" s="252"/>
      <c r="GV16" s="252"/>
      <c r="GW16" s="252"/>
      <c r="GX16" s="252"/>
      <c r="GY16" s="252"/>
      <c r="GZ16" s="252"/>
      <c r="HA16" s="252"/>
      <c r="HB16" s="252"/>
      <c r="HC16" s="252"/>
      <c r="HD16" s="252"/>
      <c r="HE16" s="252"/>
      <c r="HF16" s="252"/>
      <c r="HG16" s="252"/>
      <c r="HH16" s="252"/>
      <c r="HI16" s="252"/>
      <c r="HJ16" s="252"/>
      <c r="HK16" s="252"/>
      <c r="HL16" s="252"/>
      <c r="HM16" s="252"/>
      <c r="HN16" s="252"/>
      <c r="HO16" s="252"/>
      <c r="HP16" s="252"/>
      <c r="HQ16" s="252"/>
      <c r="HR16" s="252"/>
      <c r="HS16" s="252"/>
      <c r="HT16" s="252"/>
      <c r="HU16" s="252"/>
      <c r="HV16" s="252"/>
      <c r="HW16" s="252"/>
      <c r="HX16" s="252"/>
      <c r="HY16" s="252"/>
      <c r="HZ16" s="252"/>
      <c r="IA16" s="252"/>
      <c r="IB16" s="252"/>
      <c r="IC16" s="252"/>
      <c r="ID16" s="252"/>
      <c r="IE16" s="252"/>
      <c r="IF16" s="252"/>
      <c r="IG16" s="252"/>
      <c r="IH16" s="252"/>
      <c r="II16" s="252"/>
      <c r="IJ16" s="252"/>
      <c r="IK16" s="252"/>
      <c r="IL16" s="189">
        <f t="shared" si="0"/>
        <v>11457</v>
      </c>
      <c r="IM16" s="961">
        <f>100000-IL16</f>
        <v>88543</v>
      </c>
      <c r="IN16" s="194" t="str">
        <f t="shared" si="1"/>
        <v>Deli Doctor</v>
      </c>
      <c r="IP16" s="234">
        <f t="shared" si="3"/>
        <v>11457</v>
      </c>
      <c r="IQ16" s="316">
        <f>COUNT(B16:FZ16)</f>
        <v>5</v>
      </c>
      <c r="IT16" s="234">
        <v>51936.5</v>
      </c>
      <c r="IU16" s="234"/>
      <c r="IV16" s="979">
        <v>14</v>
      </c>
      <c r="IW16" s="981">
        <f t="shared" si="2"/>
        <v>1206</v>
      </c>
      <c r="IX16" s="977">
        <f t="shared" si="4"/>
        <v>11457</v>
      </c>
      <c r="IY16" s="978" t="str">
        <f t="shared" si="5"/>
        <v>Deli Doctor</v>
      </c>
    </row>
    <row r="17" spans="1:259" ht="9.75" customHeight="1">
      <c r="A17" s="195" t="s">
        <v>243</v>
      </c>
      <c r="B17" s="589">
        <f>'9.16.22'!E27</f>
        <v>1871.5</v>
      </c>
      <c r="C17" s="589"/>
      <c r="D17" s="589">
        <f>'9.18.22'!E12+'9.18.22'!E26</f>
        <v>6707</v>
      </c>
      <c r="E17" s="640"/>
      <c r="F17" s="640"/>
      <c r="G17" s="640"/>
      <c r="H17" s="640"/>
      <c r="I17" s="640">
        <f>'9.23.22'!E19+'9.23.22'!E29</f>
        <v>6792.5</v>
      </c>
      <c r="J17" s="640"/>
      <c r="K17" s="640"/>
      <c r="L17" s="252"/>
      <c r="M17" s="252">
        <f>'9.27.22'!E31</f>
        <v>2736</v>
      </c>
      <c r="N17" s="252">
        <f>'9.28.22'!E27</f>
        <v>3553</v>
      </c>
      <c r="O17" s="252">
        <f>'9.29.22'!E17+'9.29.22'!E27</f>
        <v>7666.5</v>
      </c>
      <c r="P17" s="252"/>
      <c r="Q17" s="252">
        <f>'10.01.22'!E30</f>
        <v>3125.5</v>
      </c>
      <c r="R17" s="252">
        <f>'10.02.22'!E21</f>
        <v>3999.5</v>
      </c>
      <c r="S17" s="738">
        <f>'10.03.22'!E17+'10.03.22'!E27</f>
        <v>8797</v>
      </c>
      <c r="T17" s="738"/>
      <c r="U17" s="738"/>
      <c r="V17" s="738"/>
      <c r="W17" s="738"/>
      <c r="X17" s="738"/>
      <c r="Y17" s="738"/>
      <c r="Z17" s="589">
        <f>'10.10.22'!E31</f>
        <v>3876</v>
      </c>
      <c r="AA17" s="589">
        <f>'10.11.22'!E28</f>
        <v>3239.5</v>
      </c>
      <c r="AB17" s="589"/>
      <c r="AC17" s="589">
        <f>'10.13.22'!E18</f>
        <v>5994.5</v>
      </c>
      <c r="AD17" s="589"/>
      <c r="AE17" s="589">
        <f>'10.15.22'!E10</f>
        <v>6773.5</v>
      </c>
      <c r="AF17" s="589">
        <f>'10.16.22'!E7+'10.16.22'!E17</f>
        <v>11580.5</v>
      </c>
      <c r="AG17" s="640"/>
      <c r="AH17" s="640">
        <f>'10.18.22'!E31</f>
        <v>3790.5</v>
      </c>
      <c r="AI17" s="640">
        <f>'10.19.22'!E21+'10.19.22'!E31</f>
        <v>7429</v>
      </c>
      <c r="AJ17" s="640"/>
      <c r="AK17" s="640"/>
      <c r="AL17" s="640"/>
      <c r="AM17" s="640">
        <f>'10.23.22'!E10 + '10.23.22'!E20</f>
        <v>11466.5</v>
      </c>
      <c r="AN17" s="702"/>
      <c r="AO17" s="702">
        <f>'10.25.22'!E21</f>
        <v>5937.5</v>
      </c>
      <c r="AP17" s="702"/>
      <c r="AQ17" s="702"/>
      <c r="AR17" s="702">
        <f>'10.28.22'!E11</f>
        <v>5491</v>
      </c>
      <c r="AS17" s="702"/>
      <c r="AT17" s="702">
        <f>'10.30.22'!E7</f>
        <v>6944.5</v>
      </c>
      <c r="AU17" s="738">
        <f>'10.31.22'!E18</f>
        <v>5738</v>
      </c>
      <c r="AV17" s="738"/>
      <c r="AW17" s="738"/>
      <c r="AX17" s="738"/>
      <c r="AY17" s="738"/>
      <c r="AZ17" s="738">
        <f>'11.05.22'!E9</f>
        <v>6593</v>
      </c>
      <c r="BA17" s="738">
        <f>'11.06.22'!E7</f>
        <v>5842.5</v>
      </c>
      <c r="BB17" s="589"/>
      <c r="BC17" s="589"/>
      <c r="BD17" s="589"/>
      <c r="BE17" s="589">
        <f>'11.10.22'!E18</f>
        <v>7115.5</v>
      </c>
      <c r="BF17" s="589"/>
      <c r="BG17" s="589">
        <f>'11.12.22'!E10+'11.12.22'!E20</f>
        <v>11599.5</v>
      </c>
      <c r="BH17" s="589">
        <f>'11.13.22'!E10</f>
        <v>5700</v>
      </c>
      <c r="BI17" s="640">
        <f>'11.14.22'!E9+'11.14.22'!E19</f>
        <v>11542.5</v>
      </c>
      <c r="BJ17" s="640"/>
      <c r="BK17" s="640"/>
      <c r="BL17" s="640"/>
      <c r="BM17" s="640"/>
      <c r="BN17" s="640"/>
      <c r="BO17" s="640">
        <f>'11.20.22'!E8</f>
        <v>8027.5</v>
      </c>
      <c r="BP17" s="702"/>
      <c r="BQ17" s="702">
        <f>'11.22.22'!E10</f>
        <v>6213</v>
      </c>
      <c r="BR17" s="1134"/>
      <c r="BS17" s="1134"/>
      <c r="BT17" s="1134"/>
      <c r="BU17" s="1134"/>
      <c r="BV17" s="702"/>
      <c r="BW17" s="738"/>
      <c r="BX17" s="738"/>
      <c r="BY17" s="738"/>
      <c r="BZ17" s="738"/>
      <c r="CA17" s="738"/>
      <c r="CB17" s="738"/>
      <c r="CC17" s="738">
        <f>'12.04.22'!E9</f>
        <v>9262.5</v>
      </c>
      <c r="CD17" s="252"/>
      <c r="CE17" s="252"/>
      <c r="CF17" s="252"/>
      <c r="CG17" s="252"/>
      <c r="CH17" s="589">
        <f>'12.13.22'!E12</f>
        <v>674.5</v>
      </c>
      <c r="CI17" s="640">
        <f>'1.08.23'!E18</f>
        <v>4997</v>
      </c>
      <c r="CJ17" s="640">
        <f>'1.09.23'!E17</f>
        <v>5158.5</v>
      </c>
      <c r="CK17" s="640"/>
      <c r="CL17" s="640"/>
      <c r="CM17" s="640"/>
      <c r="CN17" s="640"/>
      <c r="CO17" s="1166"/>
      <c r="CP17" s="1166"/>
      <c r="CQ17" s="702"/>
      <c r="CR17" s="702"/>
      <c r="CS17" s="702">
        <f>'1.18.23'!E9</f>
        <v>5443.5</v>
      </c>
      <c r="CT17" s="702"/>
      <c r="CU17" s="702">
        <f>'1.20.23'!E19</f>
        <v>4484</v>
      </c>
      <c r="CV17" s="702"/>
      <c r="CW17" s="702"/>
      <c r="CX17" s="738"/>
      <c r="CY17" s="738"/>
      <c r="CZ17" s="738">
        <f>'1.25.23'!E7</f>
        <v>6859</v>
      </c>
      <c r="DA17" s="738"/>
      <c r="DB17" s="738">
        <f>'1.27.23'!E29</f>
        <v>5044.5</v>
      </c>
      <c r="DC17" s="738">
        <f>'1.28.23'!E9</f>
        <v>6764</v>
      </c>
      <c r="DD17" s="738">
        <f>'1.29.23'!E9</f>
        <v>7020.5</v>
      </c>
      <c r="DE17" s="589"/>
      <c r="DF17" s="589"/>
      <c r="DG17" s="589"/>
      <c r="DH17" s="589">
        <f>'2.02.23'!E8</f>
        <v>6802</v>
      </c>
      <c r="DI17" s="589">
        <f>'2.03.23'!E9</f>
        <v>5415</v>
      </c>
      <c r="DJ17" s="589"/>
      <c r="DK17" s="589"/>
      <c r="DL17" s="252"/>
      <c r="DM17" s="252"/>
      <c r="DN17" s="252"/>
      <c r="DO17" s="252"/>
      <c r="DP17" s="252"/>
      <c r="DQ17" s="252"/>
      <c r="DR17" s="252"/>
      <c r="DS17" s="252"/>
      <c r="DT17" s="252"/>
      <c r="DU17" s="252"/>
      <c r="DV17" s="252"/>
      <c r="DW17" s="252"/>
      <c r="DX17" s="1166"/>
      <c r="DY17" s="1166"/>
      <c r="DZ17" s="738"/>
      <c r="EA17" s="738"/>
      <c r="EB17" s="738"/>
      <c r="EC17" s="738"/>
      <c r="ED17" s="738"/>
      <c r="EE17" s="738"/>
      <c r="EF17" s="738">
        <f>'2.26.23'!E9</f>
        <v>6175</v>
      </c>
      <c r="EG17" s="702"/>
      <c r="EH17" s="702"/>
      <c r="EI17" s="702">
        <f>'3.1.23'!E18</f>
        <v>8901.5</v>
      </c>
      <c r="EJ17" s="702">
        <f>'3.2.23'!E9</f>
        <v>7134.5</v>
      </c>
      <c r="EK17" s="702"/>
      <c r="EL17" s="702"/>
      <c r="EM17" s="702">
        <f>'3.5.23'!E19</f>
        <v>8778</v>
      </c>
      <c r="EN17" s="738">
        <f>'3.6.23'!E9</f>
        <v>6754.5</v>
      </c>
      <c r="EO17" s="738"/>
      <c r="EP17" s="738"/>
      <c r="EQ17" s="738"/>
      <c r="ER17" s="738"/>
      <c r="ES17" s="738">
        <f>'3.11.23'!E9</f>
        <v>8531</v>
      </c>
      <c r="ET17" s="738">
        <f>'3.12.23'!E8</f>
        <v>7885</v>
      </c>
      <c r="EU17" s="589"/>
      <c r="EV17" s="589">
        <f>'3.14.23'!E9</f>
        <v>7229.5</v>
      </c>
      <c r="EW17" s="589"/>
      <c r="EX17" s="589"/>
      <c r="EY17" s="589"/>
      <c r="EZ17" s="589"/>
      <c r="FA17" s="589">
        <f>'3.19.23'!E9</f>
        <v>9291</v>
      </c>
      <c r="FB17" s="640"/>
      <c r="FC17" s="640"/>
      <c r="FD17" s="640"/>
      <c r="FE17" s="640">
        <f>'3.23.23'!E17</f>
        <v>9813.5</v>
      </c>
      <c r="FF17" s="1218"/>
      <c r="FG17" s="1218"/>
      <c r="FH17" s="1218"/>
      <c r="FI17" s="1218"/>
      <c r="FJ17" s="1218"/>
      <c r="FK17" s="1218"/>
      <c r="FL17" s="1218"/>
      <c r="FM17" s="1218"/>
      <c r="FN17" s="1218"/>
      <c r="FO17" s="252"/>
      <c r="FP17" s="252"/>
      <c r="FQ17" s="252"/>
      <c r="FR17" s="252"/>
      <c r="FS17" s="252"/>
      <c r="FT17" s="252"/>
      <c r="FU17" s="252"/>
      <c r="FV17" s="252"/>
      <c r="FW17" s="738"/>
      <c r="FX17" s="738"/>
      <c r="FY17" s="738">
        <f>'4.12.23'!E18</f>
        <v>7457.5</v>
      </c>
      <c r="FZ17" s="738"/>
      <c r="GA17" s="738">
        <f>'4.14.23'!E18</f>
        <v>7115.5</v>
      </c>
      <c r="GB17" s="738"/>
      <c r="GC17" s="738">
        <f>'4.16.23'!E19</f>
        <v>8341</v>
      </c>
      <c r="GD17" s="702"/>
      <c r="GE17" s="702"/>
      <c r="GF17" s="702">
        <f>'4.19.23'!E9</f>
        <v>6317.5</v>
      </c>
      <c r="GG17" s="702"/>
      <c r="GH17" s="702"/>
      <c r="GI17" s="702">
        <f>'4.22.23'!E18</f>
        <v>8968</v>
      </c>
      <c r="GJ17" s="702">
        <f>'4.23.23'!E18</f>
        <v>8721</v>
      </c>
      <c r="GK17" s="640"/>
      <c r="GL17" s="640"/>
      <c r="GM17" s="640"/>
      <c r="GN17" s="640"/>
      <c r="GO17" s="640"/>
      <c r="GP17" s="640">
        <f>'4.29.23'!E18</f>
        <v>9329</v>
      </c>
      <c r="GQ17" s="640"/>
      <c r="GR17" s="589"/>
      <c r="GS17" s="589"/>
      <c r="GT17" s="589"/>
      <c r="GU17" s="589"/>
      <c r="GV17" s="589">
        <f>'5.05.23'!E17</f>
        <v>8445.5</v>
      </c>
      <c r="GW17" s="589"/>
      <c r="GX17" s="589">
        <f>'5.07.23'!E8</f>
        <v>7581</v>
      </c>
      <c r="GY17" s="738"/>
      <c r="GZ17" s="738"/>
      <c r="HA17" s="738">
        <f>'5.10.23'!E27</f>
        <v>6023</v>
      </c>
      <c r="HB17" s="738"/>
      <c r="HC17" s="738"/>
      <c r="HD17" s="738"/>
      <c r="HE17" s="738"/>
      <c r="HF17" s="252"/>
      <c r="HG17" s="252"/>
      <c r="HH17" s="252"/>
      <c r="HI17" s="252"/>
      <c r="HJ17" s="252"/>
      <c r="HK17" s="252"/>
      <c r="HL17" s="252"/>
      <c r="HM17" s="252"/>
      <c r="HN17" s="252"/>
      <c r="HO17" s="252"/>
      <c r="HP17" s="252"/>
      <c r="HQ17" s="252"/>
      <c r="HR17" s="252"/>
      <c r="HS17" s="252"/>
      <c r="HT17" s="589"/>
      <c r="HU17" s="589"/>
      <c r="HV17" s="589"/>
      <c r="HW17" s="589"/>
      <c r="HX17" s="589"/>
      <c r="HY17" s="589">
        <f>'6.03.23'!E17</f>
        <v>9015.5</v>
      </c>
      <c r="HZ17" s="589"/>
      <c r="IA17" s="252"/>
      <c r="IB17" s="252"/>
      <c r="IC17" s="252">
        <f>'6.7.23'!E7</f>
        <v>7913.5</v>
      </c>
      <c r="ID17" s="252"/>
      <c r="IE17" s="252"/>
      <c r="IF17" s="252"/>
      <c r="IG17" s="252"/>
      <c r="IH17" s="252"/>
      <c r="II17" s="252"/>
      <c r="IJ17" s="252"/>
      <c r="IK17" s="252"/>
      <c r="IL17" s="189">
        <f t="shared" si="0"/>
        <v>429789.5</v>
      </c>
      <c r="IM17" s="961">
        <f>100000-IL17+100000</f>
        <v>-229789.5</v>
      </c>
      <c r="IN17" s="194" t="str">
        <f t="shared" si="1"/>
        <v>Dina's Dumpling</v>
      </c>
      <c r="IP17" s="234">
        <f t="shared" si="3"/>
        <v>429789.5</v>
      </c>
      <c r="IQ17" s="316">
        <f>COUNT(B17:FZ17)+9+7</f>
        <v>68</v>
      </c>
      <c r="IT17" s="234">
        <v>70634</v>
      </c>
      <c r="IU17" s="234"/>
      <c r="IV17" s="979">
        <v>15</v>
      </c>
      <c r="IW17" s="981">
        <f t="shared" si="2"/>
        <v>45241</v>
      </c>
      <c r="IX17" s="977">
        <f t="shared" si="4"/>
        <v>429789.5</v>
      </c>
      <c r="IY17" s="978" t="str">
        <f t="shared" si="5"/>
        <v>Dina's Dumpling</v>
      </c>
    </row>
    <row r="18" spans="1:259" ht="10.15" customHeight="1">
      <c r="A18" s="195" t="s">
        <v>334</v>
      </c>
      <c r="B18" s="252"/>
      <c r="C18" s="252"/>
      <c r="D18" s="252"/>
      <c r="E18" s="640"/>
      <c r="F18" s="640"/>
      <c r="G18" s="640"/>
      <c r="H18" s="640">
        <f>'9.22.22'!E11</f>
        <v>1026</v>
      </c>
      <c r="I18" s="640"/>
      <c r="J18" s="640"/>
      <c r="K18" s="640"/>
      <c r="L18" s="702"/>
      <c r="M18" s="702"/>
      <c r="N18" s="702"/>
      <c r="O18" s="702">
        <f>'9.29.22'!E30</f>
        <v>2660</v>
      </c>
      <c r="P18" s="702"/>
      <c r="Q18" s="702"/>
      <c r="R18" s="702">
        <f>'10.02.22'!E17</f>
        <v>2546</v>
      </c>
      <c r="S18" s="738"/>
      <c r="T18" s="738">
        <f>'10.04.22'!E10</f>
        <v>1634</v>
      </c>
      <c r="U18" s="738"/>
      <c r="V18" s="738">
        <f>'10.06.22'!E8</f>
        <v>2422.5</v>
      </c>
      <c r="W18" s="738"/>
      <c r="X18" s="738"/>
      <c r="Y18" s="738"/>
      <c r="Z18" s="589"/>
      <c r="AA18" s="589">
        <f>'10.11.22'!E10</f>
        <v>1729</v>
      </c>
      <c r="AB18" s="589">
        <f>'10.12.22'!E21</f>
        <v>2717</v>
      </c>
      <c r="AC18" s="589">
        <f>'10.13.22'!E17</f>
        <v>3420</v>
      </c>
      <c r="AD18" s="589"/>
      <c r="AE18" s="589"/>
      <c r="AF18" s="589">
        <f>'10.16.22'!E18</f>
        <v>3135</v>
      </c>
      <c r="AG18" s="640"/>
      <c r="AH18" s="640">
        <f>'10.18.22'!E9+'10.18.22'!E19</f>
        <v>5120.5</v>
      </c>
      <c r="AI18" s="640"/>
      <c r="AJ18" s="640">
        <f>'10.20.22'!E20</f>
        <v>3125.5</v>
      </c>
      <c r="AK18" s="640"/>
      <c r="AL18" s="640">
        <f>'10.22.22'!E9</f>
        <v>1643.5</v>
      </c>
      <c r="AM18" s="640"/>
      <c r="AN18" s="702">
        <f>'10.24.22'!E8</f>
        <v>2308.5</v>
      </c>
      <c r="AO18" s="702"/>
      <c r="AP18" s="702">
        <f>'10.26.22'!E20</f>
        <v>3182.5</v>
      </c>
      <c r="AQ18" s="702"/>
      <c r="AR18" s="702"/>
      <c r="AS18" s="702"/>
      <c r="AT18" s="702"/>
      <c r="AU18" s="738">
        <f>'10.31.22'!E10</f>
        <v>1976</v>
      </c>
      <c r="AV18" s="738">
        <f>'11.01.22'!E29</f>
        <v>4199</v>
      </c>
      <c r="AW18" s="738"/>
      <c r="AX18" s="738"/>
      <c r="AY18" s="738"/>
      <c r="AZ18" s="738">
        <f>'11.05.22'!E20+'11.05.22'!E30</f>
        <v>6070.5</v>
      </c>
      <c r="BA18" s="738"/>
      <c r="BB18" s="589"/>
      <c r="BC18" s="589">
        <f>'11.08.22'!E21</f>
        <v>2394</v>
      </c>
      <c r="BD18" s="589">
        <f>'11.09.22'!E20</f>
        <v>3676.5</v>
      </c>
      <c r="BE18" s="589"/>
      <c r="BF18" s="589"/>
      <c r="BG18" s="589"/>
      <c r="BH18" s="589"/>
      <c r="BI18" s="640"/>
      <c r="BJ18" s="640"/>
      <c r="BK18" s="640">
        <f>'11.16.22'!E17</f>
        <v>4550.5</v>
      </c>
      <c r="BL18" s="640"/>
      <c r="BM18" s="640">
        <f>'11.18.22'!E18</f>
        <v>3486.5</v>
      </c>
      <c r="BN18" s="640"/>
      <c r="BO18" s="640">
        <f>'11.20.22'!E20</f>
        <v>4151.5</v>
      </c>
      <c r="BP18" s="252"/>
      <c r="BQ18" s="252"/>
      <c r="BR18" s="1131"/>
      <c r="BS18" s="1131"/>
      <c r="BT18" s="1131"/>
      <c r="BU18" s="1131"/>
      <c r="BV18" s="252"/>
      <c r="BW18" s="738"/>
      <c r="BX18" s="738"/>
      <c r="BY18" s="738"/>
      <c r="BZ18" s="738"/>
      <c r="CA18" s="738">
        <f>'12.02.22'!E28</f>
        <v>4721.5</v>
      </c>
      <c r="CB18" s="738">
        <f>'12.03.22'!E18</f>
        <v>6403</v>
      </c>
      <c r="CC18" s="738"/>
      <c r="CD18" s="589"/>
      <c r="CE18" s="589"/>
      <c r="CF18" s="589">
        <f>'12.07.22'!E28</f>
        <v>5149</v>
      </c>
      <c r="CG18" s="589"/>
      <c r="CH18" s="252"/>
      <c r="CI18" s="1139"/>
      <c r="CJ18" s="252"/>
      <c r="CK18" s="252"/>
      <c r="CL18" s="252"/>
      <c r="CM18" s="252"/>
      <c r="CN18" s="252"/>
      <c r="CO18" s="1166"/>
      <c r="CP18" s="1166"/>
      <c r="CQ18" s="252"/>
      <c r="CR18" s="252"/>
      <c r="CS18" s="252"/>
      <c r="CT18" s="252"/>
      <c r="CU18" s="252"/>
      <c r="CV18" s="252"/>
      <c r="CW18" s="252"/>
      <c r="CX18" s="738">
        <f>'1.23.23'!E28</f>
        <v>5880.5</v>
      </c>
      <c r="CY18" s="738"/>
      <c r="CZ18" s="738"/>
      <c r="DA18" s="738"/>
      <c r="DB18" s="738"/>
      <c r="DC18" s="738"/>
      <c r="DD18" s="738">
        <f>'1.29.23'!E28</f>
        <v>5282</v>
      </c>
      <c r="DE18" s="252"/>
      <c r="DF18" s="252"/>
      <c r="DG18" s="252"/>
      <c r="DH18" s="252"/>
      <c r="DI18" s="252"/>
      <c r="DJ18" s="252"/>
      <c r="DK18" s="252"/>
      <c r="DL18" s="640"/>
      <c r="DM18" s="640"/>
      <c r="DN18" s="640"/>
      <c r="DO18" s="640"/>
      <c r="DP18" s="640"/>
      <c r="DQ18" s="640">
        <f>'2.11.23'!E17</f>
        <v>3429.5</v>
      </c>
      <c r="DR18" s="640">
        <f>'2.12.23'!E27</f>
        <v>4626.5</v>
      </c>
      <c r="DS18" s="252"/>
      <c r="DT18" s="252"/>
      <c r="DU18" s="252"/>
      <c r="DV18" s="252"/>
      <c r="DW18" s="252"/>
      <c r="DX18" s="1166"/>
      <c r="DY18" s="1166"/>
      <c r="DZ18" s="1196"/>
      <c r="EA18" s="252"/>
      <c r="EB18" s="252"/>
      <c r="EC18" s="252"/>
      <c r="ED18" s="252"/>
      <c r="EE18" s="252"/>
      <c r="EF18" s="252"/>
      <c r="EG18" s="702"/>
      <c r="EH18" s="702"/>
      <c r="EI18" s="702"/>
      <c r="EJ18" s="702"/>
      <c r="EK18" s="702"/>
      <c r="EL18" s="702">
        <f>'3.4.23'!E28</f>
        <v>4531.5</v>
      </c>
      <c r="EM18" s="702"/>
      <c r="EN18" s="738"/>
      <c r="EO18" s="738"/>
      <c r="EP18" s="738"/>
      <c r="EQ18" s="738"/>
      <c r="ER18" s="738"/>
      <c r="ES18" s="738">
        <f>'3.11.23'!E28</f>
        <v>5244</v>
      </c>
      <c r="ET18" s="738"/>
      <c r="EU18" s="589"/>
      <c r="EV18" s="589"/>
      <c r="EW18" s="589"/>
      <c r="EX18" s="589">
        <f>'3.16.23'!E28</f>
        <v>5548</v>
      </c>
      <c r="EY18" s="589"/>
      <c r="EZ18" s="589"/>
      <c r="FA18" s="589"/>
      <c r="FB18" s="640"/>
      <c r="FC18" s="640"/>
      <c r="FD18" s="640">
        <f>'3.22.23'!E28</f>
        <v>5301</v>
      </c>
      <c r="FE18" s="640"/>
      <c r="FF18" s="1218"/>
      <c r="FG18" s="1218"/>
      <c r="FH18" s="1218"/>
      <c r="FI18" s="1218"/>
      <c r="FJ18" s="1218"/>
      <c r="FK18" s="1218"/>
      <c r="FL18" s="1218"/>
      <c r="FM18" s="1218"/>
      <c r="FN18" s="1218"/>
      <c r="FO18" s="702"/>
      <c r="FP18" s="702">
        <f>'4.3.23'!E28</f>
        <v>3477</v>
      </c>
      <c r="FQ18" s="702"/>
      <c r="FR18" s="702"/>
      <c r="FS18" s="702"/>
      <c r="FT18" s="702"/>
      <c r="FU18" s="702"/>
      <c r="FV18" s="702"/>
      <c r="FW18" s="738"/>
      <c r="FX18" s="738">
        <f>'4.11.23'!E28</f>
        <v>4712</v>
      </c>
      <c r="FY18" s="738"/>
      <c r="FZ18" s="738"/>
      <c r="GA18" s="738"/>
      <c r="GB18" s="738"/>
      <c r="GC18" s="738"/>
      <c r="GD18" s="702"/>
      <c r="GE18" s="702"/>
      <c r="GF18" s="702">
        <f>'4.19.23'!E28</f>
        <v>4484</v>
      </c>
      <c r="GG18" s="702"/>
      <c r="GH18" s="702"/>
      <c r="GI18" s="702"/>
      <c r="GJ18" s="702"/>
      <c r="GK18" s="640">
        <f>'4.24.23'!E28</f>
        <v>4541</v>
      </c>
      <c r="GL18" s="640"/>
      <c r="GM18" s="640"/>
      <c r="GN18" s="640"/>
      <c r="GO18" s="640"/>
      <c r="GP18" s="640"/>
      <c r="GQ18" s="640"/>
      <c r="GR18" s="589"/>
      <c r="GS18" s="589">
        <f>'5.02.23'!E28</f>
        <v>4550.5</v>
      </c>
      <c r="GT18" s="589"/>
      <c r="GU18" s="589"/>
      <c r="GV18" s="589"/>
      <c r="GW18" s="589"/>
      <c r="GX18" s="589"/>
      <c r="GY18" s="738">
        <f>'5.08.23'!E28</f>
        <v>4797.5</v>
      </c>
      <c r="GZ18" s="738"/>
      <c r="HA18" s="738"/>
      <c r="HB18" s="738"/>
      <c r="HC18" s="738"/>
      <c r="HD18" s="738"/>
      <c r="HE18" s="738"/>
      <c r="HF18" s="702"/>
      <c r="HG18" s="702"/>
      <c r="HH18" s="702">
        <f>'5.17.23'!E27</f>
        <v>4351</v>
      </c>
      <c r="HI18" s="702"/>
      <c r="HJ18" s="702"/>
      <c r="HK18" s="702"/>
      <c r="HL18" s="702"/>
      <c r="HM18" s="640"/>
      <c r="HN18" s="640">
        <f>'5.23.23'!E27</f>
        <v>4455.5</v>
      </c>
      <c r="HO18" s="640"/>
      <c r="HP18" s="640"/>
      <c r="HQ18" s="640"/>
      <c r="HR18" s="640"/>
      <c r="HS18" s="640"/>
      <c r="HT18" s="589"/>
      <c r="HU18" s="589"/>
      <c r="HV18" s="589">
        <f>'5.31.23'!E28</f>
        <v>4778.5</v>
      </c>
      <c r="HW18" s="589"/>
      <c r="HX18" s="589"/>
      <c r="HY18" s="589"/>
      <c r="HZ18" s="589"/>
      <c r="IA18" s="252"/>
      <c r="IB18" s="252">
        <f>'6.6.23'!E28</f>
        <v>4455.5</v>
      </c>
      <c r="IC18" s="252"/>
      <c r="ID18" s="252"/>
      <c r="IE18" s="252"/>
      <c r="IF18" s="252"/>
      <c r="IG18" s="252"/>
      <c r="IH18" s="252"/>
      <c r="II18" s="252"/>
      <c r="IJ18" s="252"/>
      <c r="IK18" s="252"/>
      <c r="IL18" s="189">
        <f t="shared" si="0"/>
        <v>167893.5</v>
      </c>
      <c r="IM18" s="189">
        <v>99000</v>
      </c>
      <c r="IN18" s="194" t="str">
        <f t="shared" si="1"/>
        <v>Dulce Europa</v>
      </c>
      <c r="IP18" s="234">
        <f t="shared" si="3"/>
        <v>167893.5</v>
      </c>
      <c r="IQ18" s="316">
        <f>COUNT(B18:FZ18)+2+3</f>
        <v>40</v>
      </c>
      <c r="IT18" s="234"/>
      <c r="IU18" s="234"/>
      <c r="IV18" s="979">
        <v>16</v>
      </c>
      <c r="IW18" s="981">
        <f t="shared" si="2"/>
        <v>17673</v>
      </c>
      <c r="IX18" s="977">
        <f t="shared" si="4"/>
        <v>167893.5</v>
      </c>
      <c r="IY18" s="978" t="str">
        <f t="shared" si="5"/>
        <v>Dulce Europa</v>
      </c>
    </row>
    <row r="19" spans="1:259" ht="10.15" customHeight="1">
      <c r="A19" s="195" t="s">
        <v>63</v>
      </c>
      <c r="B19" s="252"/>
      <c r="C19" s="252"/>
      <c r="D19" s="252"/>
      <c r="E19" s="252"/>
      <c r="F19" s="252"/>
      <c r="G19" s="252"/>
      <c r="H19" s="252"/>
      <c r="I19" s="252"/>
      <c r="J19" s="252"/>
      <c r="K19" s="252"/>
      <c r="L19" s="702">
        <f>'9.26.22'!E31+'9.26.22'!E21</f>
        <v>3277.5</v>
      </c>
      <c r="M19" s="702">
        <f>'9.27.22'!E7</f>
        <v>2080.5</v>
      </c>
      <c r="N19" s="702">
        <f>'9.28.22'!E17</f>
        <v>2812</v>
      </c>
      <c r="O19" s="702"/>
      <c r="P19" s="702">
        <f>'9.30.22'!E9</f>
        <v>2498.5</v>
      </c>
      <c r="Q19" s="702">
        <f>'10.01.22'!E8+'10.01.22'!E18</f>
        <v>5320</v>
      </c>
      <c r="R19" s="702"/>
      <c r="S19" s="738"/>
      <c r="T19" s="738"/>
      <c r="U19" s="738"/>
      <c r="V19" s="738"/>
      <c r="W19" s="738"/>
      <c r="X19" s="738"/>
      <c r="Y19" s="738">
        <f>'10.09.22'!E11</f>
        <v>2384.5</v>
      </c>
      <c r="Z19" s="589">
        <f>'10.10.22'!E29</f>
        <v>2365.5</v>
      </c>
      <c r="AA19" s="589"/>
      <c r="AB19" s="589"/>
      <c r="AC19" s="589"/>
      <c r="AD19" s="589">
        <f>'10.14.22'!E18</f>
        <v>3562.5</v>
      </c>
      <c r="AE19" s="589">
        <f>'10.15.22'!E20</f>
        <v>3420</v>
      </c>
      <c r="AF19" s="589"/>
      <c r="AG19" s="640">
        <f>'10.17.22'!E17+'10.17.22'!E27</f>
        <v>5149</v>
      </c>
      <c r="AH19" s="640"/>
      <c r="AI19" s="640">
        <f>'10.19.22'!E11</f>
        <v>2593.5</v>
      </c>
      <c r="AJ19" s="640"/>
      <c r="AK19" s="640"/>
      <c r="AL19" s="640">
        <f>'10.22.22'!E20 + '10.22.22'!E30</f>
        <v>4883</v>
      </c>
      <c r="AM19" s="640"/>
      <c r="AN19" s="702">
        <f>'10.24.22'!E30</f>
        <v>2109</v>
      </c>
      <c r="AO19" s="702"/>
      <c r="AP19" s="702">
        <f>'10.26.22'!E29</f>
        <v>2014</v>
      </c>
      <c r="AQ19" s="702"/>
      <c r="AR19" s="702"/>
      <c r="AS19" s="702">
        <f>'10.29.22'!E20+'10.29.22'!E30</f>
        <v>4503</v>
      </c>
      <c r="AT19" s="702">
        <f>'10.30.22'!E19+'10.30.22'!E29</f>
        <v>4978</v>
      </c>
      <c r="AU19" s="738"/>
      <c r="AV19" s="738">
        <f>'11.01.22'!E21</f>
        <v>3325</v>
      </c>
      <c r="AW19" s="738"/>
      <c r="AX19" s="738">
        <f>'11.03.22'!E30</f>
        <v>2460.5</v>
      </c>
      <c r="AY19" s="738"/>
      <c r="AZ19" s="738"/>
      <c r="BA19" s="738">
        <f>'11.06.22'!E30</f>
        <v>1681.5</v>
      </c>
      <c r="BB19" s="589"/>
      <c r="BC19" s="589">
        <f>'11.08.22'!E7</f>
        <v>3211</v>
      </c>
      <c r="BD19" s="589">
        <f>'11.09.22'!E10</f>
        <v>3306</v>
      </c>
      <c r="BE19" s="589"/>
      <c r="BF19" s="589">
        <f>'11.11.22'!E9+'11.11.22'!E19</f>
        <v>5757</v>
      </c>
      <c r="BG19" s="589"/>
      <c r="BH19" s="589">
        <f>'11.13.22'!E30</f>
        <v>2527</v>
      </c>
      <c r="BI19" s="640"/>
      <c r="BJ19" s="640">
        <f>'11.15.22'!E9</f>
        <v>3163.5</v>
      </c>
      <c r="BK19" s="640"/>
      <c r="BL19" s="640"/>
      <c r="BM19" s="640"/>
      <c r="BN19" s="640"/>
      <c r="BO19" s="640">
        <f>'11.20.22'!E18</f>
        <v>3524.5</v>
      </c>
      <c r="BP19" s="252"/>
      <c r="BQ19" s="252"/>
      <c r="BR19" s="1131"/>
      <c r="BS19" s="1131"/>
      <c r="BT19" s="1131"/>
      <c r="BU19" s="1131"/>
      <c r="BV19" s="252"/>
      <c r="BW19" s="252"/>
      <c r="BX19" s="252"/>
      <c r="BY19" s="252"/>
      <c r="BZ19" s="252"/>
      <c r="CA19" s="252"/>
      <c r="CB19" s="252"/>
      <c r="CC19" s="252"/>
      <c r="CD19" s="589"/>
      <c r="CE19" s="589"/>
      <c r="CF19" s="589"/>
      <c r="CG19" s="589">
        <f>'12.08.22'!E13+'12.08.22'!E26</f>
        <v>5206</v>
      </c>
      <c r="CH19" s="252"/>
      <c r="CI19" s="640"/>
      <c r="CJ19" s="640">
        <f>'1.09.23'!E27</f>
        <v>2099.5</v>
      </c>
      <c r="CK19" s="640"/>
      <c r="CL19" s="640"/>
      <c r="CM19" s="640"/>
      <c r="CN19" s="640"/>
      <c r="CO19" s="1166"/>
      <c r="CP19" s="1166"/>
      <c r="CQ19" s="702"/>
      <c r="CR19" s="702">
        <f>'1.17.23'!E17</f>
        <v>3467.5</v>
      </c>
      <c r="CS19" s="702"/>
      <c r="CT19" s="702"/>
      <c r="CU19" s="702"/>
      <c r="CV19" s="702"/>
      <c r="CW19" s="702"/>
      <c r="CX19" s="738"/>
      <c r="CY19" s="738"/>
      <c r="CZ19" s="738"/>
      <c r="DA19" s="738"/>
      <c r="DB19" s="738"/>
      <c r="DC19" s="738">
        <f>'1.28.23'!E19</f>
        <v>3990</v>
      </c>
      <c r="DD19" s="738"/>
      <c r="DE19" s="589"/>
      <c r="DF19" s="589"/>
      <c r="DG19" s="589"/>
      <c r="DH19" s="589"/>
      <c r="DI19" s="589"/>
      <c r="DJ19" s="589"/>
      <c r="DK19" s="589">
        <f>'2.05.23'!E18</f>
        <v>3781</v>
      </c>
      <c r="DL19" s="640"/>
      <c r="DM19" s="640">
        <f>'2.07.23'!E7</f>
        <v>3448.5</v>
      </c>
      <c r="DN19" s="640">
        <f>'2.08.23'!E18</f>
        <v>4227.5</v>
      </c>
      <c r="DO19" s="640"/>
      <c r="DP19" s="640"/>
      <c r="DQ19" s="640"/>
      <c r="DR19" s="640"/>
      <c r="DS19" s="252"/>
      <c r="DT19" s="252"/>
      <c r="DU19" s="252"/>
      <c r="DV19" s="252"/>
      <c r="DW19" s="252"/>
      <c r="DX19" s="1166"/>
      <c r="DY19" s="1166"/>
      <c r="DZ19" s="738"/>
      <c r="EA19" s="738">
        <f>'2.21.23'!E7</f>
        <v>3629</v>
      </c>
      <c r="EB19" s="738"/>
      <c r="EC19" s="738"/>
      <c r="ED19" s="738"/>
      <c r="EE19" s="738">
        <f>'2.25.23'!E27</f>
        <v>2926</v>
      </c>
      <c r="EF19" s="738"/>
      <c r="EG19" s="702"/>
      <c r="EH19" s="702"/>
      <c r="EI19" s="702">
        <f>'3.1.23'!E9</f>
        <v>3847.5</v>
      </c>
      <c r="EJ19" s="702"/>
      <c r="EK19" s="702">
        <f>'3.3.23'!E29</f>
        <v>2964</v>
      </c>
      <c r="EL19" s="702"/>
      <c r="EM19" s="702">
        <f>'3.5.23'!E29</f>
        <v>3420</v>
      </c>
      <c r="EN19" s="738"/>
      <c r="EO19" s="738"/>
      <c r="EP19" s="738"/>
      <c r="EQ19" s="738">
        <f>'3.9.23'!E8</f>
        <v>3724</v>
      </c>
      <c r="ER19" s="738"/>
      <c r="ES19" s="738"/>
      <c r="ET19" s="738">
        <f>'3.12.23'!E19+'3.12.23'!E29</f>
        <v>6260.5</v>
      </c>
      <c r="EU19" s="252"/>
      <c r="EV19" s="252"/>
      <c r="EW19" s="252"/>
      <c r="EX19" s="252"/>
      <c r="EY19" s="252"/>
      <c r="EZ19" s="252"/>
      <c r="FA19" s="252"/>
      <c r="FB19" s="640"/>
      <c r="FC19" s="640">
        <f>'3.21.23'!E18</f>
        <v>4379.5</v>
      </c>
      <c r="FD19" s="640"/>
      <c r="FE19" s="640"/>
      <c r="FF19" s="1218"/>
      <c r="FG19" s="1218"/>
      <c r="FH19" s="1218"/>
      <c r="FI19" s="1218"/>
      <c r="FJ19" s="1218"/>
      <c r="FK19" s="1218"/>
      <c r="FL19" s="1218"/>
      <c r="FM19" s="1218"/>
      <c r="FN19" s="1218"/>
      <c r="FO19" s="702">
        <f>'4.2.23'!E19+'4.2.23'!E29</f>
        <v>3800</v>
      </c>
      <c r="FP19" s="702"/>
      <c r="FQ19" s="702"/>
      <c r="FR19" s="702"/>
      <c r="FS19" s="702"/>
      <c r="FT19" s="702">
        <f>'4.7.23'!E7</f>
        <v>3391.5</v>
      </c>
      <c r="FU19" s="702"/>
      <c r="FV19" s="702"/>
      <c r="FW19" s="738"/>
      <c r="FX19" s="738"/>
      <c r="FY19" s="738">
        <f>'4.12.23'!E9</f>
        <v>3391.5</v>
      </c>
      <c r="FZ19" s="738"/>
      <c r="GA19" s="738">
        <f>'4.14.23'!E27</f>
        <v>2109</v>
      </c>
      <c r="GB19" s="738"/>
      <c r="GC19" s="738">
        <f>'4.16.23'!E8</f>
        <v>3838</v>
      </c>
      <c r="GD19" s="702">
        <f>'4.17.23'!E17+'4.17.23'!E27</f>
        <v>4607.5</v>
      </c>
      <c r="GE19" s="702"/>
      <c r="GF19" s="702"/>
      <c r="GG19" s="702"/>
      <c r="GH19" s="702"/>
      <c r="GI19" s="702"/>
      <c r="GJ19" s="702">
        <f>'4.23.23'!E27</f>
        <v>3524.5</v>
      </c>
      <c r="GK19" s="640"/>
      <c r="GL19" s="640"/>
      <c r="GM19" s="640">
        <f>'4.26.23'!E18</f>
        <v>4047</v>
      </c>
      <c r="GN19" s="640"/>
      <c r="GO19" s="640"/>
      <c r="GP19" s="640">
        <f>'4.29.23'!E27</f>
        <v>2869</v>
      </c>
      <c r="GQ19" s="640"/>
      <c r="GR19" s="589"/>
      <c r="GS19" s="589"/>
      <c r="GT19" s="589">
        <f>'5.03.23'!E8</f>
        <v>3629</v>
      </c>
      <c r="GU19" s="589"/>
      <c r="GV19" s="589"/>
      <c r="GW19" s="589"/>
      <c r="GX19" s="589"/>
      <c r="GY19" s="738"/>
      <c r="GZ19" s="738">
        <f>'5.09.23'!E17</f>
        <v>4009</v>
      </c>
      <c r="HA19" s="738"/>
      <c r="HB19" s="738"/>
      <c r="HC19" s="738"/>
      <c r="HD19" s="738">
        <f>'5.13.23'!E27</f>
        <v>2736</v>
      </c>
      <c r="HE19" s="738">
        <f>'5.14.23'!E18+'5.14.23'!E28</f>
        <v>6241.5</v>
      </c>
      <c r="HF19" s="702"/>
      <c r="HG19" s="702"/>
      <c r="HH19" s="702"/>
      <c r="HI19" s="702"/>
      <c r="HJ19" s="702"/>
      <c r="HK19" s="702"/>
      <c r="HL19" s="702">
        <f>'5.21.23'!E17</f>
        <v>4322.5</v>
      </c>
      <c r="HM19" s="252"/>
      <c r="HN19" s="252"/>
      <c r="HO19" s="252"/>
      <c r="HP19" s="252"/>
      <c r="HQ19" s="252"/>
      <c r="HR19" s="252"/>
      <c r="HS19" s="252"/>
      <c r="HT19" s="589"/>
      <c r="HU19" s="589">
        <f>'5.30.23'!E7</f>
        <v>3467.5</v>
      </c>
      <c r="HV19" s="589"/>
      <c r="HW19" s="589"/>
      <c r="HX19" s="589"/>
      <c r="HY19" s="589"/>
      <c r="HZ19" s="589"/>
      <c r="IA19" s="252"/>
      <c r="IB19" s="252"/>
      <c r="IC19" s="252"/>
      <c r="ID19" s="252"/>
      <c r="IE19" s="252"/>
      <c r="IF19" s="252"/>
      <c r="IG19" s="252"/>
      <c r="IH19" s="252"/>
      <c r="II19" s="252"/>
      <c r="IJ19" s="252"/>
      <c r="IK19" s="252"/>
      <c r="IL19" s="189">
        <f t="shared" si="0"/>
        <v>196260.5</v>
      </c>
      <c r="IM19" s="961">
        <f>449000-IL19+350000</f>
        <v>602739.5</v>
      </c>
      <c r="IN19" s="194" t="str">
        <f t="shared" si="1"/>
        <v>Flamin Hot Chicken</v>
      </c>
      <c r="IP19" s="234">
        <f t="shared" si="3"/>
        <v>196260.5</v>
      </c>
      <c r="IQ19" s="316">
        <f>COUNT(B19:FZ19)+10+8</f>
        <v>61</v>
      </c>
      <c r="IT19" s="234">
        <v>188115.5</v>
      </c>
      <c r="IU19" s="234"/>
      <c r="IV19" s="979">
        <v>17</v>
      </c>
      <c r="IW19" s="981">
        <f t="shared" si="2"/>
        <v>20659</v>
      </c>
      <c r="IX19" s="977">
        <f t="shared" si="4"/>
        <v>196260.5</v>
      </c>
      <c r="IY19" s="978" t="str">
        <f t="shared" si="5"/>
        <v>Flamin Hot Chicken</v>
      </c>
    </row>
    <row r="20" spans="1:259" ht="10.15" customHeight="1">
      <c r="A20" s="195" t="s">
        <v>78</v>
      </c>
      <c r="B20" s="589"/>
      <c r="C20" s="589">
        <f>'9.17.22'!E28</f>
        <v>608</v>
      </c>
      <c r="D20" s="589"/>
      <c r="E20" s="640"/>
      <c r="F20" s="640"/>
      <c r="G20" s="640"/>
      <c r="H20" s="640"/>
      <c r="I20" s="640">
        <f>'9.23.22'!E9</f>
        <v>1985.5</v>
      </c>
      <c r="J20" s="640">
        <f>'9.24.22'!E20</f>
        <v>2099.5</v>
      </c>
      <c r="K20" s="640"/>
      <c r="L20" s="702">
        <f>'9.26.22'!E18</f>
        <v>2213.5</v>
      </c>
      <c r="M20" s="702"/>
      <c r="N20" s="702"/>
      <c r="O20" s="702"/>
      <c r="P20" s="702">
        <f>'9.30.22'!E8</f>
        <v>2926</v>
      </c>
      <c r="Q20" s="702">
        <f>'10.01.22'!E20</f>
        <v>1206.5</v>
      </c>
      <c r="R20" s="702"/>
      <c r="S20" s="738"/>
      <c r="T20" s="738"/>
      <c r="U20" s="738">
        <f>'10.05.22'!E8+'10.05.22'!E18</f>
        <v>6688</v>
      </c>
      <c r="V20" s="738"/>
      <c r="W20" s="738">
        <f>'10.07.22'!E9+'10.07.22'!E20</f>
        <v>3733.5</v>
      </c>
      <c r="X20" s="738"/>
      <c r="Y20" s="738"/>
      <c r="Z20" s="589"/>
      <c r="AA20" s="589">
        <f>'10.11.22'!E9</f>
        <v>2916.5</v>
      </c>
      <c r="AB20" s="589"/>
      <c r="AC20" s="589"/>
      <c r="AD20" s="589">
        <f>'10.14.22'!E9</f>
        <v>2536.5</v>
      </c>
      <c r="AE20" s="589">
        <f>'10.15.22'!E9</f>
        <v>3097</v>
      </c>
      <c r="AF20" s="589"/>
      <c r="AG20" s="640">
        <f>'10.17.22'!E9</f>
        <v>1330</v>
      </c>
      <c r="AH20" s="640"/>
      <c r="AI20" s="640"/>
      <c r="AJ20" s="640"/>
      <c r="AK20" s="640"/>
      <c r="AL20" s="640"/>
      <c r="AM20" s="640"/>
      <c r="AN20" s="702"/>
      <c r="AO20" s="702"/>
      <c r="AP20" s="702">
        <f>'10.26.22'!E8</f>
        <v>3743</v>
      </c>
      <c r="AQ20" s="702">
        <f>'10.27.22'!E10+'10.27.22'!E20</f>
        <v>4398.5</v>
      </c>
      <c r="AR20" s="702"/>
      <c r="AS20" s="702"/>
      <c r="AT20" s="702"/>
      <c r="AU20" s="738"/>
      <c r="AV20" s="738"/>
      <c r="AW20" s="738"/>
      <c r="AX20" s="738"/>
      <c r="AY20" s="738">
        <f>'11.04.22'!E7</f>
        <v>3800</v>
      </c>
      <c r="AZ20" s="738"/>
      <c r="BA20" s="738"/>
      <c r="BB20" s="589"/>
      <c r="BC20" s="589"/>
      <c r="BD20" s="589"/>
      <c r="BE20" s="589">
        <f>'11.10.22'!E9</f>
        <v>3429.5</v>
      </c>
      <c r="BF20" s="589"/>
      <c r="BG20" s="589"/>
      <c r="BH20" s="589"/>
      <c r="BI20" s="640"/>
      <c r="BJ20" s="640"/>
      <c r="BK20" s="640"/>
      <c r="BL20" s="640"/>
      <c r="BM20" s="640">
        <f>'11.18.22'!E17</f>
        <v>3771.5</v>
      </c>
      <c r="BN20" s="640">
        <f>'11.19.22'!E9</f>
        <v>3391.5</v>
      </c>
      <c r="BO20" s="640"/>
      <c r="BP20" s="702">
        <f>'11.21.22'!E7</f>
        <v>4094.5</v>
      </c>
      <c r="BQ20" s="702"/>
      <c r="BR20" s="1134"/>
      <c r="BS20" s="1134"/>
      <c r="BT20" s="1134"/>
      <c r="BU20" s="1134"/>
      <c r="BV20" s="702"/>
      <c r="BW20" s="738">
        <f>'11.28.22'!E18</f>
        <v>4284.5</v>
      </c>
      <c r="BX20" s="738"/>
      <c r="BY20" s="738">
        <f>'11.30.22'!E10</f>
        <v>4142</v>
      </c>
      <c r="BZ20" s="738"/>
      <c r="CA20" s="738"/>
      <c r="CB20" s="738"/>
      <c r="CC20" s="738"/>
      <c r="CD20" s="589">
        <f>'12.05.22'!E9</f>
        <v>4607.5</v>
      </c>
      <c r="CE20" s="589"/>
      <c r="CF20" s="589"/>
      <c r="CG20" s="589"/>
      <c r="CH20" s="252"/>
      <c r="CI20" s="640"/>
      <c r="CJ20" s="640"/>
      <c r="CK20" s="640">
        <f>'1.10.23'!E17</f>
        <v>2527</v>
      </c>
      <c r="CL20" s="640"/>
      <c r="CM20" s="640"/>
      <c r="CN20" s="640"/>
      <c r="CO20" s="1166"/>
      <c r="CP20" s="1166"/>
      <c r="CQ20" s="702"/>
      <c r="CR20" s="702"/>
      <c r="CS20" s="702">
        <f>'1.18.23'!E7</f>
        <v>4560</v>
      </c>
      <c r="CT20" s="702"/>
      <c r="CU20" s="702">
        <f>'1.20.23'!E8</f>
        <v>4246.5</v>
      </c>
      <c r="CV20" s="702"/>
      <c r="CW20" s="702"/>
      <c r="CX20" s="738"/>
      <c r="CY20" s="738">
        <f>'1.24.23'!E17</f>
        <v>3733.5</v>
      </c>
      <c r="CZ20" s="738"/>
      <c r="DA20" s="738"/>
      <c r="DB20" s="738"/>
      <c r="DC20" s="738"/>
      <c r="DD20" s="738"/>
      <c r="DE20" s="589"/>
      <c r="DF20" s="589"/>
      <c r="DG20" s="589">
        <f>'2.01.23'!E17</f>
        <v>4275</v>
      </c>
      <c r="DH20" s="589"/>
      <c r="DI20" s="589"/>
      <c r="DJ20" s="589"/>
      <c r="DK20" s="589"/>
      <c r="DL20" s="252"/>
      <c r="DM20" s="252"/>
      <c r="DN20" s="252"/>
      <c r="DO20" s="252"/>
      <c r="DP20" s="252"/>
      <c r="DQ20" s="252"/>
      <c r="DR20" s="252"/>
      <c r="DS20" s="702">
        <f>'2.13.23'!E8</f>
        <v>4427</v>
      </c>
      <c r="DT20" s="702"/>
      <c r="DU20" s="702"/>
      <c r="DV20" s="702"/>
      <c r="DW20" s="702"/>
      <c r="DX20" s="1166"/>
      <c r="DY20" s="1166"/>
      <c r="DZ20" s="738"/>
      <c r="EA20" s="738"/>
      <c r="EB20" s="738"/>
      <c r="EC20" s="738">
        <f>'2.23.23'!E7</f>
        <v>4626.5</v>
      </c>
      <c r="ED20" s="738"/>
      <c r="EE20" s="738"/>
      <c r="EF20" s="738"/>
      <c r="EG20" s="252"/>
      <c r="EH20" s="252"/>
      <c r="EI20" s="252"/>
      <c r="EJ20" s="252"/>
      <c r="EK20" s="252"/>
      <c r="EL20" s="252"/>
      <c r="EM20" s="252"/>
      <c r="EN20" s="252"/>
      <c r="EO20" s="252"/>
      <c r="EP20" s="252"/>
      <c r="EQ20" s="252"/>
      <c r="ER20" s="252"/>
      <c r="ES20" s="252"/>
      <c r="ET20" s="252"/>
      <c r="EU20" s="589"/>
      <c r="EV20" s="589">
        <f>'3.14.23'!E8</f>
        <v>3562.5</v>
      </c>
      <c r="EW20" s="589"/>
      <c r="EX20" s="589"/>
      <c r="EY20" s="589"/>
      <c r="EZ20" s="589"/>
      <c r="FA20" s="589"/>
      <c r="FB20" s="640"/>
      <c r="FC20" s="640">
        <f>'3.21.23'!E8</f>
        <v>5329.5</v>
      </c>
      <c r="FD20" s="640"/>
      <c r="FE20" s="640"/>
      <c r="FF20" s="1218"/>
      <c r="FG20" s="1218"/>
      <c r="FH20" s="1218"/>
      <c r="FI20" s="1218"/>
      <c r="FJ20" s="1218"/>
      <c r="FK20" s="1218"/>
      <c r="FL20" s="1218"/>
      <c r="FM20" s="1218"/>
      <c r="FN20" s="1218"/>
      <c r="FO20" s="702"/>
      <c r="FP20" s="702"/>
      <c r="FQ20" s="702"/>
      <c r="FR20" s="702">
        <f>'4.5.23'!E7</f>
        <v>3828.5</v>
      </c>
      <c r="FS20" s="702"/>
      <c r="FT20" s="702"/>
      <c r="FU20" s="702">
        <f>'4.8.23'!E19</f>
        <v>2622</v>
      </c>
      <c r="FV20" s="702"/>
      <c r="FW20" s="738"/>
      <c r="FX20" s="738">
        <f>'4.11.23'!E7</f>
        <v>3904.5</v>
      </c>
      <c r="FY20" s="738"/>
      <c r="FZ20" s="738"/>
      <c r="GA20" s="738"/>
      <c r="GB20" s="738"/>
      <c r="GC20" s="738"/>
      <c r="GD20" s="702"/>
      <c r="GE20" s="702"/>
      <c r="GF20" s="702"/>
      <c r="GG20" s="702"/>
      <c r="GH20" s="702">
        <f>'4.21.23'!E8</f>
        <v>3971</v>
      </c>
      <c r="GI20" s="702"/>
      <c r="GJ20" s="702"/>
      <c r="GK20" s="640">
        <f>'4.24.23'!E7</f>
        <v>4759.5</v>
      </c>
      <c r="GL20" s="640"/>
      <c r="GM20" s="640"/>
      <c r="GN20" s="640"/>
      <c r="GO20" s="640"/>
      <c r="GP20" s="640"/>
      <c r="GQ20" s="640"/>
      <c r="GR20" s="589"/>
      <c r="GS20" s="589">
        <f>'5.02.23'!E17</f>
        <v>5016</v>
      </c>
      <c r="GT20" s="589"/>
      <c r="GU20" s="589"/>
      <c r="GV20" s="589"/>
      <c r="GW20" s="589"/>
      <c r="GX20" s="589"/>
      <c r="GY20" s="252"/>
      <c r="GZ20" s="252"/>
      <c r="HA20" s="252"/>
      <c r="HB20" s="252"/>
      <c r="HC20" s="252"/>
      <c r="HD20" s="252"/>
      <c r="HE20" s="252"/>
      <c r="HF20" s="702"/>
      <c r="HG20" s="702"/>
      <c r="HH20" s="702"/>
      <c r="HI20" s="702"/>
      <c r="HJ20" s="702">
        <f>'5.19.23'!E8</f>
        <v>4617</v>
      </c>
      <c r="HK20" s="702"/>
      <c r="HL20" s="702"/>
      <c r="HM20" s="252"/>
      <c r="HN20" s="252"/>
      <c r="HO20" s="252"/>
      <c r="HP20" s="252"/>
      <c r="HQ20" s="252"/>
      <c r="HR20" s="252"/>
      <c r="HS20" s="252"/>
      <c r="HT20" s="589"/>
      <c r="HU20" s="589"/>
      <c r="HV20" s="589"/>
      <c r="HW20" s="589">
        <f>'6.01.23'!E7</f>
        <v>4769</v>
      </c>
      <c r="HX20" s="589"/>
      <c r="HY20" s="589"/>
      <c r="HZ20" s="589"/>
      <c r="IA20" s="252"/>
      <c r="IB20" s="252"/>
      <c r="IC20" s="252"/>
      <c r="ID20" s="252"/>
      <c r="IE20" s="252"/>
      <c r="IF20" s="252">
        <f>'6.10.23'!E8</f>
        <v>5481.5</v>
      </c>
      <c r="IG20" s="252"/>
      <c r="IH20" s="252"/>
      <c r="II20" s="252"/>
      <c r="IJ20" s="252"/>
      <c r="IK20" s="252"/>
      <c r="IL20" s="189">
        <f t="shared" si="0"/>
        <v>147259.5</v>
      </c>
      <c r="IM20" s="961">
        <f>100000-IL20</f>
        <v>-47259.5</v>
      </c>
      <c r="IN20" s="194" t="str">
        <f t="shared" si="1"/>
        <v>Flaming Grain</v>
      </c>
      <c r="IP20" s="234">
        <f t="shared" si="3"/>
        <v>147259.5</v>
      </c>
      <c r="IQ20" s="316">
        <f>COUNT(B20:FZ20)+3+4</f>
        <v>41</v>
      </c>
      <c r="IT20" s="234">
        <v>55223</v>
      </c>
      <c r="IU20" s="234"/>
      <c r="IV20" s="979">
        <v>18</v>
      </c>
      <c r="IW20" s="981">
        <f t="shared" si="2"/>
        <v>15501</v>
      </c>
      <c r="IX20" s="977">
        <f t="shared" si="4"/>
        <v>147259.5</v>
      </c>
      <c r="IY20" s="978" t="str">
        <f t="shared" si="5"/>
        <v>Flaming Grain</v>
      </c>
    </row>
    <row r="21" spans="1:259" ht="10.15" customHeight="1">
      <c r="A21" s="195" t="s">
        <v>696</v>
      </c>
      <c r="B21" s="589"/>
      <c r="C21" s="589"/>
      <c r="D21" s="589"/>
      <c r="E21" s="640"/>
      <c r="F21" s="640"/>
      <c r="G21" s="640"/>
      <c r="H21" s="640"/>
      <c r="I21" s="640"/>
      <c r="J21" s="640"/>
      <c r="K21" s="640"/>
      <c r="L21" s="702"/>
      <c r="M21" s="702"/>
      <c r="N21" s="702"/>
      <c r="O21" s="702"/>
      <c r="P21" s="702"/>
      <c r="Q21" s="702">
        <f>'10.01.22'!E21</f>
        <v>1168.5</v>
      </c>
      <c r="R21" s="702"/>
      <c r="S21" s="738"/>
      <c r="T21" s="738"/>
      <c r="U21" s="738"/>
      <c r="V21" s="738"/>
      <c r="W21" s="738"/>
      <c r="X21" s="738"/>
      <c r="Y21" s="738">
        <f>'10.09.22'!E20</f>
        <v>2166</v>
      </c>
      <c r="Z21" s="589">
        <f>'10.10.22'!E21</f>
        <v>1862</v>
      </c>
      <c r="AA21" s="589"/>
      <c r="AB21" s="589"/>
      <c r="AC21" s="589"/>
      <c r="AD21" s="589"/>
      <c r="AE21" s="589"/>
      <c r="AF21" s="589"/>
      <c r="AG21" s="640">
        <f>'10.17.22'!E21</f>
        <v>1662.5</v>
      </c>
      <c r="AH21" s="640">
        <f>'10.18.22'!E17</f>
        <v>3239.5</v>
      </c>
      <c r="AI21" s="640"/>
      <c r="AJ21" s="640"/>
      <c r="AK21" s="640"/>
      <c r="AL21" s="640">
        <f>'10.22.22'!E8</f>
        <v>2109</v>
      </c>
      <c r="AM21" s="640">
        <f>'10.23.22'!E17</f>
        <v>2688.5</v>
      </c>
      <c r="AN21" s="702">
        <f>'10.24.22'!E11</f>
        <v>2118.5</v>
      </c>
      <c r="AO21" s="702"/>
      <c r="AP21" s="702"/>
      <c r="AQ21" s="702"/>
      <c r="AR21" s="702"/>
      <c r="AS21" s="702"/>
      <c r="AT21" s="702"/>
      <c r="AU21" s="738"/>
      <c r="AV21" s="738"/>
      <c r="AW21" s="738"/>
      <c r="AX21" s="738"/>
      <c r="AY21" s="738">
        <f>'11.04.22'!E9</f>
        <v>2669.5</v>
      </c>
      <c r="AZ21" s="738">
        <f>'11.05.22'!E17</f>
        <v>2536.5</v>
      </c>
      <c r="BA21" s="738">
        <f>'11.06.22'!E8</f>
        <v>3040</v>
      </c>
      <c r="BB21" s="589">
        <f>'11.07.22'!E18</f>
        <v>2669.5</v>
      </c>
      <c r="BC21" s="589"/>
      <c r="BD21" s="589"/>
      <c r="BE21" s="589"/>
      <c r="BF21" s="589"/>
      <c r="BG21" s="589">
        <f>'11.12.22'!E17</f>
        <v>1881</v>
      </c>
      <c r="BH21" s="589"/>
      <c r="BI21" s="640">
        <f>'11.14.22'!E10</f>
        <v>3078</v>
      </c>
      <c r="BJ21" s="640"/>
      <c r="BK21" s="640">
        <f>'11.16.22'!E10</f>
        <v>3059</v>
      </c>
      <c r="BL21" s="640"/>
      <c r="BM21" s="640"/>
      <c r="BN21" s="640"/>
      <c r="BO21" s="640"/>
      <c r="BP21" s="702"/>
      <c r="BQ21" s="702">
        <f>'11.22.22'!E9</f>
        <v>2261</v>
      </c>
      <c r="BR21" s="1134"/>
      <c r="BS21" s="1134"/>
      <c r="BT21" s="1134"/>
      <c r="BU21" s="1134"/>
      <c r="BV21" s="702"/>
      <c r="BW21" s="252"/>
      <c r="BX21" s="252"/>
      <c r="BY21" s="252"/>
      <c r="BZ21" s="252"/>
      <c r="CA21" s="252"/>
      <c r="CB21" s="252"/>
      <c r="CC21" s="252"/>
      <c r="CD21" s="589"/>
      <c r="CE21" s="589"/>
      <c r="CF21" s="589">
        <f>'12.07.22'!E10</f>
        <v>3477</v>
      </c>
      <c r="CG21" s="589"/>
      <c r="CH21" s="252"/>
      <c r="CI21" s="640"/>
      <c r="CJ21" s="640"/>
      <c r="CK21" s="640"/>
      <c r="CL21" s="640">
        <f>'1.11.23'!E29</f>
        <v>1890.5</v>
      </c>
      <c r="CM21" s="640"/>
      <c r="CN21" s="640">
        <f>'1.13.23'!E9</f>
        <v>2451</v>
      </c>
      <c r="CO21" s="1166"/>
      <c r="CP21" s="1166"/>
      <c r="CQ21" s="702"/>
      <c r="CR21" s="702">
        <f>'1.17.23'!E18</f>
        <v>2812</v>
      </c>
      <c r="CS21" s="702"/>
      <c r="CT21" s="702"/>
      <c r="CU21" s="702"/>
      <c r="CV21" s="702">
        <f>'1.21.23'!E29</f>
        <v>2033</v>
      </c>
      <c r="CW21" s="702"/>
      <c r="CX21" s="252"/>
      <c r="CY21" s="252"/>
      <c r="CZ21" s="252"/>
      <c r="DA21" s="252"/>
      <c r="DB21" s="252"/>
      <c r="DC21" s="252"/>
      <c r="DD21" s="252"/>
      <c r="DE21" s="252"/>
      <c r="DF21" s="252"/>
      <c r="DG21" s="252"/>
      <c r="DH21" s="252"/>
      <c r="DI21" s="252"/>
      <c r="DJ21" s="252"/>
      <c r="DK21" s="252"/>
      <c r="DL21" s="640"/>
      <c r="DM21" s="640"/>
      <c r="DN21" s="640"/>
      <c r="DO21" s="640"/>
      <c r="DP21" s="640"/>
      <c r="DQ21" s="640">
        <f>'2.11.23'!E18</f>
        <v>3467.5</v>
      </c>
      <c r="DR21" s="640"/>
      <c r="DS21" s="702"/>
      <c r="DT21" s="702"/>
      <c r="DU21" s="702"/>
      <c r="DV21" s="702"/>
      <c r="DW21" s="702">
        <f>'2.17.23'!E19</f>
        <v>1976</v>
      </c>
      <c r="DX21" s="1166"/>
      <c r="DY21" s="1166"/>
      <c r="DZ21" s="738"/>
      <c r="EA21" s="738">
        <f>'2.21.23'!E17</f>
        <v>3154</v>
      </c>
      <c r="EB21" s="738"/>
      <c r="EC21" s="738"/>
      <c r="ED21" s="738"/>
      <c r="EE21" s="738"/>
      <c r="EF21" s="738">
        <f>'2.26.23'!E18</f>
        <v>3999.5</v>
      </c>
      <c r="EG21" s="252"/>
      <c r="EH21" s="252"/>
      <c r="EI21" s="252"/>
      <c r="EJ21" s="252"/>
      <c r="EK21" s="252"/>
      <c r="EL21" s="252"/>
      <c r="EM21" s="252"/>
      <c r="EN21" s="738">
        <f>'3.6.23'!E18</f>
        <v>3220.5</v>
      </c>
      <c r="EO21" s="738"/>
      <c r="EP21" s="738"/>
      <c r="EQ21" s="738"/>
      <c r="ER21" s="738"/>
      <c r="ES21" s="738"/>
      <c r="ET21" s="738"/>
      <c r="EU21" s="252"/>
      <c r="EV21" s="252"/>
      <c r="EW21" s="252"/>
      <c r="EX21" s="252"/>
      <c r="EY21" s="252"/>
      <c r="EZ21" s="252"/>
      <c r="FA21" s="252"/>
      <c r="FB21" s="640"/>
      <c r="FC21" s="640"/>
      <c r="FD21" s="640"/>
      <c r="FE21" s="640">
        <f>'3.23.23'!E8</f>
        <v>3135</v>
      </c>
      <c r="FF21" s="1218"/>
      <c r="FG21" s="1218"/>
      <c r="FH21" s="1218"/>
      <c r="FI21" s="1218"/>
      <c r="FJ21" s="1218"/>
      <c r="FK21" s="1218"/>
      <c r="FL21" s="1218"/>
      <c r="FM21" s="1218"/>
      <c r="FN21" s="1218"/>
      <c r="FO21" s="702"/>
      <c r="FP21" s="702">
        <f>'4.3.23'!E9</f>
        <v>1776.5</v>
      </c>
      <c r="FQ21" s="702"/>
      <c r="FR21" s="702"/>
      <c r="FS21" s="702"/>
      <c r="FT21" s="702">
        <f>'4.7.23'!E8</f>
        <v>2831</v>
      </c>
      <c r="FU21" s="702"/>
      <c r="FV21" s="702"/>
      <c r="FW21" s="252"/>
      <c r="FX21" s="252"/>
      <c r="FY21" s="252"/>
      <c r="FZ21" s="252"/>
      <c r="GA21" s="252"/>
      <c r="GB21" s="252"/>
      <c r="GC21" s="252"/>
      <c r="GD21" s="702"/>
      <c r="GE21" s="702"/>
      <c r="GF21" s="702"/>
      <c r="GG21" s="702"/>
      <c r="GH21" s="702">
        <f>'4.21.23'!E18</f>
        <v>3372.5</v>
      </c>
      <c r="GI21" s="702"/>
      <c r="GJ21" s="702">
        <f>'4.23.23'!E7</f>
        <v>4047</v>
      </c>
      <c r="GK21" s="252"/>
      <c r="GL21" s="252"/>
      <c r="GM21" s="252"/>
      <c r="GN21" s="252"/>
      <c r="GO21" s="252"/>
      <c r="GP21" s="252"/>
      <c r="GQ21" s="252"/>
      <c r="GR21" s="252"/>
      <c r="GS21" s="252"/>
      <c r="GT21" s="252"/>
      <c r="GU21" s="252"/>
      <c r="GV21" s="252"/>
      <c r="GW21" s="252"/>
      <c r="GX21" s="252"/>
      <c r="GY21" s="738"/>
      <c r="GZ21" s="738"/>
      <c r="HA21" s="738"/>
      <c r="HB21" s="738"/>
      <c r="HC21" s="738"/>
      <c r="HD21" s="738">
        <f>'5.13.23'!E18</f>
        <v>2897.5</v>
      </c>
      <c r="HE21" s="738"/>
      <c r="HF21" s="702">
        <f>'5.15.23'!E7</f>
        <v>3344</v>
      </c>
      <c r="HG21" s="702"/>
      <c r="HH21" s="702"/>
      <c r="HI21" s="702"/>
      <c r="HJ21" s="702"/>
      <c r="HK21" s="702"/>
      <c r="HL21" s="702"/>
      <c r="HM21" s="252"/>
      <c r="HN21" s="252"/>
      <c r="HO21" s="252"/>
      <c r="HP21" s="252"/>
      <c r="HQ21" s="252"/>
      <c r="HR21" s="252"/>
      <c r="HS21" s="252"/>
      <c r="HT21" s="589"/>
      <c r="HU21" s="589"/>
      <c r="HV21" s="589"/>
      <c r="HW21" s="589"/>
      <c r="HX21" s="589">
        <f>'6.02.23'!E18</f>
        <v>3277.5</v>
      </c>
      <c r="HY21" s="589"/>
      <c r="HZ21" s="589"/>
      <c r="IA21" s="252"/>
      <c r="IB21" s="252"/>
      <c r="IC21" s="252"/>
      <c r="ID21" s="252"/>
      <c r="IE21" s="252"/>
      <c r="IF21" s="252">
        <f>'6.10.23'!E7</f>
        <v>3372.5</v>
      </c>
      <c r="IG21" s="252"/>
      <c r="IH21" s="252"/>
      <c r="II21" s="252"/>
      <c r="IJ21" s="252"/>
      <c r="IK21" s="252"/>
      <c r="IL21" s="189">
        <f t="shared" si="0"/>
        <v>94743.5</v>
      </c>
      <c r="IM21" s="961">
        <f>100000-IL21</f>
        <v>5256.5</v>
      </c>
      <c r="IN21" s="194" t="str">
        <f t="shared" si="1"/>
        <v>Go Fusion</v>
      </c>
      <c r="IP21" s="234">
        <f t="shared" si="3"/>
        <v>94743.5</v>
      </c>
      <c r="IQ21" s="316">
        <f>COUNT(B21:FZ21)+3</f>
        <v>32</v>
      </c>
      <c r="IT21" s="234"/>
      <c r="IU21" s="234"/>
      <c r="IV21" s="979">
        <v>19</v>
      </c>
      <c r="IW21" s="981">
        <f t="shared" si="2"/>
        <v>9973</v>
      </c>
      <c r="IX21" s="977">
        <f t="shared" si="4"/>
        <v>94743.5</v>
      </c>
      <c r="IY21" s="978" t="str">
        <f t="shared" si="5"/>
        <v>Go Fusion</v>
      </c>
    </row>
    <row r="22" spans="1:259" ht="9" customHeight="1">
      <c r="A22" s="195" t="s">
        <v>129</v>
      </c>
      <c r="B22" s="252"/>
      <c r="C22" s="252"/>
      <c r="D22" s="252"/>
      <c r="E22" s="252"/>
      <c r="F22" s="252"/>
      <c r="G22" s="252"/>
      <c r="H22" s="252"/>
      <c r="I22" s="252"/>
      <c r="J22" s="252"/>
      <c r="K22" s="252"/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  <c r="AA22" s="252"/>
      <c r="AB22" s="252"/>
      <c r="AC22" s="252"/>
      <c r="AD22" s="252"/>
      <c r="AE22" s="252"/>
      <c r="AF22" s="252"/>
      <c r="AG22" s="252"/>
      <c r="AH22" s="252"/>
      <c r="AI22" s="252"/>
      <c r="AJ22" s="252"/>
      <c r="AK22" s="252"/>
      <c r="AL22" s="252"/>
      <c r="AM22" s="252"/>
      <c r="AN22" s="252"/>
      <c r="AO22" s="252"/>
      <c r="AP22" s="252"/>
      <c r="AQ22" s="252"/>
      <c r="AR22" s="252"/>
      <c r="AS22" s="252"/>
      <c r="AT22" s="252"/>
      <c r="AU22" s="252"/>
      <c r="AV22" s="252"/>
      <c r="AW22" s="252"/>
      <c r="AX22" s="252"/>
      <c r="AY22" s="252"/>
      <c r="AZ22" s="252"/>
      <c r="BA22" s="252"/>
      <c r="BB22" s="252"/>
      <c r="BC22" s="252"/>
      <c r="BD22" s="252"/>
      <c r="BE22" s="252"/>
      <c r="BF22" s="252"/>
      <c r="BG22" s="252"/>
      <c r="BH22" s="252"/>
      <c r="BI22" s="252"/>
      <c r="BJ22" s="252"/>
      <c r="BK22" s="252"/>
      <c r="BL22" s="252"/>
      <c r="BM22" s="252"/>
      <c r="BN22" s="252"/>
      <c r="BO22" s="252"/>
      <c r="BP22" s="252"/>
      <c r="BQ22" s="252"/>
      <c r="BR22" s="1131"/>
      <c r="BS22" s="1131"/>
      <c r="BT22" s="1131"/>
      <c r="BU22" s="1131"/>
      <c r="BV22" s="252"/>
      <c r="BW22" s="252"/>
      <c r="BX22" s="252"/>
      <c r="BY22" s="252"/>
      <c r="BZ22" s="252"/>
      <c r="CA22" s="252"/>
      <c r="CB22" s="252"/>
      <c r="CC22" s="252"/>
      <c r="CD22" s="252"/>
      <c r="CE22" s="252"/>
      <c r="CF22" s="252"/>
      <c r="CG22" s="252"/>
      <c r="CH22" s="252"/>
      <c r="CI22" s="1139"/>
      <c r="CJ22" s="252"/>
      <c r="CK22" s="252"/>
      <c r="CL22" s="252"/>
      <c r="CM22" s="252"/>
      <c r="CN22" s="252"/>
      <c r="CO22" s="1166"/>
      <c r="CP22" s="1166"/>
      <c r="CQ22" s="252"/>
      <c r="CR22" s="252"/>
      <c r="CS22" s="252"/>
      <c r="CT22" s="252"/>
      <c r="CU22" s="252"/>
      <c r="CV22" s="252"/>
      <c r="CW22" s="252"/>
      <c r="CX22" s="252"/>
      <c r="CY22" s="252"/>
      <c r="CZ22" s="252"/>
      <c r="DA22" s="252"/>
      <c r="DB22" s="252"/>
      <c r="DC22" s="252"/>
      <c r="DD22" s="252"/>
      <c r="DE22" s="252"/>
      <c r="DF22" s="252"/>
      <c r="DG22" s="252"/>
      <c r="DH22" s="252"/>
      <c r="DI22" s="252"/>
      <c r="DJ22" s="252"/>
      <c r="DK22" s="252"/>
      <c r="DL22" s="252"/>
      <c r="DM22" s="252"/>
      <c r="DN22" s="252"/>
      <c r="DO22" s="252"/>
      <c r="DP22" s="252"/>
      <c r="DQ22" s="252"/>
      <c r="DR22" s="252"/>
      <c r="DS22" s="252"/>
      <c r="DT22" s="252"/>
      <c r="DU22" s="252"/>
      <c r="DV22" s="252"/>
      <c r="DW22" s="252"/>
      <c r="DX22" s="1166"/>
      <c r="DY22" s="1166"/>
      <c r="DZ22" s="1196"/>
      <c r="EA22" s="252"/>
      <c r="EB22" s="252"/>
      <c r="EC22" s="252"/>
      <c r="ED22" s="252"/>
      <c r="EE22" s="252"/>
      <c r="EF22" s="252"/>
      <c r="EG22" s="252"/>
      <c r="EH22" s="252"/>
      <c r="EI22" s="252"/>
      <c r="EJ22" s="252"/>
      <c r="EK22" s="252"/>
      <c r="EL22" s="252"/>
      <c r="EM22" s="252"/>
      <c r="EN22" s="252"/>
      <c r="EO22" s="252"/>
      <c r="EP22" s="252"/>
      <c r="EQ22" s="252"/>
      <c r="ER22" s="252"/>
      <c r="ES22" s="252"/>
      <c r="ET22" s="252"/>
      <c r="EU22" s="252"/>
      <c r="EV22" s="252"/>
      <c r="EW22" s="252"/>
      <c r="EX22" s="252"/>
      <c r="EY22" s="252"/>
      <c r="EZ22" s="252"/>
      <c r="FA22" s="252"/>
      <c r="FB22" s="252"/>
      <c r="FC22" s="252"/>
      <c r="FD22" s="252"/>
      <c r="FE22" s="252"/>
      <c r="FF22" s="1218"/>
      <c r="FG22" s="1218"/>
      <c r="FH22" s="1218"/>
      <c r="FI22" s="1218"/>
      <c r="FJ22" s="1218"/>
      <c r="FK22" s="1218"/>
      <c r="FL22" s="1218"/>
      <c r="FM22" s="1218"/>
      <c r="FN22" s="1218"/>
      <c r="FO22" s="252"/>
      <c r="FP22" s="252"/>
      <c r="FQ22" s="252"/>
      <c r="FR22" s="252"/>
      <c r="FS22" s="252"/>
      <c r="FT22" s="252"/>
      <c r="FU22" s="252"/>
      <c r="FV22" s="252"/>
      <c r="FW22" s="252"/>
      <c r="FX22" s="252"/>
      <c r="FY22" s="252"/>
      <c r="FZ22" s="252"/>
      <c r="GA22" s="252"/>
      <c r="GB22" s="252"/>
      <c r="GC22" s="252"/>
      <c r="GD22" s="252"/>
      <c r="GE22" s="252"/>
      <c r="GF22" s="252"/>
      <c r="GG22" s="252"/>
      <c r="GH22" s="252"/>
      <c r="GI22" s="252"/>
      <c r="GJ22" s="252"/>
      <c r="GK22" s="252"/>
      <c r="GL22" s="252"/>
      <c r="GM22" s="252"/>
      <c r="GN22" s="252"/>
      <c r="GO22" s="252"/>
      <c r="GP22" s="252"/>
      <c r="GQ22" s="252"/>
      <c r="GR22" s="252"/>
      <c r="GS22" s="252"/>
      <c r="GT22" s="252"/>
      <c r="GU22" s="252"/>
      <c r="GV22" s="252"/>
      <c r="GW22" s="252"/>
      <c r="GX22" s="252"/>
      <c r="GY22" s="252"/>
      <c r="GZ22" s="252"/>
      <c r="HA22" s="252"/>
      <c r="HB22" s="252"/>
      <c r="HC22" s="252"/>
      <c r="HD22" s="252"/>
      <c r="HE22" s="252"/>
      <c r="HF22" s="252"/>
      <c r="HG22" s="252"/>
      <c r="HH22" s="252"/>
      <c r="HI22" s="252"/>
      <c r="HJ22" s="252"/>
      <c r="HK22" s="252"/>
      <c r="HL22" s="252"/>
      <c r="HM22" s="252"/>
      <c r="HN22" s="252"/>
      <c r="HO22" s="252"/>
      <c r="HP22" s="252"/>
      <c r="HQ22" s="252"/>
      <c r="HR22" s="252"/>
      <c r="HS22" s="252"/>
      <c r="HT22" s="252"/>
      <c r="HU22" s="252"/>
      <c r="HV22" s="252"/>
      <c r="HW22" s="252"/>
      <c r="HX22" s="252"/>
      <c r="HY22" s="252"/>
      <c r="HZ22" s="252"/>
      <c r="IA22" s="252"/>
      <c r="IB22" s="252"/>
      <c r="IC22" s="252"/>
      <c r="ID22" s="252"/>
      <c r="IE22" s="252"/>
      <c r="IF22" s="252"/>
      <c r="IG22" s="252"/>
      <c r="IH22" s="252"/>
      <c r="II22" s="252"/>
      <c r="IJ22" s="252"/>
      <c r="IK22" s="252"/>
      <c r="IL22" s="189">
        <f t="shared" si="0"/>
        <v>0</v>
      </c>
      <c r="IM22" s="961">
        <f>100000-IL22</f>
        <v>100000</v>
      </c>
      <c r="IN22" s="194" t="str">
        <f t="shared" si="1"/>
        <v>Good East and Vibes</v>
      </c>
      <c r="IP22" s="234">
        <f t="shared" si="3"/>
        <v>0</v>
      </c>
      <c r="IQ22" s="316">
        <f>COUNT(B22:FZ22)</f>
        <v>0</v>
      </c>
      <c r="IT22" s="234">
        <v>11600</v>
      </c>
      <c r="IU22" s="234"/>
      <c r="IV22" s="979">
        <v>20</v>
      </c>
      <c r="IW22" s="981">
        <f t="shared" si="2"/>
        <v>0</v>
      </c>
      <c r="IX22" s="977">
        <f t="shared" si="4"/>
        <v>0</v>
      </c>
      <c r="IY22" s="978" t="str">
        <f t="shared" si="5"/>
        <v>Good East and Vibes</v>
      </c>
    </row>
    <row r="23" spans="1:259" ht="10.15" customHeight="1">
      <c r="A23" s="195" t="s">
        <v>238</v>
      </c>
      <c r="B23" s="589">
        <f>'9.16.22'!E29</f>
        <v>294.5</v>
      </c>
      <c r="C23" s="589"/>
      <c r="D23" s="589"/>
      <c r="E23" s="640">
        <f>'9.19.22'!E18</f>
        <v>2574.5</v>
      </c>
      <c r="F23" s="640"/>
      <c r="G23" s="640"/>
      <c r="H23" s="640">
        <f>'9.22.22'!E29</f>
        <v>1235</v>
      </c>
      <c r="I23" s="640"/>
      <c r="J23" s="640"/>
      <c r="K23" s="640"/>
      <c r="L23" s="702"/>
      <c r="M23" s="702"/>
      <c r="N23" s="702"/>
      <c r="O23" s="702"/>
      <c r="P23" s="702">
        <f>'9.30.22'!E19+'9.30.22'!E29</f>
        <v>3106.5</v>
      </c>
      <c r="Q23" s="702"/>
      <c r="R23" s="702"/>
      <c r="S23" s="738"/>
      <c r="T23" s="738"/>
      <c r="U23" s="738">
        <f>'10.05.22'!E21</f>
        <v>3021</v>
      </c>
      <c r="V23" s="738"/>
      <c r="W23" s="738">
        <f>'10.07.22'!E18+'10.07.22'!E28</f>
        <v>4322.5</v>
      </c>
      <c r="X23" s="738"/>
      <c r="Y23" s="738"/>
      <c r="Z23" s="252"/>
      <c r="AA23" s="252"/>
      <c r="AB23" s="252"/>
      <c r="AC23" s="252"/>
      <c r="AD23" s="252"/>
      <c r="AE23" s="252"/>
      <c r="AF23" s="252"/>
      <c r="AG23" s="640"/>
      <c r="AH23" s="640">
        <f>'10.18.22'!E18</f>
        <v>3410.5</v>
      </c>
      <c r="AI23" s="640"/>
      <c r="AJ23" s="640">
        <f>'10.20.22'!E10</f>
        <v>2555.5</v>
      </c>
      <c r="AK23" s="640">
        <f>'10.21.22'!E19</f>
        <v>2460.5</v>
      </c>
      <c r="AL23" s="640"/>
      <c r="AM23" s="640"/>
      <c r="AN23" s="702"/>
      <c r="AO23" s="702"/>
      <c r="AP23" s="702">
        <f>'10.26.22'!E21</f>
        <v>2204</v>
      </c>
      <c r="AQ23" s="702"/>
      <c r="AR23" s="702">
        <f>'10.28.22'!E18</f>
        <v>2318</v>
      </c>
      <c r="AS23" s="702"/>
      <c r="AT23" s="702"/>
      <c r="AU23" s="738">
        <f>'10.31.22'!E17</f>
        <v>2850</v>
      </c>
      <c r="AV23" s="738"/>
      <c r="AW23" s="738">
        <f>'11.02.22'!E8</f>
        <v>2850</v>
      </c>
      <c r="AX23" s="738"/>
      <c r="AY23" s="738">
        <f>'11.04.22'!E20</f>
        <v>2394</v>
      </c>
      <c r="AZ23" s="738"/>
      <c r="BA23" s="738"/>
      <c r="BB23" s="589"/>
      <c r="BC23" s="589">
        <f>'11.08.22'!E17</f>
        <v>2707.5</v>
      </c>
      <c r="BD23" s="589"/>
      <c r="BE23" s="589"/>
      <c r="BF23" s="589">
        <f>'11.11.22'!E20</f>
        <v>2033</v>
      </c>
      <c r="BG23" s="589"/>
      <c r="BH23" s="589"/>
      <c r="BI23" s="640">
        <f>'11.14.22'!E20+'11.14.22'!E30</f>
        <v>4265.5</v>
      </c>
      <c r="BJ23" s="640"/>
      <c r="BK23" s="640"/>
      <c r="BL23" s="640"/>
      <c r="BM23" s="640"/>
      <c r="BN23" s="640"/>
      <c r="BO23" s="640"/>
      <c r="BP23" s="702">
        <f>'11.21.22'!E19</f>
        <v>3154</v>
      </c>
      <c r="BQ23" s="702"/>
      <c r="BR23" s="1134"/>
      <c r="BS23" s="1134"/>
      <c r="BT23" s="1134"/>
      <c r="BU23" s="1134"/>
      <c r="BV23" s="702"/>
      <c r="BW23" s="738">
        <f>'11.28.22'!E17</f>
        <v>3068.5</v>
      </c>
      <c r="BX23" s="738"/>
      <c r="BY23" s="738"/>
      <c r="BZ23" s="738"/>
      <c r="CA23" s="738">
        <f>'12.02.22'!E17</f>
        <v>3040</v>
      </c>
      <c r="CB23" s="738"/>
      <c r="CC23" s="738"/>
      <c r="CD23" s="589"/>
      <c r="CE23" s="589">
        <f>'12.06.22'!E17</f>
        <v>3524.5</v>
      </c>
      <c r="CF23" s="589"/>
      <c r="CG23" s="589"/>
      <c r="CH23" s="252"/>
      <c r="CI23" s="640"/>
      <c r="CJ23" s="640"/>
      <c r="CK23" s="640">
        <f>'1.10.23'!E8</f>
        <v>2527</v>
      </c>
      <c r="CL23" s="640"/>
      <c r="CM23" s="640"/>
      <c r="CN23" s="640"/>
      <c r="CO23" s="1166"/>
      <c r="CP23" s="1166"/>
      <c r="CQ23" s="252"/>
      <c r="CR23" s="252"/>
      <c r="CS23" s="252"/>
      <c r="CT23" s="252"/>
      <c r="CU23" s="252"/>
      <c r="CV23" s="252"/>
      <c r="CW23" s="252"/>
      <c r="CX23" s="738"/>
      <c r="CY23" s="738"/>
      <c r="CZ23" s="738"/>
      <c r="DA23" s="738"/>
      <c r="DB23" s="738"/>
      <c r="DC23" s="738"/>
      <c r="DD23" s="738">
        <f>'1.29.23'!E19</f>
        <v>3116</v>
      </c>
      <c r="DE23" s="252"/>
      <c r="DF23" s="252"/>
      <c r="DG23" s="252"/>
      <c r="DH23" s="252"/>
      <c r="DI23" s="252"/>
      <c r="DJ23" s="252"/>
      <c r="DK23" s="252"/>
      <c r="DL23" s="640"/>
      <c r="DM23" s="640">
        <f>'2.07.23'!E17</f>
        <v>3306</v>
      </c>
      <c r="DN23" s="640">
        <f>'2.08.23'!E7</f>
        <v>2935.5</v>
      </c>
      <c r="DO23" s="640"/>
      <c r="DP23" s="640"/>
      <c r="DQ23" s="640"/>
      <c r="DR23" s="640"/>
      <c r="DS23" s="702"/>
      <c r="DT23" s="702"/>
      <c r="DU23" s="702"/>
      <c r="DV23" s="702">
        <f>'2.16.23'!E27</f>
        <v>2441.5</v>
      </c>
      <c r="DW23" s="702">
        <f>'2.17.23'!E29</f>
        <v>1282.5</v>
      </c>
      <c r="DX23" s="1166"/>
      <c r="DY23" s="1166"/>
      <c r="DZ23" s="738"/>
      <c r="EA23" s="738"/>
      <c r="EB23" s="738"/>
      <c r="EC23" s="738">
        <f>'2.23.23'!E29</f>
        <v>1928.5</v>
      </c>
      <c r="ED23" s="738">
        <f>'2.24.23'!E19</f>
        <v>1824</v>
      </c>
      <c r="EE23" s="738"/>
      <c r="EF23" s="738"/>
      <c r="EG23" s="702"/>
      <c r="EH23" s="702">
        <f>'2.28.23'!E8:E8</f>
        <v>3135</v>
      </c>
      <c r="EI23" s="702"/>
      <c r="EJ23" s="702">
        <f>'3.2.23'!E27</f>
        <v>2375</v>
      </c>
      <c r="EK23" s="702">
        <f>'3.3.23'!E18</f>
        <v>3344</v>
      </c>
      <c r="EL23" s="702"/>
      <c r="EM23" s="702"/>
      <c r="EN23" s="252"/>
      <c r="EO23" s="252"/>
      <c r="EP23" s="252"/>
      <c r="EQ23" s="252"/>
      <c r="ER23" s="252"/>
      <c r="ES23" s="252"/>
      <c r="ET23" s="252"/>
      <c r="EU23" s="589"/>
      <c r="EV23" s="589">
        <f>'3.14.23'!E18</f>
        <v>3011.5</v>
      </c>
      <c r="EW23" s="589"/>
      <c r="EX23" s="589"/>
      <c r="EY23" s="589">
        <f>'3.17.23'!E9</f>
        <v>2698</v>
      </c>
      <c r="EZ23" s="589"/>
      <c r="FA23" s="589">
        <f>'3.19.23'!E8</f>
        <v>3429.5</v>
      </c>
      <c r="FB23" s="640"/>
      <c r="FC23" s="640"/>
      <c r="FD23" s="640"/>
      <c r="FE23" s="640">
        <f>'3.23.23'!E27</f>
        <v>2242</v>
      </c>
      <c r="FF23" s="1218"/>
      <c r="FG23" s="1218"/>
      <c r="FH23" s="1218"/>
      <c r="FI23" s="1218"/>
      <c r="FJ23" s="1218"/>
      <c r="FK23" s="1218"/>
      <c r="FL23" s="1218"/>
      <c r="FM23" s="1218"/>
      <c r="FN23" s="1218"/>
      <c r="FO23" s="702"/>
      <c r="FP23" s="702"/>
      <c r="FQ23" s="702">
        <f>'4.4.23'!E8+'4.4.23'!E17</f>
        <v>5481.5</v>
      </c>
      <c r="FR23" s="702"/>
      <c r="FS23" s="702"/>
      <c r="FT23" s="702"/>
      <c r="FU23" s="702"/>
      <c r="FV23" s="702">
        <f>'4.9.23'!E7</f>
        <v>3116</v>
      </c>
      <c r="FW23" s="738"/>
      <c r="FX23" s="738"/>
      <c r="FY23" s="738"/>
      <c r="FZ23" s="738">
        <f>'4.13.23'!E29</f>
        <v>1862</v>
      </c>
      <c r="GA23" s="738"/>
      <c r="GB23" s="738"/>
      <c r="GC23" s="738">
        <f>'4.16.23'!E29</f>
        <v>2536.5</v>
      </c>
      <c r="GD23" s="702"/>
      <c r="GE23" s="702"/>
      <c r="GF23" s="702"/>
      <c r="GG23" s="702">
        <f>'4.20.23'!E17</f>
        <v>2859.5</v>
      </c>
      <c r="GH23" s="702"/>
      <c r="GI23" s="702"/>
      <c r="GJ23" s="702"/>
      <c r="GK23" s="640"/>
      <c r="GL23" s="640"/>
      <c r="GM23" s="640"/>
      <c r="GN23" s="640"/>
      <c r="GO23" s="640">
        <f>'4.28.23'!E18</f>
        <v>2080.5</v>
      </c>
      <c r="GP23" s="640"/>
      <c r="GQ23" s="640"/>
      <c r="GR23" s="589"/>
      <c r="GS23" s="589"/>
      <c r="GT23" s="589"/>
      <c r="GU23" s="589"/>
      <c r="GV23" s="589">
        <f>'5.05.23'!E7</f>
        <v>3182.5</v>
      </c>
      <c r="GW23" s="589"/>
      <c r="GX23" s="589"/>
      <c r="GY23" s="738"/>
      <c r="GZ23" s="738">
        <f>'5.09.23'!E27</f>
        <v>2812</v>
      </c>
      <c r="HA23" s="738"/>
      <c r="HB23" s="738"/>
      <c r="HC23" s="738"/>
      <c r="HD23" s="738"/>
      <c r="HE23" s="738"/>
      <c r="HF23" s="252"/>
      <c r="HG23" s="252"/>
      <c r="HH23" s="252"/>
      <c r="HI23" s="252"/>
      <c r="HJ23" s="252"/>
      <c r="HK23" s="252"/>
      <c r="HL23" s="252"/>
      <c r="HM23" s="640">
        <f>'5.22.23'!E27</f>
        <v>2441.5</v>
      </c>
      <c r="HN23" s="640"/>
      <c r="HO23" s="640"/>
      <c r="HP23" s="640"/>
      <c r="HQ23" s="640"/>
      <c r="HR23" s="640"/>
      <c r="HS23" s="640"/>
      <c r="HT23" s="589"/>
      <c r="HU23" s="589"/>
      <c r="HV23" s="589"/>
      <c r="HW23" s="589"/>
      <c r="HX23" s="589">
        <f>'6.02.23'!E27</f>
        <v>1634</v>
      </c>
      <c r="HY23" s="589"/>
      <c r="HZ23" s="589"/>
      <c r="IA23" s="252"/>
      <c r="IB23" s="252"/>
      <c r="IC23" s="252">
        <f>'6.7.23'!E8</f>
        <v>3087.5</v>
      </c>
      <c r="ID23" s="252"/>
      <c r="IE23" s="252"/>
      <c r="IF23" s="252"/>
      <c r="IG23" s="252"/>
      <c r="IH23" s="252"/>
      <c r="II23" s="252"/>
      <c r="IJ23" s="252"/>
      <c r="IK23" s="252"/>
      <c r="IL23" s="189">
        <f t="shared" si="0"/>
        <v>128079</v>
      </c>
      <c r="IM23" s="961">
        <f>100000-IL23</f>
        <v>-28079</v>
      </c>
      <c r="IN23" s="194" t="str">
        <f t="shared" si="1"/>
        <v>Habibi Shack</v>
      </c>
      <c r="IP23" s="234">
        <f t="shared" si="3"/>
        <v>128079</v>
      </c>
      <c r="IQ23" s="316">
        <f>COUNT(B23:FZ23)+4+5</f>
        <v>48</v>
      </c>
      <c r="IT23" s="234">
        <v>38069</v>
      </c>
      <c r="IU23" s="234"/>
      <c r="IV23" s="979">
        <v>21</v>
      </c>
      <c r="IW23" s="981">
        <f t="shared" si="2"/>
        <v>13482</v>
      </c>
      <c r="IX23" s="977">
        <f t="shared" si="4"/>
        <v>128079</v>
      </c>
      <c r="IY23" s="978" t="str">
        <f t="shared" si="5"/>
        <v>Habibi Shack</v>
      </c>
    </row>
    <row r="24" spans="1:259" ht="10.15" customHeight="1">
      <c r="A24" s="195" t="s">
        <v>790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  <c r="BK24" s="252"/>
      <c r="BL24" s="252"/>
      <c r="BM24" s="252"/>
      <c r="BN24" s="252"/>
      <c r="BO24" s="252"/>
      <c r="BP24" s="252"/>
      <c r="BQ24" s="252"/>
      <c r="BR24" s="1131"/>
      <c r="BS24" s="1131"/>
      <c r="BT24" s="1131"/>
      <c r="BU24" s="1131"/>
      <c r="BV24" s="252"/>
      <c r="BW24" s="252"/>
      <c r="BX24" s="252"/>
      <c r="BY24" s="252"/>
      <c r="BZ24" s="252"/>
      <c r="CA24" s="252"/>
      <c r="CB24" s="252"/>
      <c r="CC24" s="252"/>
      <c r="CD24" s="252"/>
      <c r="CE24" s="252"/>
      <c r="CF24" s="252"/>
      <c r="CG24" s="252"/>
      <c r="CH24" s="252"/>
      <c r="CI24" s="1139"/>
      <c r="CJ24" s="252"/>
      <c r="CK24" s="252"/>
      <c r="CL24" s="252"/>
      <c r="CM24" s="252"/>
      <c r="CN24" s="252"/>
      <c r="CO24" s="1166"/>
      <c r="CP24" s="1166"/>
      <c r="CQ24" s="252"/>
      <c r="CR24" s="252"/>
      <c r="CS24" s="252"/>
      <c r="CT24" s="252"/>
      <c r="CU24" s="252"/>
      <c r="CV24" s="252"/>
      <c r="CW24" s="252"/>
      <c r="CX24" s="252"/>
      <c r="CY24" s="252"/>
      <c r="CZ24" s="252"/>
      <c r="DA24" s="252"/>
      <c r="DB24" s="252"/>
      <c r="DC24" s="252"/>
      <c r="DD24" s="252"/>
      <c r="DE24" s="252"/>
      <c r="DF24" s="252"/>
      <c r="DG24" s="252"/>
      <c r="DH24" s="252"/>
      <c r="DI24" s="252"/>
      <c r="DJ24" s="252"/>
      <c r="DK24" s="252"/>
      <c r="DL24" s="252"/>
      <c r="DM24" s="252"/>
      <c r="DN24" s="252"/>
      <c r="DO24" s="252"/>
      <c r="DP24" s="252"/>
      <c r="DQ24" s="252"/>
      <c r="DR24" s="252"/>
      <c r="DS24" s="252"/>
      <c r="DT24" s="252"/>
      <c r="DU24" s="252"/>
      <c r="DV24" s="252"/>
      <c r="DW24" s="252"/>
      <c r="DX24" s="1166"/>
      <c r="DY24" s="1166"/>
      <c r="DZ24" s="1196"/>
      <c r="EA24" s="252"/>
      <c r="EB24" s="252"/>
      <c r="EC24" s="252"/>
      <c r="ED24" s="252"/>
      <c r="EE24" s="252"/>
      <c r="EF24" s="252"/>
      <c r="EG24" s="252"/>
      <c r="EH24" s="252"/>
      <c r="EI24" s="252"/>
      <c r="EJ24" s="252"/>
      <c r="EK24" s="252"/>
      <c r="EL24" s="252"/>
      <c r="EM24" s="252"/>
      <c r="EN24" s="252"/>
      <c r="EO24" s="252"/>
      <c r="EP24" s="252"/>
      <c r="EQ24" s="252"/>
      <c r="ER24" s="252"/>
      <c r="ES24" s="252"/>
      <c r="ET24" s="252"/>
      <c r="EU24" s="252"/>
      <c r="EV24" s="252"/>
      <c r="EW24" s="252"/>
      <c r="EX24" s="252"/>
      <c r="EY24" s="252"/>
      <c r="EZ24" s="252"/>
      <c r="FA24" s="252"/>
      <c r="FB24" s="252"/>
      <c r="FC24" s="252"/>
      <c r="FD24" s="252"/>
      <c r="FE24" s="252"/>
      <c r="FF24" s="1218"/>
      <c r="FG24" s="1218"/>
      <c r="FH24" s="1218"/>
      <c r="FI24" s="1218"/>
      <c r="FJ24" s="1218"/>
      <c r="FK24" s="1218"/>
      <c r="FL24" s="1218"/>
      <c r="FM24" s="1218"/>
      <c r="FN24" s="1218"/>
      <c r="FO24" s="252"/>
      <c r="FP24" s="252"/>
      <c r="FQ24" s="252"/>
      <c r="FR24" s="252"/>
      <c r="FS24" s="252"/>
      <c r="FT24" s="252"/>
      <c r="FU24" s="252"/>
      <c r="FV24" s="252"/>
      <c r="FW24" s="252"/>
      <c r="FX24" s="252"/>
      <c r="FY24" s="252"/>
      <c r="FZ24" s="252"/>
      <c r="GA24" s="252"/>
      <c r="GB24" s="252"/>
      <c r="GC24" s="252"/>
      <c r="GD24" s="252"/>
      <c r="GE24" s="252"/>
      <c r="GF24" s="252"/>
      <c r="GG24" s="252"/>
      <c r="GH24" s="252"/>
      <c r="GI24" s="252"/>
      <c r="GJ24" s="252"/>
      <c r="GK24" s="252"/>
      <c r="GL24" s="252"/>
      <c r="GM24" s="252"/>
      <c r="GN24" s="252"/>
      <c r="GO24" s="252"/>
      <c r="GP24" s="252"/>
      <c r="GQ24" s="252"/>
      <c r="GR24" s="589"/>
      <c r="GS24" s="589">
        <f>'5.02.23'!E7</f>
        <v>4417.5</v>
      </c>
      <c r="GT24" s="589"/>
      <c r="GU24" s="589"/>
      <c r="GV24" s="589"/>
      <c r="GW24" s="589"/>
      <c r="GX24" s="589"/>
      <c r="GY24" s="738"/>
      <c r="GZ24" s="738"/>
      <c r="HA24" s="738">
        <f>'5.10.23'!E7</f>
        <v>3847.5</v>
      </c>
      <c r="HB24" s="738"/>
      <c r="HC24" s="738"/>
      <c r="HD24" s="738"/>
      <c r="HE24" s="738"/>
      <c r="HF24" s="702"/>
      <c r="HG24" s="702"/>
      <c r="HH24" s="702"/>
      <c r="HI24" s="702"/>
      <c r="HJ24" s="702">
        <f>'5.19.23'!E7</f>
        <v>4161</v>
      </c>
      <c r="HK24" s="702"/>
      <c r="HL24" s="702"/>
      <c r="HM24" s="640"/>
      <c r="HN24" s="640"/>
      <c r="HO24" s="640">
        <f>'5.24.23'!E7</f>
        <v>3904.5</v>
      </c>
      <c r="HP24" s="640"/>
      <c r="HQ24" s="640"/>
      <c r="HR24" s="640"/>
      <c r="HS24" s="640"/>
      <c r="HT24" s="589"/>
      <c r="HU24" s="589"/>
      <c r="HV24" s="589">
        <f>'5.31.23'!E17</f>
        <v>4208.5</v>
      </c>
      <c r="HW24" s="589"/>
      <c r="HX24" s="589"/>
      <c r="HY24" s="589"/>
      <c r="HZ24" s="589"/>
      <c r="IA24" s="252"/>
      <c r="IB24" s="252"/>
      <c r="IC24" s="252"/>
      <c r="ID24" s="252"/>
      <c r="IE24" s="252">
        <f>'6.9.23'!E7</f>
        <v>3961.5</v>
      </c>
      <c r="IF24" s="252"/>
      <c r="IG24" s="252"/>
      <c r="IH24" s="252"/>
      <c r="II24" s="252"/>
      <c r="IJ24" s="252"/>
      <c r="IK24" s="252"/>
      <c r="IL24" s="189">
        <f t="shared" si="0"/>
        <v>24500.5</v>
      </c>
      <c r="IM24" s="189">
        <v>99000</v>
      </c>
      <c r="IN24" s="194" t="str">
        <f t="shared" si="1"/>
        <v>Heritage Kitchen</v>
      </c>
      <c r="IP24" s="234">
        <f t="shared" si="3"/>
        <v>24500.5</v>
      </c>
      <c r="IQ24" s="316">
        <f>COUNT(B24:FZ24)</f>
        <v>0</v>
      </c>
      <c r="IT24" s="234"/>
      <c r="IU24" s="234"/>
      <c r="IV24" s="979">
        <v>22</v>
      </c>
      <c r="IW24" s="981">
        <f t="shared" si="2"/>
        <v>2579</v>
      </c>
      <c r="IX24" s="977">
        <f t="shared" si="4"/>
        <v>24500.5</v>
      </c>
      <c r="IY24" s="978" t="str">
        <f t="shared" si="5"/>
        <v>Heritage Kitchen</v>
      </c>
    </row>
    <row r="25" spans="1:259" ht="10.15" customHeight="1">
      <c r="A25" s="195" t="s">
        <v>328</v>
      </c>
      <c r="B25" s="252"/>
      <c r="C25" s="252"/>
      <c r="D25" s="252"/>
      <c r="E25" s="252"/>
      <c r="F25" s="252"/>
      <c r="G25" s="252"/>
      <c r="H25" s="252"/>
      <c r="I25" s="252"/>
      <c r="J25" s="252"/>
      <c r="K25" s="252"/>
      <c r="L25" s="252"/>
      <c r="M25" s="252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  <c r="AA25" s="252"/>
      <c r="AB25" s="252"/>
      <c r="AC25" s="252"/>
      <c r="AD25" s="252"/>
      <c r="AE25" s="252"/>
      <c r="AF25" s="252"/>
      <c r="AG25" s="252"/>
      <c r="AH25" s="252"/>
      <c r="AI25" s="252"/>
      <c r="AJ25" s="252"/>
      <c r="AK25" s="252"/>
      <c r="AL25" s="252"/>
      <c r="AM25" s="252"/>
      <c r="AN25" s="252"/>
      <c r="AO25" s="252"/>
      <c r="AP25" s="252"/>
      <c r="AQ25" s="252"/>
      <c r="AR25" s="252"/>
      <c r="AS25" s="252"/>
      <c r="AT25" s="252"/>
      <c r="AU25" s="252"/>
      <c r="AV25" s="252"/>
      <c r="AW25" s="252"/>
      <c r="AX25" s="252"/>
      <c r="AY25" s="252"/>
      <c r="AZ25" s="252"/>
      <c r="BA25" s="252"/>
      <c r="BB25" s="252"/>
      <c r="BC25" s="252"/>
      <c r="BD25" s="252"/>
      <c r="BE25" s="252"/>
      <c r="BF25" s="252"/>
      <c r="BG25" s="252"/>
      <c r="BH25" s="252"/>
      <c r="BI25" s="252"/>
      <c r="BJ25" s="252"/>
      <c r="BK25" s="252"/>
      <c r="BL25" s="252"/>
      <c r="BM25" s="252"/>
      <c r="BN25" s="252"/>
      <c r="BO25" s="252"/>
      <c r="BP25" s="252"/>
      <c r="BQ25" s="252"/>
      <c r="BR25" s="1131"/>
      <c r="BS25" s="1131"/>
      <c r="BT25" s="1131"/>
      <c r="BU25" s="1131"/>
      <c r="BV25" s="252"/>
      <c r="BW25" s="252"/>
      <c r="BX25" s="252"/>
      <c r="BY25" s="252"/>
      <c r="BZ25" s="252"/>
      <c r="CA25" s="252"/>
      <c r="CB25" s="252"/>
      <c r="CC25" s="252"/>
      <c r="CD25" s="252"/>
      <c r="CE25" s="252"/>
      <c r="CF25" s="252"/>
      <c r="CG25" s="252"/>
      <c r="CH25" s="252"/>
      <c r="CI25" s="1139"/>
      <c r="CJ25" s="252"/>
      <c r="CK25" s="252"/>
      <c r="CL25" s="252"/>
      <c r="CM25" s="252"/>
      <c r="CN25" s="252"/>
      <c r="CO25" s="1166"/>
      <c r="CP25" s="1166"/>
      <c r="CQ25" s="252"/>
      <c r="CR25" s="252"/>
      <c r="CS25" s="252"/>
      <c r="CT25" s="252"/>
      <c r="CU25" s="252"/>
      <c r="CV25" s="252"/>
      <c r="CW25" s="252"/>
      <c r="CX25" s="252"/>
      <c r="CY25" s="252"/>
      <c r="CZ25" s="252"/>
      <c r="DA25" s="252"/>
      <c r="DB25" s="252"/>
      <c r="DC25" s="252"/>
      <c r="DD25" s="252"/>
      <c r="DE25" s="252"/>
      <c r="DF25" s="252"/>
      <c r="DG25" s="252"/>
      <c r="DH25" s="252"/>
      <c r="DI25" s="252"/>
      <c r="DJ25" s="252"/>
      <c r="DK25" s="252"/>
      <c r="DL25" s="252"/>
      <c r="DM25" s="252"/>
      <c r="DN25" s="252"/>
      <c r="DO25" s="252"/>
      <c r="DP25" s="252"/>
      <c r="DQ25" s="252"/>
      <c r="DR25" s="252"/>
      <c r="DS25" s="252"/>
      <c r="DT25" s="252"/>
      <c r="DU25" s="252"/>
      <c r="DV25" s="252"/>
      <c r="DW25" s="252"/>
      <c r="DX25" s="1166"/>
      <c r="DY25" s="1166"/>
      <c r="DZ25" s="1196"/>
      <c r="EA25" s="252"/>
      <c r="EB25" s="252"/>
      <c r="EC25" s="252"/>
      <c r="ED25" s="252"/>
      <c r="EE25" s="252"/>
      <c r="EF25" s="252"/>
      <c r="EG25" s="252"/>
      <c r="EH25" s="252"/>
      <c r="EI25" s="252"/>
      <c r="EJ25" s="252"/>
      <c r="EK25" s="252"/>
      <c r="EL25" s="252"/>
      <c r="EM25" s="252"/>
      <c r="EN25" s="252"/>
      <c r="EO25" s="252"/>
      <c r="EP25" s="252"/>
      <c r="EQ25" s="252"/>
      <c r="ER25" s="252"/>
      <c r="ES25" s="252"/>
      <c r="ET25" s="252"/>
      <c r="EU25" s="252"/>
      <c r="EV25" s="252"/>
      <c r="EW25" s="252"/>
      <c r="EX25" s="252"/>
      <c r="EY25" s="252"/>
      <c r="EZ25" s="252"/>
      <c r="FA25" s="252"/>
      <c r="FB25" s="252"/>
      <c r="FC25" s="252"/>
      <c r="FD25" s="252"/>
      <c r="FE25" s="252"/>
      <c r="FF25" s="1218"/>
      <c r="FG25" s="1218"/>
      <c r="FH25" s="1218"/>
      <c r="FI25" s="1218"/>
      <c r="FJ25" s="1218"/>
      <c r="FK25" s="1218"/>
      <c r="FL25" s="1218"/>
      <c r="FM25" s="1218"/>
      <c r="FN25" s="1218"/>
      <c r="FO25" s="252"/>
      <c r="FP25" s="252"/>
      <c r="FQ25" s="252"/>
      <c r="FR25" s="252"/>
      <c r="FS25" s="252"/>
      <c r="FT25" s="252"/>
      <c r="FU25" s="252"/>
      <c r="FV25" s="252"/>
      <c r="FW25" s="738"/>
      <c r="FX25" s="738">
        <f>'4.11.23'!E9</f>
        <v>2821.5</v>
      </c>
      <c r="FY25" s="738"/>
      <c r="FZ25" s="738"/>
      <c r="GA25" s="738"/>
      <c r="GB25" s="738"/>
      <c r="GC25" s="738"/>
      <c r="GD25" s="702"/>
      <c r="GE25" s="702"/>
      <c r="GF25" s="702">
        <f>'4.19.23'!E19</f>
        <v>3657.5</v>
      </c>
      <c r="GG25" s="702"/>
      <c r="GH25" s="702"/>
      <c r="GI25" s="702"/>
      <c r="GJ25" s="702"/>
      <c r="GK25" s="252"/>
      <c r="GL25" s="252"/>
      <c r="GM25" s="252"/>
      <c r="GN25" s="252"/>
      <c r="GO25" s="252"/>
      <c r="GP25" s="252"/>
      <c r="GQ25" s="252"/>
      <c r="GR25" s="252"/>
      <c r="GS25" s="252"/>
      <c r="GT25" s="252"/>
      <c r="GU25" s="252"/>
      <c r="GV25" s="252"/>
      <c r="GW25" s="252"/>
      <c r="GX25" s="252"/>
      <c r="GY25" s="252"/>
      <c r="GZ25" s="252"/>
      <c r="HA25" s="252"/>
      <c r="HB25" s="252"/>
      <c r="HC25" s="252"/>
      <c r="HD25" s="252"/>
      <c r="HE25" s="252"/>
      <c r="HF25" s="252"/>
      <c r="HG25" s="252"/>
      <c r="HH25" s="252"/>
      <c r="HI25" s="252"/>
      <c r="HJ25" s="252"/>
      <c r="HK25" s="252"/>
      <c r="HL25" s="252"/>
      <c r="HM25" s="252"/>
      <c r="HN25" s="252"/>
      <c r="HO25" s="252"/>
      <c r="HP25" s="252"/>
      <c r="HQ25" s="252"/>
      <c r="HR25" s="252"/>
      <c r="HS25" s="252"/>
      <c r="HT25" s="252"/>
      <c r="HU25" s="252"/>
      <c r="HV25" s="252"/>
      <c r="HW25" s="252"/>
      <c r="HX25" s="252"/>
      <c r="HY25" s="252"/>
      <c r="HZ25" s="252"/>
      <c r="IA25" s="252"/>
      <c r="IB25" s="252"/>
      <c r="IC25" s="252"/>
      <c r="ID25" s="252"/>
      <c r="IE25" s="252"/>
      <c r="IF25" s="252"/>
      <c r="IG25" s="252"/>
      <c r="IH25" s="252"/>
      <c r="II25" s="252"/>
      <c r="IJ25" s="252"/>
      <c r="IK25" s="252"/>
      <c r="IL25" s="189">
        <f t="shared" si="0"/>
        <v>6479</v>
      </c>
      <c r="IM25" s="189">
        <v>99000</v>
      </c>
      <c r="IN25" s="194" t="str">
        <f t="shared" si="1"/>
        <v>Heritage LA</v>
      </c>
      <c r="IP25" s="234">
        <f t="shared" si="3"/>
        <v>6479</v>
      </c>
      <c r="IQ25" s="316">
        <f>COUNT(B25:FZ25)</f>
        <v>1</v>
      </c>
      <c r="IT25" s="234"/>
      <c r="IU25" s="234"/>
      <c r="IV25" s="979">
        <v>23</v>
      </c>
      <c r="IW25" s="981">
        <f t="shared" si="2"/>
        <v>682</v>
      </c>
      <c r="IX25" s="977">
        <f t="shared" si="4"/>
        <v>6479</v>
      </c>
      <c r="IY25" s="978" t="str">
        <f t="shared" si="5"/>
        <v>Heritage LA</v>
      </c>
    </row>
    <row r="26" spans="1:259" ht="9" customHeight="1">
      <c r="A26" s="195" t="s">
        <v>53</v>
      </c>
      <c r="B26" s="589">
        <f>'9.16.22'!E11+'9.16.22'!E25</f>
        <v>864.5</v>
      </c>
      <c r="C26" s="589"/>
      <c r="D26" s="589"/>
      <c r="E26" s="640">
        <f>'9.19.22'!E10+'9.19.22'!E19</f>
        <v>4854.5</v>
      </c>
      <c r="F26" s="640"/>
      <c r="G26" s="640">
        <f>'9.21.22'!E10+'9.21.22'!E20</f>
        <v>5396</v>
      </c>
      <c r="H26" s="640"/>
      <c r="I26" s="640"/>
      <c r="J26" s="640"/>
      <c r="K26" s="640"/>
      <c r="L26" s="702">
        <f>'9.26.22'!E19+'9.26.22'!E9</f>
        <v>4712</v>
      </c>
      <c r="M26" s="702"/>
      <c r="N26" s="702">
        <f>'9.28.22'!E9+'9.28.22'!E19</f>
        <v>4417.5</v>
      </c>
      <c r="O26" s="702"/>
      <c r="P26" s="702"/>
      <c r="Q26" s="702"/>
      <c r="R26" s="702"/>
      <c r="S26" s="252"/>
      <c r="T26" s="252"/>
      <c r="U26" s="252"/>
      <c r="V26" s="252"/>
      <c r="W26" s="252"/>
      <c r="X26" s="252"/>
      <c r="Y26" s="252"/>
      <c r="Z26" s="589"/>
      <c r="AA26" s="589"/>
      <c r="AB26" s="589">
        <f>'10.12.22'!E28</f>
        <v>1225.5</v>
      </c>
      <c r="AC26" s="589"/>
      <c r="AD26" s="589"/>
      <c r="AE26" s="589"/>
      <c r="AF26" s="589"/>
      <c r="AG26" s="252"/>
      <c r="AH26" s="252"/>
      <c r="AI26" s="252"/>
      <c r="AJ26" s="252"/>
      <c r="AK26" s="252"/>
      <c r="AL26" s="252"/>
      <c r="AM26" s="252"/>
      <c r="AN26" s="702"/>
      <c r="AO26" s="702"/>
      <c r="AP26" s="702"/>
      <c r="AQ26" s="702"/>
      <c r="AR26" s="702">
        <f>'10.28.22'!E21+'10.28.22'!E31</f>
        <v>3011.5</v>
      </c>
      <c r="AS26" s="702"/>
      <c r="AT26" s="702"/>
      <c r="AU26" s="252"/>
      <c r="AV26" s="252"/>
      <c r="AW26" s="252"/>
      <c r="AX26" s="252"/>
      <c r="AY26" s="252"/>
      <c r="AZ26" s="252"/>
      <c r="BA26" s="252"/>
      <c r="BB26" s="252"/>
      <c r="BC26" s="252"/>
      <c r="BD26" s="252"/>
      <c r="BE26" s="252"/>
      <c r="BF26" s="252"/>
      <c r="BG26" s="252"/>
      <c r="BH26" s="252"/>
      <c r="BI26" s="640"/>
      <c r="BJ26" s="640"/>
      <c r="BK26" s="640"/>
      <c r="BL26" s="640">
        <f>'11.17.22'!E20</f>
        <v>2802.5</v>
      </c>
      <c r="BM26" s="640">
        <f>'11.18.22'!E9</f>
        <v>3192</v>
      </c>
      <c r="BN26" s="640"/>
      <c r="BO26" s="640"/>
      <c r="BP26" s="702"/>
      <c r="BQ26" s="702">
        <f>'11.22.22'!E20</f>
        <v>2185</v>
      </c>
      <c r="BR26" s="1134"/>
      <c r="BS26" s="1134"/>
      <c r="BT26" s="1134"/>
      <c r="BU26" s="1134"/>
      <c r="BV26" s="702"/>
      <c r="BW26" s="252"/>
      <c r="BX26" s="252"/>
      <c r="BY26" s="252"/>
      <c r="BZ26" s="252"/>
      <c r="CA26" s="252"/>
      <c r="CB26" s="252"/>
      <c r="CC26" s="252"/>
      <c r="CD26" s="252"/>
      <c r="CE26" s="252"/>
      <c r="CF26" s="252"/>
      <c r="CG26" s="252"/>
      <c r="CH26" s="252"/>
      <c r="CI26" s="1139"/>
      <c r="CJ26" s="252"/>
      <c r="CK26" s="252"/>
      <c r="CL26" s="252"/>
      <c r="CM26" s="252"/>
      <c r="CN26" s="252"/>
      <c r="CO26" s="1166"/>
      <c r="CP26" s="1166"/>
      <c r="CQ26" s="702"/>
      <c r="CR26" s="702"/>
      <c r="CS26" s="702">
        <f>'1.18.23'!E19 + '1.18.23'!E29</f>
        <v>5380</v>
      </c>
      <c r="CT26" s="702">
        <f>'1.19.23'!E29</f>
        <v>2500</v>
      </c>
      <c r="CU26" s="702"/>
      <c r="CV26" s="702"/>
      <c r="CW26" s="702"/>
      <c r="CX26" s="252"/>
      <c r="CY26" s="252"/>
      <c r="CZ26" s="252"/>
      <c r="DA26" s="252"/>
      <c r="DB26" s="252"/>
      <c r="DC26" s="252"/>
      <c r="DD26" s="252"/>
      <c r="DE26" s="252"/>
      <c r="DF26" s="252"/>
      <c r="DG26" s="252"/>
      <c r="DH26" s="252"/>
      <c r="DI26" s="252"/>
      <c r="DJ26" s="252"/>
      <c r="DK26" s="252"/>
      <c r="DL26" s="252"/>
      <c r="DM26" s="252"/>
      <c r="DN26" s="252"/>
      <c r="DO26" s="252"/>
      <c r="DP26" s="252"/>
      <c r="DQ26" s="252"/>
      <c r="DR26" s="252"/>
      <c r="DS26" s="702"/>
      <c r="DT26" s="702">
        <f>'2.14.23'!E19+'2.14.23'!E29</f>
        <v>4710</v>
      </c>
      <c r="DU26" s="702"/>
      <c r="DV26" s="702"/>
      <c r="DW26" s="702"/>
      <c r="DX26" s="1166"/>
      <c r="DY26" s="1166"/>
      <c r="DZ26" s="1196"/>
      <c r="EA26" s="252"/>
      <c r="EB26" s="252"/>
      <c r="EC26" s="252"/>
      <c r="ED26" s="252"/>
      <c r="EE26" s="252"/>
      <c r="EF26" s="252"/>
      <c r="EG26" s="252"/>
      <c r="EH26" s="252"/>
      <c r="EI26" s="252"/>
      <c r="EJ26" s="252"/>
      <c r="EK26" s="252"/>
      <c r="EL26" s="252"/>
      <c r="EM26" s="252"/>
      <c r="EN26" s="738"/>
      <c r="EO26" s="738">
        <f>'3.7.23'!E17+'3.7.23'!E27</f>
        <v>5200</v>
      </c>
      <c r="EP26" s="738"/>
      <c r="EQ26" s="738"/>
      <c r="ER26" s="738"/>
      <c r="ES26" s="738">
        <f>'3.11.23'!E17</f>
        <v>3060</v>
      </c>
      <c r="ET26" s="738"/>
      <c r="EU26" s="252"/>
      <c r="EV26" s="252"/>
      <c r="EW26" s="252"/>
      <c r="EX26" s="252"/>
      <c r="EY26" s="252"/>
      <c r="EZ26" s="252"/>
      <c r="FA26" s="252"/>
      <c r="FB26" s="252"/>
      <c r="FC26" s="252"/>
      <c r="FD26" s="252"/>
      <c r="FE26" s="252"/>
      <c r="FF26" s="1218"/>
      <c r="FG26" s="1218"/>
      <c r="FH26" s="1218"/>
      <c r="FI26" s="1218"/>
      <c r="FJ26" s="1218"/>
      <c r="FK26" s="1218"/>
      <c r="FL26" s="1218"/>
      <c r="FM26" s="1218"/>
      <c r="FN26" s="1218"/>
      <c r="FO26" s="702">
        <f>'4.2.23'!E27</f>
        <v>1490</v>
      </c>
      <c r="FP26" s="702"/>
      <c r="FQ26" s="702">
        <f>'4.4.23'!E29</f>
        <v>2320</v>
      </c>
      <c r="FR26" s="702"/>
      <c r="FS26" s="702"/>
      <c r="FT26" s="702"/>
      <c r="FU26" s="702"/>
      <c r="FV26" s="702"/>
      <c r="FW26" s="738"/>
      <c r="FX26" s="738">
        <f>'4.11.23'!E29</f>
        <v>1950</v>
      </c>
      <c r="FY26" s="738"/>
      <c r="FZ26" s="738"/>
      <c r="GA26" s="738"/>
      <c r="GB26" s="738"/>
      <c r="GC26" s="738"/>
      <c r="GD26" s="252"/>
      <c r="GE26" s="252"/>
      <c r="GF26" s="252"/>
      <c r="GG26" s="252"/>
      <c r="GH26" s="252"/>
      <c r="GI26" s="252"/>
      <c r="GJ26" s="252"/>
      <c r="GK26" s="640"/>
      <c r="GL26" s="640"/>
      <c r="GM26" s="640"/>
      <c r="GN26" s="640"/>
      <c r="GO26" s="640"/>
      <c r="GP26" s="640"/>
      <c r="GQ26" s="640">
        <f>'4.30.23'!E27</f>
        <v>2660</v>
      </c>
      <c r="GR26" s="252"/>
      <c r="GS26" s="252"/>
      <c r="GT26" s="252"/>
      <c r="GU26" s="252"/>
      <c r="GV26" s="252"/>
      <c r="GW26" s="252"/>
      <c r="GX26" s="252"/>
      <c r="GY26" s="252"/>
      <c r="GZ26" s="252"/>
      <c r="HA26" s="252"/>
      <c r="HB26" s="252"/>
      <c r="HC26" s="252"/>
      <c r="HD26" s="252"/>
      <c r="HE26" s="252"/>
      <c r="HF26" s="252"/>
      <c r="HG26" s="252"/>
      <c r="HH26" s="252"/>
      <c r="HI26" s="252"/>
      <c r="HJ26" s="252"/>
      <c r="HK26" s="252"/>
      <c r="HL26" s="252"/>
      <c r="HM26" s="640"/>
      <c r="HN26" s="640"/>
      <c r="HO26" s="640"/>
      <c r="HP26" s="640"/>
      <c r="HQ26" s="640">
        <f>'5.26.23'!E8</f>
        <v>2680</v>
      </c>
      <c r="HR26" s="640"/>
      <c r="HS26" s="640"/>
      <c r="HT26" s="252"/>
      <c r="HU26" s="252"/>
      <c r="HV26" s="252"/>
      <c r="HW26" s="252"/>
      <c r="HX26" s="252"/>
      <c r="HY26" s="252"/>
      <c r="HZ26" s="252"/>
      <c r="IA26" s="252"/>
      <c r="IB26" s="252"/>
      <c r="IC26" s="252"/>
      <c r="ID26" s="252"/>
      <c r="IE26" s="252">
        <f>'6.9.23'!E27</f>
        <v>2760</v>
      </c>
      <c r="IF26" s="252"/>
      <c r="IG26" s="252"/>
      <c r="IH26" s="252"/>
      <c r="II26" s="252"/>
      <c r="IJ26" s="252"/>
      <c r="IK26" s="252"/>
      <c r="IL26" s="189">
        <f t="shared" si="0"/>
        <v>67371</v>
      </c>
      <c r="IM26" s="358">
        <f>350000-IL26+700000</f>
        <v>982629</v>
      </c>
      <c r="IN26" s="194" t="str">
        <f t="shared" si="1"/>
        <v>Kogi</v>
      </c>
      <c r="IP26" s="234">
        <f t="shared" si="3"/>
        <v>67371</v>
      </c>
      <c r="IQ26" s="316">
        <f>COUNT(B26:FZ26)+9+2</f>
        <v>29</v>
      </c>
      <c r="IT26" s="234">
        <v>500</v>
      </c>
      <c r="IU26" s="234"/>
      <c r="IV26" s="979">
        <v>24</v>
      </c>
      <c r="IW26" s="981">
        <f t="shared" si="2"/>
        <v>7091.6842105263158</v>
      </c>
      <c r="IX26" s="977">
        <f t="shared" si="4"/>
        <v>67371</v>
      </c>
      <c r="IY26" s="978" t="str">
        <f t="shared" si="5"/>
        <v>Kogi</v>
      </c>
    </row>
    <row r="27" spans="1:259" ht="10.15" customHeight="1">
      <c r="A27" s="515" t="s">
        <v>267</v>
      </c>
      <c r="B27" s="252"/>
      <c r="C27" s="252"/>
      <c r="D27" s="252"/>
      <c r="E27" s="252"/>
      <c r="F27" s="252"/>
      <c r="G27" s="252"/>
      <c r="H27" s="252"/>
      <c r="I27" s="252"/>
      <c r="J27" s="252"/>
      <c r="K27" s="252"/>
      <c r="L27" s="702"/>
      <c r="M27" s="702"/>
      <c r="N27" s="702"/>
      <c r="O27" s="702"/>
      <c r="P27" s="702"/>
      <c r="Q27" s="702">
        <f>'10.01.22'!E31</f>
        <v>1425</v>
      </c>
      <c r="R27" s="702">
        <f>'10.02.22'!E19</f>
        <v>2850</v>
      </c>
      <c r="S27" s="738"/>
      <c r="T27" s="738">
        <f>'10.04.22'!E18</f>
        <v>2850</v>
      </c>
      <c r="U27" s="738"/>
      <c r="V27" s="738">
        <f>'10.06.22'!E30</f>
        <v>1672</v>
      </c>
      <c r="W27" s="738"/>
      <c r="X27" s="738">
        <f>'10.08.22'!E21</f>
        <v>446.5</v>
      </c>
      <c r="Y27" s="738"/>
      <c r="Z27" s="589">
        <f>'10.10.22'!E18</f>
        <v>2736</v>
      </c>
      <c r="AA27" s="589"/>
      <c r="AB27" s="589">
        <f>'10.12.22'!E11</f>
        <v>2726.5</v>
      </c>
      <c r="AC27" s="589">
        <f>'10.13.22'!E30</f>
        <v>1643.5</v>
      </c>
      <c r="AD27" s="589"/>
      <c r="AE27" s="589">
        <f>'10.15.22'!E21</f>
        <v>2774</v>
      </c>
      <c r="AF27" s="589">
        <f>'10.16.22'!E20+'10.16.22'!E30</f>
        <v>5111</v>
      </c>
      <c r="AG27" s="640">
        <f>'10.17.22'!E29</f>
        <v>1871.5</v>
      </c>
      <c r="AH27" s="640"/>
      <c r="AI27" s="640"/>
      <c r="AJ27" s="640">
        <f>'10.20.22'!E27</f>
        <v>1463</v>
      </c>
      <c r="AK27" s="640"/>
      <c r="AL27" s="640"/>
      <c r="AM27" s="640">
        <f>'10.23.22'!E27</f>
        <v>1501</v>
      </c>
      <c r="AN27" s="702">
        <f>'10.24.22'!E17</f>
        <v>3344</v>
      </c>
      <c r="AO27" s="702"/>
      <c r="AP27" s="702"/>
      <c r="AQ27" s="702"/>
      <c r="AR27" s="702">
        <f>'10.28.22'!E29</f>
        <v>1282.5</v>
      </c>
      <c r="AS27" s="702">
        <f>'10.29.22'!E29</f>
        <v>1995</v>
      </c>
      <c r="AT27" s="702">
        <f>'10.30.22'!E30</f>
        <v>2707.5</v>
      </c>
      <c r="AU27" s="738"/>
      <c r="AV27" s="738"/>
      <c r="AW27" s="738">
        <f>'11.02.22'!E10</f>
        <v>4047</v>
      </c>
      <c r="AX27" s="738"/>
      <c r="AY27" s="738">
        <f>'11.04.22'!E29</f>
        <v>1900</v>
      </c>
      <c r="AZ27" s="738"/>
      <c r="BA27" s="738">
        <f>'11.06.22'!E17</f>
        <v>3847.5</v>
      </c>
      <c r="BB27" s="589"/>
      <c r="BC27" s="589"/>
      <c r="BD27" s="589"/>
      <c r="BE27" s="589">
        <f>'11.10.22'!E8</f>
        <v>3876</v>
      </c>
      <c r="BF27" s="589"/>
      <c r="BG27" s="589"/>
      <c r="BH27" s="589"/>
      <c r="BI27" s="640"/>
      <c r="BJ27" s="640">
        <f>'11.15.22'!E10</f>
        <v>4579</v>
      </c>
      <c r="BK27" s="640"/>
      <c r="BL27" s="640"/>
      <c r="BM27" s="640"/>
      <c r="BN27" s="640">
        <f>'11.19.22'!E28</f>
        <v>3448.5</v>
      </c>
      <c r="BO27" s="640">
        <f>'11.20.22'!E29</f>
        <v>3125.5</v>
      </c>
      <c r="BP27" s="252"/>
      <c r="BQ27" s="252"/>
      <c r="BR27" s="1131"/>
      <c r="BS27" s="1131"/>
      <c r="BT27" s="1131"/>
      <c r="BU27" s="1131"/>
      <c r="BV27" s="252"/>
      <c r="BW27" s="738"/>
      <c r="BX27" s="738">
        <f>'11.29.22'!E29</f>
        <v>3610</v>
      </c>
      <c r="BY27" s="738">
        <f>'11.30.22'!E19</f>
        <v>4617</v>
      </c>
      <c r="BZ27" s="738"/>
      <c r="CA27" s="738"/>
      <c r="CB27" s="738"/>
      <c r="CC27" s="738">
        <f>'12.04.22'!E18</f>
        <v>4579</v>
      </c>
      <c r="CD27" s="589"/>
      <c r="CE27" s="589"/>
      <c r="CF27" s="589"/>
      <c r="CG27" s="589">
        <f>'12.08.22'!E8</f>
        <v>4018.5</v>
      </c>
      <c r="CH27" s="252"/>
      <c r="CI27" s="640">
        <f>'1.08.23'!E29</f>
        <v>2185</v>
      </c>
      <c r="CJ27" s="640"/>
      <c r="CK27" s="640"/>
      <c r="CL27" s="640">
        <f>'1.11.23'!E19</f>
        <v>3667</v>
      </c>
      <c r="CM27" s="640">
        <f>'1.12.23'!E29</f>
        <v>3705</v>
      </c>
      <c r="CN27" s="640"/>
      <c r="CO27" s="1166"/>
      <c r="CP27" s="1166"/>
      <c r="CQ27" s="702">
        <f>'1.16.23'!E29</f>
        <v>4341.5</v>
      </c>
      <c r="CR27" s="702"/>
      <c r="CS27" s="702"/>
      <c r="CT27" s="702">
        <f>'1.19.23'!E9</f>
        <v>3220.5</v>
      </c>
      <c r="CU27" s="702"/>
      <c r="CV27" s="702"/>
      <c r="CW27" s="702">
        <f>'1.22.23'!E9</f>
        <v>4541</v>
      </c>
      <c r="CX27" s="738">
        <f>'1.23.23'!E27</f>
        <v>3828.5</v>
      </c>
      <c r="CY27" s="738"/>
      <c r="CZ27" s="738">
        <f>'1.25.23'!E18</f>
        <v>3933</v>
      </c>
      <c r="DA27" s="738"/>
      <c r="DB27" s="738"/>
      <c r="DC27" s="738"/>
      <c r="DD27" s="738">
        <f>'1.29.23'!E17</f>
        <v>5168</v>
      </c>
      <c r="DE27" s="589"/>
      <c r="DF27" s="589"/>
      <c r="DG27" s="589"/>
      <c r="DH27" s="589"/>
      <c r="DI27" s="589">
        <f>'2.03.23'!E19</f>
        <v>3809.5</v>
      </c>
      <c r="DJ27" s="589"/>
      <c r="DK27" s="589">
        <f>'2.05.23'!E29</f>
        <v>4484</v>
      </c>
      <c r="DL27" s="640">
        <f>'2.06.23'!E18</f>
        <v>4417.5</v>
      </c>
      <c r="DM27" s="640"/>
      <c r="DN27" s="640">
        <f>'2.08.23'!E29</f>
        <v>4683.5</v>
      </c>
      <c r="DO27" s="640"/>
      <c r="DP27" s="640"/>
      <c r="DQ27" s="640"/>
      <c r="DR27" s="640">
        <f>'2.12.23'!E28</f>
        <v>2916.5</v>
      </c>
      <c r="DS27" s="252"/>
      <c r="DT27" s="252"/>
      <c r="DU27" s="252"/>
      <c r="DV27" s="252"/>
      <c r="DW27" s="252"/>
      <c r="DX27" s="1166"/>
      <c r="DY27" s="1166"/>
      <c r="DZ27" s="738">
        <f>'2.20.23'!E29</f>
        <v>3486.5</v>
      </c>
      <c r="EA27" s="738"/>
      <c r="EB27" s="738"/>
      <c r="EC27" s="738"/>
      <c r="ED27" s="738"/>
      <c r="EE27" s="738">
        <f>'2.25.23'!E19</f>
        <v>4484</v>
      </c>
      <c r="EF27" s="738"/>
      <c r="EG27" s="702">
        <f>'2.27.23'!E9</f>
        <v>3705</v>
      </c>
      <c r="EH27" s="702"/>
      <c r="EI27" s="702"/>
      <c r="EJ27" s="702"/>
      <c r="EK27" s="702">
        <f>'3.3.23'!E8</f>
        <v>4075.5</v>
      </c>
      <c r="EL27" s="702">
        <f>'3.4.23'!E29</f>
        <v>2821.5</v>
      </c>
      <c r="EM27" s="702"/>
      <c r="EN27" s="738"/>
      <c r="EO27" s="738">
        <f>'3.7.23'!E19+'3.7.23'!E29</f>
        <v>7324.5</v>
      </c>
      <c r="EP27" s="738"/>
      <c r="EQ27" s="738"/>
      <c r="ER27" s="738">
        <f>'3.10.23'!E7</f>
        <v>2764.5</v>
      </c>
      <c r="ES27" s="738"/>
      <c r="ET27" s="738"/>
      <c r="EU27" s="589">
        <f>'3.13.23'!E29</f>
        <v>2983</v>
      </c>
      <c r="EV27" s="589"/>
      <c r="EW27" s="589">
        <f>'3.15.23'!E27</f>
        <v>3268</v>
      </c>
      <c r="EX27" s="589"/>
      <c r="EY27" s="589"/>
      <c r="EZ27" s="589">
        <f>'3.18.23'!E17</f>
        <v>4284.5</v>
      </c>
      <c r="FA27" s="589"/>
      <c r="FB27" s="640">
        <f>'3.20.23'!E8</f>
        <v>4940</v>
      </c>
      <c r="FC27" s="640">
        <f>'3.21.23'!E27</f>
        <v>3410.5</v>
      </c>
      <c r="FD27" s="640"/>
      <c r="FE27" s="640"/>
      <c r="FF27" s="1218"/>
      <c r="FG27" s="1218"/>
      <c r="FH27" s="1218"/>
      <c r="FI27" s="1218"/>
      <c r="FJ27" s="1218"/>
      <c r="FK27" s="1218"/>
      <c r="FL27" s="1218"/>
      <c r="FM27" s="1218"/>
      <c r="FN27" s="1218"/>
      <c r="FO27" s="702"/>
      <c r="FP27" s="702"/>
      <c r="FQ27" s="702"/>
      <c r="FR27" s="702">
        <f>'4.5.23'!E17+'4.5.23'!E27</f>
        <v>6089.5</v>
      </c>
      <c r="FS27" s="702"/>
      <c r="FT27" s="702"/>
      <c r="FU27" s="702">
        <f>'4.8.23'!E18</f>
        <v>3572</v>
      </c>
      <c r="FV27" s="702"/>
      <c r="FW27" s="738"/>
      <c r="FX27" s="738"/>
      <c r="FY27" s="738">
        <f>'4.12.23'!E7 + '4.12.23'!E17</f>
        <v>7191.5</v>
      </c>
      <c r="FZ27" s="738"/>
      <c r="GA27" s="738">
        <f>'4.14.23'!E9</f>
        <v>2869</v>
      </c>
      <c r="GB27" s="738">
        <f>'4.15.23'!E9</f>
        <v>2840.5</v>
      </c>
      <c r="GC27" s="738"/>
      <c r="GD27" s="702">
        <f>'4.17.23'!E9</f>
        <v>2555.5</v>
      </c>
      <c r="GE27" s="702"/>
      <c r="GF27" s="702"/>
      <c r="GG27" s="702"/>
      <c r="GH27" s="702"/>
      <c r="GI27" s="702"/>
      <c r="GJ27" s="702"/>
      <c r="GK27" s="640"/>
      <c r="GL27" s="640"/>
      <c r="GM27" s="640">
        <f>'4.26.23'!E7</f>
        <v>3610</v>
      </c>
      <c r="GN27" s="640"/>
      <c r="GO27" s="640">
        <f>'4.28.23'!E8</f>
        <v>3610</v>
      </c>
      <c r="GP27" s="640"/>
      <c r="GQ27" s="640">
        <f>'4.30.23'!E17</f>
        <v>4303.5</v>
      </c>
      <c r="GR27" s="252"/>
      <c r="GS27" s="252"/>
      <c r="GT27" s="252"/>
      <c r="GU27" s="252"/>
      <c r="GV27" s="252"/>
      <c r="GW27" s="252"/>
      <c r="GX27" s="252"/>
      <c r="GY27" s="252"/>
      <c r="GZ27" s="252"/>
      <c r="HA27" s="252"/>
      <c r="HB27" s="252"/>
      <c r="HC27" s="252"/>
      <c r="HD27" s="252"/>
      <c r="HE27" s="252"/>
      <c r="HF27" s="702"/>
      <c r="HG27" s="702"/>
      <c r="HH27" s="702"/>
      <c r="HI27" s="702"/>
      <c r="HJ27" s="702"/>
      <c r="HK27" s="702">
        <f>'5.20.23'!E18 +'5.20.23'!E28</f>
        <v>5291.5</v>
      </c>
      <c r="HL27" s="702">
        <f>'5.21.23'!E27</f>
        <v>3296.5</v>
      </c>
      <c r="HM27" s="640">
        <f>'5.22.23'!E7</f>
        <v>3220.5</v>
      </c>
      <c r="HN27" s="640"/>
      <c r="HO27" s="640"/>
      <c r="HP27" s="640"/>
      <c r="HQ27" s="640"/>
      <c r="HR27" s="640"/>
      <c r="HS27" s="640"/>
      <c r="HT27" s="589">
        <f>'5.29.23'!E17</f>
        <v>3296.5</v>
      </c>
      <c r="HU27" s="589"/>
      <c r="HV27" s="589"/>
      <c r="HW27" s="589"/>
      <c r="HX27" s="589"/>
      <c r="HY27" s="589"/>
      <c r="HZ27" s="589"/>
      <c r="IA27" s="252">
        <f>'6.5.23'!E7</f>
        <v>3743</v>
      </c>
      <c r="IB27" s="252"/>
      <c r="IC27" s="252"/>
      <c r="ID27" s="252"/>
      <c r="IE27" s="252"/>
      <c r="IF27" s="252"/>
      <c r="IG27" s="252"/>
      <c r="IH27" s="252"/>
      <c r="II27" s="252"/>
      <c r="IJ27" s="252"/>
      <c r="IK27" s="252"/>
      <c r="IL27" s="189">
        <f t="shared" si="0"/>
        <v>237984.5</v>
      </c>
      <c r="IM27" s="961">
        <f>100000-IL27</f>
        <v>-137984.5</v>
      </c>
      <c r="IN27" s="988" t="str">
        <f t="shared" si="1"/>
        <v>Love Greek Cuisine/Kalamaki Greek LA</v>
      </c>
      <c r="IP27" s="234">
        <f t="shared" si="3"/>
        <v>237984.5</v>
      </c>
      <c r="IQ27" s="316">
        <f>COUNT(B27:FZ27)+2+9</f>
        <v>68</v>
      </c>
      <c r="IT27" s="234">
        <v>362210.5</v>
      </c>
      <c r="IU27" s="234"/>
      <c r="IV27" s="979">
        <v>25</v>
      </c>
      <c r="IW27" s="981">
        <f t="shared" si="2"/>
        <v>25051</v>
      </c>
      <c r="IX27" s="977">
        <f t="shared" si="4"/>
        <v>237984.5</v>
      </c>
      <c r="IY27" s="978" t="str">
        <f t="shared" si="5"/>
        <v>Love Greek Cuisine/Kalamaki Greek LA</v>
      </c>
    </row>
    <row r="28" spans="1:259" ht="10.15" customHeight="1">
      <c r="A28" s="195" t="s">
        <v>234</v>
      </c>
      <c r="B28" s="252"/>
      <c r="C28" s="252"/>
      <c r="D28" s="252"/>
      <c r="E28" s="252"/>
      <c r="F28" s="252"/>
      <c r="G28" s="252"/>
      <c r="H28" s="252"/>
      <c r="I28" s="252"/>
      <c r="J28" s="252"/>
      <c r="K28" s="252"/>
      <c r="L28" s="252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  <c r="AA28" s="252"/>
      <c r="AB28" s="252"/>
      <c r="AC28" s="252"/>
      <c r="AD28" s="252"/>
      <c r="AE28" s="252"/>
      <c r="AF28" s="252"/>
      <c r="AG28" s="252"/>
      <c r="AH28" s="252"/>
      <c r="AI28" s="252"/>
      <c r="AJ28" s="252"/>
      <c r="AK28" s="252"/>
      <c r="AL28" s="252"/>
      <c r="AM28" s="252"/>
      <c r="AN28" s="252"/>
      <c r="AO28" s="252"/>
      <c r="AP28" s="252"/>
      <c r="AQ28" s="252"/>
      <c r="AR28" s="252"/>
      <c r="AS28" s="252"/>
      <c r="AT28" s="252"/>
      <c r="AU28" s="252"/>
      <c r="AV28" s="252"/>
      <c r="AW28" s="252"/>
      <c r="AX28" s="252"/>
      <c r="AY28" s="252"/>
      <c r="AZ28" s="252"/>
      <c r="BA28" s="252"/>
      <c r="BB28" s="252"/>
      <c r="BC28" s="252"/>
      <c r="BD28" s="252"/>
      <c r="BE28" s="252"/>
      <c r="BF28" s="252"/>
      <c r="BG28" s="252"/>
      <c r="BH28" s="252"/>
      <c r="BI28" s="252"/>
      <c r="BJ28" s="252"/>
      <c r="BK28" s="252"/>
      <c r="BL28" s="252"/>
      <c r="BM28" s="252"/>
      <c r="BN28" s="252"/>
      <c r="BO28" s="252"/>
      <c r="BP28" s="252"/>
      <c r="BQ28" s="252"/>
      <c r="BR28" s="1131"/>
      <c r="BS28" s="1131"/>
      <c r="BT28" s="1131"/>
      <c r="BU28" s="1131"/>
      <c r="BV28" s="252"/>
      <c r="BW28" s="252"/>
      <c r="BX28" s="252"/>
      <c r="BY28" s="252"/>
      <c r="BZ28" s="252"/>
      <c r="CA28" s="252"/>
      <c r="CB28" s="252"/>
      <c r="CC28" s="252"/>
      <c r="CD28" s="252"/>
      <c r="CE28" s="252"/>
      <c r="CF28" s="252"/>
      <c r="CG28" s="252"/>
      <c r="CH28" s="252"/>
      <c r="CI28" s="1139"/>
      <c r="CJ28" s="252"/>
      <c r="CK28" s="252"/>
      <c r="CL28" s="252"/>
      <c r="CM28" s="252"/>
      <c r="CN28" s="252"/>
      <c r="CO28" s="1166"/>
      <c r="CP28" s="1166"/>
      <c r="CQ28" s="252"/>
      <c r="CR28" s="252"/>
      <c r="CS28" s="252"/>
      <c r="CT28" s="252"/>
      <c r="CU28" s="252"/>
      <c r="CV28" s="252"/>
      <c r="CW28" s="252"/>
      <c r="CX28" s="252"/>
      <c r="CY28" s="252"/>
      <c r="CZ28" s="252"/>
      <c r="DA28" s="252"/>
      <c r="DB28" s="252"/>
      <c r="DC28" s="252"/>
      <c r="DD28" s="252"/>
      <c r="DE28" s="252"/>
      <c r="DF28" s="252"/>
      <c r="DG28" s="252"/>
      <c r="DH28" s="252"/>
      <c r="DI28" s="252"/>
      <c r="DJ28" s="252"/>
      <c r="DK28" s="252"/>
      <c r="DL28" s="252"/>
      <c r="DM28" s="252"/>
      <c r="DN28" s="252"/>
      <c r="DO28" s="252"/>
      <c r="DP28" s="252"/>
      <c r="DQ28" s="252"/>
      <c r="DR28" s="252"/>
      <c r="DS28" s="252"/>
      <c r="DT28" s="252"/>
      <c r="DU28" s="252"/>
      <c r="DV28" s="252"/>
      <c r="DW28" s="252"/>
      <c r="DX28" s="1166"/>
      <c r="DY28" s="1166"/>
      <c r="DZ28" s="1196"/>
      <c r="EA28" s="252"/>
      <c r="EB28" s="252"/>
      <c r="EC28" s="252"/>
      <c r="ED28" s="252"/>
      <c r="EE28" s="252"/>
      <c r="EF28" s="252"/>
      <c r="EG28" s="252"/>
      <c r="EH28" s="252"/>
      <c r="EI28" s="252"/>
      <c r="EJ28" s="252"/>
      <c r="EK28" s="252"/>
      <c r="EL28" s="252"/>
      <c r="EM28" s="252"/>
      <c r="EN28" s="252"/>
      <c r="EO28" s="252"/>
      <c r="EP28" s="252"/>
      <c r="EQ28" s="252"/>
      <c r="ER28" s="252"/>
      <c r="ES28" s="252"/>
      <c r="ET28" s="252"/>
      <c r="EU28" s="252"/>
      <c r="EV28" s="252"/>
      <c r="EW28" s="252"/>
      <c r="EX28" s="252"/>
      <c r="EY28" s="252"/>
      <c r="EZ28" s="252"/>
      <c r="FA28" s="252"/>
      <c r="FB28" s="252"/>
      <c r="FC28" s="252"/>
      <c r="FD28" s="252"/>
      <c r="FE28" s="252"/>
      <c r="FF28" s="1218"/>
      <c r="FG28" s="1218"/>
      <c r="FH28" s="1218"/>
      <c r="FI28" s="1218"/>
      <c r="FJ28" s="1218"/>
      <c r="FK28" s="1218"/>
      <c r="FL28" s="1218"/>
      <c r="FM28" s="1218"/>
      <c r="FN28" s="1218"/>
      <c r="FO28" s="252"/>
      <c r="FP28" s="252"/>
      <c r="FQ28" s="252"/>
      <c r="FR28" s="252"/>
      <c r="FS28" s="252"/>
      <c r="FT28" s="252"/>
      <c r="FU28" s="252"/>
      <c r="FV28" s="252"/>
      <c r="FW28" s="252"/>
      <c r="FX28" s="252"/>
      <c r="FY28" s="252"/>
      <c r="FZ28" s="252"/>
      <c r="GA28" s="252"/>
      <c r="GB28" s="252"/>
      <c r="GC28" s="252"/>
      <c r="GD28" s="252"/>
      <c r="GE28" s="252"/>
      <c r="GF28" s="252"/>
      <c r="GG28" s="252"/>
      <c r="GH28" s="252"/>
      <c r="GI28" s="252"/>
      <c r="GJ28" s="252"/>
      <c r="GK28" s="252"/>
      <c r="GL28" s="252"/>
      <c r="GM28" s="252"/>
      <c r="GN28" s="252"/>
      <c r="GO28" s="252"/>
      <c r="GP28" s="252"/>
      <c r="GQ28" s="252"/>
      <c r="GR28" s="252"/>
      <c r="GS28" s="252"/>
      <c r="GT28" s="252"/>
      <c r="GU28" s="252"/>
      <c r="GV28" s="252"/>
      <c r="GW28" s="252"/>
      <c r="GX28" s="252"/>
      <c r="GY28" s="252"/>
      <c r="GZ28" s="252"/>
      <c r="HA28" s="252"/>
      <c r="HB28" s="252"/>
      <c r="HC28" s="252"/>
      <c r="HD28" s="252"/>
      <c r="HE28" s="252"/>
      <c r="HF28" s="252"/>
      <c r="HG28" s="252"/>
      <c r="HH28" s="252"/>
      <c r="HI28" s="252"/>
      <c r="HJ28" s="252"/>
      <c r="HK28" s="252"/>
      <c r="HL28" s="252"/>
      <c r="HM28" s="252"/>
      <c r="HN28" s="252"/>
      <c r="HO28" s="252"/>
      <c r="HP28" s="252"/>
      <c r="HQ28" s="252"/>
      <c r="HR28" s="252"/>
      <c r="HS28" s="252"/>
      <c r="HT28" s="252"/>
      <c r="HU28" s="252"/>
      <c r="HV28" s="252"/>
      <c r="HW28" s="252"/>
      <c r="HX28" s="252"/>
      <c r="HY28" s="252"/>
      <c r="HZ28" s="252"/>
      <c r="IA28" s="252"/>
      <c r="IB28" s="252"/>
      <c r="IC28" s="252"/>
      <c r="ID28" s="252"/>
      <c r="IE28" s="252"/>
      <c r="IF28" s="252"/>
      <c r="IG28" s="252"/>
      <c r="IH28" s="252"/>
      <c r="II28" s="252"/>
      <c r="IJ28" s="252"/>
      <c r="IK28" s="252"/>
      <c r="IL28" s="189">
        <f t="shared" si="0"/>
        <v>0</v>
      </c>
      <c r="IM28" s="961">
        <f>100000-IL28</f>
        <v>100000</v>
      </c>
      <c r="IN28" s="194" t="str">
        <f t="shared" si="1"/>
        <v>Manna From Heaven</v>
      </c>
      <c r="IP28" s="234">
        <f t="shared" si="3"/>
        <v>0</v>
      </c>
      <c r="IQ28" s="316">
        <f t="shared" ref="IQ28:IQ33" si="6">COUNT(B28:FZ28)</f>
        <v>0</v>
      </c>
      <c r="IT28" s="234">
        <v>8000</v>
      </c>
      <c r="IU28" s="234"/>
      <c r="IV28" s="979">
        <v>26</v>
      </c>
      <c r="IW28" s="981">
        <f t="shared" si="2"/>
        <v>0</v>
      </c>
      <c r="IX28" s="977">
        <f t="shared" si="4"/>
        <v>0</v>
      </c>
      <c r="IY28" s="978" t="str">
        <f t="shared" si="5"/>
        <v>Manna From Heaven</v>
      </c>
    </row>
    <row r="29" spans="1:259" ht="9.6" customHeight="1">
      <c r="A29" s="195" t="s">
        <v>265</v>
      </c>
      <c r="B29" s="252"/>
      <c r="C29" s="252"/>
      <c r="D29" s="252"/>
      <c r="E29" s="252"/>
      <c r="F29" s="252"/>
      <c r="G29" s="252"/>
      <c r="H29" s="252"/>
      <c r="I29" s="252"/>
      <c r="J29" s="252"/>
      <c r="K29" s="252"/>
      <c r="L29" s="252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  <c r="AA29" s="252"/>
      <c r="AB29" s="252"/>
      <c r="AC29" s="252"/>
      <c r="AD29" s="252"/>
      <c r="AE29" s="252"/>
      <c r="AF29" s="252"/>
      <c r="AG29" s="252"/>
      <c r="AH29" s="252"/>
      <c r="AI29" s="252"/>
      <c r="AJ29" s="252"/>
      <c r="AK29" s="252"/>
      <c r="AL29" s="252"/>
      <c r="AM29" s="252"/>
      <c r="AN29" s="252"/>
      <c r="AO29" s="252"/>
      <c r="AP29" s="252"/>
      <c r="AQ29" s="252"/>
      <c r="AR29" s="252"/>
      <c r="AS29" s="252"/>
      <c r="AT29" s="252"/>
      <c r="AU29" s="252"/>
      <c r="AV29" s="252"/>
      <c r="AW29" s="252"/>
      <c r="AX29" s="252"/>
      <c r="AY29" s="252"/>
      <c r="AZ29" s="252"/>
      <c r="BA29" s="252"/>
      <c r="BB29" s="252"/>
      <c r="BC29" s="252"/>
      <c r="BD29" s="252"/>
      <c r="BE29" s="252"/>
      <c r="BF29" s="252"/>
      <c r="BG29" s="252"/>
      <c r="BH29" s="252"/>
      <c r="BI29" s="252"/>
      <c r="BJ29" s="252"/>
      <c r="BK29" s="252"/>
      <c r="BL29" s="252"/>
      <c r="BM29" s="252"/>
      <c r="BN29" s="252"/>
      <c r="BO29" s="252"/>
      <c r="BP29" s="252"/>
      <c r="BQ29" s="252"/>
      <c r="BR29" s="1131"/>
      <c r="BS29" s="1131"/>
      <c r="BT29" s="1131"/>
      <c r="BU29" s="1131"/>
      <c r="BV29" s="252"/>
      <c r="BW29" s="252"/>
      <c r="BX29" s="252"/>
      <c r="BY29" s="252"/>
      <c r="BZ29" s="252"/>
      <c r="CA29" s="252"/>
      <c r="CB29" s="252"/>
      <c r="CC29" s="252"/>
      <c r="CD29" s="252"/>
      <c r="CE29" s="252"/>
      <c r="CF29" s="252"/>
      <c r="CG29" s="252"/>
      <c r="CH29" s="252"/>
      <c r="CI29" s="1139"/>
      <c r="CJ29" s="252"/>
      <c r="CK29" s="252"/>
      <c r="CL29" s="252"/>
      <c r="CM29" s="252"/>
      <c r="CN29" s="252"/>
      <c r="CO29" s="1166"/>
      <c r="CP29" s="1166"/>
      <c r="CQ29" s="252"/>
      <c r="CR29" s="252"/>
      <c r="CS29" s="252"/>
      <c r="CT29" s="252"/>
      <c r="CU29" s="252"/>
      <c r="CV29" s="252"/>
      <c r="CW29" s="252"/>
      <c r="CX29" s="252"/>
      <c r="CY29" s="252"/>
      <c r="CZ29" s="252"/>
      <c r="DA29" s="252"/>
      <c r="DB29" s="252"/>
      <c r="DC29" s="252"/>
      <c r="DD29" s="252"/>
      <c r="DE29" s="252"/>
      <c r="DF29" s="252"/>
      <c r="DG29" s="252"/>
      <c r="DH29" s="252"/>
      <c r="DI29" s="252"/>
      <c r="DJ29" s="252"/>
      <c r="DK29" s="252"/>
      <c r="DL29" s="252"/>
      <c r="DM29" s="252"/>
      <c r="DN29" s="252"/>
      <c r="DO29" s="252"/>
      <c r="DP29" s="252"/>
      <c r="DQ29" s="252"/>
      <c r="DR29" s="252"/>
      <c r="DS29" s="252"/>
      <c r="DT29" s="252"/>
      <c r="DU29" s="252"/>
      <c r="DV29" s="252"/>
      <c r="DW29" s="252"/>
      <c r="DX29" s="1166"/>
      <c r="DY29" s="1166"/>
      <c r="DZ29" s="1196"/>
      <c r="EA29" s="252"/>
      <c r="EB29" s="252"/>
      <c r="EC29" s="252"/>
      <c r="ED29" s="252"/>
      <c r="EE29" s="252"/>
      <c r="EF29" s="252"/>
      <c r="EG29" s="252"/>
      <c r="EH29" s="252"/>
      <c r="EI29" s="252"/>
      <c r="EJ29" s="252"/>
      <c r="EK29" s="252"/>
      <c r="EL29" s="252"/>
      <c r="EM29" s="252"/>
      <c r="EN29" s="252"/>
      <c r="EO29" s="252"/>
      <c r="EP29" s="252"/>
      <c r="EQ29" s="252"/>
      <c r="ER29" s="252"/>
      <c r="ES29" s="252"/>
      <c r="ET29" s="252"/>
      <c r="EU29" s="252"/>
      <c r="EV29" s="252"/>
      <c r="EW29" s="252"/>
      <c r="EX29" s="252"/>
      <c r="EY29" s="252"/>
      <c r="EZ29" s="252"/>
      <c r="FA29" s="252"/>
      <c r="FB29" s="252"/>
      <c r="FC29" s="252"/>
      <c r="FD29" s="252"/>
      <c r="FE29" s="252"/>
      <c r="FF29" s="1218"/>
      <c r="FG29" s="1218"/>
      <c r="FH29" s="1218"/>
      <c r="FI29" s="1218"/>
      <c r="FJ29" s="1218"/>
      <c r="FK29" s="1218"/>
      <c r="FL29" s="1218"/>
      <c r="FM29" s="1218"/>
      <c r="FN29" s="1218"/>
      <c r="FO29" s="252"/>
      <c r="FP29" s="252"/>
      <c r="FQ29" s="252"/>
      <c r="FR29" s="252"/>
      <c r="FS29" s="252"/>
      <c r="FT29" s="252"/>
      <c r="FU29" s="252"/>
      <c r="FV29" s="252"/>
      <c r="FW29" s="252"/>
      <c r="FX29" s="252"/>
      <c r="FY29" s="252"/>
      <c r="FZ29" s="252"/>
      <c r="GA29" s="252"/>
      <c r="GB29" s="252"/>
      <c r="GC29" s="252"/>
      <c r="GD29" s="252"/>
      <c r="GE29" s="252"/>
      <c r="GF29" s="252"/>
      <c r="GG29" s="252"/>
      <c r="GH29" s="252"/>
      <c r="GI29" s="252"/>
      <c r="GJ29" s="252"/>
      <c r="GK29" s="252"/>
      <c r="GL29" s="252"/>
      <c r="GM29" s="252"/>
      <c r="GN29" s="252"/>
      <c r="GO29" s="252"/>
      <c r="GP29" s="252"/>
      <c r="GQ29" s="252"/>
      <c r="GR29" s="252"/>
      <c r="GS29" s="252"/>
      <c r="GT29" s="252"/>
      <c r="GU29" s="252"/>
      <c r="GV29" s="252"/>
      <c r="GW29" s="252"/>
      <c r="GX29" s="252"/>
      <c r="GY29" s="252"/>
      <c r="GZ29" s="252"/>
      <c r="HA29" s="252"/>
      <c r="HB29" s="252"/>
      <c r="HC29" s="252"/>
      <c r="HD29" s="252"/>
      <c r="HE29" s="252"/>
      <c r="HF29" s="252"/>
      <c r="HG29" s="252"/>
      <c r="HH29" s="252"/>
      <c r="HI29" s="252"/>
      <c r="HJ29" s="252"/>
      <c r="HK29" s="252"/>
      <c r="HL29" s="252"/>
      <c r="HM29" s="252"/>
      <c r="HN29" s="252"/>
      <c r="HO29" s="252"/>
      <c r="HP29" s="252"/>
      <c r="HQ29" s="252"/>
      <c r="HR29" s="252"/>
      <c r="HS29" s="252"/>
      <c r="HT29" s="252"/>
      <c r="HU29" s="252"/>
      <c r="HV29" s="252"/>
      <c r="HW29" s="252"/>
      <c r="HX29" s="252"/>
      <c r="HY29" s="252"/>
      <c r="HZ29" s="252"/>
      <c r="IA29" s="252"/>
      <c r="IB29" s="252"/>
      <c r="IC29" s="252"/>
      <c r="ID29" s="252"/>
      <c r="IE29" s="252"/>
      <c r="IF29" s="252"/>
      <c r="IG29" s="252"/>
      <c r="IH29" s="252"/>
      <c r="II29" s="252"/>
      <c r="IJ29" s="252"/>
      <c r="IK29" s="252"/>
      <c r="IL29" s="189">
        <f t="shared" si="0"/>
        <v>0</v>
      </c>
      <c r="IM29" s="961">
        <f>100000-IL29</f>
        <v>100000</v>
      </c>
      <c r="IN29" s="194" t="str">
        <f t="shared" si="1"/>
        <v>Messi Burgers</v>
      </c>
      <c r="IP29" s="234">
        <f t="shared" si="3"/>
        <v>0</v>
      </c>
      <c r="IQ29" s="316">
        <f t="shared" si="6"/>
        <v>0</v>
      </c>
      <c r="IT29" s="234">
        <v>27987</v>
      </c>
      <c r="IU29" s="234"/>
      <c r="IV29" s="979">
        <v>27</v>
      </c>
      <c r="IW29" s="981">
        <f t="shared" si="2"/>
        <v>0</v>
      </c>
      <c r="IX29" s="977">
        <f t="shared" si="4"/>
        <v>0</v>
      </c>
      <c r="IY29" s="978" t="str">
        <f t="shared" si="5"/>
        <v>Messi Burgers</v>
      </c>
    </row>
    <row r="30" spans="1:259" ht="9.6" customHeight="1">
      <c r="A30" s="195" t="s">
        <v>69</v>
      </c>
      <c r="B30" s="252"/>
      <c r="C30" s="252"/>
      <c r="D30" s="252"/>
      <c r="E30" s="252"/>
      <c r="F30" s="252"/>
      <c r="G30" s="252"/>
      <c r="H30" s="252"/>
      <c r="I30" s="252"/>
      <c r="J30" s="252"/>
      <c r="K30" s="252"/>
      <c r="L30" s="252"/>
      <c r="M30" s="252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  <c r="AA30" s="252"/>
      <c r="AB30" s="252"/>
      <c r="AC30" s="252"/>
      <c r="AD30" s="252"/>
      <c r="AE30" s="252"/>
      <c r="AF30" s="252"/>
      <c r="AG30" s="252"/>
      <c r="AH30" s="252"/>
      <c r="AI30" s="252"/>
      <c r="AJ30" s="252"/>
      <c r="AK30" s="252"/>
      <c r="AL30" s="252"/>
      <c r="AM30" s="252"/>
      <c r="AN30" s="252"/>
      <c r="AO30" s="252"/>
      <c r="AP30" s="252"/>
      <c r="AQ30" s="252"/>
      <c r="AR30" s="252"/>
      <c r="AS30" s="252"/>
      <c r="AT30" s="252"/>
      <c r="AU30" s="252"/>
      <c r="AV30" s="252"/>
      <c r="AW30" s="252"/>
      <c r="AX30" s="252"/>
      <c r="AY30" s="252"/>
      <c r="AZ30" s="252"/>
      <c r="BA30" s="252"/>
      <c r="BB30" s="252"/>
      <c r="BC30" s="252"/>
      <c r="BD30" s="252"/>
      <c r="BE30" s="252"/>
      <c r="BF30" s="252"/>
      <c r="BG30" s="252"/>
      <c r="BH30" s="252"/>
      <c r="BI30" s="252"/>
      <c r="BJ30" s="252"/>
      <c r="BK30" s="252"/>
      <c r="BL30" s="252"/>
      <c r="BM30" s="252"/>
      <c r="BN30" s="252"/>
      <c r="BO30" s="252"/>
      <c r="BP30" s="252"/>
      <c r="BQ30" s="252"/>
      <c r="BR30" s="1131"/>
      <c r="BS30" s="1131"/>
      <c r="BT30" s="1131"/>
      <c r="BU30" s="1131"/>
      <c r="BV30" s="252"/>
      <c r="BW30" s="252"/>
      <c r="BX30" s="252"/>
      <c r="BY30" s="252"/>
      <c r="BZ30" s="252"/>
      <c r="CA30" s="252"/>
      <c r="CB30" s="252"/>
      <c r="CC30" s="252"/>
      <c r="CD30" s="252"/>
      <c r="CE30" s="252"/>
      <c r="CF30" s="252"/>
      <c r="CG30" s="252"/>
      <c r="CH30" s="252"/>
      <c r="CI30" s="1139"/>
      <c r="CJ30" s="252"/>
      <c r="CK30" s="252"/>
      <c r="CL30" s="252"/>
      <c r="CM30" s="252"/>
      <c r="CN30" s="252"/>
      <c r="CO30" s="1166"/>
      <c r="CP30" s="1166"/>
      <c r="CQ30" s="252"/>
      <c r="CR30" s="252"/>
      <c r="CS30" s="252"/>
      <c r="CT30" s="252"/>
      <c r="CU30" s="252"/>
      <c r="CV30" s="252"/>
      <c r="CW30" s="252"/>
      <c r="CX30" s="252"/>
      <c r="CY30" s="252"/>
      <c r="CZ30" s="252"/>
      <c r="DA30" s="252"/>
      <c r="DB30" s="252"/>
      <c r="DC30" s="252"/>
      <c r="DD30" s="252"/>
      <c r="DE30" s="252"/>
      <c r="DF30" s="252"/>
      <c r="DG30" s="252"/>
      <c r="DH30" s="252"/>
      <c r="DI30" s="252"/>
      <c r="DJ30" s="252"/>
      <c r="DK30" s="252"/>
      <c r="DL30" s="252"/>
      <c r="DM30" s="252"/>
      <c r="DN30" s="252"/>
      <c r="DO30" s="252"/>
      <c r="DP30" s="252"/>
      <c r="DQ30" s="252"/>
      <c r="DR30" s="252"/>
      <c r="DS30" s="252"/>
      <c r="DT30" s="252"/>
      <c r="DU30" s="252"/>
      <c r="DV30" s="252"/>
      <c r="DW30" s="252"/>
      <c r="DX30" s="1166"/>
      <c r="DY30" s="1166"/>
      <c r="DZ30" s="1196"/>
      <c r="EA30" s="252"/>
      <c r="EB30" s="252"/>
      <c r="EC30" s="252"/>
      <c r="ED30" s="252"/>
      <c r="EE30" s="252"/>
      <c r="EF30" s="252"/>
      <c r="EG30" s="252"/>
      <c r="EH30" s="252"/>
      <c r="EI30" s="252"/>
      <c r="EJ30" s="252"/>
      <c r="EK30" s="252"/>
      <c r="EL30" s="252"/>
      <c r="EM30" s="252"/>
      <c r="EN30" s="252"/>
      <c r="EO30" s="252"/>
      <c r="EP30" s="252"/>
      <c r="EQ30" s="252"/>
      <c r="ER30" s="252"/>
      <c r="ES30" s="252"/>
      <c r="ET30" s="252"/>
      <c r="EU30" s="252"/>
      <c r="EV30" s="252"/>
      <c r="EW30" s="252"/>
      <c r="EX30" s="252"/>
      <c r="EY30" s="252"/>
      <c r="EZ30" s="252"/>
      <c r="FA30" s="252"/>
      <c r="FB30" s="252"/>
      <c r="FC30" s="252"/>
      <c r="FD30" s="252"/>
      <c r="FE30" s="252"/>
      <c r="FF30" s="1218"/>
      <c r="FG30" s="1218"/>
      <c r="FH30" s="1218"/>
      <c r="FI30" s="1218"/>
      <c r="FJ30" s="1218"/>
      <c r="FK30" s="1218"/>
      <c r="FL30" s="1218"/>
      <c r="FM30" s="1218"/>
      <c r="FN30" s="1218"/>
      <c r="FO30" s="252"/>
      <c r="FP30" s="252"/>
      <c r="FQ30" s="252"/>
      <c r="FR30" s="252"/>
      <c r="FS30" s="252"/>
      <c r="FT30" s="252"/>
      <c r="FU30" s="252"/>
      <c r="FV30" s="252"/>
      <c r="FW30" s="252"/>
      <c r="FX30" s="252"/>
      <c r="FY30" s="252"/>
      <c r="FZ30" s="252"/>
      <c r="GA30" s="252"/>
      <c r="GB30" s="252"/>
      <c r="GC30" s="252"/>
      <c r="GD30" s="252"/>
      <c r="GE30" s="252"/>
      <c r="GF30" s="252"/>
      <c r="GG30" s="252"/>
      <c r="GH30" s="252"/>
      <c r="GI30" s="252"/>
      <c r="GJ30" s="252"/>
      <c r="GK30" s="252"/>
      <c r="GL30" s="252"/>
      <c r="GM30" s="252"/>
      <c r="GN30" s="252"/>
      <c r="GO30" s="252"/>
      <c r="GP30" s="252"/>
      <c r="GQ30" s="252"/>
      <c r="GR30" s="252"/>
      <c r="GS30" s="252"/>
      <c r="GT30" s="252"/>
      <c r="GU30" s="252"/>
      <c r="GV30" s="252"/>
      <c r="GW30" s="252"/>
      <c r="GX30" s="252"/>
      <c r="GY30" s="252"/>
      <c r="GZ30" s="252"/>
      <c r="HA30" s="252"/>
      <c r="HB30" s="252"/>
      <c r="HC30" s="252"/>
      <c r="HD30" s="252"/>
      <c r="HE30" s="252"/>
      <c r="HF30" s="252"/>
      <c r="HG30" s="252"/>
      <c r="HH30" s="252"/>
      <c r="HI30" s="252"/>
      <c r="HJ30" s="252"/>
      <c r="HK30" s="252"/>
      <c r="HL30" s="252"/>
      <c r="HM30" s="252"/>
      <c r="HN30" s="252"/>
      <c r="HO30" s="252"/>
      <c r="HP30" s="252"/>
      <c r="HQ30" s="252"/>
      <c r="HR30" s="252"/>
      <c r="HS30" s="252"/>
      <c r="HT30" s="252"/>
      <c r="HU30" s="252"/>
      <c r="HV30" s="252"/>
      <c r="HW30" s="252"/>
      <c r="HX30" s="252"/>
      <c r="HY30" s="252"/>
      <c r="HZ30" s="252"/>
      <c r="IA30" s="252"/>
      <c r="IB30" s="252"/>
      <c r="IC30" s="252"/>
      <c r="ID30" s="252"/>
      <c r="IE30" s="252"/>
      <c r="IF30" s="252"/>
      <c r="IG30" s="252"/>
      <c r="IH30" s="252"/>
      <c r="II30" s="252"/>
      <c r="IJ30" s="252"/>
      <c r="IK30" s="252"/>
      <c r="IL30" s="189">
        <f t="shared" si="0"/>
        <v>0</v>
      </c>
      <c r="IM30" s="961">
        <f>100000-IL30</f>
        <v>100000</v>
      </c>
      <c r="IN30" s="194" t="str">
        <f t="shared" si="1"/>
        <v>Mikhuna</v>
      </c>
      <c r="IP30" s="234">
        <f t="shared" si="3"/>
        <v>0</v>
      </c>
      <c r="IQ30" s="316">
        <f t="shared" si="6"/>
        <v>0</v>
      </c>
      <c r="IT30" s="234">
        <v>34678.5</v>
      </c>
      <c r="IU30" s="234"/>
      <c r="IV30" s="979">
        <v>28</v>
      </c>
      <c r="IW30" s="981">
        <f t="shared" si="2"/>
        <v>0</v>
      </c>
      <c r="IX30" s="977">
        <f t="shared" si="4"/>
        <v>0</v>
      </c>
      <c r="IY30" s="978" t="str">
        <f t="shared" si="5"/>
        <v>Mikhuna</v>
      </c>
    </row>
    <row r="31" spans="1:259" ht="9.6" customHeight="1">
      <c r="A31" s="195" t="s">
        <v>76</v>
      </c>
      <c r="B31" s="252"/>
      <c r="C31" s="252"/>
      <c r="D31" s="252"/>
      <c r="E31" s="252"/>
      <c r="F31" s="252"/>
      <c r="G31" s="252"/>
      <c r="H31" s="252"/>
      <c r="I31" s="252"/>
      <c r="J31" s="252"/>
      <c r="K31" s="252"/>
      <c r="L31" s="252"/>
      <c r="M31" s="252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  <c r="AA31" s="252"/>
      <c r="AB31" s="252"/>
      <c r="AC31" s="252"/>
      <c r="AD31" s="252"/>
      <c r="AE31" s="252"/>
      <c r="AF31" s="252"/>
      <c r="AG31" s="252"/>
      <c r="AH31" s="252"/>
      <c r="AI31" s="252"/>
      <c r="AJ31" s="252"/>
      <c r="AK31" s="252"/>
      <c r="AL31" s="252"/>
      <c r="AM31" s="252"/>
      <c r="AN31" s="252"/>
      <c r="AO31" s="252"/>
      <c r="AP31" s="252"/>
      <c r="AQ31" s="252"/>
      <c r="AR31" s="252"/>
      <c r="AS31" s="252"/>
      <c r="AT31" s="252"/>
      <c r="AU31" s="252"/>
      <c r="AV31" s="252"/>
      <c r="AW31" s="252"/>
      <c r="AX31" s="252"/>
      <c r="AY31" s="252"/>
      <c r="AZ31" s="252"/>
      <c r="BA31" s="252"/>
      <c r="BB31" s="252"/>
      <c r="BC31" s="252"/>
      <c r="BD31" s="252"/>
      <c r="BE31" s="252"/>
      <c r="BF31" s="252"/>
      <c r="BG31" s="252"/>
      <c r="BH31" s="252"/>
      <c r="BI31" s="252"/>
      <c r="BJ31" s="252"/>
      <c r="BK31" s="252"/>
      <c r="BL31" s="252"/>
      <c r="BM31" s="252"/>
      <c r="BN31" s="252"/>
      <c r="BO31" s="252"/>
      <c r="BP31" s="252"/>
      <c r="BQ31" s="252"/>
      <c r="BR31" s="1131"/>
      <c r="BS31" s="1131"/>
      <c r="BT31" s="1131"/>
      <c r="BU31" s="1131"/>
      <c r="BV31" s="252"/>
      <c r="BW31" s="252"/>
      <c r="BX31" s="252"/>
      <c r="BY31" s="252"/>
      <c r="BZ31" s="252"/>
      <c r="CA31" s="252"/>
      <c r="CB31" s="252"/>
      <c r="CC31" s="252"/>
      <c r="CD31" s="252"/>
      <c r="CE31" s="252"/>
      <c r="CF31" s="252"/>
      <c r="CG31" s="252"/>
      <c r="CH31" s="252"/>
      <c r="CI31" s="1139"/>
      <c r="CJ31" s="252"/>
      <c r="CK31" s="252"/>
      <c r="CL31" s="252"/>
      <c r="CM31" s="252"/>
      <c r="CN31" s="252"/>
      <c r="CO31" s="1166"/>
      <c r="CP31" s="1166"/>
      <c r="CQ31" s="252"/>
      <c r="CR31" s="252"/>
      <c r="CS31" s="252"/>
      <c r="CT31" s="252"/>
      <c r="CU31" s="252"/>
      <c r="CV31" s="252"/>
      <c r="CW31" s="252"/>
      <c r="CX31" s="252"/>
      <c r="CY31" s="252"/>
      <c r="CZ31" s="252"/>
      <c r="DA31" s="252"/>
      <c r="DB31" s="252"/>
      <c r="DC31" s="252"/>
      <c r="DD31" s="252"/>
      <c r="DE31" s="252"/>
      <c r="DF31" s="252"/>
      <c r="DG31" s="252"/>
      <c r="DH31" s="252"/>
      <c r="DI31" s="252"/>
      <c r="DJ31" s="252"/>
      <c r="DK31" s="252"/>
      <c r="DL31" s="252"/>
      <c r="DM31" s="252"/>
      <c r="DN31" s="252"/>
      <c r="DO31" s="252"/>
      <c r="DP31" s="252"/>
      <c r="DQ31" s="252"/>
      <c r="DR31" s="252"/>
      <c r="DS31" s="252"/>
      <c r="DT31" s="252"/>
      <c r="DU31" s="252"/>
      <c r="DV31" s="252"/>
      <c r="DW31" s="252"/>
      <c r="DX31" s="1166"/>
      <c r="DY31" s="1166"/>
      <c r="DZ31" s="1196"/>
      <c r="EA31" s="252"/>
      <c r="EB31" s="252"/>
      <c r="EC31" s="252"/>
      <c r="ED31" s="252"/>
      <c r="EE31" s="252"/>
      <c r="EF31" s="252"/>
      <c r="EG31" s="252"/>
      <c r="EH31" s="252"/>
      <c r="EI31" s="252"/>
      <c r="EJ31" s="252"/>
      <c r="EK31" s="252"/>
      <c r="EL31" s="252"/>
      <c r="EM31" s="252"/>
      <c r="EN31" s="252"/>
      <c r="EO31" s="252"/>
      <c r="EP31" s="252"/>
      <c r="EQ31" s="252"/>
      <c r="ER31" s="252"/>
      <c r="ES31" s="252"/>
      <c r="ET31" s="252"/>
      <c r="EU31" s="252"/>
      <c r="EV31" s="252"/>
      <c r="EW31" s="252"/>
      <c r="EX31" s="252"/>
      <c r="EY31" s="252"/>
      <c r="EZ31" s="252"/>
      <c r="FA31" s="252"/>
      <c r="FB31" s="252"/>
      <c r="FC31" s="252"/>
      <c r="FD31" s="252"/>
      <c r="FE31" s="252"/>
      <c r="FF31" s="1218"/>
      <c r="FG31" s="1218"/>
      <c r="FH31" s="1218"/>
      <c r="FI31" s="1218"/>
      <c r="FJ31" s="1218"/>
      <c r="FK31" s="1218"/>
      <c r="FL31" s="1218"/>
      <c r="FM31" s="1218"/>
      <c r="FN31" s="1218"/>
      <c r="FO31" s="252"/>
      <c r="FP31" s="252"/>
      <c r="FQ31" s="252"/>
      <c r="FR31" s="252"/>
      <c r="FS31" s="252"/>
      <c r="FT31" s="252"/>
      <c r="FU31" s="252"/>
      <c r="FV31" s="252"/>
      <c r="FW31" s="252"/>
      <c r="FX31" s="252"/>
      <c r="FY31" s="252"/>
      <c r="FZ31" s="252"/>
      <c r="GA31" s="252"/>
      <c r="GB31" s="252"/>
      <c r="GC31" s="252"/>
      <c r="GD31" s="252"/>
      <c r="GE31" s="252"/>
      <c r="GF31" s="252"/>
      <c r="GG31" s="252"/>
      <c r="GH31" s="252"/>
      <c r="GI31" s="252"/>
      <c r="GJ31" s="252"/>
      <c r="GK31" s="252"/>
      <c r="GL31" s="252"/>
      <c r="GM31" s="252"/>
      <c r="GN31" s="252"/>
      <c r="GO31" s="252"/>
      <c r="GP31" s="252"/>
      <c r="GQ31" s="252"/>
      <c r="GR31" s="252"/>
      <c r="GS31" s="252"/>
      <c r="GT31" s="252"/>
      <c r="GU31" s="252"/>
      <c r="GV31" s="252"/>
      <c r="GW31" s="252"/>
      <c r="GX31" s="252"/>
      <c r="GY31" s="252"/>
      <c r="GZ31" s="252"/>
      <c r="HA31" s="252"/>
      <c r="HB31" s="252"/>
      <c r="HC31" s="252"/>
      <c r="HD31" s="252"/>
      <c r="HE31" s="252"/>
      <c r="HF31" s="252"/>
      <c r="HG31" s="252"/>
      <c r="HH31" s="252"/>
      <c r="HI31" s="252"/>
      <c r="HJ31" s="252"/>
      <c r="HK31" s="252"/>
      <c r="HL31" s="252"/>
      <c r="HM31" s="252"/>
      <c r="HN31" s="252"/>
      <c r="HO31" s="252"/>
      <c r="HP31" s="252"/>
      <c r="HQ31" s="252"/>
      <c r="HR31" s="252"/>
      <c r="HS31" s="252"/>
      <c r="HT31" s="252"/>
      <c r="HU31" s="252"/>
      <c r="HV31" s="252"/>
      <c r="HW31" s="252"/>
      <c r="HX31" s="252"/>
      <c r="HY31" s="252"/>
      <c r="HZ31" s="252"/>
      <c r="IA31" s="252"/>
      <c r="IB31" s="252"/>
      <c r="IC31" s="252"/>
      <c r="ID31" s="252"/>
      <c r="IE31" s="252"/>
      <c r="IF31" s="252"/>
      <c r="IG31" s="252"/>
      <c r="IH31" s="252"/>
      <c r="II31" s="252"/>
      <c r="IJ31" s="252"/>
      <c r="IK31" s="252"/>
      <c r="IL31" s="189">
        <f t="shared" si="0"/>
        <v>0</v>
      </c>
      <c r="IM31" s="961">
        <f>449000-IL31+350000</f>
        <v>799000</v>
      </c>
      <c r="IN31" s="194" t="str">
        <f t="shared" si="1"/>
        <v>ML Eats Burger</v>
      </c>
      <c r="IP31" s="234">
        <f t="shared" si="3"/>
        <v>0</v>
      </c>
      <c r="IQ31" s="316">
        <f t="shared" si="6"/>
        <v>0</v>
      </c>
      <c r="IT31" s="234">
        <v>2774</v>
      </c>
      <c r="IU31" s="234"/>
      <c r="IV31" s="979">
        <v>29</v>
      </c>
      <c r="IW31" s="981">
        <f t="shared" si="2"/>
        <v>0</v>
      </c>
      <c r="IX31" s="977">
        <f t="shared" si="4"/>
        <v>0</v>
      </c>
      <c r="IY31" s="978" t="str">
        <f t="shared" si="5"/>
        <v>ML Eats Burger</v>
      </c>
    </row>
    <row r="32" spans="1:259" ht="9.6" customHeight="1">
      <c r="A32" s="195" t="s">
        <v>335</v>
      </c>
      <c r="B32" s="252"/>
      <c r="C32" s="252"/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  <c r="AA32" s="252"/>
      <c r="AB32" s="252"/>
      <c r="AC32" s="252"/>
      <c r="AD32" s="252"/>
      <c r="AE32" s="252"/>
      <c r="AF32" s="252"/>
      <c r="AG32" s="252"/>
      <c r="AH32" s="252"/>
      <c r="AI32" s="252"/>
      <c r="AJ32" s="252"/>
      <c r="AK32" s="252"/>
      <c r="AL32" s="252"/>
      <c r="AM32" s="252"/>
      <c r="AN32" s="252"/>
      <c r="AO32" s="252"/>
      <c r="AP32" s="252"/>
      <c r="AQ32" s="252"/>
      <c r="AR32" s="252"/>
      <c r="AS32" s="252"/>
      <c r="AT32" s="252"/>
      <c r="AU32" s="252"/>
      <c r="AV32" s="252"/>
      <c r="AW32" s="252"/>
      <c r="AX32" s="252"/>
      <c r="AY32" s="252"/>
      <c r="AZ32" s="252"/>
      <c r="BA32" s="252"/>
      <c r="BB32" s="252"/>
      <c r="BC32" s="252"/>
      <c r="BD32" s="252"/>
      <c r="BE32" s="252"/>
      <c r="BF32" s="252"/>
      <c r="BG32" s="252"/>
      <c r="BH32" s="252"/>
      <c r="BI32" s="252"/>
      <c r="BJ32" s="252"/>
      <c r="BK32" s="252"/>
      <c r="BL32" s="252"/>
      <c r="BM32" s="252"/>
      <c r="BN32" s="252"/>
      <c r="BO32" s="252"/>
      <c r="BP32" s="252"/>
      <c r="BQ32" s="252"/>
      <c r="BR32" s="1131"/>
      <c r="BS32" s="1131"/>
      <c r="BT32" s="1131"/>
      <c r="BU32" s="1131"/>
      <c r="BV32" s="252"/>
      <c r="BW32" s="252"/>
      <c r="BX32" s="252"/>
      <c r="BY32" s="252"/>
      <c r="BZ32" s="252"/>
      <c r="CA32" s="252"/>
      <c r="CB32" s="252"/>
      <c r="CC32" s="252"/>
      <c r="CD32" s="252"/>
      <c r="CE32" s="252"/>
      <c r="CF32" s="252"/>
      <c r="CG32" s="252"/>
      <c r="CH32" s="252"/>
      <c r="CI32" s="1139"/>
      <c r="CJ32" s="252"/>
      <c r="CK32" s="252"/>
      <c r="CL32" s="252"/>
      <c r="CM32" s="252"/>
      <c r="CN32" s="252"/>
      <c r="CO32" s="1166"/>
      <c r="CP32" s="1166"/>
      <c r="CQ32" s="252"/>
      <c r="CR32" s="252"/>
      <c r="CS32" s="252"/>
      <c r="CT32" s="252"/>
      <c r="CU32" s="252"/>
      <c r="CV32" s="252"/>
      <c r="CW32" s="252"/>
      <c r="CX32" s="252"/>
      <c r="CY32" s="252"/>
      <c r="CZ32" s="252"/>
      <c r="DA32" s="252"/>
      <c r="DB32" s="252"/>
      <c r="DC32" s="252"/>
      <c r="DD32" s="252"/>
      <c r="DE32" s="252"/>
      <c r="DF32" s="252"/>
      <c r="DG32" s="252"/>
      <c r="DH32" s="252"/>
      <c r="DI32" s="252"/>
      <c r="DJ32" s="252"/>
      <c r="DK32" s="252"/>
      <c r="DL32" s="252"/>
      <c r="DM32" s="252"/>
      <c r="DN32" s="252"/>
      <c r="DO32" s="252"/>
      <c r="DP32" s="252"/>
      <c r="DQ32" s="252"/>
      <c r="DR32" s="252"/>
      <c r="DS32" s="252"/>
      <c r="DT32" s="252"/>
      <c r="DU32" s="252"/>
      <c r="DV32" s="252"/>
      <c r="DW32" s="252"/>
      <c r="DX32" s="1166"/>
      <c r="DY32" s="1166"/>
      <c r="DZ32" s="1196"/>
      <c r="EA32" s="252"/>
      <c r="EB32" s="252"/>
      <c r="EC32" s="252"/>
      <c r="ED32" s="252"/>
      <c r="EE32" s="252"/>
      <c r="EF32" s="252"/>
      <c r="EG32" s="252"/>
      <c r="EH32" s="252"/>
      <c r="EI32" s="252"/>
      <c r="EJ32" s="252"/>
      <c r="EK32" s="252"/>
      <c r="EL32" s="252"/>
      <c r="EM32" s="252"/>
      <c r="EN32" s="252"/>
      <c r="EO32" s="252"/>
      <c r="EP32" s="252"/>
      <c r="EQ32" s="252"/>
      <c r="ER32" s="252"/>
      <c r="ES32" s="252"/>
      <c r="ET32" s="252"/>
      <c r="EU32" s="252"/>
      <c r="EV32" s="252"/>
      <c r="EW32" s="252"/>
      <c r="EX32" s="252"/>
      <c r="EY32" s="252"/>
      <c r="EZ32" s="252"/>
      <c r="FA32" s="252"/>
      <c r="FB32" s="252"/>
      <c r="FC32" s="252"/>
      <c r="FD32" s="252"/>
      <c r="FE32" s="252"/>
      <c r="FF32" s="1218"/>
      <c r="FG32" s="1218"/>
      <c r="FH32" s="1218"/>
      <c r="FI32" s="1218"/>
      <c r="FJ32" s="1218"/>
      <c r="FK32" s="1218"/>
      <c r="FL32" s="1218"/>
      <c r="FM32" s="1218"/>
      <c r="FN32" s="1218"/>
      <c r="FO32" s="252"/>
      <c r="FP32" s="252"/>
      <c r="FQ32" s="252"/>
      <c r="FR32" s="252"/>
      <c r="FS32" s="252"/>
      <c r="FT32" s="252"/>
      <c r="FU32" s="252"/>
      <c r="FV32" s="252"/>
      <c r="FW32" s="252"/>
      <c r="FX32" s="252"/>
      <c r="FY32" s="252"/>
      <c r="FZ32" s="252"/>
      <c r="GA32" s="252"/>
      <c r="GB32" s="252"/>
      <c r="GC32" s="252"/>
      <c r="GD32" s="252"/>
      <c r="GE32" s="252"/>
      <c r="GF32" s="252"/>
      <c r="GG32" s="252"/>
      <c r="GH32" s="252"/>
      <c r="GI32" s="252"/>
      <c r="GJ32" s="252"/>
      <c r="GK32" s="252"/>
      <c r="GL32" s="252"/>
      <c r="GM32" s="252"/>
      <c r="GN32" s="252"/>
      <c r="GO32" s="252"/>
      <c r="GP32" s="252"/>
      <c r="GQ32" s="252"/>
      <c r="GR32" s="252"/>
      <c r="GS32" s="252"/>
      <c r="GT32" s="252"/>
      <c r="GU32" s="252"/>
      <c r="GV32" s="252"/>
      <c r="GW32" s="252"/>
      <c r="GX32" s="252"/>
      <c r="GY32" s="252"/>
      <c r="GZ32" s="252"/>
      <c r="HA32" s="252"/>
      <c r="HB32" s="252"/>
      <c r="HC32" s="252"/>
      <c r="HD32" s="252"/>
      <c r="HE32" s="252"/>
      <c r="HF32" s="252"/>
      <c r="HG32" s="252"/>
      <c r="HH32" s="252"/>
      <c r="HI32" s="252"/>
      <c r="HJ32" s="252"/>
      <c r="HK32" s="252"/>
      <c r="HL32" s="252"/>
      <c r="HM32" s="252"/>
      <c r="HN32" s="252"/>
      <c r="HO32" s="252"/>
      <c r="HP32" s="252"/>
      <c r="HQ32" s="252"/>
      <c r="HR32" s="252"/>
      <c r="HS32" s="252"/>
      <c r="HT32" s="252"/>
      <c r="HU32" s="252"/>
      <c r="HV32" s="252"/>
      <c r="HW32" s="252"/>
      <c r="HX32" s="252"/>
      <c r="HY32" s="252"/>
      <c r="HZ32" s="252"/>
      <c r="IA32" s="252"/>
      <c r="IB32" s="252"/>
      <c r="IC32" s="252"/>
      <c r="ID32" s="252"/>
      <c r="IE32" s="252"/>
      <c r="IF32" s="252"/>
      <c r="IG32" s="252"/>
      <c r="IH32" s="252"/>
      <c r="II32" s="252"/>
      <c r="IJ32" s="252"/>
      <c r="IK32" s="252"/>
      <c r="IL32" s="189">
        <f t="shared" si="0"/>
        <v>0</v>
      </c>
      <c r="IM32" s="189">
        <v>99000</v>
      </c>
      <c r="IN32" s="194" t="str">
        <f t="shared" si="1"/>
        <v>Mumu's</v>
      </c>
      <c r="IP32" s="234">
        <f t="shared" si="3"/>
        <v>0</v>
      </c>
      <c r="IQ32" s="316">
        <f t="shared" si="6"/>
        <v>0</v>
      </c>
      <c r="IT32" s="234"/>
      <c r="IU32" s="234"/>
      <c r="IV32" s="979">
        <v>30</v>
      </c>
      <c r="IW32" s="981">
        <f t="shared" si="2"/>
        <v>0</v>
      </c>
      <c r="IX32" s="977">
        <f t="shared" si="4"/>
        <v>0</v>
      </c>
      <c r="IY32" s="978" t="str">
        <f t="shared" si="5"/>
        <v>Mumu's</v>
      </c>
    </row>
    <row r="33" spans="1:259" ht="10.15" customHeight="1">
      <c r="A33" s="195" t="s">
        <v>186</v>
      </c>
      <c r="B33" s="252"/>
      <c r="C33" s="252"/>
      <c r="D33" s="252"/>
      <c r="E33" s="252"/>
      <c r="F33" s="252"/>
      <c r="G33" s="252"/>
      <c r="H33" s="252"/>
      <c r="I33" s="252"/>
      <c r="J33" s="252"/>
      <c r="K33" s="252"/>
      <c r="L33" s="252"/>
      <c r="M33" s="252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  <c r="AA33" s="252"/>
      <c r="AB33" s="252"/>
      <c r="AC33" s="252"/>
      <c r="AD33" s="252"/>
      <c r="AE33" s="252"/>
      <c r="AF33" s="252"/>
      <c r="AG33" s="252"/>
      <c r="AH33" s="252"/>
      <c r="AI33" s="252"/>
      <c r="AJ33" s="252"/>
      <c r="AK33" s="252"/>
      <c r="AL33" s="252"/>
      <c r="AM33" s="252"/>
      <c r="AN33" s="252"/>
      <c r="AO33" s="252"/>
      <c r="AP33" s="252"/>
      <c r="AQ33" s="252"/>
      <c r="AR33" s="252"/>
      <c r="AS33" s="252"/>
      <c r="AT33" s="252"/>
      <c r="AU33" s="252"/>
      <c r="AV33" s="252"/>
      <c r="AW33" s="252"/>
      <c r="AX33" s="252"/>
      <c r="AY33" s="252"/>
      <c r="AZ33" s="252"/>
      <c r="BA33" s="252"/>
      <c r="BB33" s="252"/>
      <c r="BC33" s="252"/>
      <c r="BD33" s="252"/>
      <c r="BE33" s="252"/>
      <c r="BF33" s="252"/>
      <c r="BG33" s="252"/>
      <c r="BH33" s="252"/>
      <c r="BI33" s="252"/>
      <c r="BJ33" s="252"/>
      <c r="BK33" s="252"/>
      <c r="BL33" s="252"/>
      <c r="BM33" s="252"/>
      <c r="BN33" s="252"/>
      <c r="BO33" s="252"/>
      <c r="BP33" s="252"/>
      <c r="BQ33" s="252"/>
      <c r="BR33" s="1131"/>
      <c r="BS33" s="1131"/>
      <c r="BT33" s="1131"/>
      <c r="BU33" s="1131"/>
      <c r="BV33" s="252"/>
      <c r="BW33" s="252"/>
      <c r="BX33" s="252"/>
      <c r="BY33" s="252"/>
      <c r="BZ33" s="252"/>
      <c r="CA33" s="252"/>
      <c r="CB33" s="252"/>
      <c r="CC33" s="252"/>
      <c r="CD33" s="252"/>
      <c r="CE33" s="252"/>
      <c r="CF33" s="252"/>
      <c r="CG33" s="252"/>
      <c r="CH33" s="252"/>
      <c r="CI33" s="1139"/>
      <c r="CJ33" s="252"/>
      <c r="CK33" s="252"/>
      <c r="CL33" s="252"/>
      <c r="CM33" s="252"/>
      <c r="CN33" s="252"/>
      <c r="CO33" s="1166"/>
      <c r="CP33" s="1166"/>
      <c r="CQ33" s="252"/>
      <c r="CR33" s="252"/>
      <c r="CS33" s="252"/>
      <c r="CT33" s="252"/>
      <c r="CU33" s="252"/>
      <c r="CV33" s="252"/>
      <c r="CW33" s="252"/>
      <c r="CX33" s="252"/>
      <c r="CY33" s="252"/>
      <c r="CZ33" s="252"/>
      <c r="DA33" s="252"/>
      <c r="DB33" s="252"/>
      <c r="DC33" s="252"/>
      <c r="DD33" s="252"/>
      <c r="DE33" s="252"/>
      <c r="DF33" s="252"/>
      <c r="DG33" s="252"/>
      <c r="DH33" s="252"/>
      <c r="DI33" s="252"/>
      <c r="DJ33" s="252"/>
      <c r="DK33" s="252"/>
      <c r="DL33" s="252"/>
      <c r="DM33" s="252"/>
      <c r="DN33" s="252"/>
      <c r="DO33" s="252"/>
      <c r="DP33" s="252"/>
      <c r="DQ33" s="252"/>
      <c r="DR33" s="252"/>
      <c r="DS33" s="252"/>
      <c r="DT33" s="252"/>
      <c r="DU33" s="252"/>
      <c r="DV33" s="252"/>
      <c r="DW33" s="252"/>
      <c r="DX33" s="1166"/>
      <c r="DY33" s="1166"/>
      <c r="DZ33" s="1196"/>
      <c r="EA33" s="252"/>
      <c r="EB33" s="252"/>
      <c r="EC33" s="252"/>
      <c r="ED33" s="252"/>
      <c r="EE33" s="252"/>
      <c r="EF33" s="252"/>
      <c r="EG33" s="252"/>
      <c r="EH33" s="252"/>
      <c r="EI33" s="252"/>
      <c r="EJ33" s="252"/>
      <c r="EK33" s="252"/>
      <c r="EL33" s="252"/>
      <c r="EM33" s="252"/>
      <c r="EN33" s="252"/>
      <c r="EO33" s="252"/>
      <c r="EP33" s="252"/>
      <c r="EQ33" s="252"/>
      <c r="ER33" s="252"/>
      <c r="ES33" s="252"/>
      <c r="ET33" s="252"/>
      <c r="EU33" s="252"/>
      <c r="EV33" s="252"/>
      <c r="EW33" s="252"/>
      <c r="EX33" s="252"/>
      <c r="EY33" s="252"/>
      <c r="EZ33" s="252"/>
      <c r="FA33" s="252"/>
      <c r="FB33" s="252"/>
      <c r="FC33" s="252"/>
      <c r="FD33" s="252"/>
      <c r="FE33" s="252"/>
      <c r="FF33" s="1218"/>
      <c r="FG33" s="1218"/>
      <c r="FH33" s="1218"/>
      <c r="FI33" s="1218"/>
      <c r="FJ33" s="1218"/>
      <c r="FK33" s="1218"/>
      <c r="FL33" s="1218"/>
      <c r="FM33" s="1218"/>
      <c r="FN33" s="1218"/>
      <c r="FO33" s="252"/>
      <c r="FP33" s="252"/>
      <c r="FQ33" s="252"/>
      <c r="FR33" s="252"/>
      <c r="FS33" s="252"/>
      <c r="FT33" s="252"/>
      <c r="FU33" s="252"/>
      <c r="FV33" s="252"/>
      <c r="FW33" s="252"/>
      <c r="FX33" s="252"/>
      <c r="FY33" s="252"/>
      <c r="FZ33" s="252"/>
      <c r="GA33" s="252"/>
      <c r="GB33" s="252"/>
      <c r="GC33" s="252"/>
      <c r="GD33" s="252"/>
      <c r="GE33" s="252"/>
      <c r="GF33" s="252"/>
      <c r="GG33" s="252"/>
      <c r="GH33" s="252"/>
      <c r="GI33" s="252"/>
      <c r="GJ33" s="252"/>
      <c r="GK33" s="252"/>
      <c r="GL33" s="252"/>
      <c r="GM33" s="252"/>
      <c r="GN33" s="252"/>
      <c r="GO33" s="252"/>
      <c r="GP33" s="252"/>
      <c r="GQ33" s="252"/>
      <c r="GR33" s="252"/>
      <c r="GS33" s="252"/>
      <c r="GT33" s="252"/>
      <c r="GU33" s="252"/>
      <c r="GV33" s="252"/>
      <c r="GW33" s="252"/>
      <c r="GX33" s="252"/>
      <c r="GY33" s="252"/>
      <c r="GZ33" s="252"/>
      <c r="HA33" s="252"/>
      <c r="HB33" s="252"/>
      <c r="HC33" s="252"/>
      <c r="HD33" s="252"/>
      <c r="HE33" s="252"/>
      <c r="HF33" s="252"/>
      <c r="HG33" s="252"/>
      <c r="HH33" s="252"/>
      <c r="HI33" s="252"/>
      <c r="HJ33" s="252"/>
      <c r="HK33" s="252"/>
      <c r="HL33" s="252"/>
      <c r="HM33" s="252"/>
      <c r="HN33" s="252"/>
      <c r="HO33" s="252"/>
      <c r="HP33" s="252"/>
      <c r="HQ33" s="252"/>
      <c r="HR33" s="252"/>
      <c r="HS33" s="252"/>
      <c r="HT33" s="252"/>
      <c r="HU33" s="252"/>
      <c r="HV33" s="252"/>
      <c r="HW33" s="252"/>
      <c r="HX33" s="252"/>
      <c r="HY33" s="252"/>
      <c r="HZ33" s="252"/>
      <c r="IA33" s="252"/>
      <c r="IB33" s="252"/>
      <c r="IC33" s="252"/>
      <c r="ID33" s="252"/>
      <c r="IE33" s="252"/>
      <c r="IF33" s="252"/>
      <c r="IG33" s="252"/>
      <c r="IH33" s="252"/>
      <c r="II33" s="252"/>
      <c r="IJ33" s="252"/>
      <c r="IK33" s="252"/>
      <c r="IL33" s="189">
        <f t="shared" si="0"/>
        <v>0</v>
      </c>
      <c r="IM33" s="961">
        <f>100000-IL33</f>
        <v>100000</v>
      </c>
      <c r="IN33" s="194" t="str">
        <f t="shared" si="1"/>
        <v>Ohana Hibachi</v>
      </c>
      <c r="IP33" s="234">
        <f t="shared" si="3"/>
        <v>0</v>
      </c>
      <c r="IQ33" s="316">
        <f t="shared" si="6"/>
        <v>0</v>
      </c>
      <c r="IT33" s="234">
        <v>29265</v>
      </c>
      <c r="IU33" s="234"/>
      <c r="IV33" s="979">
        <v>31</v>
      </c>
      <c r="IW33" s="981">
        <f t="shared" si="2"/>
        <v>0</v>
      </c>
      <c r="IX33" s="977">
        <f t="shared" si="4"/>
        <v>0</v>
      </c>
      <c r="IY33" s="978" t="str">
        <f t="shared" si="5"/>
        <v>Ohana Hibachi</v>
      </c>
    </row>
    <row r="34" spans="1:259" ht="10.15" customHeight="1">
      <c r="A34" s="195" t="s">
        <v>44</v>
      </c>
      <c r="B34" s="252"/>
      <c r="C34" s="252"/>
      <c r="D34" s="589">
        <f>'9.18.22'!E14+'9.18.22'!E28</f>
        <v>1662.5</v>
      </c>
      <c r="E34" s="640"/>
      <c r="F34" s="640"/>
      <c r="G34" s="640"/>
      <c r="H34" s="640"/>
      <c r="I34" s="640">
        <f>'9.23.22'!E18</f>
        <v>1729</v>
      </c>
      <c r="J34" s="640"/>
      <c r="K34" s="640">
        <f>'9.25.22'!E17</f>
        <v>2536.5</v>
      </c>
      <c r="L34" s="702">
        <f>'9.26.22'!E29</f>
        <v>1254</v>
      </c>
      <c r="M34" s="702">
        <f>'9.27.22'!E17</f>
        <v>2460.5</v>
      </c>
      <c r="N34" s="702"/>
      <c r="O34" s="702"/>
      <c r="P34" s="702"/>
      <c r="Q34" s="702"/>
      <c r="R34" s="702">
        <f>'10.02.22'!E29</f>
        <v>845.5</v>
      </c>
      <c r="S34" s="738">
        <f>'10.03.22'!E19</f>
        <v>2413</v>
      </c>
      <c r="T34" s="738">
        <f>'10.04.22'!E31</f>
        <v>1273</v>
      </c>
      <c r="U34" s="738"/>
      <c r="V34" s="738">
        <f>'10.06.22'!E29</f>
        <v>1520</v>
      </c>
      <c r="W34" s="738"/>
      <c r="X34" s="738"/>
      <c r="Y34" s="738"/>
      <c r="Z34" s="589"/>
      <c r="AA34" s="589"/>
      <c r="AB34" s="589"/>
      <c r="AC34" s="589">
        <f>'10.13.22'!E10</f>
        <v>2451</v>
      </c>
      <c r="AD34" s="589">
        <f>'10.14.22'!E20+'10.14.22'!E30</f>
        <v>2745.5</v>
      </c>
      <c r="AE34" s="589"/>
      <c r="AF34" s="589">
        <f>'10.16.22'!E8</f>
        <v>2783.5</v>
      </c>
      <c r="AG34" s="252"/>
      <c r="AH34" s="252"/>
      <c r="AI34" s="252"/>
      <c r="AJ34" s="252"/>
      <c r="AK34" s="252"/>
      <c r="AL34" s="252"/>
      <c r="AM34" s="252"/>
      <c r="AN34" s="702"/>
      <c r="AO34" s="702"/>
      <c r="AP34" s="702">
        <f>'10.26.22'!E9</f>
        <v>1757.5</v>
      </c>
      <c r="AQ34" s="702"/>
      <c r="AR34" s="702">
        <f>'10.28.22'!E20+'10.28.22'!E30</f>
        <v>2166</v>
      </c>
      <c r="AS34" s="702"/>
      <c r="AT34" s="702"/>
      <c r="AU34" s="738">
        <f>'10.31.22'!E19+'10.31.22'!E30</f>
        <v>3648</v>
      </c>
      <c r="AV34" s="738"/>
      <c r="AW34" s="738"/>
      <c r="AX34" s="738"/>
      <c r="AY34" s="738"/>
      <c r="AZ34" s="738">
        <f>'11.05.22'!E27</f>
        <v>1985.5</v>
      </c>
      <c r="BA34" s="738"/>
      <c r="BB34" s="589">
        <f>'11.07.22'!E30</f>
        <v>2261</v>
      </c>
      <c r="BC34" s="589">
        <f>'11.08.22'!E29</f>
        <v>1881</v>
      </c>
      <c r="BD34" s="589"/>
      <c r="BE34" s="589">
        <f>'11.10.22'!E17</f>
        <v>2821.5</v>
      </c>
      <c r="BF34" s="589"/>
      <c r="BG34" s="589"/>
      <c r="BH34" s="589"/>
      <c r="BI34" s="640"/>
      <c r="BJ34" s="640"/>
      <c r="BK34" s="640"/>
      <c r="BL34" s="640"/>
      <c r="BM34" s="640"/>
      <c r="BN34" s="640">
        <f>'11.19.22'!E29</f>
        <v>2546</v>
      </c>
      <c r="BO34" s="640">
        <f>'11.20.22'!E30</f>
        <v>2080.5</v>
      </c>
      <c r="BP34" s="252"/>
      <c r="BQ34" s="252"/>
      <c r="BR34" s="1131"/>
      <c r="BS34" s="1131"/>
      <c r="BT34" s="1131"/>
      <c r="BU34" s="1131"/>
      <c r="BV34" s="252"/>
      <c r="BW34" s="738"/>
      <c r="BX34" s="738"/>
      <c r="BY34" s="738"/>
      <c r="BZ34" s="738"/>
      <c r="CA34" s="738"/>
      <c r="CB34" s="738"/>
      <c r="CC34" s="738">
        <f>'12.04.22'!E29</f>
        <v>3087.5</v>
      </c>
      <c r="CD34" s="252"/>
      <c r="CE34" s="252"/>
      <c r="CF34" s="252"/>
      <c r="CG34" s="252"/>
      <c r="CH34" s="252"/>
      <c r="CI34" s="640"/>
      <c r="CJ34" s="640"/>
      <c r="CK34" s="640"/>
      <c r="CL34" s="640">
        <f>'1.11.23'!E17</f>
        <v>2232.5</v>
      </c>
      <c r="CM34" s="640"/>
      <c r="CN34" s="640"/>
      <c r="CO34" s="1166"/>
      <c r="CP34" s="1166"/>
      <c r="CQ34" s="252"/>
      <c r="CR34" s="252"/>
      <c r="CS34" s="252"/>
      <c r="CT34" s="252"/>
      <c r="CU34" s="252"/>
      <c r="CV34" s="252"/>
      <c r="CW34" s="252"/>
      <c r="CX34" s="738"/>
      <c r="CY34" s="738"/>
      <c r="CZ34" s="738">
        <f>'1.25.23'!E9</f>
        <v>2128</v>
      </c>
      <c r="DA34" s="738"/>
      <c r="DB34" s="738"/>
      <c r="DC34" s="738"/>
      <c r="DD34" s="738"/>
      <c r="DE34" s="589"/>
      <c r="DF34" s="589">
        <f>'1.31.23'!E17</f>
        <v>3106.5</v>
      </c>
      <c r="DG34" s="589">
        <f>'2.01.23'!E27</f>
        <v>2840.5</v>
      </c>
      <c r="DH34" s="589"/>
      <c r="DI34" s="589"/>
      <c r="DJ34" s="589"/>
      <c r="DK34" s="589"/>
      <c r="DL34" s="640"/>
      <c r="DM34" s="640"/>
      <c r="DN34" s="640"/>
      <c r="DO34" s="640">
        <f>'2.09.23'!E27</f>
        <v>3173</v>
      </c>
      <c r="DP34" s="640"/>
      <c r="DQ34" s="640"/>
      <c r="DR34" s="640"/>
      <c r="DS34" s="702"/>
      <c r="DT34" s="702"/>
      <c r="DU34" s="702">
        <f>'2.15.23'!E9</f>
        <v>2489</v>
      </c>
      <c r="DV34" s="702"/>
      <c r="DW34" s="702"/>
      <c r="DX34" s="1166"/>
      <c r="DY34" s="1166"/>
      <c r="DZ34" s="738"/>
      <c r="EA34" s="738"/>
      <c r="EB34" s="738"/>
      <c r="EC34" s="738"/>
      <c r="ED34" s="738">
        <f>'2.24.23'!E9</f>
        <v>2384.5</v>
      </c>
      <c r="EE34" s="738"/>
      <c r="EF34" s="738">
        <f>'2.26.23'!E27</f>
        <v>2593.5</v>
      </c>
      <c r="EG34" s="252"/>
      <c r="EH34" s="252"/>
      <c r="EI34" s="252"/>
      <c r="EJ34" s="252"/>
      <c r="EK34" s="252"/>
      <c r="EL34" s="252"/>
      <c r="EM34" s="252"/>
      <c r="EN34" s="738">
        <f>'3.6.23'!E29</f>
        <v>2318</v>
      </c>
      <c r="EO34" s="738"/>
      <c r="EP34" s="738"/>
      <c r="EQ34" s="738"/>
      <c r="ER34" s="738"/>
      <c r="ES34" s="738"/>
      <c r="ET34" s="738"/>
      <c r="EU34" s="589"/>
      <c r="EV34" s="589"/>
      <c r="EW34" s="589"/>
      <c r="EX34" s="589"/>
      <c r="EY34" s="589"/>
      <c r="EZ34" s="589"/>
      <c r="FA34" s="589">
        <f>'3.19.23'!E18</f>
        <v>4360.5</v>
      </c>
      <c r="FB34" s="252"/>
      <c r="FC34" s="252"/>
      <c r="FD34" s="252"/>
      <c r="FE34" s="252"/>
      <c r="FF34" s="1218"/>
      <c r="FG34" s="1218"/>
      <c r="FH34" s="1218"/>
      <c r="FI34" s="1218"/>
      <c r="FJ34" s="1218"/>
      <c r="FK34" s="1218"/>
      <c r="FL34" s="1218"/>
      <c r="FM34" s="1218"/>
      <c r="FN34" s="1218"/>
      <c r="FO34" s="252"/>
      <c r="FP34" s="252"/>
      <c r="FQ34" s="252"/>
      <c r="FR34" s="252"/>
      <c r="FS34" s="252"/>
      <c r="FT34" s="252"/>
      <c r="FU34" s="252"/>
      <c r="FV34" s="252"/>
      <c r="FW34" s="738"/>
      <c r="FX34" s="738"/>
      <c r="FY34" s="738"/>
      <c r="FZ34" s="738">
        <f>'4.13.23'!E9</f>
        <v>2660</v>
      </c>
      <c r="GA34" s="738"/>
      <c r="GB34" s="738"/>
      <c r="GC34" s="738"/>
      <c r="GD34" s="702"/>
      <c r="GE34" s="702">
        <f>'4.18.23'!E19</f>
        <v>3515</v>
      </c>
      <c r="GF34" s="702"/>
      <c r="GG34" s="702"/>
      <c r="GH34" s="702"/>
      <c r="GI34" s="702"/>
      <c r="GJ34" s="702">
        <f>'4.23.23'!E17</f>
        <v>4180</v>
      </c>
      <c r="GK34" s="640"/>
      <c r="GL34" s="640"/>
      <c r="GM34" s="640"/>
      <c r="GN34" s="640"/>
      <c r="GO34" s="640"/>
      <c r="GP34" s="640"/>
      <c r="GQ34" s="640">
        <f>'4.30.23'!E18</f>
        <v>4588.5</v>
      </c>
      <c r="GR34" s="252"/>
      <c r="GS34" s="252"/>
      <c r="GT34" s="252"/>
      <c r="GU34" s="252"/>
      <c r="GV34" s="252"/>
      <c r="GW34" s="252"/>
      <c r="GX34" s="252"/>
      <c r="GY34" s="738"/>
      <c r="GZ34" s="738">
        <f>'5.09.23'!E7</f>
        <v>3458</v>
      </c>
      <c r="HA34" s="738"/>
      <c r="HB34" s="738"/>
      <c r="HC34" s="738"/>
      <c r="HD34" s="738"/>
      <c r="HE34" s="738">
        <f>'5.14.23'!E8</f>
        <v>3059</v>
      </c>
      <c r="HF34" s="252"/>
      <c r="HG34" s="252"/>
      <c r="HH34" s="252"/>
      <c r="HI34" s="252"/>
      <c r="HJ34" s="252"/>
      <c r="HK34" s="252"/>
      <c r="HL34" s="252"/>
      <c r="HM34" s="640"/>
      <c r="HN34" s="640">
        <f>'5.23.23'!E18</f>
        <v>4208.5</v>
      </c>
      <c r="HO34" s="640"/>
      <c r="HP34" s="640"/>
      <c r="HQ34" s="640"/>
      <c r="HR34" s="640"/>
      <c r="HS34" s="640"/>
      <c r="HT34" s="589"/>
      <c r="HU34" s="589">
        <f>'5.30.23'!E18</f>
        <v>4379.5</v>
      </c>
      <c r="HV34" s="589"/>
      <c r="HW34" s="589"/>
      <c r="HX34" s="589"/>
      <c r="HY34" s="589"/>
      <c r="HZ34" s="589"/>
      <c r="IA34" s="252">
        <f>'6.5.23'!E18</f>
        <v>4379.5</v>
      </c>
      <c r="IB34" s="252"/>
      <c r="IC34" s="252"/>
      <c r="ID34" s="252"/>
      <c r="IE34" s="252"/>
      <c r="IF34" s="252"/>
      <c r="IG34" s="252"/>
      <c r="IH34" s="252"/>
      <c r="II34" s="252"/>
      <c r="IJ34" s="252"/>
      <c r="IK34" s="252"/>
      <c r="IL34" s="189">
        <f t="shared" si="0"/>
        <v>109962.5</v>
      </c>
      <c r="IM34" s="961">
        <f>100000-IL34</f>
        <v>-9962.5</v>
      </c>
      <c r="IN34" s="194" t="str">
        <f t="shared" si="1"/>
        <v>Original Herbivore</v>
      </c>
      <c r="IP34" s="234">
        <f t="shared" si="3"/>
        <v>109962.5</v>
      </c>
      <c r="IQ34" s="316">
        <f>COUNT(B34:FZ34)+4+4</f>
        <v>41</v>
      </c>
      <c r="IT34" s="234">
        <v>96200</v>
      </c>
      <c r="IU34" s="234"/>
      <c r="IV34" s="979">
        <v>32</v>
      </c>
      <c r="IW34" s="981">
        <f t="shared" si="2"/>
        <v>11575</v>
      </c>
      <c r="IX34" s="977">
        <f t="shared" si="4"/>
        <v>109962.5</v>
      </c>
      <c r="IY34" s="978" t="str">
        <f t="shared" si="5"/>
        <v>Original Herbivore</v>
      </c>
    </row>
    <row r="35" spans="1:259" ht="10.15" customHeight="1">
      <c r="A35" s="195" t="s">
        <v>143</v>
      </c>
      <c r="B35" s="589">
        <f>'9.16.22'!E9+'9.16.22'!E23</f>
        <v>551</v>
      </c>
      <c r="C35" s="589"/>
      <c r="D35" s="589">
        <f>'9.18.22'!E15+'9.18.22'!E29</f>
        <v>3049.5</v>
      </c>
      <c r="E35" s="640"/>
      <c r="F35" s="640">
        <f>'9.20.22'!E19</f>
        <v>2964</v>
      </c>
      <c r="G35" s="640"/>
      <c r="H35" s="640"/>
      <c r="I35" s="640"/>
      <c r="J35" s="640">
        <f>'9.24.22'!E11</f>
        <v>1824</v>
      </c>
      <c r="K35" s="640"/>
      <c r="L35" s="702">
        <f>'9.26.22'!E30</f>
        <v>1539</v>
      </c>
      <c r="M35" s="702"/>
      <c r="N35" s="702"/>
      <c r="O35" s="702"/>
      <c r="P35" s="702">
        <f>'9.30.22'!E7</f>
        <v>3524.5</v>
      </c>
      <c r="Q35" s="702">
        <f>'10.01.22'!E29</f>
        <v>1007</v>
      </c>
      <c r="R35" s="702">
        <f>'10.02.22'!E11</f>
        <v>1178</v>
      </c>
      <c r="S35" s="738"/>
      <c r="T35" s="738"/>
      <c r="U35" s="738">
        <f>'10.05.22'!E29</f>
        <v>2156.5</v>
      </c>
      <c r="V35" s="738"/>
      <c r="W35" s="738"/>
      <c r="X35" s="738">
        <f>'10.08.22'!E31</f>
        <v>1482</v>
      </c>
      <c r="Y35" s="738">
        <f>'10.09.22'!E10</f>
        <v>3249</v>
      </c>
      <c r="Z35" s="589"/>
      <c r="AA35" s="589">
        <f>'10.11.22'!E8</f>
        <v>3249</v>
      </c>
      <c r="AB35" s="589"/>
      <c r="AC35" s="589"/>
      <c r="AD35" s="589"/>
      <c r="AE35" s="589">
        <f>'10.15.22'!E30</f>
        <v>1805</v>
      </c>
      <c r="AF35" s="589">
        <f>'10.16.22'!E9</f>
        <v>4389</v>
      </c>
      <c r="AG35" s="640"/>
      <c r="AH35" s="640"/>
      <c r="AI35" s="640">
        <f>'10.19.22'!E10+'10.19.22'!E20</f>
        <v>7619</v>
      </c>
      <c r="AJ35" s="640">
        <f>'10.20.22'!E17</f>
        <v>3572</v>
      </c>
      <c r="AK35" s="640"/>
      <c r="AL35" s="640"/>
      <c r="AM35" s="640">
        <f>'10.23.22'!E19</f>
        <v>4408</v>
      </c>
      <c r="AN35" s="702">
        <f>'10.24.22'!E18</f>
        <v>3800</v>
      </c>
      <c r="AO35" s="702">
        <f>'10.25.22'!E29</f>
        <v>2213.5</v>
      </c>
      <c r="AP35" s="702">
        <f>'10.26.22'!E30</f>
        <v>2023.5</v>
      </c>
      <c r="AQ35" s="702">
        <f>'10.27.22'!E18</f>
        <v>3752.5</v>
      </c>
      <c r="AR35" s="702"/>
      <c r="AS35" s="702">
        <f>'10.29.22'!E17</f>
        <v>3106.5</v>
      </c>
      <c r="AT35" s="702"/>
      <c r="AU35" s="738">
        <f>'10.31.22'!E29</f>
        <v>2280</v>
      </c>
      <c r="AV35" s="738"/>
      <c r="AW35" s="738"/>
      <c r="AX35" s="738">
        <f>'11.03.22'!E17</f>
        <v>4265.5</v>
      </c>
      <c r="AY35" s="738"/>
      <c r="AZ35" s="738">
        <f>'11.05.22'!E19</f>
        <v>4579</v>
      </c>
      <c r="BA35" s="738"/>
      <c r="BB35" s="589"/>
      <c r="BC35" s="589">
        <f>'11.08.22'!E31</f>
        <v>2555.5</v>
      </c>
      <c r="BD35" s="589">
        <f>'11.09.22'!E17+'11.09.22'!E28</f>
        <v>6393.5</v>
      </c>
      <c r="BE35" s="589"/>
      <c r="BF35" s="589"/>
      <c r="BG35" s="589"/>
      <c r="BH35" s="589"/>
      <c r="BI35" s="640">
        <f>'11.14.22'!E29</f>
        <v>2859.5</v>
      </c>
      <c r="BJ35" s="640"/>
      <c r="BK35" s="640"/>
      <c r="BL35" s="640"/>
      <c r="BM35" s="640"/>
      <c r="BN35" s="640">
        <f>'11.19.22'!E20+'11.19.22'!E30</f>
        <v>7277</v>
      </c>
      <c r="BO35" s="640"/>
      <c r="BP35" s="702">
        <f>'11.21.22'!E29</f>
        <v>3486.5</v>
      </c>
      <c r="BQ35" s="702"/>
      <c r="BR35" s="1134"/>
      <c r="BS35" s="1134"/>
      <c r="BT35" s="1134"/>
      <c r="BU35" s="1134"/>
      <c r="BV35" s="702"/>
      <c r="BW35" s="738"/>
      <c r="BX35" s="738"/>
      <c r="BY35" s="738"/>
      <c r="BZ35" s="738"/>
      <c r="CA35" s="738">
        <f>'12.02.22'!E29</f>
        <v>3458</v>
      </c>
      <c r="CB35" s="738">
        <f>'12.03.22'!E8</f>
        <v>5310.5</v>
      </c>
      <c r="CC35" s="738"/>
      <c r="CD35" s="589"/>
      <c r="CE35" s="589"/>
      <c r="CF35" s="589">
        <f>'12.07.22'!E9</f>
        <v>5700</v>
      </c>
      <c r="CG35" s="589"/>
      <c r="CH35" s="252"/>
      <c r="CI35" s="1139"/>
      <c r="CJ35" s="252"/>
      <c r="CK35" s="252"/>
      <c r="CL35" s="252"/>
      <c r="CM35" s="252"/>
      <c r="CN35" s="252"/>
      <c r="CO35" s="1166"/>
      <c r="CP35" s="1166"/>
      <c r="CQ35" s="252"/>
      <c r="CR35" s="252"/>
      <c r="CS35" s="252"/>
      <c r="CT35" s="252"/>
      <c r="CU35" s="252"/>
      <c r="CV35" s="252"/>
      <c r="CW35" s="252"/>
      <c r="CX35" s="252"/>
      <c r="CY35" s="252"/>
      <c r="CZ35" s="252"/>
      <c r="DA35" s="252"/>
      <c r="DB35" s="252"/>
      <c r="DC35" s="252"/>
      <c r="DD35" s="252"/>
      <c r="DE35" s="252"/>
      <c r="DF35" s="252"/>
      <c r="DG35" s="252"/>
      <c r="DH35" s="252"/>
      <c r="DI35" s="252"/>
      <c r="DJ35" s="252"/>
      <c r="DK35" s="252"/>
      <c r="DL35" s="252"/>
      <c r="DM35" s="252"/>
      <c r="DN35" s="252"/>
      <c r="DO35" s="252"/>
      <c r="DP35" s="252"/>
      <c r="DQ35" s="252"/>
      <c r="DR35" s="252"/>
      <c r="DS35" s="252"/>
      <c r="DT35" s="252"/>
      <c r="DU35" s="252"/>
      <c r="DV35" s="252"/>
      <c r="DW35" s="252"/>
      <c r="DX35" s="1166"/>
      <c r="DY35" s="1166"/>
      <c r="DZ35" s="1196"/>
      <c r="EA35" s="252"/>
      <c r="EB35" s="252"/>
      <c r="EC35" s="252"/>
      <c r="ED35" s="252"/>
      <c r="EE35" s="252"/>
      <c r="EF35" s="252"/>
      <c r="EG35" s="252"/>
      <c r="EH35" s="252"/>
      <c r="EI35" s="252"/>
      <c r="EJ35" s="252"/>
      <c r="EK35" s="252"/>
      <c r="EL35" s="252"/>
      <c r="EM35" s="252"/>
      <c r="EN35" s="252"/>
      <c r="EO35" s="252"/>
      <c r="EP35" s="252"/>
      <c r="EQ35" s="252"/>
      <c r="ER35" s="252"/>
      <c r="ES35" s="252"/>
      <c r="ET35" s="252"/>
      <c r="EU35" s="252"/>
      <c r="EV35" s="252"/>
      <c r="EW35" s="252"/>
      <c r="EX35" s="252"/>
      <c r="EY35" s="252"/>
      <c r="EZ35" s="252"/>
      <c r="FA35" s="252"/>
      <c r="FB35" s="252"/>
      <c r="FC35" s="252"/>
      <c r="FD35" s="252"/>
      <c r="FE35" s="252"/>
      <c r="FF35" s="1218"/>
      <c r="FG35" s="1218"/>
      <c r="FH35" s="1218"/>
      <c r="FI35" s="1218"/>
      <c r="FJ35" s="1218"/>
      <c r="FK35" s="1218"/>
      <c r="FL35" s="1218"/>
      <c r="FM35" s="1218"/>
      <c r="FN35" s="1218"/>
      <c r="FO35" s="252"/>
      <c r="FP35" s="252"/>
      <c r="FQ35" s="252"/>
      <c r="FR35" s="252"/>
      <c r="FS35" s="252"/>
      <c r="FT35" s="252"/>
      <c r="FU35" s="252"/>
      <c r="FV35" s="252"/>
      <c r="FW35" s="252"/>
      <c r="FX35" s="252"/>
      <c r="FY35" s="252"/>
      <c r="FZ35" s="252"/>
      <c r="GA35" s="252"/>
      <c r="GB35" s="252"/>
      <c r="GC35" s="252"/>
      <c r="GD35" s="252"/>
      <c r="GE35" s="252"/>
      <c r="GF35" s="252"/>
      <c r="GG35" s="252"/>
      <c r="GH35" s="252"/>
      <c r="GI35" s="252"/>
      <c r="GJ35" s="252"/>
      <c r="GK35" s="252"/>
      <c r="GL35" s="252"/>
      <c r="GM35" s="252"/>
      <c r="GN35" s="252"/>
      <c r="GO35" s="252"/>
      <c r="GP35" s="252"/>
      <c r="GQ35" s="252"/>
      <c r="GR35" s="252"/>
      <c r="GS35" s="252"/>
      <c r="GT35" s="252"/>
      <c r="GU35" s="252"/>
      <c r="GV35" s="252"/>
      <c r="GW35" s="252"/>
      <c r="GX35" s="252"/>
      <c r="GY35" s="252"/>
      <c r="GZ35" s="252"/>
      <c r="HA35" s="252"/>
      <c r="HB35" s="252"/>
      <c r="HC35" s="252"/>
      <c r="HD35" s="252"/>
      <c r="HE35" s="252"/>
      <c r="HF35" s="252"/>
      <c r="HG35" s="252"/>
      <c r="HH35" s="252"/>
      <c r="HI35" s="252"/>
      <c r="HJ35" s="252"/>
      <c r="HK35" s="252"/>
      <c r="HL35" s="252"/>
      <c r="HM35" s="252"/>
      <c r="HN35" s="252"/>
      <c r="HO35" s="252"/>
      <c r="HP35" s="252"/>
      <c r="HQ35" s="252"/>
      <c r="HR35" s="252"/>
      <c r="HS35" s="252"/>
      <c r="HT35" s="252"/>
      <c r="HU35" s="252"/>
      <c r="HV35" s="252"/>
      <c r="HW35" s="252"/>
      <c r="HX35" s="252"/>
      <c r="HY35" s="252"/>
      <c r="HZ35" s="252"/>
      <c r="IA35" s="252"/>
      <c r="IB35" s="252"/>
      <c r="IC35" s="252"/>
      <c r="ID35" s="252"/>
      <c r="IE35" s="252"/>
      <c r="IF35" s="252"/>
      <c r="IG35" s="252"/>
      <c r="IH35" s="252"/>
      <c r="II35" s="252"/>
      <c r="IJ35" s="252"/>
      <c r="IK35" s="252"/>
      <c r="IL35" s="189">
        <f t="shared" si="0"/>
        <v>110627.5</v>
      </c>
      <c r="IM35" s="961">
        <f>100000-IL35+350000+350000</f>
        <v>689372.5</v>
      </c>
      <c r="IN35" s="194" t="str">
        <f t="shared" ref="IN35:IN60" si="7">A35</f>
        <v>Pacifico Charbroiled</v>
      </c>
      <c r="IP35" s="234">
        <f t="shared" si="3"/>
        <v>110627.5</v>
      </c>
      <c r="IQ35" s="316">
        <f>COUNT(B35:FZ35)+4</f>
        <v>37</v>
      </c>
      <c r="IT35" s="234">
        <v>23730</v>
      </c>
      <c r="IU35" s="234"/>
      <c r="IV35" s="979">
        <v>33</v>
      </c>
      <c r="IW35" s="981">
        <f t="shared" si="2"/>
        <v>11645</v>
      </c>
      <c r="IX35" s="977">
        <f t="shared" si="4"/>
        <v>110627.5</v>
      </c>
      <c r="IY35" s="978" t="str">
        <f t="shared" si="5"/>
        <v>Pacifico Charbroiled</v>
      </c>
    </row>
    <row r="36" spans="1:259" ht="10.15" customHeight="1">
      <c r="A36" s="515" t="s">
        <v>242</v>
      </c>
      <c r="B36" s="252"/>
      <c r="C36" s="252"/>
      <c r="D36" s="252"/>
      <c r="E36" s="640">
        <f>'9.19.22'!E17</f>
        <v>1672</v>
      </c>
      <c r="F36" s="640"/>
      <c r="G36" s="640"/>
      <c r="H36" s="640"/>
      <c r="I36" s="640">
        <f>'9.23.22'!E28</f>
        <v>2707.5</v>
      </c>
      <c r="J36" s="640"/>
      <c r="K36" s="640"/>
      <c r="L36" s="702"/>
      <c r="M36" s="702"/>
      <c r="N36" s="702">
        <f>'9.28.22'!E28</f>
        <v>3733.5</v>
      </c>
      <c r="O36" s="702">
        <f>'9.29.22'!E28</f>
        <v>2831</v>
      </c>
      <c r="P36" s="702"/>
      <c r="Q36" s="702"/>
      <c r="R36" s="702"/>
      <c r="S36" s="738">
        <f>'10.03.22'!E30</f>
        <v>4398.5</v>
      </c>
      <c r="T36" s="738"/>
      <c r="U36" s="738"/>
      <c r="V36" s="738"/>
      <c r="W36" s="738"/>
      <c r="X36" s="738"/>
      <c r="Y36" s="738"/>
      <c r="Z36" s="589">
        <f>'10.10.22'!E27</f>
        <v>4313</v>
      </c>
      <c r="AA36" s="589"/>
      <c r="AB36" s="589"/>
      <c r="AC36" s="589">
        <f>'10.13.22'!E27</f>
        <v>4474.5</v>
      </c>
      <c r="AD36" s="589"/>
      <c r="AE36" s="589"/>
      <c r="AF36" s="589"/>
      <c r="AG36" s="640">
        <f>'10.17.22'!E28</f>
        <v>4370</v>
      </c>
      <c r="AH36" s="640"/>
      <c r="AI36" s="640"/>
      <c r="AJ36" s="640">
        <f>'10.20.22'!E28</f>
        <v>4142</v>
      </c>
      <c r="AK36" s="640"/>
      <c r="AL36" s="640"/>
      <c r="AM36" s="640"/>
      <c r="AN36" s="702">
        <f>'10.24.22'!E28</f>
        <v>4626.5</v>
      </c>
      <c r="AO36" s="702">
        <f>'10.25.22'!E28</f>
        <v>4351</v>
      </c>
      <c r="AP36" s="702"/>
      <c r="AQ36" s="702">
        <f>'10.27.22'!E28</f>
        <v>3534</v>
      </c>
      <c r="AR36" s="702"/>
      <c r="AS36" s="702"/>
      <c r="AT36" s="702"/>
      <c r="AU36" s="738">
        <f>'10.31.22'!E27</f>
        <v>4322.5</v>
      </c>
      <c r="AV36" s="738">
        <f>'11.01.22'!E27</f>
        <v>4028</v>
      </c>
      <c r="AW36" s="738"/>
      <c r="AX36" s="738"/>
      <c r="AY36" s="738"/>
      <c r="AZ36" s="738"/>
      <c r="BA36" s="738"/>
      <c r="BB36" s="589">
        <f>'11.07.22'!E27</f>
        <v>4085</v>
      </c>
      <c r="BC36" s="589"/>
      <c r="BD36" s="589"/>
      <c r="BE36" s="589">
        <f>'11.10.22'!E27</f>
        <v>3942.5</v>
      </c>
      <c r="BF36" s="589"/>
      <c r="BG36" s="589"/>
      <c r="BH36" s="589"/>
      <c r="BI36" s="640">
        <f>'11.14.22'!E28</f>
        <v>3999.5</v>
      </c>
      <c r="BJ36" s="640"/>
      <c r="BK36" s="640">
        <f>'11.16.22'!E28</f>
        <v>4750</v>
      </c>
      <c r="BL36" s="640">
        <f>'11.17.22'!E28</f>
        <v>4655</v>
      </c>
      <c r="BM36" s="640"/>
      <c r="BN36" s="640"/>
      <c r="BO36" s="640"/>
      <c r="BP36" s="702"/>
      <c r="BQ36" s="702">
        <f>'11.22.22'!E28</f>
        <v>3876</v>
      </c>
      <c r="BR36" s="1134"/>
      <c r="BS36" s="1134"/>
      <c r="BT36" s="1134"/>
      <c r="BU36" s="1134"/>
      <c r="BV36" s="702"/>
      <c r="BW36" s="738">
        <f>'11.28.22'!E28</f>
        <v>4569.5</v>
      </c>
      <c r="BX36" s="738">
        <f>'11.29.22'!E28</f>
        <v>5035</v>
      </c>
      <c r="BY36" s="738"/>
      <c r="BZ36" s="738"/>
      <c r="CA36" s="738"/>
      <c r="CB36" s="738"/>
      <c r="CC36" s="738"/>
      <c r="CD36" s="589">
        <f>'12.05.22'!E28</f>
        <v>4978</v>
      </c>
      <c r="CE36" s="589"/>
      <c r="CF36" s="589"/>
      <c r="CG36" s="589"/>
      <c r="CH36" s="252"/>
      <c r="CI36" s="640"/>
      <c r="CJ36" s="640"/>
      <c r="CK36" s="640"/>
      <c r="CL36" s="640">
        <f>'1.11.23'!E28</f>
        <v>5054</v>
      </c>
      <c r="CM36" s="640">
        <f>'1.12.23'!E28</f>
        <v>4598</v>
      </c>
      <c r="CN36" s="640"/>
      <c r="CO36" s="1166"/>
      <c r="CP36" s="1166"/>
      <c r="CQ36" s="702"/>
      <c r="CR36" s="702"/>
      <c r="CS36" s="702"/>
      <c r="CT36" s="702">
        <f>'1.19.23'!E28</f>
        <v>4826</v>
      </c>
      <c r="CU36" s="702"/>
      <c r="CV36" s="702"/>
      <c r="CW36" s="702"/>
      <c r="CX36" s="738"/>
      <c r="CY36" s="738"/>
      <c r="CZ36" s="738">
        <f>'1.25.23'!E28</f>
        <v>6270</v>
      </c>
      <c r="DA36" s="738"/>
      <c r="DB36" s="738"/>
      <c r="DC36" s="738"/>
      <c r="DD36" s="738"/>
      <c r="DE36" s="589"/>
      <c r="DF36" s="589">
        <f>'1.31.23'!E28</f>
        <v>6773.5</v>
      </c>
      <c r="DG36" s="589"/>
      <c r="DH36" s="589"/>
      <c r="DI36" s="589"/>
      <c r="DJ36" s="589"/>
      <c r="DK36" s="589"/>
      <c r="DL36" s="640"/>
      <c r="DM36" s="640"/>
      <c r="DN36" s="640"/>
      <c r="DO36" s="640"/>
      <c r="DP36" s="640">
        <f>'2.10.23'!E28</f>
        <v>5035</v>
      </c>
      <c r="DQ36" s="640">
        <f>'2.11.23'!E28</f>
        <v>4854.5</v>
      </c>
      <c r="DR36" s="640"/>
      <c r="DS36" s="702"/>
      <c r="DT36" s="702"/>
      <c r="DU36" s="702"/>
      <c r="DV36" s="702"/>
      <c r="DW36" s="702">
        <f>'2.17.23'!E27</f>
        <v>3686</v>
      </c>
      <c r="DX36" s="1166"/>
      <c r="DY36" s="1166"/>
      <c r="DZ36" s="738"/>
      <c r="EA36" s="738"/>
      <c r="EB36" s="738">
        <f>'2.22.23'!E28</f>
        <v>4446</v>
      </c>
      <c r="EC36" s="738"/>
      <c r="ED36" s="738"/>
      <c r="EE36" s="738"/>
      <c r="EF36" s="738"/>
      <c r="EG36" s="702"/>
      <c r="EH36" s="702">
        <f>'2.28.23'!E28</f>
        <v>3600.5</v>
      </c>
      <c r="EI36" s="702"/>
      <c r="EJ36" s="702"/>
      <c r="EK36" s="702"/>
      <c r="EL36" s="702"/>
      <c r="EM36" s="702"/>
      <c r="EN36" s="738"/>
      <c r="EO36" s="738"/>
      <c r="EP36" s="738">
        <f>'3.8.23'!E28</f>
        <v>4959</v>
      </c>
      <c r="EQ36" s="738"/>
      <c r="ER36" s="738"/>
      <c r="ES36" s="738"/>
      <c r="ET36" s="738"/>
      <c r="EU36" s="589">
        <f>'3.13.23'!E28</f>
        <v>5548</v>
      </c>
      <c r="EV36" s="589"/>
      <c r="EW36" s="589"/>
      <c r="EX36" s="589"/>
      <c r="EY36" s="589"/>
      <c r="EZ36" s="589"/>
      <c r="FA36" s="589"/>
      <c r="FB36" s="252"/>
      <c r="FC36" s="252"/>
      <c r="FD36" s="252"/>
      <c r="FE36" s="252"/>
      <c r="FF36" s="1218"/>
      <c r="FG36" s="1218"/>
      <c r="FH36" s="1218"/>
      <c r="FI36" s="1218"/>
      <c r="FJ36" s="1218"/>
      <c r="FK36" s="1218"/>
      <c r="FL36" s="1218"/>
      <c r="FM36" s="1218"/>
      <c r="FN36" s="1218"/>
      <c r="FO36" s="702">
        <f>'4.2.23'!E28</f>
        <v>1776.5</v>
      </c>
      <c r="FP36" s="702"/>
      <c r="FQ36" s="702"/>
      <c r="FR36" s="702"/>
      <c r="FS36" s="702"/>
      <c r="FT36" s="702"/>
      <c r="FU36" s="702"/>
      <c r="FV36" s="702"/>
      <c r="FW36" s="252"/>
      <c r="FX36" s="252"/>
      <c r="FY36" s="252"/>
      <c r="FZ36" s="252"/>
      <c r="GA36" s="252"/>
      <c r="GB36" s="252"/>
      <c r="GC36" s="252"/>
      <c r="GD36" s="702">
        <f>'4.17.23'!E28</f>
        <v>4465</v>
      </c>
      <c r="GE36" s="702"/>
      <c r="GF36" s="702"/>
      <c r="GG36" s="702"/>
      <c r="GH36" s="702"/>
      <c r="GI36" s="702"/>
      <c r="GJ36" s="702"/>
      <c r="GK36" s="640"/>
      <c r="GL36" s="640"/>
      <c r="GM36" s="640">
        <f>'4.26.23'!E28</f>
        <v>4731</v>
      </c>
      <c r="GN36" s="640"/>
      <c r="GO36" s="640"/>
      <c r="GP36" s="640"/>
      <c r="GQ36" s="640"/>
      <c r="GR36" s="589">
        <f>'5.01.23'!E28</f>
        <v>4541</v>
      </c>
      <c r="GS36" s="589"/>
      <c r="GT36" s="589"/>
      <c r="GU36" s="589"/>
      <c r="GV36" s="589"/>
      <c r="GW36" s="589"/>
      <c r="GX36" s="589"/>
      <c r="GY36" s="738"/>
      <c r="GZ36" s="738">
        <f>'5.09.23'!E28</f>
        <v>4284.5</v>
      </c>
      <c r="HA36" s="738"/>
      <c r="HB36" s="738"/>
      <c r="HC36" s="738"/>
      <c r="HD36" s="738"/>
      <c r="HE36" s="738"/>
      <c r="HF36" s="702">
        <f>'5.15.23'!E27</f>
        <v>4094.5</v>
      </c>
      <c r="HG36" s="702"/>
      <c r="HH36" s="702"/>
      <c r="HI36" s="702"/>
      <c r="HJ36" s="702"/>
      <c r="HK36" s="702"/>
      <c r="HL36" s="702"/>
      <c r="HM36" s="640">
        <f>'5.22.23'!E28</f>
        <v>4037.5</v>
      </c>
      <c r="HN36" s="640"/>
      <c r="HO36" s="640"/>
      <c r="HP36" s="640"/>
      <c r="HQ36" s="640"/>
      <c r="HR36" s="640"/>
      <c r="HS36" s="640"/>
      <c r="HT36" s="589">
        <f>'5.29.23'!E28</f>
        <v>4151.5</v>
      </c>
      <c r="HU36" s="589"/>
      <c r="HV36" s="589"/>
      <c r="HW36" s="589"/>
      <c r="HX36" s="589"/>
      <c r="HY36" s="589"/>
      <c r="HZ36" s="589"/>
      <c r="IA36" s="252">
        <f>'6.5.23'!E28</f>
        <v>4940</v>
      </c>
      <c r="IB36" s="252"/>
      <c r="IC36" s="252"/>
      <c r="ID36" s="252"/>
      <c r="IE36" s="252"/>
      <c r="IF36" s="252"/>
      <c r="IG36" s="252"/>
      <c r="IH36" s="252"/>
      <c r="II36" s="252"/>
      <c r="IJ36" s="252"/>
      <c r="IK36" s="252"/>
      <c r="IL36" s="189">
        <f t="shared" si="0"/>
        <v>190066.5</v>
      </c>
      <c r="IM36" s="961">
        <f>100000-IL36+350000+350000</f>
        <v>609933.5</v>
      </c>
      <c r="IN36" s="988" t="str">
        <f t="shared" si="7"/>
        <v>Paradise Cookies &amp; Ice Cream</v>
      </c>
      <c r="IP36" s="234">
        <f t="shared" si="3"/>
        <v>190066.5</v>
      </c>
      <c r="IQ36" s="316">
        <f>COUNT(B36:FZ36)+3</f>
        <v>39</v>
      </c>
      <c r="IT36" s="234">
        <v>122348</v>
      </c>
      <c r="IU36" s="234"/>
      <c r="IV36" s="979">
        <v>34</v>
      </c>
      <c r="IW36" s="981">
        <f t="shared" si="2"/>
        <v>20007</v>
      </c>
      <c r="IX36" s="977">
        <f t="shared" si="4"/>
        <v>190066.5</v>
      </c>
      <c r="IY36" s="978" t="str">
        <f t="shared" si="5"/>
        <v>Paradise Cookies &amp; Ice Cream</v>
      </c>
    </row>
    <row r="37" spans="1:259" ht="10.15" customHeight="1">
      <c r="A37" s="195" t="s">
        <v>246</v>
      </c>
      <c r="B37" s="589"/>
      <c r="C37" s="589">
        <f>'9.17.22'!E7+'9.17.22'!E21</f>
        <v>4731</v>
      </c>
      <c r="D37" s="589">
        <f>'9.18.22'!E7+'9.18.22'!E21</f>
        <v>5130</v>
      </c>
      <c r="E37" s="640"/>
      <c r="F37" s="640"/>
      <c r="G37" s="640"/>
      <c r="H37" s="640">
        <f>'9.22.22'!E30</f>
        <v>1377.5</v>
      </c>
      <c r="I37" s="640">
        <f>'9.23.22'!E21+'9.23.22'!E31</f>
        <v>2574.5</v>
      </c>
      <c r="J37" s="640">
        <f>'9.24.22'!E17+'9.24.22'!E27</f>
        <v>2764.5</v>
      </c>
      <c r="K37" s="640">
        <f>'9.25.22'!E29</f>
        <v>921.5</v>
      </c>
      <c r="L37" s="702">
        <f>'9.26.22'!E27</f>
        <v>864.5</v>
      </c>
      <c r="M37" s="702">
        <f>'9.27.22'!E29</f>
        <v>1368</v>
      </c>
      <c r="N37" s="702"/>
      <c r="O37" s="702">
        <f>'9.29.22'!E11</f>
        <v>2118.5</v>
      </c>
      <c r="P37" s="702">
        <f>'9.30.22'!E27</f>
        <v>1206.5</v>
      </c>
      <c r="Q37" s="702">
        <f>'10.01.22'!E17+'10.01.22'!E27</f>
        <v>3695.5</v>
      </c>
      <c r="R37" s="702">
        <f>'10.02.22'!E31</f>
        <v>579.5</v>
      </c>
      <c r="S37" s="738">
        <f>'10.03.22'!E18</f>
        <v>3192</v>
      </c>
      <c r="T37" s="738"/>
      <c r="U37" s="738">
        <f>'10.05.22'!E17+'10.05.22'!E27</f>
        <v>5215.5</v>
      </c>
      <c r="V37" s="738">
        <f>'10.06.22'!E17+'10.06.22'!E27</f>
        <v>4085</v>
      </c>
      <c r="W37" s="738"/>
      <c r="X37" s="738">
        <f>'10.08.22'!E27</f>
        <v>1491.5</v>
      </c>
      <c r="Y37" s="738"/>
      <c r="Z37" s="589"/>
      <c r="AA37" s="589">
        <f>'10.11.22'!E18</f>
        <v>3249</v>
      </c>
      <c r="AB37" s="589"/>
      <c r="AC37" s="589">
        <f>'10.13.22'!E28</f>
        <v>1539</v>
      </c>
      <c r="AD37" s="589"/>
      <c r="AE37" s="589">
        <f>'10.15.22'!E29</f>
        <v>1453.5</v>
      </c>
      <c r="AF37" s="589">
        <f>'10.16.22'!E21+'10.16.22'!E31</f>
        <v>5092</v>
      </c>
      <c r="AG37" s="640"/>
      <c r="AH37" s="640">
        <f>'10.18.22'!E27</f>
        <v>2052</v>
      </c>
      <c r="AI37" s="640"/>
      <c r="AJ37" s="640"/>
      <c r="AK37" s="640">
        <f>'10.21.22'!E30</f>
        <v>1349</v>
      </c>
      <c r="AL37" s="640">
        <f>'10.22.22'!E31</f>
        <v>1634</v>
      </c>
      <c r="AM37" s="640"/>
      <c r="AN37" s="702"/>
      <c r="AO37" s="702"/>
      <c r="AP37" s="702">
        <f>'10.26.22'!E17</f>
        <v>4094.5</v>
      </c>
      <c r="AQ37" s="702"/>
      <c r="AR37" s="702">
        <f>'10.28.22'!E28</f>
        <v>1757.5</v>
      </c>
      <c r="AS37" s="702">
        <f>'10.29.22'!E18+'10.29.22'!E28</f>
        <v>4123</v>
      </c>
      <c r="AT37" s="702">
        <f>'10.30.22'!E21+'10.30.22'!E31</f>
        <v>4636</v>
      </c>
      <c r="AU37" s="738"/>
      <c r="AV37" s="738"/>
      <c r="AW37" s="738"/>
      <c r="AX37" s="738"/>
      <c r="AY37" s="738">
        <f>'11.04.22'!E30</f>
        <v>1938</v>
      </c>
      <c r="AZ37" s="738">
        <f>'11.05.22'!E29</f>
        <v>2622</v>
      </c>
      <c r="BA37" s="738">
        <f>'11.06.22'!E27</f>
        <v>1947.5</v>
      </c>
      <c r="BB37" s="589">
        <f>'11.07.22'!E19+'11.07.22'!E29</f>
        <v>7153.5</v>
      </c>
      <c r="BC37" s="589"/>
      <c r="BD37" s="589"/>
      <c r="BE37" s="589"/>
      <c r="BF37" s="589">
        <f>'11.11.22'!E29</f>
        <v>2736</v>
      </c>
      <c r="BG37" s="589"/>
      <c r="BH37" s="589">
        <f>'11.13.22'!E19</f>
        <v>4702.5</v>
      </c>
      <c r="BI37" s="640">
        <f>'11.14.22'!E7</f>
        <v>4417.5</v>
      </c>
      <c r="BJ37" s="640"/>
      <c r="BK37" s="640"/>
      <c r="BL37" s="640"/>
      <c r="BM37" s="640"/>
      <c r="BN37" s="640">
        <f>'11.19.22'!E17+'11.19.22'!E27</f>
        <v>6365</v>
      </c>
      <c r="BO37" s="640">
        <f>'11.20.22'!E17</f>
        <v>5158.5</v>
      </c>
      <c r="BP37" s="702"/>
      <c r="BQ37" s="702"/>
      <c r="BR37" s="1134"/>
      <c r="BS37" s="1134"/>
      <c r="BT37" s="1134"/>
      <c r="BU37" s="1134"/>
      <c r="BV37" s="702">
        <f>'11.27.22'!E17</f>
        <v>921.5</v>
      </c>
      <c r="BW37" s="738"/>
      <c r="BX37" s="738"/>
      <c r="BY37" s="738"/>
      <c r="BZ37" s="738">
        <f>'12.01.22'!E9</f>
        <v>4218</v>
      </c>
      <c r="CA37" s="738"/>
      <c r="CB37" s="738">
        <f>'12.03.22'!E29</f>
        <v>3154</v>
      </c>
      <c r="CC37" s="738">
        <f>'12.04.22'!E19</f>
        <v>5700</v>
      </c>
      <c r="CD37" s="589"/>
      <c r="CE37" s="589">
        <f>'12.06.22'!E27</f>
        <v>5016</v>
      </c>
      <c r="CF37" s="589"/>
      <c r="CG37" s="589">
        <f>'12.08.22'!E7+'12.08.22'!E20</f>
        <v>9471.5</v>
      </c>
      <c r="CH37" s="252"/>
      <c r="CI37" s="640"/>
      <c r="CJ37" s="640"/>
      <c r="CK37" s="640">
        <f>'1.10.23'!E7</f>
        <v>4332</v>
      </c>
      <c r="CL37" s="640"/>
      <c r="CM37" s="640">
        <f>'1.12.23'!E27</f>
        <v>4617</v>
      </c>
      <c r="CN37" s="640"/>
      <c r="CO37" s="1166"/>
      <c r="CP37" s="1166"/>
      <c r="CQ37" s="702"/>
      <c r="CR37" s="702">
        <f>'1.17.23'!E8</f>
        <v>4712</v>
      </c>
      <c r="CS37" s="702"/>
      <c r="CT37" s="702"/>
      <c r="CU37" s="702">
        <f>'1.20.23'!E17 + '1.20.23'!E27</f>
        <v>7809</v>
      </c>
      <c r="CV37" s="702"/>
      <c r="CW37" s="702"/>
      <c r="CX37" s="738"/>
      <c r="CY37" s="738">
        <f>'1.24.23'!E27</f>
        <v>5377</v>
      </c>
      <c r="CZ37" s="738">
        <f>'1.25.23'!E17+'1.25.23'!E27</f>
        <v>10535.5</v>
      </c>
      <c r="DA37" s="738"/>
      <c r="DB37" s="738">
        <f>'1.27.23'!E27</f>
        <v>5111</v>
      </c>
      <c r="DC37" s="738">
        <f>'1.28.23'!E18</f>
        <v>3724</v>
      </c>
      <c r="DD37" s="738"/>
      <c r="DE37" s="589"/>
      <c r="DF37" s="589">
        <f>'1.31.23'!E29</f>
        <v>6593</v>
      </c>
      <c r="DG37" s="589"/>
      <c r="DH37" s="589"/>
      <c r="DI37" s="589">
        <f>'2.03.23'!E17+'2.03.23'!E27</f>
        <v>9367</v>
      </c>
      <c r="DJ37" s="589">
        <f>'2.04.23'!E19</f>
        <v>3676.5</v>
      </c>
      <c r="DK37" s="589"/>
      <c r="DL37" s="640"/>
      <c r="DM37" s="640"/>
      <c r="DN37" s="640">
        <f>'2.08.23'!E17+'2.08.23'!E27</f>
        <v>12568.5</v>
      </c>
      <c r="DO37" s="640">
        <f>'2.09.23'!E7</f>
        <v>4645.5</v>
      </c>
      <c r="DP37" s="640"/>
      <c r="DQ37" s="640"/>
      <c r="DR37" s="640"/>
      <c r="DS37" s="702"/>
      <c r="DT37" s="702"/>
      <c r="DU37" s="702">
        <f>'2.15.23'!E7 + '2.15.23'!E17</f>
        <v>12122</v>
      </c>
      <c r="DV37" s="702"/>
      <c r="DW37" s="702">
        <f>'2.17.23'!E17</f>
        <v>5624</v>
      </c>
      <c r="DX37" s="1166"/>
      <c r="DY37" s="1166"/>
      <c r="DZ37" s="738"/>
      <c r="EA37" s="738">
        <f>'2.21.23'!E18</f>
        <v>7267.5</v>
      </c>
      <c r="EB37" s="738"/>
      <c r="EC37" s="738"/>
      <c r="ED37" s="738"/>
      <c r="EE37" s="738">
        <f>'2.25.23'!E29</f>
        <v>3961.5</v>
      </c>
      <c r="EF37" s="738"/>
      <c r="EG37" s="702">
        <f>'2.27.23'!E17</f>
        <v>7277</v>
      </c>
      <c r="EH37" s="702"/>
      <c r="EI37" s="702">
        <f>'3.1.23'!E17+'3.1.23'!E27</f>
        <v>12625.5</v>
      </c>
      <c r="EJ37" s="702"/>
      <c r="EK37" s="702"/>
      <c r="EL37" s="702">
        <f>'3.4.23'!E18</f>
        <v>7220</v>
      </c>
      <c r="EM37" s="702"/>
      <c r="EN37" s="738">
        <f>'3.6.23'!E28</f>
        <v>5728.5</v>
      </c>
      <c r="EO37" s="738"/>
      <c r="EP37" s="738"/>
      <c r="EQ37" s="738">
        <f>'3.9.23'!E7+'3.9.23'!E17</f>
        <v>12967.5</v>
      </c>
      <c r="ER37" s="738"/>
      <c r="ES37" s="738">
        <f>'3.11.23'!E27</f>
        <v>5139.5</v>
      </c>
      <c r="ET37" s="738">
        <f>'3.12.23'!E17</f>
        <v>6707</v>
      </c>
      <c r="EU37" s="589"/>
      <c r="EV37" s="589"/>
      <c r="EW37" s="589">
        <f>'3.15.23'!E7</f>
        <v>6878</v>
      </c>
      <c r="EX37" s="589"/>
      <c r="EY37" s="589"/>
      <c r="EZ37" s="589">
        <f>'3.18.23'!E8 + '3.18.23'!E18</f>
        <v>13784.5</v>
      </c>
      <c r="FA37" s="589">
        <f>'3.19.23'!E17 + '3.19.23'!E27</f>
        <v>13556.5</v>
      </c>
      <c r="FB37" s="640"/>
      <c r="FC37" s="640">
        <f>'3.21.23'!E29</f>
        <v>6156</v>
      </c>
      <c r="FD37" s="640"/>
      <c r="FE37" s="640"/>
      <c r="FF37" s="1218"/>
      <c r="FG37" s="1218"/>
      <c r="FH37" s="1218"/>
      <c r="FI37" s="1218"/>
      <c r="FJ37" s="1218"/>
      <c r="FK37" s="1218"/>
      <c r="FL37" s="1218"/>
      <c r="FM37" s="1218"/>
      <c r="FN37" s="1218"/>
      <c r="FO37" s="702"/>
      <c r="FP37" s="702">
        <f>'4.3.23'!E18</f>
        <v>7476.5</v>
      </c>
      <c r="FQ37" s="702"/>
      <c r="FR37" s="702"/>
      <c r="FS37" s="702"/>
      <c r="FT37" s="702"/>
      <c r="FU37" s="702">
        <f>'4.8.23'!E17 + '4.8.23'!E27</f>
        <v>10203</v>
      </c>
      <c r="FV37" s="702"/>
      <c r="FW37" s="738"/>
      <c r="FX37" s="738"/>
      <c r="FY37" s="738"/>
      <c r="FZ37" s="738"/>
      <c r="GA37" s="738"/>
      <c r="GB37" s="738">
        <f>'4.15.23'!E17 +'4.15.23'!E27</f>
        <v>11314.5</v>
      </c>
      <c r="GC37" s="738"/>
      <c r="GD37" s="702"/>
      <c r="GE37" s="702">
        <f>'4.18.23'!E7+'4.18.23'!E17</f>
        <v>14250</v>
      </c>
      <c r="GF37" s="702"/>
      <c r="GG37" s="702"/>
      <c r="GH37" s="702"/>
      <c r="GI37" s="702">
        <f>'4.22.23'!E8</f>
        <v>6422</v>
      </c>
      <c r="GJ37" s="702"/>
      <c r="GK37" s="640"/>
      <c r="GL37" s="640">
        <f>'4.25.23'!E17</f>
        <v>8768.5</v>
      </c>
      <c r="GM37" s="640"/>
      <c r="GN37" s="640"/>
      <c r="GO37" s="640">
        <f>'4.28.23'!E7</f>
        <v>7191.5</v>
      </c>
      <c r="GP37" s="640"/>
      <c r="GQ37" s="640"/>
      <c r="GR37" s="589"/>
      <c r="GS37" s="589"/>
      <c r="GT37" s="589"/>
      <c r="GU37" s="589"/>
      <c r="GV37" s="589"/>
      <c r="GW37" s="589">
        <f>'5.06.23'!E7 + '5.06.23'!E17</f>
        <v>13651.5</v>
      </c>
      <c r="GX37" s="589"/>
      <c r="GY37" s="738"/>
      <c r="GZ37" s="738"/>
      <c r="HA37" s="738"/>
      <c r="HB37" s="738">
        <f>'5.11.23'!E17</f>
        <v>7362.5</v>
      </c>
      <c r="HC37" s="738"/>
      <c r="HD37" s="738">
        <f>'5.13.23'!E17</f>
        <v>6906.5</v>
      </c>
      <c r="HE37" s="738"/>
      <c r="HF37" s="702"/>
      <c r="HG37" s="702">
        <f>'5.16.23'!E7</f>
        <v>7847</v>
      </c>
      <c r="HH37" s="702"/>
      <c r="HI37" s="702">
        <f>'5.18.23'!E17</f>
        <v>9737.5</v>
      </c>
      <c r="HJ37" s="702"/>
      <c r="HK37" s="702">
        <f>'5.20.23'!E17</f>
        <v>7666.5</v>
      </c>
      <c r="HL37" s="702"/>
      <c r="HM37" s="640"/>
      <c r="HN37" s="640"/>
      <c r="HO37" s="640"/>
      <c r="HP37" s="640">
        <f>'5.25.23'!E8 + '5.25.23'!E17</f>
        <v>16121.5</v>
      </c>
      <c r="HQ37" s="640"/>
      <c r="HR37" s="640"/>
      <c r="HS37" s="640"/>
      <c r="HT37" s="589">
        <f>'5.29.23'!E27</f>
        <v>5671.5</v>
      </c>
      <c r="HU37" s="589"/>
      <c r="HV37" s="589"/>
      <c r="HW37" s="589"/>
      <c r="HX37" s="589">
        <f>'6.02.23'!E17</f>
        <v>8056</v>
      </c>
      <c r="HY37" s="589"/>
      <c r="HZ37" s="589"/>
      <c r="IA37" s="252"/>
      <c r="IB37" s="252"/>
      <c r="IC37" s="252">
        <f>'6.7.23'!E17</f>
        <v>8208</v>
      </c>
      <c r="ID37" s="252"/>
      <c r="IE37" s="252"/>
      <c r="IF37" s="252">
        <f>'6.10.23'!E27</f>
        <v>7324.5</v>
      </c>
      <c r="IG37" s="252"/>
      <c r="IH37" s="252"/>
      <c r="II37" s="252"/>
      <c r="IJ37" s="252"/>
      <c r="IK37" s="252"/>
      <c r="IL37" s="189">
        <f t="shared" si="0"/>
        <v>512078.5</v>
      </c>
      <c r="IM37" s="961">
        <f>100000-IL37+350000</f>
        <v>-62078.5</v>
      </c>
      <c r="IN37" s="194" t="str">
        <f t="shared" si="7"/>
        <v>Perro 1-10 Tacos</v>
      </c>
      <c r="IP37" s="234">
        <f t="shared" si="3"/>
        <v>512078.5</v>
      </c>
      <c r="IQ37" s="316">
        <f>COUNT(B37:FZ37)+18+9</f>
        <v>99</v>
      </c>
      <c r="IT37" s="234">
        <v>197247.5</v>
      </c>
      <c r="IU37" s="234"/>
      <c r="IV37" s="979">
        <v>35</v>
      </c>
      <c r="IW37" s="981">
        <f t="shared" si="2"/>
        <v>53903</v>
      </c>
      <c r="IX37" s="977">
        <f t="shared" si="4"/>
        <v>512078.5</v>
      </c>
      <c r="IY37" s="978" t="str">
        <f t="shared" si="5"/>
        <v>Perro 1-10 Tacos</v>
      </c>
    </row>
    <row r="38" spans="1:259" ht="10.15" customHeight="1">
      <c r="A38" s="195" t="s">
        <v>66</v>
      </c>
      <c r="B38" s="589"/>
      <c r="C38" s="589">
        <f>'9.17.22'!E11+'9.17.22'!E25</f>
        <v>1586.5</v>
      </c>
      <c r="D38" s="589"/>
      <c r="E38" s="640"/>
      <c r="F38" s="640"/>
      <c r="G38" s="640">
        <f>'9.21.22'!E17</f>
        <v>2384.5</v>
      </c>
      <c r="H38" s="640"/>
      <c r="I38" s="640">
        <f>'9.23.22'!E20+'9.23.22'!E30</f>
        <v>3097</v>
      </c>
      <c r="J38" s="640"/>
      <c r="K38" s="640"/>
      <c r="L38" s="702"/>
      <c r="M38" s="702"/>
      <c r="N38" s="702">
        <f>'9.28.22'!E8</f>
        <v>2593.5</v>
      </c>
      <c r="O38" s="702">
        <f>'9.29.22'!E19+'9.29.22'!E29</f>
        <v>4484</v>
      </c>
      <c r="P38" s="702">
        <f>'9.30.22'!E30</f>
        <v>1168.5</v>
      </c>
      <c r="Q38" s="702"/>
      <c r="R38" s="702"/>
      <c r="S38" s="252"/>
      <c r="T38" s="252"/>
      <c r="U38" s="252"/>
      <c r="V38" s="252"/>
      <c r="W38" s="252"/>
      <c r="X38" s="252"/>
      <c r="Y38" s="252"/>
      <c r="Z38" s="589"/>
      <c r="AA38" s="589"/>
      <c r="AB38" s="589"/>
      <c r="AC38" s="589"/>
      <c r="AD38" s="589"/>
      <c r="AE38" s="589">
        <f>'10.15.22'!E28</f>
        <v>2090</v>
      </c>
      <c r="AF38" s="589"/>
      <c r="AG38" s="640">
        <f>'10.17.22'!E10</f>
        <v>2935.5</v>
      </c>
      <c r="AH38" s="640">
        <f>'10.18.22'!E7</f>
        <v>2954.5</v>
      </c>
      <c r="AI38" s="640">
        <f>'10.19.22'!E30</f>
        <v>2061.5</v>
      </c>
      <c r="AJ38" s="640"/>
      <c r="AK38" s="640"/>
      <c r="AL38" s="640"/>
      <c r="AM38" s="640"/>
      <c r="AN38" s="702">
        <f>'10.24.22'!E7</f>
        <v>3648</v>
      </c>
      <c r="AO38" s="702">
        <f>'10.25.22'!E19</f>
        <v>3885.5</v>
      </c>
      <c r="AP38" s="702">
        <f>'10.26.22'!E31</f>
        <v>2299</v>
      </c>
      <c r="AQ38" s="702"/>
      <c r="AR38" s="702"/>
      <c r="AS38" s="702"/>
      <c r="AT38" s="702"/>
      <c r="AU38" s="738"/>
      <c r="AV38" s="738">
        <f>'11.01.22'!E7</f>
        <v>4018.5</v>
      </c>
      <c r="AW38" s="738"/>
      <c r="AX38" s="738"/>
      <c r="AY38" s="738"/>
      <c r="AZ38" s="738"/>
      <c r="BA38" s="738"/>
      <c r="BB38" s="589">
        <f>'11.07.22'!E17</f>
        <v>4436.5</v>
      </c>
      <c r="BC38" s="589"/>
      <c r="BD38" s="589">
        <f>'11.09.22'!E29</f>
        <v>2850</v>
      </c>
      <c r="BE38" s="589"/>
      <c r="BF38" s="589"/>
      <c r="BG38" s="589">
        <f>'11.12.22'!E8</f>
        <v>3952</v>
      </c>
      <c r="BH38" s="589"/>
      <c r="BI38" s="640">
        <f>'11.14.22'!E17</f>
        <v>3876</v>
      </c>
      <c r="BJ38" s="640">
        <f>'11.15.22'!E18</f>
        <v>3866.5</v>
      </c>
      <c r="BK38" s="640"/>
      <c r="BL38" s="640"/>
      <c r="BM38" s="640"/>
      <c r="BN38" s="640"/>
      <c r="BO38" s="640"/>
      <c r="BP38" s="252"/>
      <c r="BQ38" s="252"/>
      <c r="BR38" s="1131"/>
      <c r="BS38" s="1131"/>
      <c r="BT38" s="1131"/>
      <c r="BU38" s="1131"/>
      <c r="BV38" s="252"/>
      <c r="BW38" s="738">
        <f>'11.28.22'!E10</f>
        <v>4161</v>
      </c>
      <c r="BX38" s="738">
        <f>'11.29.22'!E8</f>
        <v>3885.5</v>
      </c>
      <c r="BY38" s="738">
        <f>'11.30.22'!E29</f>
        <v>2802.5</v>
      </c>
      <c r="BZ38" s="738"/>
      <c r="CA38" s="738"/>
      <c r="CB38" s="738"/>
      <c r="CC38" s="738"/>
      <c r="CD38" s="252"/>
      <c r="CE38" s="252"/>
      <c r="CF38" s="252"/>
      <c r="CG38" s="589">
        <f>'12.08.22'!E24+'12.08.22'!E11</f>
        <v>6631</v>
      </c>
      <c r="CH38" s="589">
        <f>'12.13.22'!E8</f>
        <v>1871.5</v>
      </c>
      <c r="CI38" s="640"/>
      <c r="CJ38" s="640"/>
      <c r="CK38" s="640"/>
      <c r="CL38" s="640">
        <f>'1.11.23'!E7</f>
        <v>4303.5</v>
      </c>
      <c r="CM38" s="640"/>
      <c r="CN38" s="640">
        <f>'1.13.23'!E17</f>
        <v>3980.5</v>
      </c>
      <c r="CO38" s="1166"/>
      <c r="CP38" s="1166"/>
      <c r="CQ38" s="702"/>
      <c r="CR38" s="702"/>
      <c r="CS38" s="702"/>
      <c r="CT38" s="702"/>
      <c r="CU38" s="702">
        <f>'1.20.23'!E18</f>
        <v>4104</v>
      </c>
      <c r="CV38" s="702"/>
      <c r="CW38" s="702"/>
      <c r="CX38" s="252"/>
      <c r="CY38" s="252"/>
      <c r="CZ38" s="252"/>
      <c r="DA38" s="252"/>
      <c r="DB38" s="252"/>
      <c r="DC38" s="252"/>
      <c r="DD38" s="252"/>
      <c r="DE38" s="589">
        <f>'1.30.23'!E29</f>
        <v>3534</v>
      </c>
      <c r="DF38" s="589"/>
      <c r="DG38" s="589"/>
      <c r="DH38" s="589">
        <f>'2.02.23'!E27</f>
        <v>3543.5</v>
      </c>
      <c r="DI38" s="589">
        <f>'2.03.23'!E29</f>
        <v>2954.5</v>
      </c>
      <c r="DJ38" s="589">
        <f>'2.04.23'!E29</f>
        <v>3828.5</v>
      </c>
      <c r="DK38" s="589"/>
      <c r="DL38" s="640">
        <f>'2.06.23'!E8</f>
        <v>4294</v>
      </c>
      <c r="DM38" s="640"/>
      <c r="DN38" s="640"/>
      <c r="DO38" s="640">
        <f>'2.09.23'!E9</f>
        <v>3496</v>
      </c>
      <c r="DP38" s="640"/>
      <c r="DQ38" s="640"/>
      <c r="DR38" s="640"/>
      <c r="DS38" s="702"/>
      <c r="DT38" s="702">
        <f>'2.14.23'!E8</f>
        <v>3467.5</v>
      </c>
      <c r="DU38" s="702">
        <f>'2.15.23'!E18</f>
        <v>2926</v>
      </c>
      <c r="DV38" s="702"/>
      <c r="DW38" s="702"/>
      <c r="DX38" s="1166"/>
      <c r="DY38" s="1166"/>
      <c r="DZ38" s="1196"/>
      <c r="EA38" s="252"/>
      <c r="EB38" s="252"/>
      <c r="EC38" s="252"/>
      <c r="ED38" s="252"/>
      <c r="EE38" s="252"/>
      <c r="EF38" s="252"/>
      <c r="EG38" s="252"/>
      <c r="EH38" s="252"/>
      <c r="EI38" s="252"/>
      <c r="EJ38" s="252"/>
      <c r="EK38" s="252"/>
      <c r="EL38" s="252"/>
      <c r="EM38" s="252"/>
      <c r="EN38" s="252"/>
      <c r="EO38" s="252"/>
      <c r="EP38" s="252"/>
      <c r="EQ38" s="252"/>
      <c r="ER38" s="252"/>
      <c r="ES38" s="252"/>
      <c r="ET38" s="252"/>
      <c r="EU38" s="252"/>
      <c r="EV38" s="252"/>
      <c r="EW38" s="252"/>
      <c r="EX38" s="252"/>
      <c r="EY38" s="252"/>
      <c r="EZ38" s="252"/>
      <c r="FA38" s="252"/>
      <c r="FB38" s="252"/>
      <c r="FC38" s="252"/>
      <c r="FD38" s="252"/>
      <c r="FE38" s="252"/>
      <c r="FF38" s="1218"/>
      <c r="FG38" s="1218"/>
      <c r="FH38" s="1218"/>
      <c r="FI38" s="1218"/>
      <c r="FJ38" s="1218"/>
      <c r="FK38" s="1218"/>
      <c r="FL38" s="1218"/>
      <c r="FM38" s="1218"/>
      <c r="FN38" s="1218"/>
      <c r="FO38" s="252"/>
      <c r="FP38" s="252"/>
      <c r="FQ38" s="252"/>
      <c r="FR38" s="252"/>
      <c r="FS38" s="252"/>
      <c r="FT38" s="252"/>
      <c r="FU38" s="252"/>
      <c r="FV38" s="252"/>
      <c r="FW38" s="252"/>
      <c r="FX38" s="252"/>
      <c r="FY38" s="252"/>
      <c r="FZ38" s="252"/>
      <c r="GA38" s="252"/>
      <c r="GB38" s="252"/>
      <c r="GC38" s="252"/>
      <c r="GD38" s="252"/>
      <c r="GE38" s="252"/>
      <c r="GF38" s="252"/>
      <c r="GG38" s="252"/>
      <c r="GH38" s="252"/>
      <c r="GI38" s="252"/>
      <c r="GJ38" s="252"/>
      <c r="GK38" s="252"/>
      <c r="GL38" s="252"/>
      <c r="GM38" s="252"/>
      <c r="GN38" s="252"/>
      <c r="GO38" s="252"/>
      <c r="GP38" s="252"/>
      <c r="GQ38" s="252"/>
      <c r="GR38" s="252"/>
      <c r="GS38" s="252"/>
      <c r="GT38" s="252"/>
      <c r="GU38" s="252"/>
      <c r="GV38" s="252"/>
      <c r="GW38" s="252"/>
      <c r="GX38" s="252"/>
      <c r="GY38" s="252"/>
      <c r="GZ38" s="252"/>
      <c r="HA38" s="252"/>
      <c r="HB38" s="252"/>
      <c r="HC38" s="252"/>
      <c r="HD38" s="252"/>
      <c r="HE38" s="252"/>
      <c r="HF38" s="252"/>
      <c r="HG38" s="252"/>
      <c r="HH38" s="252"/>
      <c r="HI38" s="252"/>
      <c r="HJ38" s="252"/>
      <c r="HK38" s="252"/>
      <c r="HL38" s="252"/>
      <c r="HM38" s="252"/>
      <c r="HN38" s="252"/>
      <c r="HO38" s="252"/>
      <c r="HP38" s="252"/>
      <c r="HQ38" s="252"/>
      <c r="HR38" s="252"/>
      <c r="HS38" s="252"/>
      <c r="HT38" s="252"/>
      <c r="HU38" s="252"/>
      <c r="HV38" s="252"/>
      <c r="HW38" s="252"/>
      <c r="HX38" s="252"/>
      <c r="HY38" s="252"/>
      <c r="HZ38" s="252"/>
      <c r="IA38" s="252"/>
      <c r="IB38" s="252"/>
      <c r="IC38" s="252"/>
      <c r="ID38" s="252"/>
      <c r="IE38" s="252"/>
      <c r="IF38" s="252"/>
      <c r="IG38" s="252"/>
      <c r="IH38" s="252"/>
      <c r="II38" s="252"/>
      <c r="IJ38" s="252"/>
      <c r="IK38" s="252"/>
      <c r="IL38" s="189">
        <f t="shared" si="0"/>
        <v>117971</v>
      </c>
      <c r="IM38" s="961">
        <f>100000-IL38+350000</f>
        <v>332029</v>
      </c>
      <c r="IN38" s="194" t="str">
        <f t="shared" si="7"/>
        <v>PhillyJay's Steaks</v>
      </c>
      <c r="IP38" s="234">
        <f t="shared" si="3"/>
        <v>117971</v>
      </c>
      <c r="IQ38" s="316">
        <f>COUNT(B38:FZ38)+2</f>
        <v>37</v>
      </c>
      <c r="IT38" s="234">
        <v>192935</v>
      </c>
      <c r="IU38" s="234"/>
      <c r="IV38" s="979">
        <v>36</v>
      </c>
      <c r="IW38" s="981">
        <f t="shared" si="2"/>
        <v>12418</v>
      </c>
      <c r="IX38" s="977">
        <f t="shared" si="4"/>
        <v>117971</v>
      </c>
      <c r="IY38" s="978" t="str">
        <f t="shared" si="5"/>
        <v>PhillyJay's Steaks</v>
      </c>
    </row>
    <row r="39" spans="1:259" ht="10.15" customHeight="1">
      <c r="A39" s="196" t="s">
        <v>65</v>
      </c>
      <c r="B39" s="589">
        <f>'9.16.22'!E14</f>
        <v>522.5</v>
      </c>
      <c r="C39" s="589">
        <f>'9.17.22'!E13+'9.17.22'!E27</f>
        <v>2736</v>
      </c>
      <c r="D39" s="589"/>
      <c r="E39" s="640"/>
      <c r="F39" s="640"/>
      <c r="G39" s="640">
        <f>'9.21.22'!E7</f>
        <v>3591</v>
      </c>
      <c r="H39" s="640"/>
      <c r="I39" s="640"/>
      <c r="J39" s="640">
        <f>'9.24.22'!E30</f>
        <v>1216</v>
      </c>
      <c r="K39" s="640"/>
      <c r="L39" s="702"/>
      <c r="M39" s="702">
        <f>'9.27.22'!E20+'9.27.22'!E30</f>
        <v>4142</v>
      </c>
      <c r="N39" s="702">
        <f>'9.28.22'!E21+'9.28.22'!E31</f>
        <v>4037.5</v>
      </c>
      <c r="O39" s="702">
        <f>'9.29.22'!E31</f>
        <v>1282.5</v>
      </c>
      <c r="P39" s="702"/>
      <c r="Q39" s="702"/>
      <c r="R39" s="702"/>
      <c r="S39" s="738">
        <f>'10.03.22'!E31</f>
        <v>1501</v>
      </c>
      <c r="T39" s="738">
        <f>'10.04.22'!E30</f>
        <v>1662.5</v>
      </c>
      <c r="U39" s="738"/>
      <c r="V39" s="738">
        <f>'10.06.22'!E9</f>
        <v>3496</v>
      </c>
      <c r="W39" s="738"/>
      <c r="X39" s="738">
        <f>'10.08.22'!E11</f>
        <v>1795.5</v>
      </c>
      <c r="Y39" s="738"/>
      <c r="Z39" s="589">
        <f>'10.10.22'!E11</f>
        <v>2612.5</v>
      </c>
      <c r="AA39" s="589">
        <f>'10.11.22'!E31</f>
        <v>1700.5</v>
      </c>
      <c r="AB39" s="589">
        <f>'10.12.22'!E8</f>
        <v>4180</v>
      </c>
      <c r="AC39" s="589"/>
      <c r="AD39" s="589"/>
      <c r="AE39" s="589"/>
      <c r="AF39" s="589"/>
      <c r="AG39" s="640"/>
      <c r="AH39" s="640">
        <f>'10.18.22'!E21</f>
        <v>3562.5</v>
      </c>
      <c r="AI39" s="640">
        <f>'10.19.22'!E9</f>
        <v>3268</v>
      </c>
      <c r="AJ39" s="640"/>
      <c r="AK39" s="640"/>
      <c r="AL39" s="640"/>
      <c r="AM39" s="640"/>
      <c r="AN39" s="702"/>
      <c r="AO39" s="702">
        <f>'10.25.22'!E10+'10.25.22'!E20</f>
        <v>6574</v>
      </c>
      <c r="AP39" s="702"/>
      <c r="AQ39" s="702">
        <f>'10.27.22'!E30</f>
        <v>1396.5</v>
      </c>
      <c r="AR39" s="702">
        <f>'10.28.22'!E9+'10.28.22'!E19</f>
        <v>6574</v>
      </c>
      <c r="AS39" s="702"/>
      <c r="AT39" s="702"/>
      <c r="AU39" s="738"/>
      <c r="AV39" s="738"/>
      <c r="AW39" s="738">
        <f>'11.02.22'!E19+'11.02.22'!E29</f>
        <v>5652.5</v>
      </c>
      <c r="AX39" s="738">
        <f>'11.03.22'!E29</f>
        <v>2213.5</v>
      </c>
      <c r="AY39" s="738"/>
      <c r="AZ39" s="738"/>
      <c r="BA39" s="738"/>
      <c r="BB39" s="589">
        <f>'11.07.22'!E7</f>
        <v>4322.5</v>
      </c>
      <c r="BC39" s="589">
        <f>'11.08.22'!E28</f>
        <v>2945</v>
      </c>
      <c r="BD39" s="589">
        <f>'11.09.22'!E7+'11.09.22'!E18</f>
        <v>8835</v>
      </c>
      <c r="BE39" s="589">
        <f>'11.10.22'!E28</f>
        <v>2318</v>
      </c>
      <c r="BF39" s="589"/>
      <c r="BG39" s="589"/>
      <c r="BH39" s="589"/>
      <c r="BI39" s="640"/>
      <c r="BJ39" s="640">
        <f>'11.15.22'!E8</f>
        <v>4940</v>
      </c>
      <c r="BK39" s="640">
        <f>'11.16.22'!E8</f>
        <v>4921</v>
      </c>
      <c r="BL39" s="640">
        <f>'11.17.22'!E19+'11.17.22'!E30</f>
        <v>5310.5</v>
      </c>
      <c r="BM39" s="640"/>
      <c r="BN39" s="640"/>
      <c r="BO39" s="640"/>
      <c r="BP39" s="702">
        <f>'11.21.22'!E20</f>
        <v>3144.5</v>
      </c>
      <c r="BQ39" s="702"/>
      <c r="BR39" s="1134"/>
      <c r="BS39" s="1134"/>
      <c r="BT39" s="1134"/>
      <c r="BU39" s="1134"/>
      <c r="BV39" s="702"/>
      <c r="BW39" s="738"/>
      <c r="BX39" s="738"/>
      <c r="BY39" s="738"/>
      <c r="BZ39" s="738">
        <f>'12.01.22'!E7 + '12.01.22'!E17</f>
        <v>9158</v>
      </c>
      <c r="CA39" s="738">
        <f>'12.02.22'!E19</f>
        <v>4531.5</v>
      </c>
      <c r="CB39" s="738"/>
      <c r="CC39" s="738">
        <f>'12.04.22'!E17</f>
        <v>6080</v>
      </c>
      <c r="CD39" s="589"/>
      <c r="CE39" s="589"/>
      <c r="CF39" s="589">
        <f>'12.07.22'!E8+'12.07.22'!E17</f>
        <v>7277</v>
      </c>
      <c r="CG39" s="589">
        <f>'12.08.22'!E10</f>
        <v>3543.5</v>
      </c>
      <c r="CH39" s="252"/>
      <c r="CI39" s="640"/>
      <c r="CJ39" s="640"/>
      <c r="CK39" s="640"/>
      <c r="CL39" s="640">
        <f>'1.11.23'!E9</f>
        <v>4047</v>
      </c>
      <c r="CM39" s="640">
        <f>'1.12.23'!E18</f>
        <v>3515</v>
      </c>
      <c r="CN39" s="640"/>
      <c r="CO39" s="1166"/>
      <c r="CP39" s="1166"/>
      <c r="CQ39" s="702">
        <f>'1.16.23'!E18</f>
        <v>5101.5</v>
      </c>
      <c r="CR39" s="702">
        <f>'1.17.23'!E9</f>
        <v>3325</v>
      </c>
      <c r="CS39" s="702"/>
      <c r="CT39" s="702"/>
      <c r="CU39" s="702">
        <f>'1.20.23'!E9</f>
        <v>3676.5</v>
      </c>
      <c r="CV39" s="702">
        <f>'1.21.23'!E17</f>
        <v>2992.5</v>
      </c>
      <c r="CW39" s="702"/>
      <c r="CX39" s="738">
        <f>'1.23.23'!E8</f>
        <v>4294</v>
      </c>
      <c r="CY39" s="738">
        <f>'1.24.23'!E19</f>
        <v>3914</v>
      </c>
      <c r="CZ39" s="738"/>
      <c r="DA39" s="738">
        <f>'1.26.23'!E18+'1.26.23'!E27</f>
        <v>7638</v>
      </c>
      <c r="DB39" s="738"/>
      <c r="DC39" s="738"/>
      <c r="DD39" s="738"/>
      <c r="DE39" s="589"/>
      <c r="DF39" s="589">
        <f>'1.31.23'!E9</f>
        <v>3505.5</v>
      </c>
      <c r="DG39" s="589">
        <f>'2.01.23'!E7</f>
        <v>4379.5</v>
      </c>
      <c r="DH39" s="589">
        <f>'2.02.23'!E29</f>
        <v>4341.5</v>
      </c>
      <c r="DI39" s="589"/>
      <c r="DJ39" s="589"/>
      <c r="DK39" s="589"/>
      <c r="DL39" s="640"/>
      <c r="DM39" s="640">
        <f>'2.07.23'!E29</f>
        <v>4275</v>
      </c>
      <c r="DN39" s="640"/>
      <c r="DO39" s="640">
        <f>'2.09.23'!E19</f>
        <v>3439</v>
      </c>
      <c r="DP39" s="640">
        <f>'2.10.23'!E9</f>
        <v>3287</v>
      </c>
      <c r="DQ39" s="640"/>
      <c r="DR39" s="640">
        <f>'2.12.23'!E9</f>
        <v>4892.5</v>
      </c>
      <c r="DS39" s="702"/>
      <c r="DT39" s="702"/>
      <c r="DU39" s="702">
        <f>'2.15.23'!E19</f>
        <v>4351</v>
      </c>
      <c r="DV39" s="702"/>
      <c r="DW39" s="702">
        <f>'2.17.23'!E28</f>
        <v>1928.5</v>
      </c>
      <c r="DX39" s="1166"/>
      <c r="DY39" s="1166"/>
      <c r="DZ39" s="1196">
        <f>'2.20.23'!E17</f>
        <v>5054</v>
      </c>
      <c r="EA39" s="252"/>
      <c r="EB39" s="252">
        <f>'2.22.23'!E19+'2.22.23'!E27</f>
        <v>5624</v>
      </c>
      <c r="EC39" s="252">
        <f>'2.23.23'!E9</f>
        <v>3857</v>
      </c>
      <c r="ED39" s="252"/>
      <c r="EE39" s="252"/>
      <c r="EF39" s="252"/>
      <c r="EG39" s="702"/>
      <c r="EH39" s="702">
        <f>'2.28.23'!E7</f>
        <v>4142</v>
      </c>
      <c r="EI39" s="702"/>
      <c r="EJ39" s="702">
        <f>'3.2.23'!E29</f>
        <v>3173</v>
      </c>
      <c r="EK39" s="702"/>
      <c r="EL39" s="702">
        <f>'3.4.23'!E17+'3.4.23'!E27</f>
        <v>6811.5</v>
      </c>
      <c r="EM39" s="702"/>
      <c r="EN39" s="738"/>
      <c r="EO39" s="738">
        <f>'3.7.23'!E18</f>
        <v>5073</v>
      </c>
      <c r="EP39" s="738">
        <f>'3.8.23'!E7</f>
        <v>4322.5</v>
      </c>
      <c r="EQ39" s="738">
        <f>'3.9.23'!E19</f>
        <v>3885.5</v>
      </c>
      <c r="ER39" s="738"/>
      <c r="ES39" s="738"/>
      <c r="ET39" s="738">
        <f>'3.12.23'!E27</f>
        <v>4531.5</v>
      </c>
      <c r="EU39" s="589">
        <f>'3.13.23'!E19</f>
        <v>4921</v>
      </c>
      <c r="EV39" s="589">
        <f>'3.14.23'!E27</f>
        <v>3144.5</v>
      </c>
      <c r="EW39" s="589"/>
      <c r="EX39" s="589"/>
      <c r="EY39" s="589"/>
      <c r="EZ39" s="589"/>
      <c r="FA39" s="589"/>
      <c r="FB39" s="640"/>
      <c r="FC39" s="640"/>
      <c r="FD39" s="640"/>
      <c r="FE39" s="640">
        <f>'3.23.23'!E9 + '3.23.23'!E19</f>
        <v>7505</v>
      </c>
      <c r="FF39" s="1218"/>
      <c r="FG39" s="1218"/>
      <c r="FH39" s="1218"/>
      <c r="FI39" s="1218"/>
      <c r="FJ39" s="1218"/>
      <c r="FK39" s="1218"/>
      <c r="FL39" s="1218"/>
      <c r="FM39" s="1218"/>
      <c r="FN39" s="1218"/>
      <c r="FO39" s="702"/>
      <c r="FP39" s="702"/>
      <c r="FQ39" s="702"/>
      <c r="FR39" s="702">
        <f>'4.5.23'!E8+'4.5.23'!E18</f>
        <v>8616.5</v>
      </c>
      <c r="FS39" s="702">
        <f>'4.6.23'!E27</f>
        <v>2565</v>
      </c>
      <c r="FT39" s="702"/>
      <c r="FU39" s="702"/>
      <c r="FV39" s="702"/>
      <c r="FW39" s="738">
        <f>'4.10.23'!E8</f>
        <v>4170.5</v>
      </c>
      <c r="FX39" s="738"/>
      <c r="FY39" s="738"/>
      <c r="FZ39" s="738">
        <f>'4.13.23'!E18 + '4.13.23'!E27</f>
        <v>6213</v>
      </c>
      <c r="GA39" s="738"/>
      <c r="GB39" s="738"/>
      <c r="GC39" s="738">
        <f>'4.16.23'!E17 +'4.16.23'!E27</f>
        <v>7799.5</v>
      </c>
      <c r="GD39" s="252"/>
      <c r="GE39" s="252"/>
      <c r="GF39" s="252"/>
      <c r="GG39" s="252"/>
      <c r="GH39" s="252"/>
      <c r="GI39" s="252"/>
      <c r="GJ39" s="252"/>
      <c r="GK39" s="640"/>
      <c r="GL39" s="640">
        <f>'4.25.23'!E8</f>
        <v>4816.5</v>
      </c>
      <c r="GM39" s="640"/>
      <c r="GN39" s="640"/>
      <c r="GO39" s="640"/>
      <c r="GP39" s="640"/>
      <c r="GQ39" s="640"/>
      <c r="GR39" s="589"/>
      <c r="GS39" s="589">
        <f>'5.02.23'!E8+'5.02.23'!E18</f>
        <v>9158</v>
      </c>
      <c r="GT39" s="589"/>
      <c r="GU39" s="589"/>
      <c r="GV39" s="589"/>
      <c r="GW39" s="589"/>
      <c r="GX39" s="589"/>
      <c r="GY39" s="738">
        <f>'5.08.23'!E7</f>
        <v>5073</v>
      </c>
      <c r="GZ39" s="738"/>
      <c r="HA39" s="738">
        <f>'5.10.23'!E17</f>
        <v>4873.5</v>
      </c>
      <c r="HB39" s="738"/>
      <c r="HC39" s="738"/>
      <c r="HD39" s="738"/>
      <c r="HE39" s="738"/>
      <c r="HF39" s="702">
        <f>'5.15.23'!E8</f>
        <v>5044.5</v>
      </c>
      <c r="HG39" s="702"/>
      <c r="HH39" s="702">
        <f>'5.17.23'!E18</f>
        <v>4617</v>
      </c>
      <c r="HI39" s="702"/>
      <c r="HJ39" s="702"/>
      <c r="HK39" s="702"/>
      <c r="HL39" s="702"/>
      <c r="HM39" s="640">
        <f>'5.22.23'!E8</f>
        <v>4636</v>
      </c>
      <c r="HN39" s="640"/>
      <c r="HO39" s="640">
        <f>'5.24.23'!E28</f>
        <v>3049.5</v>
      </c>
      <c r="HP39" s="640"/>
      <c r="HQ39" s="640"/>
      <c r="HR39" s="640"/>
      <c r="HS39" s="640"/>
      <c r="HT39" s="589"/>
      <c r="HU39" s="589">
        <f>'5.30.23'!E27</f>
        <v>3914</v>
      </c>
      <c r="HV39" s="589"/>
      <c r="HW39" s="589"/>
      <c r="HX39" s="589"/>
      <c r="HY39" s="589"/>
      <c r="HZ39" s="589">
        <f>'6.04.23'!E17</f>
        <v>5633.5</v>
      </c>
      <c r="IA39" s="252"/>
      <c r="IB39" s="252">
        <f>'6.6.23'!E27</f>
        <v>3591</v>
      </c>
      <c r="IC39" s="252"/>
      <c r="ID39" s="252">
        <f>'6.8.23'!E7</f>
        <v>4655</v>
      </c>
      <c r="IE39" s="252"/>
      <c r="IF39" s="252"/>
      <c r="IG39" s="252"/>
      <c r="IH39" s="252"/>
      <c r="II39" s="252"/>
      <c r="IJ39" s="252"/>
      <c r="IK39" s="252"/>
      <c r="IL39" s="189">
        <f t="shared" si="0"/>
        <v>354416.5</v>
      </c>
      <c r="IM39" s="961">
        <f>449000-IL39+350000</f>
        <v>444583.5</v>
      </c>
      <c r="IN39" s="194" t="str">
        <f t="shared" si="7"/>
        <v>Pinch of Flavor</v>
      </c>
      <c r="IP39" s="234">
        <f t="shared" si="3"/>
        <v>354416.5</v>
      </c>
      <c r="IQ39" s="316">
        <f>COUNT(B39:FZ39)+6</f>
        <v>75</v>
      </c>
      <c r="IT39" s="234">
        <v>6760</v>
      </c>
      <c r="IU39" s="234"/>
      <c r="IV39" s="979">
        <v>37</v>
      </c>
      <c r="IW39" s="981">
        <f t="shared" si="2"/>
        <v>37307</v>
      </c>
      <c r="IX39" s="977">
        <f t="shared" si="4"/>
        <v>354416.5</v>
      </c>
      <c r="IY39" s="978" t="str">
        <f t="shared" si="5"/>
        <v>Pinch of Flavor</v>
      </c>
    </row>
    <row r="40" spans="1:259" ht="10.15" customHeight="1">
      <c r="A40" s="195" t="s">
        <v>82</v>
      </c>
      <c r="B40" s="589">
        <f>'9.16.22'!E10+'9.16.22'!E24</f>
        <v>342</v>
      </c>
      <c r="C40" s="589"/>
      <c r="D40" s="589">
        <f>'9.18.22'!E13+'9.18.22'!E27</f>
        <v>2536.5</v>
      </c>
      <c r="E40" s="640">
        <f>'9.19.22'!E8</f>
        <v>2726.5</v>
      </c>
      <c r="F40" s="640"/>
      <c r="G40" s="640">
        <f>'9.21.22'!E8</f>
        <v>2783.5</v>
      </c>
      <c r="H40" s="640"/>
      <c r="I40" s="640"/>
      <c r="J40" s="640"/>
      <c r="K40" s="640">
        <f>'9.25.22'!E28</f>
        <v>1387</v>
      </c>
      <c r="L40" s="702"/>
      <c r="M40" s="702">
        <f>'9.27.22'!E10</f>
        <v>1415.5</v>
      </c>
      <c r="N40" s="702"/>
      <c r="O40" s="702">
        <f>'9.29.22'!E7</f>
        <v>2479.5</v>
      </c>
      <c r="P40" s="702"/>
      <c r="Q40" s="702"/>
      <c r="R40" s="702">
        <f>'10.02.22'!E10</f>
        <v>2869</v>
      </c>
      <c r="S40" s="738">
        <f>'10.03.22'!E20</f>
        <v>2926</v>
      </c>
      <c r="T40" s="738"/>
      <c r="U40" s="738">
        <f>'10.05.22'!E30</f>
        <v>2489</v>
      </c>
      <c r="V40" s="738"/>
      <c r="W40" s="738">
        <f>'10.07.22'!E10</f>
        <v>2080.5</v>
      </c>
      <c r="X40" s="738"/>
      <c r="Y40" s="738"/>
      <c r="Z40" s="589">
        <f>'10.10.22'!E9</f>
        <v>2489</v>
      </c>
      <c r="AA40" s="589">
        <f>'10.11.22'!E30</f>
        <v>1767</v>
      </c>
      <c r="AB40" s="589">
        <f>'10.12.22'!E29</f>
        <v>2156.5</v>
      </c>
      <c r="AC40" s="589"/>
      <c r="AD40" s="589">
        <f>'10.14.22'!E10</f>
        <v>2745.5</v>
      </c>
      <c r="AE40" s="589"/>
      <c r="AF40" s="589"/>
      <c r="AG40" s="640"/>
      <c r="AH40" s="640"/>
      <c r="AI40" s="640"/>
      <c r="AJ40" s="640">
        <f>'10.20.22'!E30</f>
        <v>2118.5</v>
      </c>
      <c r="AK40" s="640">
        <f>'10.21.22'!E17 + '10.21.22'!E28</f>
        <v>4199</v>
      </c>
      <c r="AL40" s="640"/>
      <c r="AM40" s="640">
        <f>'10.23.22'!E21 + '10.23.22'!E31</f>
        <v>2973.5</v>
      </c>
      <c r="AN40" s="702"/>
      <c r="AO40" s="702">
        <f>'10.25.22'!E30</f>
        <v>2251.5</v>
      </c>
      <c r="AP40" s="702"/>
      <c r="AQ40" s="702">
        <f>'10.27.22'!E8</f>
        <v>3163.5</v>
      </c>
      <c r="AR40" s="702"/>
      <c r="AS40" s="702"/>
      <c r="AT40" s="702"/>
      <c r="AU40" s="738">
        <f>'10.31.22'!E28</f>
        <v>2318</v>
      </c>
      <c r="AV40" s="738">
        <f>'11.01.22'!E31</f>
        <v>2318</v>
      </c>
      <c r="AW40" s="738"/>
      <c r="AX40" s="738"/>
      <c r="AY40" s="738"/>
      <c r="AZ40" s="738"/>
      <c r="BA40" s="738">
        <f>'11.06.22'!E18</f>
        <v>3277.5</v>
      </c>
      <c r="BB40" s="589">
        <f>'11.07.22'!E8</f>
        <v>3448.5</v>
      </c>
      <c r="BC40" s="589"/>
      <c r="BD40" s="589"/>
      <c r="BE40" s="589">
        <f>'11.10.22'!E19</f>
        <v>2850</v>
      </c>
      <c r="BF40" s="589"/>
      <c r="BG40" s="589"/>
      <c r="BH40" s="589">
        <f>'11.13.22'!E17</f>
        <v>3505.5</v>
      </c>
      <c r="BI40" s="640"/>
      <c r="BJ40" s="640"/>
      <c r="BK40" s="640">
        <f>'11.16.22'!E30</f>
        <v>2679</v>
      </c>
      <c r="BL40" s="640"/>
      <c r="BM40" s="640"/>
      <c r="BN40" s="640">
        <f>'11.19.22'!E18</f>
        <v>2555.5</v>
      </c>
      <c r="BO40" s="640"/>
      <c r="BP40" s="702"/>
      <c r="BQ40" s="702">
        <f>'11.22.22'!E17</f>
        <v>3296.5</v>
      </c>
      <c r="BR40" s="1134"/>
      <c r="BS40" s="1134"/>
      <c r="BT40" s="1134"/>
      <c r="BU40" s="1134"/>
      <c r="BV40" s="702"/>
      <c r="BW40" s="738"/>
      <c r="BX40" s="738"/>
      <c r="BY40" s="738">
        <f>'11.30.22'!E9</f>
        <v>4094.5</v>
      </c>
      <c r="BZ40" s="738"/>
      <c r="CA40" s="738">
        <f>'12.02.22'!E7</f>
        <v>4151.5</v>
      </c>
      <c r="CB40" s="738"/>
      <c r="CC40" s="738"/>
      <c r="CD40" s="589">
        <f>'12.05.22'!E18</f>
        <v>3515</v>
      </c>
      <c r="CE40" s="589"/>
      <c r="CF40" s="589"/>
      <c r="CG40" s="589"/>
      <c r="CH40" s="252"/>
      <c r="CI40" s="640"/>
      <c r="CJ40" s="640"/>
      <c r="CK40" s="640"/>
      <c r="CL40" s="640"/>
      <c r="CM40" s="640"/>
      <c r="CN40" s="640">
        <f>'1.13.23'!E7</f>
        <v>3866.5</v>
      </c>
      <c r="CO40" s="1166"/>
      <c r="CP40" s="1166"/>
      <c r="CQ40" s="702"/>
      <c r="CR40" s="702"/>
      <c r="CS40" s="702">
        <f>'1.18.23'!E17</f>
        <v>3667</v>
      </c>
      <c r="CT40" s="702"/>
      <c r="CU40" s="702"/>
      <c r="CV40" s="702"/>
      <c r="CW40" s="702">
        <f>'1.22.23'!E19</f>
        <v>3382</v>
      </c>
      <c r="CX40" s="738"/>
      <c r="CY40" s="738">
        <f>'1.24.23'!E8</f>
        <v>3828.5</v>
      </c>
      <c r="CZ40" s="738"/>
      <c r="DA40" s="738"/>
      <c r="DB40" s="738"/>
      <c r="DC40" s="738"/>
      <c r="DD40" s="738"/>
      <c r="DE40" s="589"/>
      <c r="DF40" s="589"/>
      <c r="DG40" s="589">
        <f>'2.01.23'!E9</f>
        <v>3467.5</v>
      </c>
      <c r="DH40" s="589"/>
      <c r="DI40" s="589"/>
      <c r="DJ40" s="589"/>
      <c r="DK40" s="589"/>
      <c r="DL40" s="640"/>
      <c r="DM40" s="640">
        <f>'2.07.23'!E27</f>
        <v>4180</v>
      </c>
      <c r="DN40" s="640">
        <f>'2.08.23'!E8</f>
        <v>3325</v>
      </c>
      <c r="DO40" s="640"/>
      <c r="DP40" s="640"/>
      <c r="DQ40" s="640"/>
      <c r="DR40" s="640"/>
      <c r="DS40" s="702">
        <f>'2.13.23'!E18</f>
        <v>3420</v>
      </c>
      <c r="DT40" s="702"/>
      <c r="DU40" s="702"/>
      <c r="DV40" s="702"/>
      <c r="DW40" s="702"/>
      <c r="DX40" s="1166"/>
      <c r="DY40" s="1166"/>
      <c r="DZ40" s="738"/>
      <c r="EA40" s="738"/>
      <c r="EB40" s="738"/>
      <c r="EC40" s="738"/>
      <c r="ED40" s="738">
        <f>'2.24.23'!E17</f>
        <v>2584</v>
      </c>
      <c r="EE40" s="738"/>
      <c r="EF40" s="738"/>
      <c r="EG40" s="702">
        <f>'2.27.23'!E27</f>
        <v>2821.5</v>
      </c>
      <c r="EH40" s="702">
        <f>'2.28.23'!E17</f>
        <v>3657.5</v>
      </c>
      <c r="EI40" s="702"/>
      <c r="EJ40" s="702"/>
      <c r="EK40" s="702"/>
      <c r="EL40" s="702"/>
      <c r="EM40" s="702"/>
      <c r="EN40" s="738"/>
      <c r="EO40" s="738"/>
      <c r="EP40" s="738">
        <f>'3.8.23'!E8</f>
        <v>4094.5</v>
      </c>
      <c r="EQ40" s="738"/>
      <c r="ER40" s="738"/>
      <c r="ES40" s="738">
        <f>'3.11.23'!E29</f>
        <v>3116</v>
      </c>
      <c r="ET40" s="738">
        <f>'3.12.23'!E9</f>
        <v>3078</v>
      </c>
      <c r="EU40" s="589">
        <f>'3.13.23'!E27</f>
        <v>3657.5</v>
      </c>
      <c r="EV40" s="589"/>
      <c r="EW40" s="589"/>
      <c r="EX40" s="589"/>
      <c r="EY40" s="589"/>
      <c r="EZ40" s="589"/>
      <c r="FA40" s="589"/>
      <c r="FB40" s="640"/>
      <c r="FC40" s="640"/>
      <c r="FD40" s="640"/>
      <c r="FE40" s="640">
        <f>'3.23.23'!E29</f>
        <v>3002</v>
      </c>
      <c r="FF40" s="1218"/>
      <c r="FG40" s="1218"/>
      <c r="FH40" s="1218"/>
      <c r="FI40" s="1218"/>
      <c r="FJ40" s="1218"/>
      <c r="FK40" s="1218"/>
      <c r="FL40" s="1218"/>
      <c r="FM40" s="1218"/>
      <c r="FN40" s="1218"/>
      <c r="FO40" s="702"/>
      <c r="FP40" s="702">
        <f>'4.3.23'!E19</f>
        <v>2878.5</v>
      </c>
      <c r="FQ40" s="702"/>
      <c r="FR40" s="702"/>
      <c r="FS40" s="702"/>
      <c r="FT40" s="702">
        <f>'4.7.23'!E9</f>
        <v>2356</v>
      </c>
      <c r="FU40" s="702"/>
      <c r="FV40" s="702">
        <f>'4.9.23'!E19 + '4.9.23'!E29</f>
        <v>6431.5</v>
      </c>
      <c r="FW40" s="252"/>
      <c r="FX40" s="252"/>
      <c r="FY40" s="252"/>
      <c r="FZ40" s="252"/>
      <c r="GA40" s="252"/>
      <c r="GB40" s="252"/>
      <c r="GC40" s="252"/>
      <c r="GD40" s="702"/>
      <c r="GE40" s="702"/>
      <c r="GF40" s="702">
        <f>'4.19.23'!E7</f>
        <v>3011.5</v>
      </c>
      <c r="GG40" s="702"/>
      <c r="GH40" s="702"/>
      <c r="GI40" s="702"/>
      <c r="GJ40" s="702"/>
      <c r="GK40" s="252"/>
      <c r="GL40" s="252"/>
      <c r="GM40" s="252"/>
      <c r="GN40" s="252"/>
      <c r="GO40" s="252"/>
      <c r="GP40" s="252"/>
      <c r="GQ40" s="252"/>
      <c r="GR40" s="589">
        <f>'5.01.23'!E8</f>
        <v>4132.5</v>
      </c>
      <c r="GS40" s="589"/>
      <c r="GT40" s="589"/>
      <c r="GU40" s="589"/>
      <c r="GV40" s="589"/>
      <c r="GW40" s="589"/>
      <c r="GX40" s="589"/>
      <c r="GY40" s="252"/>
      <c r="GZ40" s="252"/>
      <c r="HA40" s="252"/>
      <c r="HB40" s="252"/>
      <c r="HC40" s="252"/>
      <c r="HD40" s="252"/>
      <c r="HE40" s="252"/>
      <c r="HF40" s="702">
        <f>'5.15.23'!E18</f>
        <v>4104</v>
      </c>
      <c r="HG40" s="702"/>
      <c r="HH40" s="702"/>
      <c r="HI40" s="702"/>
      <c r="HJ40" s="702"/>
      <c r="HK40" s="702"/>
      <c r="HL40" s="702"/>
      <c r="HM40" s="252"/>
      <c r="HN40" s="252"/>
      <c r="HO40" s="252"/>
      <c r="HP40" s="252"/>
      <c r="HQ40" s="252"/>
      <c r="HR40" s="252"/>
      <c r="HS40" s="252"/>
      <c r="HT40" s="252"/>
      <c r="HU40" s="252"/>
      <c r="HV40" s="252"/>
      <c r="HW40" s="252"/>
      <c r="HX40" s="252"/>
      <c r="HY40" s="252"/>
      <c r="HZ40" s="252"/>
      <c r="IA40" s="252"/>
      <c r="IB40" s="252"/>
      <c r="IC40" s="252"/>
      <c r="ID40" s="252">
        <f>'6.8.23'!E18</f>
        <v>4446</v>
      </c>
      <c r="IE40" s="252"/>
      <c r="IF40" s="252"/>
      <c r="IG40" s="252"/>
      <c r="IH40" s="252"/>
      <c r="II40" s="252"/>
      <c r="IJ40" s="252"/>
      <c r="IK40" s="252"/>
      <c r="IL40" s="189">
        <f t="shared" si="0"/>
        <v>168416</v>
      </c>
      <c r="IM40" s="961">
        <f>100000-IL40+350000</f>
        <v>281584</v>
      </c>
      <c r="IN40" s="194" t="str">
        <f t="shared" si="7"/>
        <v>Poutine Brothers</v>
      </c>
      <c r="IP40" s="234">
        <f t="shared" si="3"/>
        <v>168416</v>
      </c>
      <c r="IQ40" s="316">
        <f>COUNT(B40:FZ40)+1+4</f>
        <v>56</v>
      </c>
      <c r="IT40" s="782">
        <v>127767.5</v>
      </c>
      <c r="IU40" s="234"/>
      <c r="IV40" s="979">
        <v>38</v>
      </c>
      <c r="IW40" s="981">
        <f t="shared" si="2"/>
        <v>17728</v>
      </c>
      <c r="IX40" s="977">
        <f t="shared" si="4"/>
        <v>168416</v>
      </c>
      <c r="IY40" s="978" t="str">
        <f t="shared" si="5"/>
        <v>Poutine Brothers</v>
      </c>
    </row>
    <row r="41" spans="1:259" ht="10.15" customHeight="1">
      <c r="A41" s="195" t="s">
        <v>825</v>
      </c>
      <c r="B41" s="589"/>
      <c r="C41" s="589"/>
      <c r="D41" s="589"/>
      <c r="E41" s="640"/>
      <c r="F41" s="640"/>
      <c r="G41" s="640"/>
      <c r="H41" s="640"/>
      <c r="I41" s="640"/>
      <c r="J41" s="640"/>
      <c r="K41" s="640"/>
      <c r="L41" s="702"/>
      <c r="M41" s="702"/>
      <c r="N41" s="702"/>
      <c r="O41" s="702"/>
      <c r="P41" s="702"/>
      <c r="Q41" s="702"/>
      <c r="R41" s="702"/>
      <c r="S41" s="738"/>
      <c r="T41" s="738"/>
      <c r="U41" s="738"/>
      <c r="V41" s="738"/>
      <c r="W41" s="738"/>
      <c r="X41" s="738"/>
      <c r="Y41" s="738"/>
      <c r="Z41" s="589"/>
      <c r="AA41" s="589"/>
      <c r="AB41" s="589"/>
      <c r="AC41" s="589"/>
      <c r="AD41" s="589"/>
      <c r="AE41" s="589"/>
      <c r="AF41" s="589"/>
      <c r="AG41" s="640"/>
      <c r="AH41" s="640"/>
      <c r="AI41" s="640"/>
      <c r="AJ41" s="640"/>
      <c r="AK41" s="640"/>
      <c r="AL41" s="640"/>
      <c r="AM41" s="640"/>
      <c r="AN41" s="702"/>
      <c r="AO41" s="702"/>
      <c r="AP41" s="702"/>
      <c r="AQ41" s="702"/>
      <c r="AR41" s="702"/>
      <c r="AS41" s="702"/>
      <c r="AT41" s="702"/>
      <c r="AU41" s="738"/>
      <c r="AV41" s="738"/>
      <c r="AW41" s="738"/>
      <c r="AX41" s="738"/>
      <c r="AY41" s="738"/>
      <c r="AZ41" s="738"/>
      <c r="BA41" s="738"/>
      <c r="BB41" s="589"/>
      <c r="BC41" s="589"/>
      <c r="BD41" s="589"/>
      <c r="BE41" s="589"/>
      <c r="BF41" s="589"/>
      <c r="BG41" s="589"/>
      <c r="BH41" s="589"/>
      <c r="BI41" s="640"/>
      <c r="BJ41" s="640"/>
      <c r="BK41" s="640"/>
      <c r="BL41" s="640"/>
      <c r="BM41" s="640"/>
      <c r="BN41" s="640"/>
      <c r="BO41" s="640"/>
      <c r="BP41" s="702"/>
      <c r="BQ41" s="702"/>
      <c r="BR41" s="1134"/>
      <c r="BS41" s="1134"/>
      <c r="BT41" s="1134"/>
      <c r="BU41" s="1134"/>
      <c r="BV41" s="702"/>
      <c r="BW41" s="738"/>
      <c r="BX41" s="738"/>
      <c r="BY41" s="738"/>
      <c r="BZ41" s="738"/>
      <c r="CA41" s="738"/>
      <c r="CB41" s="738"/>
      <c r="CC41" s="738"/>
      <c r="CD41" s="589"/>
      <c r="CE41" s="589"/>
      <c r="CF41" s="589"/>
      <c r="CG41" s="589"/>
      <c r="CH41" s="252"/>
      <c r="CI41" s="640"/>
      <c r="CJ41" s="640"/>
      <c r="CK41" s="640"/>
      <c r="CL41" s="640"/>
      <c r="CM41" s="640"/>
      <c r="CN41" s="640"/>
      <c r="CO41" s="1166"/>
      <c r="CP41" s="1166"/>
      <c r="CQ41" s="252"/>
      <c r="CR41" s="252"/>
      <c r="CS41" s="252"/>
      <c r="CT41" s="252"/>
      <c r="CU41" s="252"/>
      <c r="CV41" s="252"/>
      <c r="CW41" s="252"/>
      <c r="CX41" s="252"/>
      <c r="CY41" s="252"/>
      <c r="CZ41" s="252"/>
      <c r="DA41" s="252"/>
      <c r="DB41" s="252"/>
      <c r="DC41" s="252"/>
      <c r="DD41" s="252"/>
      <c r="DE41" s="252"/>
      <c r="DF41" s="252"/>
      <c r="DG41" s="252"/>
      <c r="DH41" s="252"/>
      <c r="DI41" s="252"/>
      <c r="DJ41" s="252"/>
      <c r="DK41" s="252"/>
      <c r="DL41" s="252"/>
      <c r="DM41" s="252"/>
      <c r="DN41" s="252"/>
      <c r="DO41" s="252"/>
      <c r="DP41" s="252"/>
      <c r="DQ41" s="252"/>
      <c r="DR41" s="252"/>
      <c r="DS41" s="252"/>
      <c r="DT41" s="252"/>
      <c r="DU41" s="252"/>
      <c r="DV41" s="252"/>
      <c r="DW41" s="252"/>
      <c r="DX41" s="1166"/>
      <c r="DY41" s="1166"/>
      <c r="DZ41" s="1196"/>
      <c r="EA41" s="252"/>
      <c r="EB41" s="252"/>
      <c r="EC41" s="252"/>
      <c r="ED41" s="252"/>
      <c r="EE41" s="252"/>
      <c r="EF41" s="252"/>
      <c r="EG41" s="252"/>
      <c r="EH41" s="252"/>
      <c r="EI41" s="252"/>
      <c r="EJ41" s="252"/>
      <c r="EK41" s="252"/>
      <c r="EL41" s="252"/>
      <c r="EM41" s="252"/>
      <c r="EN41" s="252"/>
      <c r="EO41" s="252"/>
      <c r="EP41" s="252"/>
      <c r="EQ41" s="252"/>
      <c r="ER41" s="252"/>
      <c r="ES41" s="252"/>
      <c r="ET41" s="252"/>
      <c r="EU41" s="252"/>
      <c r="EV41" s="252"/>
      <c r="EW41" s="252"/>
      <c r="EX41" s="252"/>
      <c r="EY41" s="252"/>
      <c r="EZ41" s="252"/>
      <c r="FA41" s="252"/>
      <c r="FB41" s="252"/>
      <c r="FC41" s="252"/>
      <c r="FD41" s="252"/>
      <c r="FE41" s="252"/>
      <c r="FF41" s="1218"/>
      <c r="FG41" s="1218"/>
      <c r="FH41" s="1218"/>
      <c r="FI41" s="1218"/>
      <c r="FJ41" s="1218"/>
      <c r="FK41" s="1218"/>
      <c r="FL41" s="1218"/>
      <c r="FM41" s="1218"/>
      <c r="FN41" s="1218"/>
      <c r="FO41" s="252"/>
      <c r="FP41" s="252"/>
      <c r="FQ41" s="252"/>
      <c r="FR41" s="252"/>
      <c r="FS41" s="252"/>
      <c r="FT41" s="252"/>
      <c r="FU41" s="252"/>
      <c r="FV41" s="252"/>
      <c r="FW41" s="252"/>
      <c r="FX41" s="252"/>
      <c r="FY41" s="252"/>
      <c r="FZ41" s="252"/>
      <c r="GA41" s="252"/>
      <c r="GB41" s="252"/>
      <c r="GC41" s="252"/>
      <c r="GD41" s="252"/>
      <c r="GE41" s="252"/>
      <c r="GF41" s="252"/>
      <c r="GG41" s="252"/>
      <c r="GH41" s="252"/>
      <c r="GI41" s="252"/>
      <c r="GJ41" s="252"/>
      <c r="GK41" s="252"/>
      <c r="GL41" s="252"/>
      <c r="GM41" s="252"/>
      <c r="GN41" s="252"/>
      <c r="GO41" s="252"/>
      <c r="GP41" s="252"/>
      <c r="GQ41" s="252"/>
      <c r="GR41" s="252"/>
      <c r="GS41" s="252"/>
      <c r="GT41" s="252"/>
      <c r="GU41" s="252"/>
      <c r="GV41" s="252"/>
      <c r="GW41" s="252"/>
      <c r="GX41" s="252"/>
      <c r="GY41" s="252"/>
      <c r="GZ41" s="252"/>
      <c r="HA41" s="252"/>
      <c r="HB41" s="252"/>
      <c r="HC41" s="252"/>
      <c r="HD41" s="252"/>
      <c r="HE41" s="252"/>
      <c r="HF41" s="252"/>
      <c r="HG41" s="252"/>
      <c r="HH41" s="252"/>
      <c r="HI41" s="252"/>
      <c r="HJ41" s="252"/>
      <c r="HK41" s="252"/>
      <c r="HL41" s="252"/>
      <c r="HM41" s="252"/>
      <c r="HN41" s="252"/>
      <c r="HO41" s="252"/>
      <c r="HP41" s="252"/>
      <c r="HQ41" s="252"/>
      <c r="HR41" s="252"/>
      <c r="HS41" s="252"/>
      <c r="HT41" s="252"/>
      <c r="HU41" s="252"/>
      <c r="HV41" s="252"/>
      <c r="HW41" s="252"/>
      <c r="HX41" s="252"/>
      <c r="HY41" s="252"/>
      <c r="HZ41" s="252"/>
      <c r="IA41" s="252"/>
      <c r="IB41" s="252"/>
      <c r="IC41" s="252"/>
      <c r="ID41" s="252"/>
      <c r="IE41" s="252"/>
      <c r="IF41" s="252"/>
      <c r="IG41" s="252"/>
      <c r="IH41" s="252"/>
      <c r="II41" s="252"/>
      <c r="IJ41" s="252"/>
      <c r="IK41" s="252"/>
      <c r="IL41" s="189">
        <f t="shared" si="0"/>
        <v>0</v>
      </c>
      <c r="IM41" s="961"/>
      <c r="IN41" s="194" t="str">
        <f t="shared" si="7"/>
        <v>Rice Balls Inc.</v>
      </c>
      <c r="IP41" s="234">
        <f t="shared" si="3"/>
        <v>0</v>
      </c>
      <c r="IQ41" s="316">
        <f>COUNT(B41:FZ41)</f>
        <v>0</v>
      </c>
      <c r="IT41" s="782"/>
      <c r="IU41" s="234"/>
      <c r="IV41" s="979"/>
      <c r="IW41" s="981"/>
      <c r="IX41" s="977">
        <f t="shared" si="4"/>
        <v>0</v>
      </c>
      <c r="IY41" s="978" t="str">
        <f t="shared" si="5"/>
        <v>Rice Balls Inc.</v>
      </c>
    </row>
    <row r="42" spans="1:259" ht="10.15" customHeight="1">
      <c r="A42" s="195" t="s">
        <v>329</v>
      </c>
      <c r="B42" s="589"/>
      <c r="C42" s="589">
        <f>'9.17.22'!E12+'9.17.22'!E26</f>
        <v>750.5</v>
      </c>
      <c r="D42" s="589">
        <f>'9.18.22'!E11+'9.18.22'!E25</f>
        <v>1434.5</v>
      </c>
      <c r="E42" s="640"/>
      <c r="F42" s="640"/>
      <c r="G42" s="640"/>
      <c r="H42" s="640"/>
      <c r="I42" s="640">
        <f>'9.23.22'!E11</f>
        <v>2517.5</v>
      </c>
      <c r="J42" s="640">
        <f>'9.24.22'!E10</f>
        <v>3334.5</v>
      </c>
      <c r="K42" s="640">
        <f>'9.25.22'!E10</f>
        <v>3591</v>
      </c>
      <c r="L42" s="702"/>
      <c r="M42" s="702">
        <f>'9.27.22'!E11</f>
        <v>2584</v>
      </c>
      <c r="N42" s="702"/>
      <c r="O42" s="702"/>
      <c r="P42" s="702"/>
      <c r="Q42" s="702">
        <f>'10.01.22'!E7</f>
        <v>3724</v>
      </c>
      <c r="R42" s="702">
        <f>'10.02.22'!E9</f>
        <v>3515</v>
      </c>
      <c r="S42" s="738">
        <f>'10.03.22'!E9</f>
        <v>2479.5</v>
      </c>
      <c r="T42" s="738"/>
      <c r="U42" s="738">
        <f>'10.05.22'!E7</f>
        <v>3933</v>
      </c>
      <c r="V42" s="738"/>
      <c r="W42" s="738"/>
      <c r="X42" s="738">
        <f>'10.08.22'!E17</f>
        <v>3382</v>
      </c>
      <c r="Y42" s="738">
        <f>'10.09.22'!E9</f>
        <v>4237</v>
      </c>
      <c r="Z42" s="589"/>
      <c r="AA42" s="589"/>
      <c r="AB42" s="589"/>
      <c r="AC42" s="589">
        <f>'10.13.22'!E7</f>
        <v>4142</v>
      </c>
      <c r="AD42" s="589"/>
      <c r="AE42" s="589">
        <f>'10.15.22'!E7</f>
        <v>3895</v>
      </c>
      <c r="AF42" s="589">
        <f>'10.16.22'!E10</f>
        <v>4693</v>
      </c>
      <c r="AG42" s="640"/>
      <c r="AH42" s="640"/>
      <c r="AI42" s="640"/>
      <c r="AJ42" s="640"/>
      <c r="AK42" s="640">
        <f>'10.21.22'!E11</f>
        <v>4170.5</v>
      </c>
      <c r="AL42" s="640">
        <f>'10.22.22'!E7 + '10.22.22'!E17</f>
        <v>6574</v>
      </c>
      <c r="AM42" s="640">
        <f>'10.23.22'!E7</f>
        <v>3781</v>
      </c>
      <c r="AN42" s="702"/>
      <c r="AO42" s="702"/>
      <c r="AP42" s="702"/>
      <c r="AQ42" s="702"/>
      <c r="AR42" s="702">
        <f>'10.28.22'!E8</f>
        <v>4360.5</v>
      </c>
      <c r="AS42" s="702">
        <f>'10.29.22'!E10</f>
        <v>4816.5</v>
      </c>
      <c r="AT42" s="702">
        <f>'10.30.22'!E9</f>
        <v>4968.5</v>
      </c>
      <c r="AU42" s="738">
        <f>'10.31.22'!E8</f>
        <v>4636</v>
      </c>
      <c r="AV42" s="738"/>
      <c r="AW42" s="738"/>
      <c r="AX42" s="738">
        <f>'11.03.22'!E20</f>
        <v>3420</v>
      </c>
      <c r="AY42" s="738"/>
      <c r="AZ42" s="738">
        <f>'11.05.22'!E10</f>
        <v>6241.5</v>
      </c>
      <c r="BA42" s="738">
        <f>'11.06.22'!E21</f>
        <v>3097</v>
      </c>
      <c r="BB42" s="589">
        <f>'11.07.22'!E10+'11.07.22'!E20</f>
        <v>6488.5</v>
      </c>
      <c r="BC42" s="589"/>
      <c r="BD42" s="589"/>
      <c r="BE42" s="589"/>
      <c r="BF42" s="589"/>
      <c r="BG42" s="589">
        <f>'11.12.22'!E7</f>
        <v>6393.5</v>
      </c>
      <c r="BH42" s="589">
        <f>'11.13.22'!E8</f>
        <v>5063.5</v>
      </c>
      <c r="BI42" s="640">
        <f>'11.14.22'!E8</f>
        <v>5491</v>
      </c>
      <c r="BJ42" s="640"/>
      <c r="BK42" s="640"/>
      <c r="BL42" s="640"/>
      <c r="BM42" s="640"/>
      <c r="BN42" s="640"/>
      <c r="BO42" s="640">
        <f>'11.20.22'!E10</f>
        <v>5358</v>
      </c>
      <c r="BP42" s="252"/>
      <c r="BQ42" s="252"/>
      <c r="BR42" s="1131"/>
      <c r="BS42" s="1131"/>
      <c r="BT42" s="1131"/>
      <c r="BU42" s="1131"/>
      <c r="BV42" s="252"/>
      <c r="BW42" s="738">
        <f>'11.28.22'!E8</f>
        <v>6887.5</v>
      </c>
      <c r="BX42" s="738"/>
      <c r="BY42" s="738"/>
      <c r="BZ42" s="738"/>
      <c r="CA42" s="738"/>
      <c r="CB42" s="738">
        <f>'12.03.22'!E7</f>
        <v>7125</v>
      </c>
      <c r="CC42" s="738">
        <f>'12.04.22'!E8</f>
        <v>7144</v>
      </c>
      <c r="CD42" s="589"/>
      <c r="CE42" s="589"/>
      <c r="CF42" s="589"/>
      <c r="CG42" s="589">
        <f>'12.08.22'!E12+'12.08.22'!E25</f>
        <v>12150.5</v>
      </c>
      <c r="CH42" s="252"/>
      <c r="CI42" s="640"/>
      <c r="CJ42" s="640">
        <f>'1.09.23'!E8</f>
        <v>3182.5</v>
      </c>
      <c r="CK42" s="640"/>
      <c r="CL42" s="640"/>
      <c r="CM42" s="640"/>
      <c r="CN42" s="640"/>
      <c r="CO42" s="1166"/>
      <c r="CP42" s="1166"/>
      <c r="CQ42" s="702"/>
      <c r="CR42" s="702">
        <f>'1.17.23'!E7</f>
        <v>6184.5</v>
      </c>
      <c r="CS42" s="702">
        <f>'1.18.23'!E8</f>
        <v>6108.5</v>
      </c>
      <c r="CT42" s="702">
        <f>'1.19.23'!E17</f>
        <v>5842.5</v>
      </c>
      <c r="CU42" s="702"/>
      <c r="CV42" s="702">
        <f>'1.21.23'!E8</f>
        <v>7277</v>
      </c>
      <c r="CW42" s="702">
        <f>'1.22.23'!E7</f>
        <v>7495.5</v>
      </c>
      <c r="CX42" s="738"/>
      <c r="CY42" s="738">
        <f>'1.24.23'!E7</f>
        <v>7182</v>
      </c>
      <c r="CZ42" s="738"/>
      <c r="DA42" s="738"/>
      <c r="DB42" s="738"/>
      <c r="DC42" s="738">
        <f>'1.28.23'!E8</f>
        <v>8483.5</v>
      </c>
      <c r="DD42" s="738"/>
      <c r="DE42" s="589">
        <f>'1.30.23'!E7</f>
        <v>7638</v>
      </c>
      <c r="DF42" s="589"/>
      <c r="DG42" s="589"/>
      <c r="DH42" s="589">
        <f>'2.02.23'!E19</f>
        <v>7638</v>
      </c>
      <c r="DI42" s="589"/>
      <c r="DJ42" s="589">
        <f>'2.04.23'!E7</f>
        <v>8683</v>
      </c>
      <c r="DK42" s="589">
        <f>'2.05.23'!E9</f>
        <v>7476.5</v>
      </c>
      <c r="DL42" s="640">
        <f>'2.06.23'!E7</f>
        <v>7581</v>
      </c>
      <c r="DM42" s="640"/>
      <c r="DN42" s="640"/>
      <c r="DO42" s="640"/>
      <c r="DP42" s="640"/>
      <c r="DQ42" s="640">
        <f>'2.11.23'!E8</f>
        <v>7980</v>
      </c>
      <c r="DR42" s="640">
        <f>'2.12.23'!E8</f>
        <v>7486</v>
      </c>
      <c r="DS42" s="702">
        <f>'2.13.23'!E7</f>
        <v>7182</v>
      </c>
      <c r="DT42" s="702"/>
      <c r="DU42" s="702"/>
      <c r="DV42" s="702"/>
      <c r="DW42" s="702">
        <f>'2.17.23'!E8</f>
        <v>7495.5</v>
      </c>
      <c r="DX42" s="1166"/>
      <c r="DY42" s="1166"/>
      <c r="DZ42" s="738"/>
      <c r="EA42" s="738">
        <f>'2.21.23'!E8</f>
        <v>7381.5</v>
      </c>
      <c r="EB42" s="738"/>
      <c r="EC42" s="738">
        <f>'2.23.23'!E8</f>
        <v>7001.5</v>
      </c>
      <c r="ED42" s="738"/>
      <c r="EE42" s="738">
        <f>'2.25.23'!E9</f>
        <v>7058.5</v>
      </c>
      <c r="EF42" s="738">
        <f>'2.26.23'!E7</f>
        <v>8474</v>
      </c>
      <c r="EG42" s="702">
        <f>'2.27.23'!E7</f>
        <v>6450.5</v>
      </c>
      <c r="EH42" s="702"/>
      <c r="EI42" s="702"/>
      <c r="EJ42" s="702">
        <f>'3.2.23'!E8</f>
        <v>8284</v>
      </c>
      <c r="EK42" s="702"/>
      <c r="EL42" s="702">
        <f>'3.4.23'!E7</f>
        <v>8787.5</v>
      </c>
      <c r="EM42" s="702"/>
      <c r="EN42" s="738">
        <f>'3.6.23'!E8</f>
        <v>8455</v>
      </c>
      <c r="EO42" s="738"/>
      <c r="EP42" s="738"/>
      <c r="EQ42" s="738"/>
      <c r="ER42" s="738">
        <f>'3.10.23'!E18</f>
        <v>7809</v>
      </c>
      <c r="ES42" s="738">
        <f>'3.11.23'!E7</f>
        <v>9101</v>
      </c>
      <c r="ET42" s="738"/>
      <c r="EU42" s="589">
        <f>'3.13.23'!E7</f>
        <v>8635.5</v>
      </c>
      <c r="EV42" s="589"/>
      <c r="EW42" s="589"/>
      <c r="EX42" s="589"/>
      <c r="EY42" s="589">
        <f>'3.17.23'!E18</f>
        <v>8379</v>
      </c>
      <c r="EZ42" s="589">
        <f>'3.18.23'!E7</f>
        <v>8645</v>
      </c>
      <c r="FA42" s="589"/>
      <c r="FB42" s="640">
        <f>'3.20.23'!E7</f>
        <v>8892</v>
      </c>
      <c r="FC42" s="640"/>
      <c r="FD42" s="640"/>
      <c r="FE42" s="640"/>
      <c r="FF42" s="1218"/>
      <c r="FG42" s="1218"/>
      <c r="FH42" s="1218"/>
      <c r="FI42" s="1218"/>
      <c r="FJ42" s="1218"/>
      <c r="FK42" s="1218"/>
      <c r="FL42" s="1218"/>
      <c r="FM42" s="1218"/>
      <c r="FN42" s="1218"/>
      <c r="FO42" s="702"/>
      <c r="FP42" s="702">
        <f>'4.3.23'!E7</f>
        <v>7666.5</v>
      </c>
      <c r="FQ42" s="702"/>
      <c r="FR42" s="702"/>
      <c r="FS42" s="702"/>
      <c r="FT42" s="702"/>
      <c r="FU42" s="702">
        <f>'4.8.23'!E7</f>
        <v>8569</v>
      </c>
      <c r="FV42" s="702">
        <f>'4.9.23'!E8</f>
        <v>8521.5</v>
      </c>
      <c r="FW42" s="738"/>
      <c r="FX42" s="738"/>
      <c r="FY42" s="738"/>
      <c r="FZ42" s="738"/>
      <c r="GA42" s="738">
        <f>'4.14.23'!E8</f>
        <v>10060.5</v>
      </c>
      <c r="GB42" s="738"/>
      <c r="GC42" s="738">
        <f>'4.16.23'!E7</f>
        <v>10051</v>
      </c>
      <c r="GD42" s="702">
        <f>'4.17.23'!E7</f>
        <v>9699.5</v>
      </c>
      <c r="GE42" s="702"/>
      <c r="GF42" s="702"/>
      <c r="GG42" s="702"/>
      <c r="GH42" s="702"/>
      <c r="GI42" s="702">
        <f>'4.22.23'!E7</f>
        <v>9766</v>
      </c>
      <c r="GJ42" s="702"/>
      <c r="GK42" s="640">
        <f>'4.24.23'!E8</f>
        <v>9291</v>
      </c>
      <c r="GL42" s="640"/>
      <c r="GM42" s="640"/>
      <c r="GN42" s="640">
        <f>'4.27.23'!E8</f>
        <v>9965.5</v>
      </c>
      <c r="GO42" s="640"/>
      <c r="GP42" s="640"/>
      <c r="GQ42" s="640">
        <f>'4.30.23'!E8</f>
        <v>9557</v>
      </c>
      <c r="GR42" s="589">
        <f>'5.01.23'!E7</f>
        <v>9880</v>
      </c>
      <c r="GS42" s="589"/>
      <c r="GT42" s="589"/>
      <c r="GU42" s="589"/>
      <c r="GV42" s="589"/>
      <c r="GW42" s="589"/>
      <c r="GX42" s="589"/>
      <c r="GY42" s="738">
        <f>'5.08.23'!E8</f>
        <v>3477</v>
      </c>
      <c r="GZ42" s="738"/>
      <c r="HA42" s="738"/>
      <c r="HB42" s="738"/>
      <c r="HC42" s="738"/>
      <c r="HD42" s="738">
        <f>'5.13.23'!E7</f>
        <v>4037.5</v>
      </c>
      <c r="HE42" s="738"/>
      <c r="HF42" s="702"/>
      <c r="HG42" s="702"/>
      <c r="HH42" s="702"/>
      <c r="HI42" s="702">
        <f>'5.18.23'!E27</f>
        <v>6488.5</v>
      </c>
      <c r="HJ42" s="702"/>
      <c r="HK42" s="702"/>
      <c r="HL42" s="702"/>
      <c r="HM42" s="252"/>
      <c r="HN42" s="252"/>
      <c r="HO42" s="252"/>
      <c r="HP42" s="252"/>
      <c r="HQ42" s="252"/>
      <c r="HR42" s="252"/>
      <c r="HS42" s="252"/>
      <c r="HT42" s="589"/>
      <c r="HU42" s="589"/>
      <c r="HV42" s="589"/>
      <c r="HW42" s="589">
        <f>'6.01.23'!E28</f>
        <v>6346</v>
      </c>
      <c r="HX42" s="589"/>
      <c r="HY42" s="589"/>
      <c r="HZ42" s="589">
        <f>'6.04.23'!E28</f>
        <v>6963.5</v>
      </c>
      <c r="IA42" s="252"/>
      <c r="IB42" s="252"/>
      <c r="IC42" s="252"/>
      <c r="ID42" s="252"/>
      <c r="IE42" s="252"/>
      <c r="IF42" s="252"/>
      <c r="IG42" s="252"/>
      <c r="IH42" s="252"/>
      <c r="II42" s="252"/>
      <c r="IJ42" s="252"/>
      <c r="IK42" s="252"/>
      <c r="IL42" s="189">
        <f t="shared" si="0"/>
        <v>520989.5</v>
      </c>
      <c r="IM42" s="961">
        <f>100000-IL42</f>
        <v>-420989.5</v>
      </c>
      <c r="IN42" s="194" t="str">
        <f t="shared" si="7"/>
        <v>Salpicon</v>
      </c>
      <c r="IP42" s="234">
        <f t="shared" si="3"/>
        <v>520989.5</v>
      </c>
      <c r="IQ42" s="316">
        <f>COUNT(B42:FZ42)+4+10</f>
        <v>82</v>
      </c>
      <c r="IT42" s="782"/>
      <c r="IU42" s="234"/>
      <c r="IV42" s="979">
        <v>39</v>
      </c>
      <c r="IW42" s="981">
        <f t="shared" ref="IW42:IW47" si="8">IX42/9.5</f>
        <v>54841</v>
      </c>
      <c r="IX42" s="977">
        <f t="shared" si="4"/>
        <v>520989.5</v>
      </c>
      <c r="IY42" s="978" t="str">
        <f t="shared" si="5"/>
        <v>Salpicon</v>
      </c>
    </row>
    <row r="43" spans="1:259" ht="10.15" customHeight="1">
      <c r="A43" s="195" t="s">
        <v>83</v>
      </c>
      <c r="B43" s="589">
        <f>'9.16.22'!E15</f>
        <v>598.5</v>
      </c>
      <c r="C43" s="589">
        <f>'9.17.22'!E24</f>
        <v>798</v>
      </c>
      <c r="D43" s="589">
        <f>'9.18.22'!E8</f>
        <v>2166</v>
      </c>
      <c r="E43" s="640"/>
      <c r="F43" s="640"/>
      <c r="G43" s="640"/>
      <c r="H43" s="640">
        <f>'9.22.22'!E21</f>
        <v>1795.5</v>
      </c>
      <c r="I43" s="640"/>
      <c r="J43" s="640">
        <f>'9.24.22'!E29+'9.24.22'!E19</f>
        <v>3068.5</v>
      </c>
      <c r="K43" s="640"/>
      <c r="L43" s="702"/>
      <c r="M43" s="702"/>
      <c r="N43" s="702"/>
      <c r="O43" s="702"/>
      <c r="P43" s="702"/>
      <c r="Q43" s="702"/>
      <c r="R43" s="702">
        <f>'10.02.22'!E8</f>
        <v>2223</v>
      </c>
      <c r="S43" s="738">
        <f>'10.03.22'!E7</f>
        <v>2432</v>
      </c>
      <c r="T43" s="738"/>
      <c r="U43" s="738"/>
      <c r="V43" s="738">
        <f>'10.06.22'!E7</f>
        <v>2584</v>
      </c>
      <c r="W43" s="738">
        <f>'10.07.22'!E17+'10.07.22'!E27</f>
        <v>3667</v>
      </c>
      <c r="X43" s="738">
        <f>'10.08.22'!E9</f>
        <v>2042.5</v>
      </c>
      <c r="Y43" s="738">
        <f>'10.09.22'!E18</f>
        <v>2679</v>
      </c>
      <c r="Z43" s="589"/>
      <c r="AA43" s="589"/>
      <c r="AB43" s="589"/>
      <c r="AC43" s="589">
        <f>'10.13.22'!E8</f>
        <v>2983</v>
      </c>
      <c r="AD43" s="589"/>
      <c r="AE43" s="589">
        <f>'10.15.22'!E17</f>
        <v>2869</v>
      </c>
      <c r="AF43" s="589"/>
      <c r="AG43" s="640">
        <f>'10.17.22'!E20</f>
        <v>2831</v>
      </c>
      <c r="AH43" s="640"/>
      <c r="AI43" s="640"/>
      <c r="AJ43" s="640"/>
      <c r="AK43" s="640">
        <f>'10.21.22'!E8</f>
        <v>2574.5</v>
      </c>
      <c r="AL43" s="640"/>
      <c r="AM43" s="640"/>
      <c r="AN43" s="702"/>
      <c r="AO43" s="702"/>
      <c r="AP43" s="702"/>
      <c r="AQ43" s="702"/>
      <c r="AR43" s="702">
        <f>'10.28.22'!E10</f>
        <v>2194.5</v>
      </c>
      <c r="AS43" s="702">
        <f>'10.29.22'!E9</f>
        <v>2327.5</v>
      </c>
      <c r="AT43" s="702"/>
      <c r="AU43" s="738">
        <f>'10.31.22'!E7</f>
        <v>2375</v>
      </c>
      <c r="AV43" s="738"/>
      <c r="AW43" s="738"/>
      <c r="AX43" s="738"/>
      <c r="AY43" s="738">
        <f>'11.04.22'!E27</f>
        <v>1691</v>
      </c>
      <c r="AZ43" s="738"/>
      <c r="BA43" s="738">
        <f>'11.06.22'!E10</f>
        <v>2764.5</v>
      </c>
      <c r="BB43" s="589"/>
      <c r="BC43" s="589"/>
      <c r="BD43" s="589">
        <f>'11.09.22'!E8</f>
        <v>2489</v>
      </c>
      <c r="BE43" s="589"/>
      <c r="BF43" s="589"/>
      <c r="BG43" s="589"/>
      <c r="BH43" s="589"/>
      <c r="BI43" s="252"/>
      <c r="BJ43" s="252"/>
      <c r="BK43" s="252"/>
      <c r="BL43" s="252"/>
      <c r="BM43" s="252"/>
      <c r="BN43" s="252"/>
      <c r="BO43" s="252"/>
      <c r="BP43" s="252"/>
      <c r="BQ43" s="252"/>
      <c r="BR43" s="1131"/>
      <c r="BS43" s="1131"/>
      <c r="BT43" s="1131"/>
      <c r="BU43" s="1131"/>
      <c r="BV43" s="252"/>
      <c r="BW43" s="738"/>
      <c r="BX43" s="738">
        <f>'11.29.22'!E18</f>
        <v>3591</v>
      </c>
      <c r="BY43" s="738"/>
      <c r="BZ43" s="738"/>
      <c r="CA43" s="738"/>
      <c r="CB43" s="738">
        <f>'12.03.22'!E9</f>
        <v>3325</v>
      </c>
      <c r="CC43" s="738"/>
      <c r="CD43" s="589">
        <f>'12.05.22'!E7</f>
        <v>3277.5</v>
      </c>
      <c r="CE43" s="589"/>
      <c r="CF43" s="589"/>
      <c r="CG43" s="589"/>
      <c r="CH43" s="252"/>
      <c r="CI43" s="640"/>
      <c r="CJ43" s="640"/>
      <c r="CK43" s="640"/>
      <c r="CL43" s="640"/>
      <c r="CM43" s="640">
        <f>'1.12.23'!E17</f>
        <v>2346.5</v>
      </c>
      <c r="CN43" s="640"/>
      <c r="CO43" s="1166"/>
      <c r="CP43" s="1166"/>
      <c r="CQ43" s="702">
        <f>'1.16.23'!E17</f>
        <v>2812</v>
      </c>
      <c r="CR43" s="702"/>
      <c r="CS43" s="702"/>
      <c r="CT43" s="702"/>
      <c r="CU43" s="702"/>
      <c r="CV43" s="702"/>
      <c r="CW43" s="702">
        <f>'1.22.23'!E29</f>
        <v>3534</v>
      </c>
      <c r="CX43" s="738">
        <f>'1.23.23'!E7</f>
        <v>2992.5</v>
      </c>
      <c r="CY43" s="738"/>
      <c r="CZ43" s="738"/>
      <c r="DA43" s="738">
        <f>'1.26.23'!E17</f>
        <v>2812</v>
      </c>
      <c r="DB43" s="738"/>
      <c r="DC43" s="738"/>
      <c r="DD43" s="738"/>
      <c r="DE43" s="589"/>
      <c r="DF43" s="589"/>
      <c r="DG43" s="589"/>
      <c r="DH43" s="589"/>
      <c r="DI43" s="589"/>
      <c r="DJ43" s="589"/>
      <c r="DK43" s="589"/>
      <c r="DL43" s="252"/>
      <c r="DM43" s="252"/>
      <c r="DN43" s="252"/>
      <c r="DO43" s="252"/>
      <c r="DP43" s="252"/>
      <c r="DQ43" s="252"/>
      <c r="DR43" s="252"/>
      <c r="DS43" s="252"/>
      <c r="DT43" s="252"/>
      <c r="DU43" s="252"/>
      <c r="DV43" s="252"/>
      <c r="DW43" s="252"/>
      <c r="DX43" s="1166"/>
      <c r="DY43" s="1166"/>
      <c r="DZ43" s="1196"/>
      <c r="EA43" s="252"/>
      <c r="EB43" s="252"/>
      <c r="EC43" s="252"/>
      <c r="ED43" s="252"/>
      <c r="EE43" s="252"/>
      <c r="EF43" s="252"/>
      <c r="EG43" s="252"/>
      <c r="EH43" s="252"/>
      <c r="EI43" s="252"/>
      <c r="EJ43" s="252"/>
      <c r="EK43" s="252"/>
      <c r="EL43" s="252"/>
      <c r="EM43" s="252"/>
      <c r="EN43" s="252"/>
      <c r="EO43" s="252"/>
      <c r="EP43" s="252"/>
      <c r="EQ43" s="252"/>
      <c r="ER43" s="252"/>
      <c r="ES43" s="252"/>
      <c r="ET43" s="252"/>
      <c r="EU43" s="252"/>
      <c r="EV43" s="252"/>
      <c r="EW43" s="252"/>
      <c r="EX43" s="252"/>
      <c r="EY43" s="252"/>
      <c r="EZ43" s="252"/>
      <c r="FA43" s="252"/>
      <c r="FB43" s="252"/>
      <c r="FC43" s="252"/>
      <c r="FD43" s="252"/>
      <c r="FE43" s="252"/>
      <c r="FF43" s="1218"/>
      <c r="FG43" s="1218"/>
      <c r="FH43" s="1218"/>
      <c r="FI43" s="1218"/>
      <c r="FJ43" s="1218"/>
      <c r="FK43" s="1218"/>
      <c r="FL43" s="1218"/>
      <c r="FM43" s="1218"/>
      <c r="FN43" s="1218"/>
      <c r="FO43" s="252"/>
      <c r="FP43" s="252"/>
      <c r="FQ43" s="252"/>
      <c r="FR43" s="252"/>
      <c r="FS43" s="252"/>
      <c r="FT43" s="252"/>
      <c r="FU43" s="252"/>
      <c r="FV43" s="252"/>
      <c r="FW43" s="252"/>
      <c r="FX43" s="252"/>
      <c r="FY43" s="252"/>
      <c r="FZ43" s="252"/>
      <c r="GA43" s="252"/>
      <c r="GB43" s="252"/>
      <c r="GC43" s="252"/>
      <c r="GD43" s="252"/>
      <c r="GE43" s="252"/>
      <c r="GF43" s="252"/>
      <c r="GG43" s="252"/>
      <c r="GH43" s="252"/>
      <c r="GI43" s="252"/>
      <c r="GJ43" s="252"/>
      <c r="GK43" s="252"/>
      <c r="GL43" s="252"/>
      <c r="GM43" s="252"/>
      <c r="GN43" s="252"/>
      <c r="GO43" s="252"/>
      <c r="GP43" s="252"/>
      <c r="GQ43" s="252"/>
      <c r="GR43" s="252"/>
      <c r="GS43" s="252"/>
      <c r="GT43" s="252"/>
      <c r="GU43" s="252"/>
      <c r="GV43" s="252"/>
      <c r="GW43" s="252"/>
      <c r="GX43" s="252"/>
      <c r="GY43" s="252"/>
      <c r="GZ43" s="252"/>
      <c r="HA43" s="252"/>
      <c r="HB43" s="252"/>
      <c r="HC43" s="252"/>
      <c r="HD43" s="252"/>
      <c r="HE43" s="252"/>
      <c r="HF43" s="252"/>
      <c r="HG43" s="252"/>
      <c r="HH43" s="252"/>
      <c r="HI43" s="252"/>
      <c r="HJ43" s="252"/>
      <c r="HK43" s="252"/>
      <c r="HL43" s="252"/>
      <c r="HM43" s="252"/>
      <c r="HN43" s="252"/>
      <c r="HO43" s="252"/>
      <c r="HP43" s="252"/>
      <c r="HQ43" s="252"/>
      <c r="HR43" s="252"/>
      <c r="HS43" s="252"/>
      <c r="HT43" s="252"/>
      <c r="HU43" s="252"/>
      <c r="HV43" s="252"/>
      <c r="HW43" s="252"/>
      <c r="HX43" s="252"/>
      <c r="HY43" s="252"/>
      <c r="HZ43" s="252"/>
      <c r="IA43" s="252"/>
      <c r="IB43" s="252"/>
      <c r="IC43" s="252"/>
      <c r="ID43" s="252"/>
      <c r="IE43" s="252"/>
      <c r="IF43" s="252"/>
      <c r="IG43" s="252"/>
      <c r="IH43" s="252"/>
      <c r="II43" s="252"/>
      <c r="IJ43" s="252"/>
      <c r="IK43" s="252"/>
      <c r="IL43" s="189">
        <f t="shared" si="0"/>
        <v>73843.5</v>
      </c>
      <c r="IM43" s="961">
        <f>100000-IL43</f>
        <v>26156.5</v>
      </c>
      <c r="IN43" s="194" t="str">
        <f t="shared" si="7"/>
        <v>Salvage Tacos</v>
      </c>
      <c r="IP43" s="234">
        <f t="shared" si="3"/>
        <v>73843.5</v>
      </c>
      <c r="IQ43" s="316">
        <f>COUNT(B43:FZ43)+1</f>
        <v>30</v>
      </c>
      <c r="IT43" s="782">
        <v>111263</v>
      </c>
      <c r="IU43" s="234"/>
      <c r="IV43" s="979">
        <v>40</v>
      </c>
      <c r="IW43" s="981">
        <f t="shared" si="8"/>
        <v>7773</v>
      </c>
      <c r="IX43" s="977">
        <f t="shared" si="4"/>
        <v>73843.5</v>
      </c>
      <c r="IY43" s="978" t="str">
        <f t="shared" si="5"/>
        <v>Salvage Tacos</v>
      </c>
    </row>
    <row r="44" spans="1:259" ht="10.15" customHeight="1">
      <c r="A44" s="195" t="s">
        <v>332</v>
      </c>
      <c r="B44" s="252"/>
      <c r="C44" s="252"/>
      <c r="D44" s="252"/>
      <c r="E44" s="252"/>
      <c r="F44" s="252"/>
      <c r="G44" s="252"/>
      <c r="H44" s="252"/>
      <c r="I44" s="252"/>
      <c r="J44" s="252"/>
      <c r="K44" s="252"/>
      <c r="L44" s="252"/>
      <c r="M44" s="252"/>
      <c r="N44" s="252"/>
      <c r="O44" s="252"/>
      <c r="P44" s="252"/>
      <c r="Q44" s="252"/>
      <c r="R44" s="252"/>
      <c r="S44" s="738">
        <f>'10.03.22'!E8</f>
        <v>1748</v>
      </c>
      <c r="T44" s="738"/>
      <c r="U44" s="738">
        <f>'10.05.22'!E9+'10.05.22'!E19</f>
        <v>6146.5</v>
      </c>
      <c r="V44" s="738"/>
      <c r="W44" s="738">
        <f>'10.07.22'!E8</f>
        <v>4123</v>
      </c>
      <c r="X44" s="738"/>
      <c r="Y44" s="738"/>
      <c r="Z44" s="589">
        <f>'10.10.22'!E19</f>
        <v>4750</v>
      </c>
      <c r="AA44" s="589"/>
      <c r="AB44" s="589">
        <f>'10.12.22'!E9+'10.12.22'!E19</f>
        <v>8844.5</v>
      </c>
      <c r="AC44" s="589"/>
      <c r="AD44" s="589">
        <f>'10.14.22'!E8</f>
        <v>5025.5</v>
      </c>
      <c r="AE44" s="589"/>
      <c r="AF44" s="589"/>
      <c r="AG44" s="640">
        <f>'10.17.22'!E11</f>
        <v>3714.5</v>
      </c>
      <c r="AH44" s="640"/>
      <c r="AI44" s="640"/>
      <c r="AJ44" s="640"/>
      <c r="AK44" s="640">
        <f>'10.21.22'!E9</f>
        <v>5073</v>
      </c>
      <c r="AL44" s="640"/>
      <c r="AM44" s="640"/>
      <c r="AN44" s="702">
        <f>'10.24.22'!E21</f>
        <v>4275</v>
      </c>
      <c r="AO44" s="702"/>
      <c r="AP44" s="702">
        <f>'10.26.22'!E11</f>
        <v>4446</v>
      </c>
      <c r="AQ44" s="702"/>
      <c r="AR44" s="702"/>
      <c r="AS44" s="702">
        <f>'10.29.22'!E19</f>
        <v>5149</v>
      </c>
      <c r="AT44" s="702"/>
      <c r="AU44" s="738"/>
      <c r="AV44" s="738"/>
      <c r="AW44" s="738"/>
      <c r="AX44" s="738">
        <f>'11.03.22'!E21</f>
        <v>5443.5</v>
      </c>
      <c r="AY44" s="738">
        <f>'11.04.22'!E17</f>
        <v>4788</v>
      </c>
      <c r="AZ44" s="738"/>
      <c r="BA44" s="738"/>
      <c r="BB44" s="589">
        <f>'11.07.22'!E21</f>
        <v>4161</v>
      </c>
      <c r="BC44" s="589"/>
      <c r="BD44" s="589"/>
      <c r="BE44" s="589"/>
      <c r="BF44" s="589">
        <f>'11.11.22'!E8</f>
        <v>5681</v>
      </c>
      <c r="BG44" s="589"/>
      <c r="BH44" s="589"/>
      <c r="BI44" s="640"/>
      <c r="BJ44" s="640">
        <f>'11.15.22'!E20</f>
        <v>5567</v>
      </c>
      <c r="BK44" s="640"/>
      <c r="BL44" s="640"/>
      <c r="BM44" s="640">
        <f>'11.18.22'!E8</f>
        <v>5529</v>
      </c>
      <c r="BN44" s="640"/>
      <c r="BO44" s="640"/>
      <c r="BP44" s="702">
        <f>'11.21.22'!E9</f>
        <v>5804.5</v>
      </c>
      <c r="BQ44" s="702"/>
      <c r="BR44" s="1134"/>
      <c r="BS44" s="1134"/>
      <c r="BT44" s="1134"/>
      <c r="BU44" s="1134"/>
      <c r="BV44" s="702"/>
      <c r="BW44" s="738"/>
      <c r="BX44" s="738">
        <f>'11.29.22'!E17</f>
        <v>6080</v>
      </c>
      <c r="BY44" s="738"/>
      <c r="BZ44" s="738">
        <f>'12.01.22'!E8</f>
        <v>6165.5</v>
      </c>
      <c r="CA44" s="738"/>
      <c r="CB44" s="738"/>
      <c r="CC44" s="738"/>
      <c r="CD44" s="589">
        <f>'12.05.22'!E10</f>
        <v>7068</v>
      </c>
      <c r="CE44" s="589"/>
      <c r="CF44" s="589"/>
      <c r="CG44" s="589">
        <f>'12.08.22'!E23</f>
        <v>7220</v>
      </c>
      <c r="CH44" s="252"/>
      <c r="CI44" s="640"/>
      <c r="CJ44" s="640">
        <f>'1.09.23'!E18</f>
        <v>2641</v>
      </c>
      <c r="CK44" s="640"/>
      <c r="CL44" s="640"/>
      <c r="CM44" s="640"/>
      <c r="CN44" s="640"/>
      <c r="CO44" s="1166"/>
      <c r="CP44" s="1166"/>
      <c r="CQ44" s="702"/>
      <c r="CR44" s="702">
        <f>'1.17.23'!E10</f>
        <v>959.5</v>
      </c>
      <c r="CS44" s="702"/>
      <c r="CT44" s="702"/>
      <c r="CU44" s="702"/>
      <c r="CV44" s="702"/>
      <c r="CW44" s="702"/>
      <c r="CX44" s="738"/>
      <c r="CY44" s="738"/>
      <c r="CZ44" s="738">
        <f>'1.25.23'!E8</f>
        <v>5225</v>
      </c>
      <c r="DA44" s="738"/>
      <c r="DB44" s="738">
        <f>'1.27.23'!E9</f>
        <v>5947</v>
      </c>
      <c r="DC44" s="738"/>
      <c r="DD44" s="738"/>
      <c r="DE44" s="589"/>
      <c r="DF44" s="589"/>
      <c r="DG44" s="589"/>
      <c r="DH44" s="589">
        <f>'2.02.23'!E17</f>
        <v>6308</v>
      </c>
      <c r="DI44" s="589">
        <f>'2.03.23'!E8</f>
        <v>5567</v>
      </c>
      <c r="DJ44" s="589"/>
      <c r="DK44" s="589"/>
      <c r="DL44" s="640"/>
      <c r="DM44" s="640"/>
      <c r="DN44" s="640"/>
      <c r="DO44" s="640"/>
      <c r="DP44" s="640">
        <f>'2.10.23'!E17+'2.10.23'!E27</f>
        <v>10602</v>
      </c>
      <c r="DQ44" s="640"/>
      <c r="DR44" s="640"/>
      <c r="DS44" s="702"/>
      <c r="DT44" s="702"/>
      <c r="DU44" s="702">
        <f>'2.15.23'!E29</f>
        <v>4626.5</v>
      </c>
      <c r="DV44" s="702">
        <f>'2.16.23'!E19 + '2.16.23'!E29</f>
        <v>10203</v>
      </c>
      <c r="DW44" s="702"/>
      <c r="DX44" s="1166"/>
      <c r="DY44" s="1166"/>
      <c r="DZ44" s="738"/>
      <c r="EA44" s="738"/>
      <c r="EB44" s="738"/>
      <c r="EC44" s="738"/>
      <c r="ED44" s="738">
        <f>'2.24.23'!E7+'2.24.23'!E18</f>
        <v>8977.5</v>
      </c>
      <c r="EE44" s="738"/>
      <c r="EF44" s="738"/>
      <c r="EG44" s="702">
        <f>'2.27.23'!E29+'2.27.23'!E19</f>
        <v>11115</v>
      </c>
      <c r="EH44" s="702"/>
      <c r="EI44" s="702">
        <f>'3.1.23'!E7</f>
        <v>5652.5</v>
      </c>
      <c r="EJ44" s="702"/>
      <c r="EK44" s="702"/>
      <c r="EL44" s="702"/>
      <c r="EM44" s="702"/>
      <c r="EN44" s="738"/>
      <c r="EO44" s="738"/>
      <c r="EP44" s="738">
        <f>'3.8.23'!E27</f>
        <v>5168</v>
      </c>
      <c r="EQ44" s="738">
        <f>'3.9.23'!E29</f>
        <v>4351</v>
      </c>
      <c r="ER44" s="738">
        <f>'3.10.23'!E19</f>
        <v>5462.5</v>
      </c>
      <c r="ES44" s="738"/>
      <c r="ET44" s="738"/>
      <c r="EU44" s="589">
        <f>'3.13.23'!E18</f>
        <v>6973</v>
      </c>
      <c r="EV44" s="589"/>
      <c r="EW44" s="589"/>
      <c r="EX44" s="589">
        <f>'3.16.23'!E18 + '3.16.23'!E27</f>
        <v>10716</v>
      </c>
      <c r="EY44" s="589"/>
      <c r="EZ44" s="589"/>
      <c r="FA44" s="589"/>
      <c r="FB44" s="640">
        <f>'3.20.23'!E29</f>
        <v>5605</v>
      </c>
      <c r="FC44" s="640"/>
      <c r="FD44" s="640">
        <f>'3.22.23'!E7</f>
        <v>7372</v>
      </c>
      <c r="FE44" s="640"/>
      <c r="FF44" s="1218"/>
      <c r="FG44" s="1218"/>
      <c r="FH44" s="1218"/>
      <c r="FI44" s="1218"/>
      <c r="FJ44" s="1218"/>
      <c r="FK44" s="1218"/>
      <c r="FL44" s="1218"/>
      <c r="FM44" s="1218"/>
      <c r="FN44" s="1218"/>
      <c r="FO44" s="702"/>
      <c r="FP44" s="702"/>
      <c r="FQ44" s="702"/>
      <c r="FR44" s="702"/>
      <c r="FS44" s="702">
        <f>'4.6.23'!E19+'4.6.23'!E29</f>
        <v>9158</v>
      </c>
      <c r="FT44" s="702"/>
      <c r="FU44" s="702">
        <f>'4.8.23'!E29</f>
        <v>3961.5</v>
      </c>
      <c r="FV44" s="702"/>
      <c r="FW44" s="738">
        <f>'4.10.23'!E9 + '4.10.23'!E19</f>
        <v>9101</v>
      </c>
      <c r="FX44" s="738"/>
      <c r="FY44" s="738"/>
      <c r="FZ44" s="738"/>
      <c r="GA44" s="738"/>
      <c r="GB44" s="738">
        <f>'4.15.23'!E18</f>
        <v>5035</v>
      </c>
      <c r="GC44" s="738"/>
      <c r="GD44" s="702">
        <f>'4.17.23'!E19+'4.17.23'!E29</f>
        <v>9300.5</v>
      </c>
      <c r="GE44" s="702"/>
      <c r="GF44" s="702">
        <f>'4.19.23'!E29</f>
        <v>4142</v>
      </c>
      <c r="GG44" s="702">
        <f>'4.20.23'!E7</f>
        <v>4693</v>
      </c>
      <c r="GH44" s="702"/>
      <c r="GI44" s="702"/>
      <c r="GJ44" s="702"/>
      <c r="GK44" s="640"/>
      <c r="GL44" s="640"/>
      <c r="GM44" s="640">
        <f>'4.26.23'!E27</f>
        <v>5063.5</v>
      </c>
      <c r="GN44" s="640"/>
      <c r="GO44" s="640"/>
      <c r="GP44" s="640">
        <f>'4.29.23'!E17</f>
        <v>6165.5</v>
      </c>
      <c r="GQ44" s="640"/>
      <c r="GR44" s="589">
        <f>'5.01.23'!E27</f>
        <v>5367.5</v>
      </c>
      <c r="GS44" s="589"/>
      <c r="GT44" s="589">
        <f>'5.03.23'!E7</f>
        <v>5757</v>
      </c>
      <c r="GU44" s="589"/>
      <c r="GV44" s="589">
        <f>'5.05.23'!E27</f>
        <v>2821.5</v>
      </c>
      <c r="GW44" s="589"/>
      <c r="GX44" s="589"/>
      <c r="GY44" s="738"/>
      <c r="GZ44" s="738"/>
      <c r="HA44" s="738"/>
      <c r="HB44" s="738">
        <f>'5.11.23'!E27</f>
        <v>4303.5</v>
      </c>
      <c r="HC44" s="738">
        <f>'5.12.23'!E7</f>
        <v>4892.5</v>
      </c>
      <c r="HD44" s="738"/>
      <c r="HE44" s="738"/>
      <c r="HF44" s="702"/>
      <c r="HG44" s="702">
        <f>'5.16.23'!E28</f>
        <v>4522</v>
      </c>
      <c r="HH44" s="702"/>
      <c r="HI44" s="702"/>
      <c r="HJ44" s="702">
        <f>'5.19.23'!E18 +'5.19.23'!E28</f>
        <v>9709</v>
      </c>
      <c r="HK44" s="702"/>
      <c r="HL44" s="702"/>
      <c r="HM44" s="640">
        <f>'5.22.23'!E18</f>
        <v>7039.5</v>
      </c>
      <c r="HN44" s="640"/>
      <c r="HO44" s="640"/>
      <c r="HP44" s="640"/>
      <c r="HQ44" s="640">
        <f>'5.26.23'!E28</f>
        <v>3258.5</v>
      </c>
      <c r="HR44" s="640"/>
      <c r="HS44" s="640"/>
      <c r="HT44" s="589">
        <f>'5.29.23'!E18</f>
        <v>6365</v>
      </c>
      <c r="HU44" s="589"/>
      <c r="HV44" s="589"/>
      <c r="HW44" s="589"/>
      <c r="HX44" s="589"/>
      <c r="HY44" s="589">
        <f>'6.03.23'!E7</f>
        <v>6422</v>
      </c>
      <c r="HZ44" s="589"/>
      <c r="IA44" s="252"/>
      <c r="IB44" s="252">
        <f>'6.6.23'!E17</f>
        <v>6241.5</v>
      </c>
      <c r="IC44" s="252"/>
      <c r="ID44" s="252"/>
      <c r="IE44" s="252"/>
      <c r="IF44" s="252">
        <f>'6.10.23'!E18</f>
        <v>7932.5</v>
      </c>
      <c r="IG44" s="252"/>
      <c r="IH44" s="252"/>
      <c r="II44" s="252"/>
      <c r="IJ44" s="252"/>
      <c r="IK44" s="252"/>
      <c r="IL44" s="189">
        <f t="shared" si="0"/>
        <v>371526</v>
      </c>
      <c r="IM44" s="961">
        <f>100000-IL44</f>
        <v>-271526</v>
      </c>
      <c r="IN44" s="194" t="str">
        <f t="shared" si="7"/>
        <v>Smile Hot Dog</v>
      </c>
      <c r="IP44" s="234">
        <f t="shared" si="3"/>
        <v>371526</v>
      </c>
      <c r="IQ44" s="316">
        <f>COUNT(B44:FZ44)+7+11</f>
        <v>62</v>
      </c>
      <c r="IT44" s="782"/>
      <c r="IU44" s="234"/>
      <c r="IV44" s="979">
        <v>41</v>
      </c>
      <c r="IW44" s="981">
        <f t="shared" si="8"/>
        <v>39108</v>
      </c>
      <c r="IX44" s="977">
        <f t="shared" si="4"/>
        <v>371526</v>
      </c>
      <c r="IY44" s="978" t="str">
        <f t="shared" si="5"/>
        <v>Smile Hot Dog</v>
      </c>
    </row>
    <row r="45" spans="1:259" ht="10.15" customHeight="1">
      <c r="A45" s="195" t="s">
        <v>159</v>
      </c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1131"/>
      <c r="BS45" s="1131"/>
      <c r="BT45" s="1131"/>
      <c r="BU45" s="1131"/>
      <c r="BV45" s="252"/>
      <c r="BW45" s="252"/>
      <c r="BX45" s="252"/>
      <c r="BY45" s="252"/>
      <c r="BZ45" s="252"/>
      <c r="CA45" s="252"/>
      <c r="CB45" s="252"/>
      <c r="CC45" s="252"/>
      <c r="CD45" s="252"/>
      <c r="CE45" s="252"/>
      <c r="CF45" s="252"/>
      <c r="CG45" s="252"/>
      <c r="CH45" s="252"/>
      <c r="CI45" s="1139"/>
      <c r="CJ45" s="252"/>
      <c r="CK45" s="252"/>
      <c r="CL45" s="252"/>
      <c r="CM45" s="252"/>
      <c r="CN45" s="252"/>
      <c r="CO45" s="1166"/>
      <c r="CP45" s="1166"/>
      <c r="CQ45" s="252"/>
      <c r="CR45" s="252"/>
      <c r="CS45" s="252"/>
      <c r="CT45" s="252"/>
      <c r="CU45" s="252"/>
      <c r="CV45" s="252"/>
      <c r="CW45" s="252"/>
      <c r="CX45" s="252"/>
      <c r="CY45" s="252"/>
      <c r="CZ45" s="252"/>
      <c r="DA45" s="252"/>
      <c r="DB45" s="252"/>
      <c r="DC45" s="252"/>
      <c r="DD45" s="252"/>
      <c r="DE45" s="252"/>
      <c r="DF45" s="252"/>
      <c r="DG45" s="252"/>
      <c r="DH45" s="252"/>
      <c r="DI45" s="252"/>
      <c r="DJ45" s="252"/>
      <c r="DK45" s="252"/>
      <c r="DL45" s="252"/>
      <c r="DM45" s="252"/>
      <c r="DN45" s="252"/>
      <c r="DO45" s="252"/>
      <c r="DP45" s="252"/>
      <c r="DQ45" s="252"/>
      <c r="DR45" s="252"/>
      <c r="DS45" s="252"/>
      <c r="DT45" s="252"/>
      <c r="DU45" s="252"/>
      <c r="DV45" s="252"/>
      <c r="DW45" s="252"/>
      <c r="DX45" s="1166"/>
      <c r="DY45" s="1166"/>
      <c r="DZ45" s="1196"/>
      <c r="EA45" s="252"/>
      <c r="EB45" s="252"/>
      <c r="EC45" s="252"/>
      <c r="ED45" s="252"/>
      <c r="EE45" s="252"/>
      <c r="EF45" s="252"/>
      <c r="EG45" s="252"/>
      <c r="EH45" s="252"/>
      <c r="EI45" s="252"/>
      <c r="EJ45" s="252"/>
      <c r="EK45" s="252"/>
      <c r="EL45" s="252"/>
      <c r="EM45" s="252"/>
      <c r="EN45" s="252"/>
      <c r="EO45" s="252"/>
      <c r="EP45" s="252"/>
      <c r="EQ45" s="252"/>
      <c r="ER45" s="252"/>
      <c r="ES45" s="252"/>
      <c r="ET45" s="252"/>
      <c r="EU45" s="252"/>
      <c r="EV45" s="252"/>
      <c r="EW45" s="252"/>
      <c r="EX45" s="252"/>
      <c r="EY45" s="252"/>
      <c r="EZ45" s="252"/>
      <c r="FA45" s="252"/>
      <c r="FB45" s="252"/>
      <c r="FC45" s="252"/>
      <c r="FD45" s="252"/>
      <c r="FE45" s="252"/>
      <c r="FF45" s="1218"/>
      <c r="FG45" s="1218"/>
      <c r="FH45" s="1218"/>
      <c r="FI45" s="1218"/>
      <c r="FJ45" s="1218"/>
      <c r="FK45" s="1218"/>
      <c r="FL45" s="1218"/>
      <c r="FM45" s="1218"/>
      <c r="FN45" s="1218"/>
      <c r="FO45" s="252"/>
      <c r="FP45" s="252"/>
      <c r="FQ45" s="252"/>
      <c r="FR45" s="252"/>
      <c r="FS45" s="252"/>
      <c r="FT45" s="252"/>
      <c r="FU45" s="252"/>
      <c r="FV45" s="252"/>
      <c r="FW45" s="252"/>
      <c r="FX45" s="252"/>
      <c r="FY45" s="252"/>
      <c r="FZ45" s="252"/>
      <c r="GA45" s="252"/>
      <c r="GB45" s="252"/>
      <c r="GC45" s="252"/>
      <c r="GD45" s="252"/>
      <c r="GE45" s="252"/>
      <c r="GF45" s="252"/>
      <c r="GG45" s="252"/>
      <c r="GH45" s="252"/>
      <c r="GI45" s="252"/>
      <c r="GJ45" s="252"/>
      <c r="GK45" s="252"/>
      <c r="GL45" s="252"/>
      <c r="GM45" s="252"/>
      <c r="GN45" s="252"/>
      <c r="GO45" s="252"/>
      <c r="GP45" s="252"/>
      <c r="GQ45" s="252"/>
      <c r="GR45" s="252"/>
      <c r="GS45" s="252"/>
      <c r="GT45" s="252"/>
      <c r="GU45" s="252"/>
      <c r="GV45" s="252"/>
      <c r="GW45" s="252"/>
      <c r="GX45" s="252"/>
      <c r="GY45" s="252"/>
      <c r="GZ45" s="252"/>
      <c r="HA45" s="252"/>
      <c r="HB45" s="252"/>
      <c r="HC45" s="252"/>
      <c r="HD45" s="252"/>
      <c r="HE45" s="252"/>
      <c r="HF45" s="252"/>
      <c r="HG45" s="252"/>
      <c r="HH45" s="252"/>
      <c r="HI45" s="252"/>
      <c r="HJ45" s="252"/>
      <c r="HK45" s="252"/>
      <c r="HL45" s="252"/>
      <c r="HM45" s="252"/>
      <c r="HN45" s="252"/>
      <c r="HO45" s="252"/>
      <c r="HP45" s="252"/>
      <c r="HQ45" s="252"/>
      <c r="HR45" s="252"/>
      <c r="HS45" s="252"/>
      <c r="HT45" s="252"/>
      <c r="HU45" s="252"/>
      <c r="HV45" s="252"/>
      <c r="HW45" s="252"/>
      <c r="HX45" s="252"/>
      <c r="HY45" s="252"/>
      <c r="HZ45" s="252"/>
      <c r="IA45" s="252"/>
      <c r="IB45" s="252"/>
      <c r="IC45" s="252"/>
      <c r="ID45" s="252"/>
      <c r="IE45" s="252"/>
      <c r="IF45" s="252"/>
      <c r="IG45" s="252"/>
      <c r="IH45" s="252"/>
      <c r="II45" s="252"/>
      <c r="IJ45" s="252"/>
      <c r="IK45" s="252"/>
      <c r="IL45" s="189">
        <f t="shared" si="0"/>
        <v>0</v>
      </c>
      <c r="IM45" s="961">
        <f>100000-IL45</f>
        <v>100000</v>
      </c>
      <c r="IN45" s="194" t="str">
        <f t="shared" si="7"/>
        <v>Something Good LA</v>
      </c>
      <c r="IP45" s="234">
        <f t="shared" si="3"/>
        <v>0</v>
      </c>
      <c r="IQ45" s="316">
        <f>COUNT(B45:FZ45)</f>
        <v>0</v>
      </c>
      <c r="IT45" s="234">
        <v>341055.5</v>
      </c>
      <c r="IU45" s="234"/>
      <c r="IV45" s="979">
        <v>42</v>
      </c>
      <c r="IW45" s="981">
        <f t="shared" si="8"/>
        <v>0</v>
      </c>
      <c r="IX45" s="977">
        <f t="shared" si="4"/>
        <v>0</v>
      </c>
      <c r="IY45" s="978" t="str">
        <f t="shared" si="5"/>
        <v>Something Good LA</v>
      </c>
    </row>
    <row r="46" spans="1:259" ht="10.15" customHeight="1">
      <c r="A46" s="195" t="s">
        <v>145</v>
      </c>
      <c r="B46" s="589"/>
      <c r="C46" s="589">
        <f>'9.17.22'!E9+'9.17.22'!E23</f>
        <v>1339.5</v>
      </c>
      <c r="D46" s="589"/>
      <c r="E46" s="640"/>
      <c r="F46" s="640">
        <f>'9.20.22'!E9</f>
        <v>2736</v>
      </c>
      <c r="G46" s="640"/>
      <c r="H46" s="640">
        <f>'9.22.22'!E19</f>
        <v>2527</v>
      </c>
      <c r="I46" s="640"/>
      <c r="J46" s="640"/>
      <c r="K46" s="640"/>
      <c r="L46" s="702"/>
      <c r="M46" s="702"/>
      <c r="N46" s="702">
        <f>'9.28.22'!E18</f>
        <v>3923.5</v>
      </c>
      <c r="O46" s="702">
        <f>'9.29.22'!E10</f>
        <v>2603</v>
      </c>
      <c r="P46" s="702">
        <f>'9.30.22'!E11</f>
        <v>2774</v>
      </c>
      <c r="Q46" s="702">
        <f>'10.01.22'!E19</f>
        <v>3040</v>
      </c>
      <c r="R46" s="702">
        <f>'10.02.22'!E7</f>
        <v>2337</v>
      </c>
      <c r="S46" s="738"/>
      <c r="T46" s="738"/>
      <c r="U46" s="738"/>
      <c r="V46" s="738">
        <f>'10.06.22'!E18</f>
        <v>3971</v>
      </c>
      <c r="W46" s="738"/>
      <c r="X46" s="738">
        <f>'10.08.22'!E19+'10.08.22'!E29</f>
        <v>4683.5</v>
      </c>
      <c r="Y46" s="738"/>
      <c r="Z46" s="589"/>
      <c r="AA46" s="589">
        <f>'10.11.22'!E7+'10.11.22'!E17</f>
        <v>7600</v>
      </c>
      <c r="AB46" s="589">
        <f>'10.12.22'!E17</f>
        <v>3971</v>
      </c>
      <c r="AC46" s="589"/>
      <c r="AD46" s="589">
        <f>'10.14.22'!E21</f>
        <v>1890.5</v>
      </c>
      <c r="AE46" s="589"/>
      <c r="AF46" s="589"/>
      <c r="AG46" s="640"/>
      <c r="AH46" s="640">
        <f>'10.18.22'!E10+'10.18.22'!E20</f>
        <v>6868.5</v>
      </c>
      <c r="AI46" s="640"/>
      <c r="AJ46" s="640">
        <f>'10.20.22'!E9</f>
        <v>2451</v>
      </c>
      <c r="AK46" s="640">
        <f>'10.21.22'!E18</f>
        <v>2945</v>
      </c>
      <c r="AL46" s="640">
        <f>'10.22.22'!E10</f>
        <v>3068.5</v>
      </c>
      <c r="AM46" s="640"/>
      <c r="AN46" s="702"/>
      <c r="AO46" s="702">
        <f>'10.25.22'!E17</f>
        <v>4294</v>
      </c>
      <c r="AP46" s="702">
        <f>'10.26.22'!E19</f>
        <v>3125.5</v>
      </c>
      <c r="AQ46" s="702"/>
      <c r="AR46" s="702"/>
      <c r="AS46" s="702">
        <f>'10.29.22'!E8</f>
        <v>3705</v>
      </c>
      <c r="AT46" s="702">
        <f>'10.30.22'!E8+'10.30.22'!E18</f>
        <v>8797</v>
      </c>
      <c r="AU46" s="738"/>
      <c r="AV46" s="738"/>
      <c r="AW46" s="738"/>
      <c r="AX46" s="738">
        <f>'11.03.22'!E8</f>
        <v>3648</v>
      </c>
      <c r="AY46" s="738"/>
      <c r="AZ46" s="738">
        <f>'11.05.22'!E7</f>
        <v>3695.5</v>
      </c>
      <c r="BA46" s="738">
        <f>'11.06.22'!E9</f>
        <v>4265.5</v>
      </c>
      <c r="BB46" s="589"/>
      <c r="BC46" s="589"/>
      <c r="BD46" s="589"/>
      <c r="BE46" s="589"/>
      <c r="BF46" s="589">
        <f>'11.11.22'!E10</f>
        <v>4085</v>
      </c>
      <c r="BG46" s="589">
        <f>'11.12.22'!E18</f>
        <v>3572</v>
      </c>
      <c r="BH46" s="589"/>
      <c r="BI46" s="640"/>
      <c r="BJ46" s="640"/>
      <c r="BK46" s="640">
        <f>'11.16.22'!E18</f>
        <v>4313</v>
      </c>
      <c r="BL46" s="640">
        <f>'11.17.22'!E9</f>
        <v>4721.5</v>
      </c>
      <c r="BM46" s="640"/>
      <c r="BN46" s="640"/>
      <c r="BO46" s="640">
        <f>'11.20.22'!E9</f>
        <v>5196.5</v>
      </c>
      <c r="BP46" s="702"/>
      <c r="BQ46" s="702">
        <f>'11.22.22'!E8</f>
        <v>4028</v>
      </c>
      <c r="BR46" s="1134"/>
      <c r="BS46" s="1134"/>
      <c r="BT46" s="1134"/>
      <c r="BU46" s="1134"/>
      <c r="BV46" s="702"/>
      <c r="BW46" s="738">
        <f>'11.28.22'!E7</f>
        <v>4721.5</v>
      </c>
      <c r="BX46" s="738"/>
      <c r="BY46" s="738">
        <f>'11.30.22'!E18</f>
        <v>5206</v>
      </c>
      <c r="BZ46" s="738">
        <f>'12.01.22'!E18</f>
        <v>4493.5</v>
      </c>
      <c r="CA46" s="738"/>
      <c r="CB46" s="738"/>
      <c r="CC46" s="738"/>
      <c r="CD46" s="589"/>
      <c r="CE46" s="589"/>
      <c r="CF46" s="589">
        <f>'12.07.22'!E19</f>
        <v>4056.5</v>
      </c>
      <c r="CG46" s="589"/>
      <c r="CH46" s="252"/>
      <c r="CI46" s="640"/>
      <c r="CJ46" s="640">
        <f>'1.09.23'!E9</f>
        <v>2042.5</v>
      </c>
      <c r="CK46" s="640"/>
      <c r="CL46" s="640"/>
      <c r="CM46" s="640"/>
      <c r="CN46" s="640"/>
      <c r="CO46" s="1166"/>
      <c r="CP46" s="1166"/>
      <c r="CQ46" s="702"/>
      <c r="CR46" s="702"/>
      <c r="CS46" s="702"/>
      <c r="CT46" s="702">
        <f>'1.19.23'!E19</f>
        <v>3011.5</v>
      </c>
      <c r="CU46" s="702"/>
      <c r="CV46" s="702">
        <f>'1.21.23'!E18</f>
        <v>2964</v>
      </c>
      <c r="CW46" s="702"/>
      <c r="CX46" s="738">
        <f>'1.23.23'!E18</f>
        <v>3847.5</v>
      </c>
      <c r="CY46" s="738"/>
      <c r="CZ46" s="738"/>
      <c r="DA46" s="738">
        <f>'1.26.23'!E19</f>
        <v>2565</v>
      </c>
      <c r="DB46" s="738"/>
      <c r="DC46" s="738">
        <f>'1.28.23'!E27</f>
        <v>3667</v>
      </c>
      <c r="DD46" s="738"/>
      <c r="DE46" s="589"/>
      <c r="DF46" s="589"/>
      <c r="DG46" s="589"/>
      <c r="DH46" s="589">
        <f>'2.02.23'!E9</f>
        <v>3068.5</v>
      </c>
      <c r="DI46" s="589"/>
      <c r="DJ46" s="589">
        <f>'2.04.23'!E17</f>
        <v>3334.5</v>
      </c>
      <c r="DK46" s="589"/>
      <c r="DL46" s="640"/>
      <c r="DM46" s="640"/>
      <c r="DN46" s="640"/>
      <c r="DO46" s="640"/>
      <c r="DP46" s="640"/>
      <c r="DQ46" s="640">
        <f>'2.11.23'!E29</f>
        <v>3876</v>
      </c>
      <c r="DR46" s="640">
        <f>'2.12.23'!E18</f>
        <v>5500.5</v>
      </c>
      <c r="DS46" s="702"/>
      <c r="DT46" s="702"/>
      <c r="DU46" s="702"/>
      <c r="DV46" s="702"/>
      <c r="DW46" s="702">
        <f>'2.17.23'!E9</f>
        <v>3496</v>
      </c>
      <c r="DX46" s="1166"/>
      <c r="DY46" s="1166"/>
      <c r="DZ46" s="738"/>
      <c r="EA46" s="738"/>
      <c r="EB46" s="738">
        <f>'2.22.23'!E17</f>
        <v>4332</v>
      </c>
      <c r="EC46" s="738"/>
      <c r="ED46" s="738"/>
      <c r="EE46" s="738">
        <f>'2.25.23'!E7</f>
        <v>5272.5</v>
      </c>
      <c r="EF46" s="738">
        <f>'2.26.23'!E19</f>
        <v>5006.5</v>
      </c>
      <c r="EG46" s="702"/>
      <c r="EH46" s="702"/>
      <c r="EI46" s="702"/>
      <c r="EJ46" s="702"/>
      <c r="EK46" s="702"/>
      <c r="EL46" s="702">
        <f>'3.4.23'!E19</f>
        <v>3942.5</v>
      </c>
      <c r="EM46" s="702">
        <f>'3.5.23'!E18</f>
        <v>4750</v>
      </c>
      <c r="EN46" s="738"/>
      <c r="EO46" s="738"/>
      <c r="EP46" s="738"/>
      <c r="EQ46" s="738"/>
      <c r="ER46" s="738"/>
      <c r="ES46" s="738">
        <f>'3.11.23'!E19</f>
        <v>4645.5</v>
      </c>
      <c r="ET46" s="738"/>
      <c r="EU46" s="589"/>
      <c r="EV46" s="589"/>
      <c r="EW46" s="589"/>
      <c r="EX46" s="589">
        <f>'3.16.23'!E19</f>
        <v>4104</v>
      </c>
      <c r="EY46" s="589"/>
      <c r="EZ46" s="589"/>
      <c r="FA46" s="589">
        <f>'3.19.23'!E19</f>
        <v>5538.5</v>
      </c>
      <c r="FB46" s="252"/>
      <c r="FC46" s="252"/>
      <c r="FD46" s="252"/>
      <c r="FE46" s="252"/>
      <c r="FF46" s="1218"/>
      <c r="FG46" s="1218"/>
      <c r="FH46" s="1218"/>
      <c r="FI46" s="1218"/>
      <c r="FJ46" s="1218"/>
      <c r="FK46" s="1218"/>
      <c r="FL46" s="1218"/>
      <c r="FM46" s="1218"/>
      <c r="FN46" s="1218"/>
      <c r="FO46" s="702"/>
      <c r="FP46" s="702"/>
      <c r="FQ46" s="702"/>
      <c r="FR46" s="702">
        <f>'4.5.23'!E19</f>
        <v>3315.5</v>
      </c>
      <c r="FS46" s="702">
        <f>'4.6.23'!E18</f>
        <v>2470</v>
      </c>
      <c r="FT46" s="702"/>
      <c r="FU46" s="702"/>
      <c r="FV46" s="702"/>
      <c r="FW46" s="738">
        <f>'4.10.23'!E7 + '4.10.23'!E18</f>
        <v>6346</v>
      </c>
      <c r="FX46" s="738"/>
      <c r="FY46" s="738"/>
      <c r="FZ46" s="738"/>
      <c r="GA46" s="738"/>
      <c r="GB46" s="738"/>
      <c r="GC46" s="738"/>
      <c r="GD46" s="252"/>
      <c r="GE46" s="252"/>
      <c r="GF46" s="252"/>
      <c r="GG46" s="252"/>
      <c r="GH46" s="252"/>
      <c r="GI46" s="252"/>
      <c r="GJ46" s="252"/>
      <c r="GK46" s="252"/>
      <c r="GL46" s="252"/>
      <c r="GM46" s="252"/>
      <c r="GN46" s="252"/>
      <c r="GO46" s="252"/>
      <c r="GP46" s="252"/>
      <c r="GQ46" s="252"/>
      <c r="GR46" s="589"/>
      <c r="GS46" s="589"/>
      <c r="GT46" s="589"/>
      <c r="GU46" s="589"/>
      <c r="GV46" s="589"/>
      <c r="GW46" s="589">
        <f>'5.06.23'!E18</f>
        <v>4949.5</v>
      </c>
      <c r="GX46" s="589">
        <f>'5.07.23'!E7</f>
        <v>4303.5</v>
      </c>
      <c r="GY46" s="252"/>
      <c r="GZ46" s="252"/>
      <c r="HA46" s="252"/>
      <c r="HB46" s="252"/>
      <c r="HC46" s="252"/>
      <c r="HD46" s="252"/>
      <c r="HE46" s="252"/>
      <c r="HF46" s="702"/>
      <c r="HG46" s="702">
        <f>'5.16.23'!E8</f>
        <v>3249</v>
      </c>
      <c r="HH46" s="702"/>
      <c r="HI46" s="702"/>
      <c r="HJ46" s="702"/>
      <c r="HK46" s="702"/>
      <c r="HL46" s="702"/>
      <c r="HM46" s="252"/>
      <c r="HN46" s="252"/>
      <c r="HO46" s="252"/>
      <c r="HP46" s="252"/>
      <c r="HQ46" s="252"/>
      <c r="HR46" s="252"/>
      <c r="HS46" s="252"/>
      <c r="HT46" s="589"/>
      <c r="HU46" s="589"/>
      <c r="HV46" s="589">
        <f>'5.31.23'!E8</f>
        <v>3648</v>
      </c>
      <c r="HW46" s="589"/>
      <c r="HX46" s="589"/>
      <c r="HY46" s="589"/>
      <c r="HZ46" s="589">
        <f>'6.04.23'!E7 + '6.04.23'!E18</f>
        <v>9766</v>
      </c>
      <c r="IA46" s="252"/>
      <c r="IB46" s="252"/>
      <c r="IC46" s="252"/>
      <c r="ID46" s="252"/>
      <c r="IE46" s="252"/>
      <c r="IF46" s="252"/>
      <c r="IG46" s="252"/>
      <c r="IH46" s="252"/>
      <c r="II46" s="252"/>
      <c r="IJ46" s="252"/>
      <c r="IK46" s="252"/>
      <c r="IL46" s="189">
        <f t="shared" si="0"/>
        <v>247665</v>
      </c>
      <c r="IM46" s="961">
        <f>100000-IL46+449000</f>
        <v>301335</v>
      </c>
      <c r="IN46" s="194" t="str">
        <f t="shared" si="7"/>
        <v>Stop Bye Café</v>
      </c>
      <c r="IP46" s="234">
        <f t="shared" si="3"/>
        <v>247665</v>
      </c>
      <c r="IQ46" s="316">
        <f>COUNT(B46:FZ46)+5+2</f>
        <v>63</v>
      </c>
      <c r="IT46" s="234">
        <v>162662.5</v>
      </c>
      <c r="IU46" s="234"/>
      <c r="IV46" s="979">
        <v>43</v>
      </c>
      <c r="IW46" s="981">
        <f t="shared" si="8"/>
        <v>26070</v>
      </c>
      <c r="IX46" s="977">
        <f t="shared" si="4"/>
        <v>247665</v>
      </c>
      <c r="IY46" s="978" t="str">
        <f t="shared" si="5"/>
        <v>Stop Bye Café</v>
      </c>
    </row>
    <row r="47" spans="1:259" ht="10.15" customHeight="1">
      <c r="A47" s="195" t="s">
        <v>84</v>
      </c>
      <c r="B47" s="252"/>
      <c r="C47" s="252"/>
      <c r="D47" s="252"/>
      <c r="E47" s="252"/>
      <c r="F47" s="252"/>
      <c r="G47" s="252"/>
      <c r="H47" s="252"/>
      <c r="I47" s="252"/>
      <c r="J47" s="252"/>
      <c r="K47" s="252"/>
      <c r="L47" s="252"/>
      <c r="M47" s="252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  <c r="AA47" s="252"/>
      <c r="AB47" s="252"/>
      <c r="AC47" s="252"/>
      <c r="AD47" s="252"/>
      <c r="AE47" s="252"/>
      <c r="AF47" s="252"/>
      <c r="AG47" s="252"/>
      <c r="AH47" s="252"/>
      <c r="AI47" s="252"/>
      <c r="AJ47" s="252"/>
      <c r="AK47" s="252"/>
      <c r="AL47" s="252"/>
      <c r="AM47" s="252"/>
      <c r="AN47" s="252"/>
      <c r="AO47" s="252"/>
      <c r="AP47" s="252"/>
      <c r="AQ47" s="252"/>
      <c r="AR47" s="252"/>
      <c r="AS47" s="252"/>
      <c r="AT47" s="252"/>
      <c r="AU47" s="252"/>
      <c r="AV47" s="252"/>
      <c r="AW47" s="252"/>
      <c r="AX47" s="252"/>
      <c r="AY47" s="252"/>
      <c r="AZ47" s="252"/>
      <c r="BA47" s="252"/>
      <c r="BB47" s="252"/>
      <c r="BC47" s="252"/>
      <c r="BD47" s="252"/>
      <c r="BE47" s="252"/>
      <c r="BF47" s="252"/>
      <c r="BG47" s="252"/>
      <c r="BH47" s="252"/>
      <c r="BI47" s="252"/>
      <c r="BJ47" s="252"/>
      <c r="BK47" s="252"/>
      <c r="BL47" s="252"/>
      <c r="BM47" s="252"/>
      <c r="BN47" s="252"/>
      <c r="BO47" s="252"/>
      <c r="BP47" s="252"/>
      <c r="BQ47" s="252"/>
      <c r="BR47" s="1131"/>
      <c r="BS47" s="1131"/>
      <c r="BT47" s="1131"/>
      <c r="BU47" s="1131"/>
      <c r="BV47" s="252"/>
      <c r="BW47" s="252"/>
      <c r="BX47" s="252"/>
      <c r="BY47" s="252"/>
      <c r="BZ47" s="252"/>
      <c r="CA47" s="252"/>
      <c r="CB47" s="252"/>
      <c r="CC47" s="252"/>
      <c r="CD47" s="252"/>
      <c r="CE47" s="252"/>
      <c r="CF47" s="252"/>
      <c r="CG47" s="252"/>
      <c r="CH47" s="252"/>
      <c r="CI47" s="1139"/>
      <c r="CJ47" s="252"/>
      <c r="CK47" s="252"/>
      <c r="CL47" s="252"/>
      <c r="CM47" s="252"/>
      <c r="CN47" s="252"/>
      <c r="CO47" s="1166"/>
      <c r="CP47" s="1166"/>
      <c r="CQ47" s="252"/>
      <c r="CR47" s="252"/>
      <c r="CS47" s="252"/>
      <c r="CT47" s="252"/>
      <c r="CU47" s="252"/>
      <c r="CV47" s="252"/>
      <c r="CW47" s="252"/>
      <c r="CX47" s="252"/>
      <c r="CY47" s="252"/>
      <c r="CZ47" s="252"/>
      <c r="DA47" s="252"/>
      <c r="DB47" s="252"/>
      <c r="DC47" s="252"/>
      <c r="DD47" s="252"/>
      <c r="DE47" s="252"/>
      <c r="DF47" s="252"/>
      <c r="DG47" s="252"/>
      <c r="DH47" s="252"/>
      <c r="DI47" s="252"/>
      <c r="DJ47" s="252"/>
      <c r="DK47" s="252"/>
      <c r="DL47" s="252"/>
      <c r="DM47" s="252"/>
      <c r="DN47" s="252"/>
      <c r="DO47" s="252"/>
      <c r="DP47" s="252"/>
      <c r="DQ47" s="252"/>
      <c r="DR47" s="252"/>
      <c r="DS47" s="252"/>
      <c r="DT47" s="252"/>
      <c r="DU47" s="252"/>
      <c r="DV47" s="252"/>
      <c r="DW47" s="252"/>
      <c r="DX47" s="1166"/>
      <c r="DY47" s="1166"/>
      <c r="DZ47" s="1196"/>
      <c r="EA47" s="252"/>
      <c r="EB47" s="252"/>
      <c r="EC47" s="252"/>
      <c r="ED47" s="252"/>
      <c r="EE47" s="252"/>
      <c r="EF47" s="252"/>
      <c r="EG47" s="252"/>
      <c r="EH47" s="252"/>
      <c r="EI47" s="252"/>
      <c r="EJ47" s="252"/>
      <c r="EK47" s="252"/>
      <c r="EL47" s="252"/>
      <c r="EM47" s="252"/>
      <c r="EN47" s="252"/>
      <c r="EO47" s="252"/>
      <c r="EP47" s="252"/>
      <c r="EQ47" s="252"/>
      <c r="ER47" s="252"/>
      <c r="ES47" s="252"/>
      <c r="ET47" s="252"/>
      <c r="EU47" s="252"/>
      <c r="EV47" s="252"/>
      <c r="EW47" s="252"/>
      <c r="EX47" s="252"/>
      <c r="EY47" s="252"/>
      <c r="EZ47" s="252"/>
      <c r="FA47" s="252"/>
      <c r="FB47" s="252"/>
      <c r="FC47" s="252"/>
      <c r="FD47" s="252"/>
      <c r="FE47" s="252"/>
      <c r="FF47" s="1218"/>
      <c r="FG47" s="1218"/>
      <c r="FH47" s="1218"/>
      <c r="FI47" s="1218"/>
      <c r="FJ47" s="1218"/>
      <c r="FK47" s="1218"/>
      <c r="FL47" s="1218"/>
      <c r="FM47" s="1218"/>
      <c r="FN47" s="1218"/>
      <c r="FO47" s="252"/>
      <c r="FP47" s="252"/>
      <c r="FQ47" s="252"/>
      <c r="FR47" s="252"/>
      <c r="FS47" s="252"/>
      <c r="FT47" s="252"/>
      <c r="FU47" s="252"/>
      <c r="FV47" s="252"/>
      <c r="FW47" s="252"/>
      <c r="FX47" s="252"/>
      <c r="FY47" s="252"/>
      <c r="FZ47" s="252"/>
      <c r="GA47" s="252"/>
      <c r="GB47" s="252"/>
      <c r="GC47" s="252"/>
      <c r="GD47" s="252"/>
      <c r="GE47" s="252"/>
      <c r="GF47" s="252"/>
      <c r="GG47" s="252"/>
      <c r="GH47" s="252"/>
      <c r="GI47" s="252"/>
      <c r="GJ47" s="252"/>
      <c r="GK47" s="252"/>
      <c r="GL47" s="252"/>
      <c r="GM47" s="252"/>
      <c r="GN47" s="252"/>
      <c r="GO47" s="252"/>
      <c r="GP47" s="252"/>
      <c r="GQ47" s="252"/>
      <c r="GR47" s="252"/>
      <c r="GS47" s="252"/>
      <c r="GT47" s="252"/>
      <c r="GU47" s="252"/>
      <c r="GV47" s="252"/>
      <c r="GW47" s="252"/>
      <c r="GX47" s="252"/>
      <c r="GY47" s="252"/>
      <c r="GZ47" s="252"/>
      <c r="HA47" s="252"/>
      <c r="HB47" s="252"/>
      <c r="HC47" s="252"/>
      <c r="HD47" s="252"/>
      <c r="HE47" s="252"/>
      <c r="HF47" s="252"/>
      <c r="HG47" s="252"/>
      <c r="HH47" s="252"/>
      <c r="HI47" s="252"/>
      <c r="HJ47" s="252"/>
      <c r="HK47" s="252"/>
      <c r="HL47" s="252"/>
      <c r="HM47" s="252"/>
      <c r="HN47" s="252"/>
      <c r="HO47" s="252"/>
      <c r="HP47" s="252"/>
      <c r="HQ47" s="252"/>
      <c r="HR47" s="252"/>
      <c r="HS47" s="252"/>
      <c r="HT47" s="252"/>
      <c r="HU47" s="252"/>
      <c r="HV47" s="252"/>
      <c r="HW47" s="252"/>
      <c r="HX47" s="252"/>
      <c r="HY47" s="252"/>
      <c r="HZ47" s="252"/>
      <c r="IA47" s="252"/>
      <c r="IB47" s="252"/>
      <c r="IC47" s="252"/>
      <c r="ID47" s="252"/>
      <c r="IE47" s="252"/>
      <c r="IF47" s="252"/>
      <c r="IG47" s="252"/>
      <c r="IH47" s="252"/>
      <c r="II47" s="252"/>
      <c r="IJ47" s="252"/>
      <c r="IK47" s="252"/>
      <c r="IL47" s="189">
        <f t="shared" si="0"/>
        <v>0</v>
      </c>
      <c r="IM47" s="961">
        <f>100000-IL47+350000</f>
        <v>450000</v>
      </c>
      <c r="IN47" s="194" t="str">
        <f t="shared" si="7"/>
        <v>Stout Burgers</v>
      </c>
      <c r="IP47" s="234">
        <f t="shared" si="3"/>
        <v>0</v>
      </c>
      <c r="IQ47" s="316">
        <f>COUNT(B47:FZ47)</f>
        <v>0</v>
      </c>
      <c r="IT47" s="234">
        <v>52046</v>
      </c>
      <c r="IU47" s="234"/>
      <c r="IV47" s="979">
        <v>44</v>
      </c>
      <c r="IW47" s="981">
        <f t="shared" si="8"/>
        <v>0</v>
      </c>
      <c r="IX47" s="977">
        <f t="shared" si="4"/>
        <v>0</v>
      </c>
      <c r="IY47" s="978" t="str">
        <f t="shared" si="5"/>
        <v>Stout Burgers</v>
      </c>
    </row>
    <row r="48" spans="1:259" ht="10.15" customHeight="1">
      <c r="A48" s="195" t="s">
        <v>802</v>
      </c>
      <c r="B48" s="252"/>
      <c r="C48" s="252"/>
      <c r="D48" s="252"/>
      <c r="E48" s="252"/>
      <c r="F48" s="252"/>
      <c r="G48" s="252"/>
      <c r="H48" s="252"/>
      <c r="I48" s="252"/>
      <c r="J48" s="252"/>
      <c r="K48" s="252"/>
      <c r="L48" s="252"/>
      <c r="M48" s="252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  <c r="AA48" s="252"/>
      <c r="AB48" s="252"/>
      <c r="AC48" s="252"/>
      <c r="AD48" s="252"/>
      <c r="AE48" s="252"/>
      <c r="AF48" s="252"/>
      <c r="AG48" s="252"/>
      <c r="AH48" s="252"/>
      <c r="AI48" s="252"/>
      <c r="AJ48" s="252"/>
      <c r="AK48" s="252"/>
      <c r="AL48" s="252"/>
      <c r="AM48" s="252"/>
      <c r="AN48" s="252"/>
      <c r="AO48" s="252"/>
      <c r="AP48" s="252"/>
      <c r="AQ48" s="252"/>
      <c r="AR48" s="252"/>
      <c r="AS48" s="252"/>
      <c r="AT48" s="252"/>
      <c r="AU48" s="252"/>
      <c r="AV48" s="252"/>
      <c r="AW48" s="252"/>
      <c r="AX48" s="252"/>
      <c r="AY48" s="252"/>
      <c r="AZ48" s="252"/>
      <c r="BA48" s="252"/>
      <c r="BB48" s="252"/>
      <c r="BC48" s="252"/>
      <c r="BD48" s="252"/>
      <c r="BE48" s="252"/>
      <c r="BF48" s="252"/>
      <c r="BG48" s="252"/>
      <c r="BH48" s="252"/>
      <c r="BI48" s="252"/>
      <c r="BJ48" s="252"/>
      <c r="BK48" s="252"/>
      <c r="BL48" s="252"/>
      <c r="BM48" s="252"/>
      <c r="BN48" s="252"/>
      <c r="BO48" s="252"/>
      <c r="BP48" s="252"/>
      <c r="BQ48" s="252"/>
      <c r="BR48" s="1131"/>
      <c r="BS48" s="1131"/>
      <c r="BT48" s="1131"/>
      <c r="BU48" s="1131"/>
      <c r="BV48" s="252"/>
      <c r="BW48" s="252"/>
      <c r="BX48" s="252"/>
      <c r="BY48" s="252"/>
      <c r="BZ48" s="252"/>
      <c r="CA48" s="252"/>
      <c r="CB48" s="252"/>
      <c r="CC48" s="252"/>
      <c r="CD48" s="252"/>
      <c r="CE48" s="252"/>
      <c r="CF48" s="252"/>
      <c r="CG48" s="252"/>
      <c r="CH48" s="252"/>
      <c r="CI48" s="1139"/>
      <c r="CJ48" s="252"/>
      <c r="CK48" s="252"/>
      <c r="CL48" s="252"/>
      <c r="CM48" s="252"/>
      <c r="CN48" s="252"/>
      <c r="CO48" s="1166"/>
      <c r="CP48" s="1166"/>
      <c r="CQ48" s="252"/>
      <c r="CR48" s="252"/>
      <c r="CS48" s="252"/>
      <c r="CT48" s="252"/>
      <c r="CU48" s="252"/>
      <c r="CV48" s="252"/>
      <c r="CW48" s="252"/>
      <c r="CX48" s="738"/>
      <c r="CY48" s="738">
        <f>'1.24.23'!E18</f>
        <v>3211</v>
      </c>
      <c r="CZ48" s="738"/>
      <c r="DA48" s="738"/>
      <c r="DB48" s="738"/>
      <c r="DC48" s="738">
        <f>'1.28.23'!E7</f>
        <v>4968.5</v>
      </c>
      <c r="DD48" s="738"/>
      <c r="DE48" s="252"/>
      <c r="DF48" s="252"/>
      <c r="DG48" s="252"/>
      <c r="DH48" s="252"/>
      <c r="DI48" s="252"/>
      <c r="DJ48" s="252"/>
      <c r="DK48" s="252"/>
      <c r="DL48" s="640">
        <f>'2.06.23'!E17</f>
        <v>4940</v>
      </c>
      <c r="DM48" s="640"/>
      <c r="DN48" s="640"/>
      <c r="DO48" s="640"/>
      <c r="DP48" s="640">
        <f>'2.10.23'!E29</f>
        <v>4797.5</v>
      </c>
      <c r="DQ48" s="640"/>
      <c r="DR48" s="640"/>
      <c r="DS48" s="702"/>
      <c r="DT48" s="702">
        <f>'2.14.23'!E9</f>
        <v>5386.5</v>
      </c>
      <c r="DU48" s="702"/>
      <c r="DV48" s="702"/>
      <c r="DW48" s="702"/>
      <c r="DX48" s="1166"/>
      <c r="DY48" s="1166"/>
      <c r="DZ48" s="738"/>
      <c r="EA48" s="738"/>
      <c r="EB48" s="738">
        <f>'2.22.23'!E8</f>
        <v>5738</v>
      </c>
      <c r="EC48" s="738"/>
      <c r="ED48" s="738"/>
      <c r="EE48" s="738"/>
      <c r="EF48" s="738"/>
      <c r="EG48" s="702"/>
      <c r="EH48" s="702"/>
      <c r="EI48" s="702"/>
      <c r="EJ48" s="702">
        <f>'3.2.23'!E19</f>
        <v>6175</v>
      </c>
      <c r="EK48" s="702"/>
      <c r="EL48" s="702"/>
      <c r="EM48" s="702"/>
      <c r="EN48" s="738"/>
      <c r="EO48" s="738"/>
      <c r="EP48" s="738">
        <f>'3.8.23'!E9</f>
        <v>5795</v>
      </c>
      <c r="EQ48" s="738"/>
      <c r="ER48" s="738"/>
      <c r="ES48" s="738"/>
      <c r="ET48" s="738"/>
      <c r="EU48" s="589">
        <f>'3.13.23'!E17</f>
        <v>6336.5</v>
      </c>
      <c r="EV48" s="589"/>
      <c r="EW48" s="589"/>
      <c r="EX48" s="589">
        <f>'3.16.23'!E8</f>
        <v>5396</v>
      </c>
      <c r="EY48" s="589"/>
      <c r="EZ48" s="589">
        <f>'3.18.23'!E9</f>
        <v>6745</v>
      </c>
      <c r="FA48" s="589"/>
      <c r="FB48" s="640"/>
      <c r="FC48" s="640"/>
      <c r="FD48" s="640">
        <f>'3.22.23'!E17</f>
        <v>6127.5</v>
      </c>
      <c r="FE48" s="640">
        <f>'3.23.23'!E7</f>
        <v>4370</v>
      </c>
      <c r="FF48" s="1218"/>
      <c r="FG48" s="1218"/>
      <c r="FH48" s="1218"/>
      <c r="FI48" s="1218"/>
      <c r="FJ48" s="1218"/>
      <c r="FK48" s="1218"/>
      <c r="FL48" s="1218"/>
      <c r="FM48" s="1218"/>
      <c r="FN48" s="1218"/>
      <c r="FO48" s="702"/>
      <c r="FP48" s="702"/>
      <c r="FQ48" s="702">
        <f>'4.4.23'!E18</f>
        <v>4930.5</v>
      </c>
      <c r="FR48" s="702"/>
      <c r="FS48" s="702"/>
      <c r="FT48" s="702">
        <f>'4.7.23'!E19</f>
        <v>3049.5</v>
      </c>
      <c r="FU48" s="702">
        <f>'4.8.23'!E8</f>
        <v>3809.5</v>
      </c>
      <c r="FV48" s="702"/>
      <c r="FW48" s="738"/>
      <c r="FX48" s="738">
        <f>'4.11.23'!E8</f>
        <v>3515</v>
      </c>
      <c r="FY48" s="738"/>
      <c r="FZ48" s="738"/>
      <c r="GA48" s="738">
        <f>'4.14.23'!E17</f>
        <v>3477</v>
      </c>
      <c r="GB48" s="738"/>
      <c r="GC48" s="738"/>
      <c r="GD48" s="702">
        <f>'4.17.23'!E8</f>
        <v>3068.5</v>
      </c>
      <c r="GE48" s="702"/>
      <c r="GF48" s="702"/>
      <c r="GG48" s="702"/>
      <c r="GH48" s="702">
        <f>'4.21.23'!E7</f>
        <v>3135</v>
      </c>
      <c r="GI48" s="702"/>
      <c r="GJ48" s="702"/>
      <c r="GK48" s="640"/>
      <c r="GL48" s="640"/>
      <c r="GM48" s="640">
        <f>'4.26.23'!E8</f>
        <v>4645.5</v>
      </c>
      <c r="GN48" s="640"/>
      <c r="GO48" s="640"/>
      <c r="GP48" s="640">
        <f>'4.29.23'!E7</f>
        <v>4104</v>
      </c>
      <c r="GQ48" s="640"/>
      <c r="GR48" s="589"/>
      <c r="GS48" s="589"/>
      <c r="GT48" s="589"/>
      <c r="GU48" s="589"/>
      <c r="GV48" s="589">
        <f>'5.05.23'!E18</f>
        <v>3334.5</v>
      </c>
      <c r="GW48" s="589"/>
      <c r="GX48" s="589"/>
      <c r="GY48" s="738"/>
      <c r="GZ48" s="738"/>
      <c r="HA48" s="738"/>
      <c r="HB48" s="738"/>
      <c r="HC48" s="738">
        <f>'5.12.23'!E17</f>
        <v>3581.5</v>
      </c>
      <c r="HD48" s="738">
        <f>'5.13.23'!E8</f>
        <v>3325</v>
      </c>
      <c r="HE48" s="738"/>
      <c r="HF48" s="702"/>
      <c r="HG48" s="702"/>
      <c r="HH48" s="702"/>
      <c r="HI48" s="702"/>
      <c r="HJ48" s="702">
        <f>'5.19.23'!E17</f>
        <v>3610</v>
      </c>
      <c r="HK48" s="702"/>
      <c r="HL48" s="702"/>
      <c r="HM48" s="640"/>
      <c r="HN48" s="640">
        <f>'5.23.23'!E7</f>
        <v>3619.5</v>
      </c>
      <c r="HO48" s="640"/>
      <c r="HP48" s="640"/>
      <c r="HQ48" s="640"/>
      <c r="HR48" s="640"/>
      <c r="HS48" s="640"/>
      <c r="HT48" s="589"/>
      <c r="HU48" s="589"/>
      <c r="HV48" s="589">
        <f>'5.31.23'!E7</f>
        <v>3828.5</v>
      </c>
      <c r="HW48" s="589"/>
      <c r="HX48" s="589"/>
      <c r="HY48" s="589"/>
      <c r="HZ48" s="589"/>
      <c r="IA48" s="252"/>
      <c r="IB48" s="252"/>
      <c r="IC48" s="252"/>
      <c r="ID48" s="252"/>
      <c r="IE48" s="252">
        <f>'6.9.23'!E17</f>
        <v>4351</v>
      </c>
      <c r="IF48" s="252"/>
      <c r="IG48" s="252"/>
      <c r="IH48" s="252"/>
      <c r="II48" s="252"/>
      <c r="IJ48" s="252"/>
      <c r="IK48" s="252"/>
      <c r="IL48" s="189">
        <f t="shared" si="0"/>
        <v>129371</v>
      </c>
      <c r="IM48" s="961">
        <f>100000-IL48+350000</f>
        <v>320629</v>
      </c>
      <c r="IN48" s="194" t="str">
        <f t="shared" si="7"/>
        <v>Sugo Italiano</v>
      </c>
      <c r="IP48" s="234">
        <f t="shared" si="3"/>
        <v>129371</v>
      </c>
      <c r="IQ48" s="316">
        <f>COUNT(B48:FZ48)+8</f>
        <v>25</v>
      </c>
      <c r="IT48" s="234">
        <v>52046</v>
      </c>
      <c r="IU48" s="234"/>
      <c r="IV48" s="979"/>
      <c r="IW48" s="981"/>
      <c r="IX48" s="977">
        <f t="shared" si="4"/>
        <v>129371</v>
      </c>
      <c r="IY48" s="978" t="str">
        <f t="shared" si="5"/>
        <v>Sugo Italiano</v>
      </c>
    </row>
    <row r="49" spans="1:259" ht="10.15" customHeight="1">
      <c r="A49" s="195" t="s">
        <v>333</v>
      </c>
      <c r="B49" s="252"/>
      <c r="C49" s="252"/>
      <c r="D49" s="252"/>
      <c r="E49" s="252"/>
      <c r="F49" s="252"/>
      <c r="G49" s="252"/>
      <c r="H49" s="252"/>
      <c r="I49" s="252"/>
      <c r="J49" s="252"/>
      <c r="K49" s="252"/>
      <c r="L49" s="702"/>
      <c r="M49" s="702"/>
      <c r="N49" s="702"/>
      <c r="O49" s="702">
        <f>'9.29.22'!E21</f>
        <v>1938</v>
      </c>
      <c r="P49" s="702"/>
      <c r="Q49" s="702"/>
      <c r="R49" s="702"/>
      <c r="S49" s="738"/>
      <c r="T49" s="738"/>
      <c r="U49" s="738"/>
      <c r="V49" s="738">
        <f>'10.06.22'!E28</f>
        <v>1814.5</v>
      </c>
      <c r="W49" s="738"/>
      <c r="X49" s="738">
        <f>'10.08.22'!E7</f>
        <v>2156.5</v>
      </c>
      <c r="Y49" s="738"/>
      <c r="Z49" s="252"/>
      <c r="AA49" s="252"/>
      <c r="AB49" s="252"/>
      <c r="AC49" s="252"/>
      <c r="AD49" s="252"/>
      <c r="AE49" s="252"/>
      <c r="AF49" s="252"/>
      <c r="AG49" s="640"/>
      <c r="AH49" s="640"/>
      <c r="AI49" s="640"/>
      <c r="AJ49" s="640"/>
      <c r="AK49" s="640"/>
      <c r="AL49" s="640"/>
      <c r="AM49" s="640">
        <f>'10.23.22'!E9</f>
        <v>2194.5</v>
      </c>
      <c r="AN49" s="702"/>
      <c r="AO49" s="702"/>
      <c r="AP49" s="702"/>
      <c r="AQ49" s="702"/>
      <c r="AR49" s="702"/>
      <c r="AS49" s="702">
        <f>'10.29.22'!E7</f>
        <v>2318</v>
      </c>
      <c r="AT49" s="702"/>
      <c r="AU49" s="738"/>
      <c r="AV49" s="738"/>
      <c r="AW49" s="738">
        <f>'11.02.22'!E30</f>
        <v>2394</v>
      </c>
      <c r="AX49" s="738">
        <f>'11.03.22'!E31</f>
        <v>2470</v>
      </c>
      <c r="AY49" s="738"/>
      <c r="AZ49" s="738"/>
      <c r="BA49" s="738"/>
      <c r="BB49" s="589"/>
      <c r="BC49" s="589">
        <f>'11.08.22'!E27</f>
        <v>2802.5</v>
      </c>
      <c r="BD49" s="589"/>
      <c r="BE49" s="589"/>
      <c r="BF49" s="589"/>
      <c r="BG49" s="589">
        <f>'11.12.22'!E9</f>
        <v>2859.5</v>
      </c>
      <c r="BH49" s="589">
        <f>'11.13.22'!E9</f>
        <v>2755</v>
      </c>
      <c r="BI49" s="640"/>
      <c r="BJ49" s="640">
        <f>'11.15.22'!E31</f>
        <v>2508</v>
      </c>
      <c r="BK49" s="640"/>
      <c r="BL49" s="640">
        <f>'11.17.22'!E8</f>
        <v>3686</v>
      </c>
      <c r="BM49" s="640"/>
      <c r="BN49" s="640">
        <f>'11.19.22'!E7</f>
        <v>3144.5</v>
      </c>
      <c r="BO49" s="640">
        <f>'11.20.22'!E7</f>
        <v>3325</v>
      </c>
      <c r="BP49" s="702"/>
      <c r="BQ49" s="702"/>
      <c r="BR49" s="1134"/>
      <c r="BS49" s="1134"/>
      <c r="BT49" s="1134"/>
      <c r="BU49" s="1134"/>
      <c r="BV49" s="702">
        <f>'11.27.22'!E28</f>
        <v>3220.5</v>
      </c>
      <c r="BW49" s="252"/>
      <c r="BX49" s="252"/>
      <c r="BY49" s="252"/>
      <c r="BZ49" s="252"/>
      <c r="CA49" s="252"/>
      <c r="CB49" s="252"/>
      <c r="CC49" s="252"/>
      <c r="CD49" s="252"/>
      <c r="CE49" s="589">
        <f>'12.06.22'!E28</f>
        <v>3610</v>
      </c>
      <c r="CF49" s="589"/>
      <c r="CG49" s="589"/>
      <c r="CH49" s="589">
        <f>'12.13.22'!E13</f>
        <v>2631.5</v>
      </c>
      <c r="CI49" s="1139"/>
      <c r="CJ49" s="252"/>
      <c r="CK49" s="252"/>
      <c r="CL49" s="252"/>
      <c r="CM49" s="252"/>
      <c r="CN49" s="252"/>
      <c r="CO49" s="1166"/>
      <c r="CP49" s="1166"/>
      <c r="CQ49" s="702"/>
      <c r="CR49" s="702"/>
      <c r="CS49" s="702"/>
      <c r="CT49" s="702"/>
      <c r="CU49" s="702">
        <f>'1.20.23'!E28</f>
        <v>3201.5</v>
      </c>
      <c r="CV49" s="702"/>
      <c r="CW49" s="702"/>
      <c r="CX49" s="252"/>
      <c r="CY49" s="252"/>
      <c r="CZ49" s="252"/>
      <c r="DA49" s="252"/>
      <c r="DB49" s="252"/>
      <c r="DC49" s="252"/>
      <c r="DD49" s="252"/>
      <c r="DE49" s="589"/>
      <c r="DF49" s="589"/>
      <c r="DG49" s="589"/>
      <c r="DH49" s="589"/>
      <c r="DI49" s="589"/>
      <c r="DJ49" s="589">
        <f>'2.04.23'!E9</f>
        <v>3182.5</v>
      </c>
      <c r="DK49" s="589">
        <f>'2.05.23'!E7</f>
        <v>3030.5</v>
      </c>
      <c r="DL49" s="640"/>
      <c r="DM49" s="640"/>
      <c r="DN49" s="640"/>
      <c r="DO49" s="640"/>
      <c r="DP49" s="640"/>
      <c r="DQ49" s="640"/>
      <c r="DR49" s="640">
        <f>'2.12.23'!E7</f>
        <v>3990</v>
      </c>
      <c r="DS49" s="252"/>
      <c r="DT49" s="252"/>
      <c r="DU49" s="252"/>
      <c r="DV49" s="252"/>
      <c r="DW49" s="252"/>
      <c r="DX49" s="1166"/>
      <c r="DY49" s="1166"/>
      <c r="DZ49" s="738"/>
      <c r="EA49" s="738"/>
      <c r="EB49" s="738"/>
      <c r="EC49" s="738"/>
      <c r="ED49" s="738"/>
      <c r="EE49" s="738">
        <f>'2.25.23'!E28</f>
        <v>3268</v>
      </c>
      <c r="EF49" s="738"/>
      <c r="EG49" s="252"/>
      <c r="EH49" s="252"/>
      <c r="EI49" s="252"/>
      <c r="EJ49" s="252"/>
      <c r="EK49" s="252"/>
      <c r="EL49" s="252"/>
      <c r="EM49" s="252"/>
      <c r="EN49" s="738"/>
      <c r="EO49" s="738"/>
      <c r="EP49" s="738"/>
      <c r="EQ49" s="738">
        <f>'3.9.23'!E28</f>
        <v>3401</v>
      </c>
      <c r="ER49" s="738"/>
      <c r="ES49" s="738"/>
      <c r="ET49" s="738"/>
      <c r="EU49" s="589"/>
      <c r="EV49" s="589"/>
      <c r="EW49" s="589">
        <f>'3.15.23'!E28</f>
        <v>3714.5</v>
      </c>
      <c r="EX49" s="589"/>
      <c r="EY49" s="589"/>
      <c r="EZ49" s="589"/>
      <c r="FA49" s="589"/>
      <c r="FB49" s="640"/>
      <c r="FC49" s="640">
        <f>'3.21.23'!E28</f>
        <v>3828.5</v>
      </c>
      <c r="FD49" s="640"/>
      <c r="FE49" s="640"/>
      <c r="FF49" s="1218"/>
      <c r="FG49" s="1218"/>
      <c r="FH49" s="1218"/>
      <c r="FI49" s="1218"/>
      <c r="FJ49" s="1218"/>
      <c r="FK49" s="1218"/>
      <c r="FL49" s="1218"/>
      <c r="FM49" s="1218"/>
      <c r="FN49" s="1218"/>
      <c r="FO49" s="702"/>
      <c r="FP49" s="702"/>
      <c r="FQ49" s="702"/>
      <c r="FR49" s="702"/>
      <c r="FS49" s="702"/>
      <c r="FT49" s="702">
        <f>'4.7.23'!E28</f>
        <v>2517.5</v>
      </c>
      <c r="FU49" s="702"/>
      <c r="FV49" s="702"/>
      <c r="FW49" s="738"/>
      <c r="FX49" s="738"/>
      <c r="FY49" s="738"/>
      <c r="FZ49" s="738">
        <f>'4.13.23'!E28</f>
        <v>3116</v>
      </c>
      <c r="GA49" s="738"/>
      <c r="GB49" s="738"/>
      <c r="GC49" s="738">
        <f>'4.16.23'!E28</f>
        <v>3144.5</v>
      </c>
      <c r="GD49" s="252"/>
      <c r="GE49" s="252"/>
      <c r="GF49" s="252"/>
      <c r="GG49" s="252"/>
      <c r="GH49" s="252"/>
      <c r="GI49" s="252"/>
      <c r="GJ49" s="252"/>
      <c r="GK49" s="640"/>
      <c r="GL49" s="640"/>
      <c r="GM49" s="640"/>
      <c r="GN49" s="640"/>
      <c r="GO49" s="640"/>
      <c r="GP49" s="640">
        <f>'4.29.23'!E28</f>
        <v>3106.5</v>
      </c>
      <c r="GQ49" s="640">
        <f>'4.30.23'!E28</f>
        <v>3353.5</v>
      </c>
      <c r="GR49" s="589"/>
      <c r="GS49" s="589"/>
      <c r="GT49" s="589"/>
      <c r="GU49" s="589"/>
      <c r="GV49" s="589"/>
      <c r="GW49" s="589"/>
      <c r="GX49" s="589">
        <f>'5.07.23'!E28</f>
        <v>3201.5</v>
      </c>
      <c r="GY49" s="738"/>
      <c r="GZ49" s="738"/>
      <c r="HA49" s="738"/>
      <c r="HB49" s="738"/>
      <c r="HC49" s="738"/>
      <c r="HD49" s="738">
        <f>'5.13.23'!E28</f>
        <v>2688.5</v>
      </c>
      <c r="HE49" s="738"/>
      <c r="HF49" s="702"/>
      <c r="HG49" s="702"/>
      <c r="HH49" s="702"/>
      <c r="HI49" s="702"/>
      <c r="HJ49" s="702"/>
      <c r="HK49" s="702">
        <f>'5.20.23'!E27</f>
        <v>3002</v>
      </c>
      <c r="HL49" s="702"/>
      <c r="HM49" s="640"/>
      <c r="HN49" s="640"/>
      <c r="HO49" s="640"/>
      <c r="HP49" s="640"/>
      <c r="HQ49" s="640">
        <f>'5.26.23'!E27</f>
        <v>1957</v>
      </c>
      <c r="HR49" s="640"/>
      <c r="HS49" s="640"/>
      <c r="HT49" s="252"/>
      <c r="HU49" s="252"/>
      <c r="HV49" s="252"/>
      <c r="HW49" s="252"/>
      <c r="HX49" s="252"/>
      <c r="HY49" s="252"/>
      <c r="HZ49" s="252"/>
      <c r="IA49" s="252"/>
      <c r="IB49" s="252"/>
      <c r="IC49" s="252"/>
      <c r="ID49" s="252">
        <f>'6.8.23'!E28</f>
        <v>2935.5</v>
      </c>
      <c r="IE49" s="252"/>
      <c r="IF49" s="252"/>
      <c r="IG49" s="252"/>
      <c r="IH49" s="252"/>
      <c r="II49" s="252"/>
      <c r="IJ49" s="252"/>
      <c r="IK49" s="252"/>
      <c r="IL49" s="189">
        <f t="shared" si="0"/>
        <v>102467</v>
      </c>
      <c r="IM49" s="189">
        <v>99000</v>
      </c>
      <c r="IN49" s="194" t="str">
        <f t="shared" si="7"/>
        <v>Sweets on Wheels</v>
      </c>
      <c r="IP49" s="234">
        <f t="shared" si="3"/>
        <v>102467</v>
      </c>
      <c r="IQ49" s="316">
        <f>COUNT(B49:FZ49)+5</f>
        <v>32</v>
      </c>
      <c r="IT49" s="234">
        <v>52046</v>
      </c>
      <c r="IU49" s="234"/>
      <c r="IV49" s="979">
        <v>45</v>
      </c>
      <c r="IW49" s="981">
        <f t="shared" ref="IW49:IW63" si="9">IX49/9.5</f>
        <v>10786</v>
      </c>
      <c r="IX49" s="977">
        <f t="shared" si="4"/>
        <v>102467</v>
      </c>
      <c r="IY49" s="978" t="str">
        <f t="shared" si="5"/>
        <v>Sweets on Wheels</v>
      </c>
    </row>
    <row r="50" spans="1:259" ht="9" customHeight="1">
      <c r="A50" s="195" t="s">
        <v>58</v>
      </c>
      <c r="B50" s="252"/>
      <c r="C50" s="252"/>
      <c r="D50" s="252"/>
      <c r="E50" s="252"/>
      <c r="F50" s="252"/>
      <c r="G50" s="252"/>
      <c r="H50" s="252"/>
      <c r="I50" s="252"/>
      <c r="J50" s="252"/>
      <c r="K50" s="252"/>
      <c r="L50" s="252"/>
      <c r="M50" s="252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  <c r="AA50" s="252"/>
      <c r="AB50" s="252"/>
      <c r="AC50" s="252"/>
      <c r="AD50" s="252"/>
      <c r="AE50" s="252"/>
      <c r="AF50" s="252"/>
      <c r="AG50" s="252"/>
      <c r="AH50" s="252"/>
      <c r="AI50" s="252"/>
      <c r="AJ50" s="252"/>
      <c r="AK50" s="252"/>
      <c r="AL50" s="252"/>
      <c r="AM50" s="252"/>
      <c r="AN50" s="252"/>
      <c r="AO50" s="252"/>
      <c r="AP50" s="252"/>
      <c r="AQ50" s="252"/>
      <c r="AR50" s="252"/>
      <c r="AS50" s="252"/>
      <c r="AT50" s="252"/>
      <c r="AU50" s="252"/>
      <c r="AV50" s="252"/>
      <c r="AW50" s="252"/>
      <c r="AX50" s="252"/>
      <c r="AY50" s="252"/>
      <c r="AZ50" s="252"/>
      <c r="BA50" s="252"/>
      <c r="BB50" s="252"/>
      <c r="BC50" s="252"/>
      <c r="BD50" s="252"/>
      <c r="BE50" s="252"/>
      <c r="BF50" s="252"/>
      <c r="BG50" s="252"/>
      <c r="BH50" s="252"/>
      <c r="BI50" s="252"/>
      <c r="BJ50" s="252"/>
      <c r="BK50" s="252"/>
      <c r="BL50" s="252"/>
      <c r="BM50" s="252"/>
      <c r="BN50" s="252"/>
      <c r="BO50" s="252"/>
      <c r="BP50" s="252"/>
      <c r="BQ50" s="252"/>
      <c r="BR50" s="1131"/>
      <c r="BS50" s="1131"/>
      <c r="BT50" s="1131"/>
      <c r="BU50" s="1131"/>
      <c r="BV50" s="252"/>
      <c r="BW50" s="252"/>
      <c r="BX50" s="252"/>
      <c r="BY50" s="252"/>
      <c r="BZ50" s="252"/>
      <c r="CA50" s="252"/>
      <c r="CB50" s="252"/>
      <c r="CC50" s="252"/>
      <c r="CD50" s="252"/>
      <c r="CE50" s="252"/>
      <c r="CF50" s="252"/>
      <c r="CG50" s="252"/>
      <c r="CH50" s="252"/>
      <c r="CI50" s="1139"/>
      <c r="CJ50" s="252"/>
      <c r="CK50" s="252"/>
      <c r="CL50" s="252"/>
      <c r="CM50" s="252"/>
      <c r="CN50" s="252"/>
      <c r="CO50" s="1166"/>
      <c r="CP50" s="1166"/>
      <c r="CQ50" s="252"/>
      <c r="CR50" s="252"/>
      <c r="CS50" s="252"/>
      <c r="CT50" s="252"/>
      <c r="CU50" s="252"/>
      <c r="CV50" s="252"/>
      <c r="CW50" s="252"/>
      <c r="CX50" s="252"/>
      <c r="CY50" s="252"/>
      <c r="CZ50" s="252"/>
      <c r="DA50" s="252"/>
      <c r="DB50" s="252"/>
      <c r="DC50" s="252"/>
      <c r="DD50" s="252"/>
      <c r="DE50" s="252"/>
      <c r="DF50" s="252"/>
      <c r="DG50" s="252"/>
      <c r="DH50" s="252"/>
      <c r="DI50" s="252"/>
      <c r="DJ50" s="252"/>
      <c r="DK50" s="252"/>
      <c r="DL50" s="252"/>
      <c r="DM50" s="252"/>
      <c r="DN50" s="252"/>
      <c r="DO50" s="252"/>
      <c r="DP50" s="252"/>
      <c r="DQ50" s="252"/>
      <c r="DR50" s="252"/>
      <c r="DS50" s="252"/>
      <c r="DT50" s="252"/>
      <c r="DU50" s="252"/>
      <c r="DV50" s="252"/>
      <c r="DW50" s="252"/>
      <c r="DX50" s="1166"/>
      <c r="DY50" s="1166"/>
      <c r="DZ50" s="1196"/>
      <c r="EA50" s="252"/>
      <c r="EB50" s="252"/>
      <c r="EC50" s="252"/>
      <c r="ED50" s="252"/>
      <c r="EE50" s="252"/>
      <c r="EF50" s="252"/>
      <c r="EG50" s="252"/>
      <c r="EH50" s="252"/>
      <c r="EI50" s="252"/>
      <c r="EJ50" s="252"/>
      <c r="EK50" s="252"/>
      <c r="EL50" s="252"/>
      <c r="EM50" s="252"/>
      <c r="EN50" s="252"/>
      <c r="EO50" s="252"/>
      <c r="EP50" s="252"/>
      <c r="EQ50" s="252"/>
      <c r="ER50" s="252"/>
      <c r="ES50" s="252"/>
      <c r="ET50" s="252"/>
      <c r="EU50" s="252"/>
      <c r="EV50" s="252"/>
      <c r="EW50" s="252"/>
      <c r="EX50" s="252"/>
      <c r="EY50" s="252"/>
      <c r="EZ50" s="252"/>
      <c r="FA50" s="252"/>
      <c r="FB50" s="252"/>
      <c r="FC50" s="252"/>
      <c r="FD50" s="252"/>
      <c r="FE50" s="252"/>
      <c r="FF50" s="1218"/>
      <c r="FG50" s="1218"/>
      <c r="FH50" s="1218"/>
      <c r="FI50" s="1218"/>
      <c r="FJ50" s="1218"/>
      <c r="FK50" s="1218"/>
      <c r="FL50" s="1218"/>
      <c r="FM50" s="1218"/>
      <c r="FN50" s="1218"/>
      <c r="FO50" s="252"/>
      <c r="FP50" s="252"/>
      <c r="FQ50" s="252"/>
      <c r="FR50" s="252"/>
      <c r="FS50" s="252"/>
      <c r="FT50" s="252"/>
      <c r="FU50" s="252"/>
      <c r="FV50" s="252"/>
      <c r="FW50" s="252"/>
      <c r="FX50" s="252"/>
      <c r="FY50" s="252"/>
      <c r="FZ50" s="252"/>
      <c r="GA50" s="252"/>
      <c r="GB50" s="252"/>
      <c r="GC50" s="252"/>
      <c r="GD50" s="252"/>
      <c r="GE50" s="252"/>
      <c r="GF50" s="252"/>
      <c r="GG50" s="252"/>
      <c r="GH50" s="252"/>
      <c r="GI50" s="252"/>
      <c r="GJ50" s="252"/>
      <c r="GK50" s="252"/>
      <c r="GL50" s="252"/>
      <c r="GM50" s="252"/>
      <c r="GN50" s="252"/>
      <c r="GO50" s="252"/>
      <c r="GP50" s="252"/>
      <c r="GQ50" s="252"/>
      <c r="GR50" s="252"/>
      <c r="GS50" s="252"/>
      <c r="GT50" s="252"/>
      <c r="GU50" s="252"/>
      <c r="GV50" s="252"/>
      <c r="GW50" s="252"/>
      <c r="GX50" s="252"/>
      <c r="GY50" s="252"/>
      <c r="GZ50" s="252"/>
      <c r="HA50" s="252"/>
      <c r="HB50" s="252"/>
      <c r="HC50" s="252"/>
      <c r="HD50" s="252"/>
      <c r="HE50" s="252"/>
      <c r="HF50" s="252"/>
      <c r="HG50" s="252"/>
      <c r="HH50" s="252"/>
      <c r="HI50" s="252"/>
      <c r="HJ50" s="252"/>
      <c r="HK50" s="252"/>
      <c r="HL50" s="252"/>
      <c r="HM50" s="252"/>
      <c r="HN50" s="252"/>
      <c r="HO50" s="252"/>
      <c r="HP50" s="252"/>
      <c r="HQ50" s="252"/>
      <c r="HR50" s="252"/>
      <c r="HS50" s="252"/>
      <c r="HT50" s="252"/>
      <c r="HU50" s="252"/>
      <c r="HV50" s="252"/>
      <c r="HW50" s="252"/>
      <c r="HX50" s="252"/>
      <c r="HY50" s="252"/>
      <c r="HZ50" s="252"/>
      <c r="IA50" s="252"/>
      <c r="IB50" s="252"/>
      <c r="IC50" s="252"/>
      <c r="ID50" s="252"/>
      <c r="IE50" s="252"/>
      <c r="IF50" s="252"/>
      <c r="IG50" s="252"/>
      <c r="IH50" s="252"/>
      <c r="II50" s="252"/>
      <c r="IJ50" s="252"/>
      <c r="IK50" s="252"/>
      <c r="IL50" s="189">
        <f t="shared" si="0"/>
        <v>0</v>
      </c>
      <c r="IM50" s="961">
        <f>100000-IL50</f>
        <v>100000</v>
      </c>
      <c r="IN50" s="194" t="str">
        <f t="shared" si="7"/>
        <v>Taste Collective Burger</v>
      </c>
      <c r="IP50" s="234">
        <f t="shared" si="3"/>
        <v>0</v>
      </c>
      <c r="IQ50" s="316">
        <f>COUNT(B50:FZ50)</f>
        <v>0</v>
      </c>
      <c r="IT50" s="234">
        <v>50667</v>
      </c>
      <c r="IU50" s="234"/>
      <c r="IV50" s="979">
        <v>46</v>
      </c>
      <c r="IW50" s="981">
        <f t="shared" si="9"/>
        <v>0</v>
      </c>
      <c r="IX50" s="977">
        <f t="shared" si="4"/>
        <v>0</v>
      </c>
      <c r="IY50" s="978" t="str">
        <f t="shared" si="5"/>
        <v>Taste Collective Burger</v>
      </c>
    </row>
    <row r="51" spans="1:259" ht="10.15" customHeight="1">
      <c r="A51" s="195" t="s">
        <v>728</v>
      </c>
      <c r="B51" s="252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640"/>
      <c r="AH51" s="640"/>
      <c r="AI51" s="640">
        <f>'10.19.22'!E7</f>
        <v>3154</v>
      </c>
      <c r="AJ51" s="640"/>
      <c r="AK51" s="640"/>
      <c r="AL51" s="640"/>
      <c r="AM51" s="640"/>
      <c r="AN51" s="252"/>
      <c r="AO51" s="252"/>
      <c r="AP51" s="252"/>
      <c r="AQ51" s="252"/>
      <c r="AR51" s="252"/>
      <c r="AS51" s="252"/>
      <c r="AT51" s="252"/>
      <c r="AU51" s="738"/>
      <c r="AV51" s="738">
        <f>'11.01.22'!E10</f>
        <v>2014</v>
      </c>
      <c r="AW51" s="738"/>
      <c r="AX51" s="738">
        <f>'11.03.22'!E7</f>
        <v>3486.5</v>
      </c>
      <c r="AY51" s="738"/>
      <c r="AZ51" s="738"/>
      <c r="BA51" s="738"/>
      <c r="BB51" s="589"/>
      <c r="BC51" s="589">
        <f>'11.08.22'!E18</f>
        <v>3097</v>
      </c>
      <c r="BD51" s="589"/>
      <c r="BE51" s="589"/>
      <c r="BF51" s="589">
        <f>'11.11.22'!E7</f>
        <v>2650.5</v>
      </c>
      <c r="BG51" s="589"/>
      <c r="BH51" s="589"/>
      <c r="BI51" s="640"/>
      <c r="BJ51" s="640"/>
      <c r="BK51" s="640">
        <f>'11.16.22'!E19</f>
        <v>2869</v>
      </c>
      <c r="BL51" s="640"/>
      <c r="BM51" s="640"/>
      <c r="BN51" s="640"/>
      <c r="BO51" s="640"/>
      <c r="BP51" s="702">
        <f>'11.21.22'!E17</f>
        <v>1662.5</v>
      </c>
      <c r="BQ51" s="702"/>
      <c r="BR51" s="1134"/>
      <c r="BS51" s="1134"/>
      <c r="BT51" s="1134"/>
      <c r="BU51" s="1134"/>
      <c r="BV51" s="702"/>
      <c r="BW51" s="738"/>
      <c r="BX51" s="738">
        <f>'11.29.22'!E7</f>
        <v>3733.5</v>
      </c>
      <c r="BY51" s="738">
        <f>'11.30.22'!E27</f>
        <v>2755</v>
      </c>
      <c r="BZ51" s="738"/>
      <c r="CA51" s="738"/>
      <c r="CB51" s="738"/>
      <c r="CC51" s="738"/>
      <c r="CD51" s="589"/>
      <c r="CE51" s="589"/>
      <c r="CF51" s="589">
        <f>'12.07.22'!E7</f>
        <v>3876</v>
      </c>
      <c r="CG51" s="589"/>
      <c r="CH51" s="252"/>
      <c r="CI51" s="640"/>
      <c r="CJ51" s="640"/>
      <c r="CK51" s="640"/>
      <c r="CL51" s="640"/>
      <c r="CM51" s="640">
        <f>'1.12.23'!E7</f>
        <v>2565</v>
      </c>
      <c r="CN51" s="640"/>
      <c r="CO51" s="1166"/>
      <c r="CP51" s="1166"/>
      <c r="CQ51" s="252"/>
      <c r="CR51" s="252"/>
      <c r="CS51" s="252"/>
      <c r="CT51" s="252"/>
      <c r="CU51" s="252"/>
      <c r="CV51" s="252"/>
      <c r="CW51" s="252"/>
      <c r="CX51" s="738"/>
      <c r="CY51" s="738"/>
      <c r="CZ51" s="738"/>
      <c r="DA51" s="738"/>
      <c r="DB51" s="738"/>
      <c r="DC51" s="738">
        <f>'1.28.23'!E17</f>
        <v>2299</v>
      </c>
      <c r="DD51" s="738"/>
      <c r="DE51" s="589"/>
      <c r="DF51" s="589"/>
      <c r="DG51" s="589"/>
      <c r="DH51" s="589"/>
      <c r="DI51" s="589"/>
      <c r="DJ51" s="589">
        <f>'2.04.23'!E27</f>
        <v>2375</v>
      </c>
      <c r="DK51" s="589"/>
      <c r="DL51" s="640"/>
      <c r="DM51" s="640"/>
      <c r="DN51" s="640"/>
      <c r="DO51" s="640">
        <f>'2.09.23'!E18</f>
        <v>2023.5</v>
      </c>
      <c r="DP51" s="640"/>
      <c r="DQ51" s="640"/>
      <c r="DR51" s="640"/>
      <c r="DS51" s="702"/>
      <c r="DT51" s="702"/>
      <c r="DU51" s="702"/>
      <c r="DV51" s="702">
        <f>'2.16.23'!E17</f>
        <v>2242</v>
      </c>
      <c r="DW51" s="702"/>
      <c r="DX51" s="1166"/>
      <c r="DY51" s="1166"/>
      <c r="DZ51" s="738">
        <f>'2.20.23'!E19</f>
        <v>2888</v>
      </c>
      <c r="EA51" s="738"/>
      <c r="EB51" s="738"/>
      <c r="EC51" s="738"/>
      <c r="ED51" s="738"/>
      <c r="EE51" s="738"/>
      <c r="EF51" s="738"/>
      <c r="EG51" s="702"/>
      <c r="EH51" s="702"/>
      <c r="EI51" s="702"/>
      <c r="EJ51" s="702"/>
      <c r="EK51" s="702">
        <f>'3.3.23'!E19</f>
        <v>1301.5</v>
      </c>
      <c r="EL51" s="702"/>
      <c r="EM51" s="702"/>
      <c r="EN51" s="252"/>
      <c r="EO51" s="252"/>
      <c r="EP51" s="252"/>
      <c r="EQ51" s="252"/>
      <c r="ER51" s="252"/>
      <c r="ES51" s="252"/>
      <c r="ET51" s="252"/>
      <c r="EU51" s="252"/>
      <c r="EV51" s="252"/>
      <c r="EW51" s="252"/>
      <c r="EX51" s="252"/>
      <c r="EY51" s="252"/>
      <c r="EZ51" s="252"/>
      <c r="FA51" s="252"/>
      <c r="FB51" s="252"/>
      <c r="FC51" s="252"/>
      <c r="FD51" s="252"/>
      <c r="FE51" s="252"/>
      <c r="FF51" s="1218"/>
      <c r="FG51" s="1218"/>
      <c r="FH51" s="1218"/>
      <c r="FI51" s="1218"/>
      <c r="FJ51" s="1218"/>
      <c r="FK51" s="1218"/>
      <c r="FL51" s="1218"/>
      <c r="FM51" s="1218"/>
      <c r="FN51" s="1218"/>
      <c r="FO51" s="702"/>
      <c r="FP51" s="702"/>
      <c r="FQ51" s="702"/>
      <c r="FR51" s="702">
        <f>'4.5.23'!E9</f>
        <v>1054.5</v>
      </c>
      <c r="FS51" s="702"/>
      <c r="FT51" s="702"/>
      <c r="FU51" s="702"/>
      <c r="FV51" s="702"/>
      <c r="FW51" s="738"/>
      <c r="FX51" s="738"/>
      <c r="FY51" s="738"/>
      <c r="FZ51" s="738">
        <f>'4.13.23'!E19</f>
        <v>1282.5</v>
      </c>
      <c r="GA51" s="738"/>
      <c r="GB51" s="738"/>
      <c r="GC51" s="738"/>
      <c r="GD51" s="702"/>
      <c r="GE51" s="702"/>
      <c r="GF51" s="702"/>
      <c r="GG51" s="702"/>
      <c r="GH51" s="702">
        <f>'4.21.23'!E27</f>
        <v>1301.5</v>
      </c>
      <c r="GI51" s="702"/>
      <c r="GJ51" s="702"/>
      <c r="GK51" s="640">
        <f>'4.24.23'!E18</f>
        <v>2954.5</v>
      </c>
      <c r="GL51" s="640"/>
      <c r="GM51" s="640"/>
      <c r="GN51" s="640"/>
      <c r="GO51" s="640"/>
      <c r="GP51" s="640"/>
      <c r="GQ51" s="640"/>
      <c r="GR51" s="589"/>
      <c r="GS51" s="589"/>
      <c r="GT51" s="589">
        <f>'5.03.23'!E18</f>
        <v>3116</v>
      </c>
      <c r="GU51" s="589"/>
      <c r="GV51" s="589"/>
      <c r="GW51" s="589"/>
      <c r="GX51" s="589"/>
      <c r="GY51" s="252"/>
      <c r="GZ51" s="252"/>
      <c r="HA51" s="252"/>
      <c r="HB51" s="252"/>
      <c r="HC51" s="252"/>
      <c r="HD51" s="252"/>
      <c r="HE51" s="252"/>
      <c r="HF51" s="702"/>
      <c r="HG51" s="702">
        <f>'5.16.23'!E17</f>
        <v>2755</v>
      </c>
      <c r="HH51" s="702"/>
      <c r="HI51" s="702"/>
      <c r="HJ51" s="702"/>
      <c r="HK51" s="702"/>
      <c r="HL51" s="702"/>
      <c r="HM51" s="640"/>
      <c r="HN51" s="640">
        <f>'5.23.23'!E17</f>
        <v>2650.5</v>
      </c>
      <c r="HO51" s="640"/>
      <c r="HP51" s="640"/>
      <c r="HQ51" s="640"/>
      <c r="HR51" s="640"/>
      <c r="HS51" s="640"/>
      <c r="HT51" s="589"/>
      <c r="HU51" s="589"/>
      <c r="HV51" s="589"/>
      <c r="HW51" s="589"/>
      <c r="HX51" s="589"/>
      <c r="HY51" s="589">
        <f>'6.03.23'!E18</f>
        <v>2878.5</v>
      </c>
      <c r="HZ51" s="589"/>
      <c r="IA51" s="252"/>
      <c r="IB51" s="252"/>
      <c r="IC51" s="252"/>
      <c r="ID51" s="252"/>
      <c r="IE51" s="252"/>
      <c r="IF51" s="252"/>
      <c r="IG51" s="252"/>
      <c r="IH51" s="252"/>
      <c r="II51" s="252"/>
      <c r="IJ51" s="252"/>
      <c r="IK51" s="252"/>
      <c r="IL51" s="189">
        <f t="shared" si="0"/>
        <v>62985</v>
      </c>
      <c r="IM51" s="961">
        <f>100000-IL51</f>
        <v>37015</v>
      </c>
      <c r="IN51" s="194" t="str">
        <f t="shared" si="7"/>
        <v>Thai Mex Cocina</v>
      </c>
      <c r="IP51" s="234">
        <f t="shared" si="3"/>
        <v>62985</v>
      </c>
      <c r="IQ51" s="316">
        <f>COUNT(B51:FZ51)+3</f>
        <v>22</v>
      </c>
      <c r="IT51" s="234">
        <v>50667</v>
      </c>
      <c r="IU51" s="234"/>
      <c r="IV51" s="979">
        <v>47</v>
      </c>
      <c r="IW51" s="981">
        <f t="shared" si="9"/>
        <v>6630</v>
      </c>
      <c r="IX51" s="977">
        <f t="shared" si="4"/>
        <v>62985</v>
      </c>
      <c r="IY51" s="978" t="str">
        <f t="shared" si="5"/>
        <v>Thai Mex Cocina</v>
      </c>
    </row>
    <row r="52" spans="1:259" ht="10.15" customHeight="1">
      <c r="A52" s="195" t="s">
        <v>45</v>
      </c>
      <c r="B52" s="252"/>
      <c r="C52" s="252"/>
      <c r="D52" s="252"/>
      <c r="E52" s="640">
        <f>'9.19.22'!E7</f>
        <v>2869</v>
      </c>
      <c r="F52" s="640"/>
      <c r="G52" s="640"/>
      <c r="H52" s="640"/>
      <c r="I52" s="640">
        <f>'9.23.22'!E17</f>
        <v>2641</v>
      </c>
      <c r="J52" s="640"/>
      <c r="K52" s="640"/>
      <c r="L52" s="702"/>
      <c r="M52" s="702">
        <f>'9.27.22'!E8+'9.27.22'!E18</f>
        <v>5415</v>
      </c>
      <c r="N52" s="702"/>
      <c r="O52" s="702">
        <f>'9.29.22'!E20</f>
        <v>2736</v>
      </c>
      <c r="P52" s="702"/>
      <c r="Q52" s="702"/>
      <c r="R52" s="702"/>
      <c r="S52" s="738"/>
      <c r="T52" s="738">
        <f>'10.04.22'!E29</f>
        <v>1881</v>
      </c>
      <c r="U52" s="738"/>
      <c r="V52" s="738"/>
      <c r="W52" s="738"/>
      <c r="X52" s="738"/>
      <c r="Y52" s="738"/>
      <c r="Z52" s="589"/>
      <c r="AA52" s="589"/>
      <c r="AB52" s="589">
        <f>'10.12.22'!E20+'10.12.22'!E30</f>
        <v>5453</v>
      </c>
      <c r="AC52" s="589"/>
      <c r="AD52" s="589">
        <f>'10.14.22'!E7</f>
        <v>3420</v>
      </c>
      <c r="AE52" s="589"/>
      <c r="AF52" s="589"/>
      <c r="AG52" s="640">
        <f>'10.17.22'!E8+'10.17.22'!E18</f>
        <v>6811.5</v>
      </c>
      <c r="AH52" s="640"/>
      <c r="AI52" s="640"/>
      <c r="AJ52" s="640"/>
      <c r="AK52" s="640"/>
      <c r="AL52" s="640"/>
      <c r="AM52" s="640"/>
      <c r="AN52" s="702"/>
      <c r="AO52" s="702">
        <f>'10.25.22'!E7+'10.25.22'!E18</f>
        <v>6897</v>
      </c>
      <c r="AP52" s="702"/>
      <c r="AQ52" s="702"/>
      <c r="AR52" s="702"/>
      <c r="AS52" s="702"/>
      <c r="AT52" s="702"/>
      <c r="AU52" s="738"/>
      <c r="AV52" s="738">
        <f>'11.01.22'!E30</f>
        <v>2945</v>
      </c>
      <c r="AW52" s="738"/>
      <c r="AX52" s="738">
        <f>'11.03.22'!E10</f>
        <v>3990</v>
      </c>
      <c r="AY52" s="738"/>
      <c r="AZ52" s="738"/>
      <c r="BA52" s="738"/>
      <c r="BB52" s="589">
        <f>'11.07.22'!E9</f>
        <v>3553</v>
      </c>
      <c r="BC52" s="589"/>
      <c r="BD52" s="589">
        <f>'11.09.22'!E21+'11.09.22'!E31</f>
        <v>5386.5</v>
      </c>
      <c r="BE52" s="589"/>
      <c r="BF52" s="589"/>
      <c r="BG52" s="589"/>
      <c r="BH52" s="589"/>
      <c r="BI52" s="640"/>
      <c r="BJ52" s="640">
        <f>'11.15.22'!E27</f>
        <v>2859.5</v>
      </c>
      <c r="BK52" s="640"/>
      <c r="BL52" s="640"/>
      <c r="BM52" s="640">
        <f>'11.18.22'!E10</f>
        <v>4218</v>
      </c>
      <c r="BN52" s="640"/>
      <c r="BO52" s="640"/>
      <c r="BP52" s="702"/>
      <c r="BQ52" s="702">
        <f>'11.22.22'!E27</f>
        <v>2375</v>
      </c>
      <c r="BR52" s="1134"/>
      <c r="BS52" s="1134"/>
      <c r="BT52" s="1134"/>
      <c r="BU52" s="1134"/>
      <c r="BV52" s="702"/>
      <c r="BW52" s="738"/>
      <c r="BX52" s="738"/>
      <c r="BY52" s="738"/>
      <c r="BZ52" s="738">
        <f>'12.01.22'!E10</f>
        <v>4949.5</v>
      </c>
      <c r="CA52" s="738"/>
      <c r="CB52" s="738"/>
      <c r="CC52" s="738"/>
      <c r="CD52" s="589"/>
      <c r="CE52" s="589">
        <f>'12.06.22'!E9</f>
        <v>5225</v>
      </c>
      <c r="CF52" s="589"/>
      <c r="CG52" s="589"/>
      <c r="CH52" s="252"/>
      <c r="CI52" s="640"/>
      <c r="CJ52" s="640"/>
      <c r="CK52" s="640">
        <f>'1.10.23'!E9</f>
        <v>4284.5</v>
      </c>
      <c r="CL52" s="640"/>
      <c r="CM52" s="640">
        <f>'1.12.23'!E19</f>
        <v>4028</v>
      </c>
      <c r="CN52" s="640"/>
      <c r="CO52" s="1166"/>
      <c r="CP52" s="1166"/>
      <c r="CQ52" s="702">
        <f>'1.16.23'!E27</f>
        <v>4427</v>
      </c>
      <c r="CR52" s="702"/>
      <c r="CS52" s="702">
        <f>'1.18.23'!E18</f>
        <v>3999.5</v>
      </c>
      <c r="CT52" s="702"/>
      <c r="CU52" s="702">
        <f>'1.20.23'!E7</f>
        <v>3952</v>
      </c>
      <c r="CV52" s="702"/>
      <c r="CW52" s="702"/>
      <c r="CX52" s="738">
        <f>'1.23.23'!E9</f>
        <v>4066</v>
      </c>
      <c r="CY52" s="738">
        <f>'1.24.23'!E29</f>
        <v>3686</v>
      </c>
      <c r="CZ52" s="738"/>
      <c r="DA52" s="738"/>
      <c r="DB52" s="738"/>
      <c r="DC52" s="738"/>
      <c r="DD52" s="738"/>
      <c r="DE52" s="589">
        <f>'1.30.23'!E27</f>
        <v>4370</v>
      </c>
      <c r="DF52" s="589">
        <f>'1.31.23'!E18</f>
        <v>3895</v>
      </c>
      <c r="DG52" s="589"/>
      <c r="DH52" s="589"/>
      <c r="DI52" s="589"/>
      <c r="DJ52" s="589"/>
      <c r="DK52" s="589"/>
      <c r="DL52" s="640">
        <f>'2.06.23'!E27</f>
        <v>4189.5</v>
      </c>
      <c r="DM52" s="640"/>
      <c r="DN52" s="640"/>
      <c r="DO52" s="640">
        <f>'2.09.23'!E8</f>
        <v>4256</v>
      </c>
      <c r="DP52" s="640"/>
      <c r="DQ52" s="640"/>
      <c r="DR52" s="640"/>
      <c r="DS52" s="252"/>
      <c r="DT52" s="252"/>
      <c r="DU52" s="252"/>
      <c r="DV52" s="252"/>
      <c r="DW52" s="252"/>
      <c r="DX52" s="1166"/>
      <c r="DY52" s="1166"/>
      <c r="DZ52" s="738"/>
      <c r="EA52" s="738"/>
      <c r="EB52" s="738"/>
      <c r="EC52" s="738">
        <f>'2.23.23'!E17+'2.23.23'!E27</f>
        <v>6498</v>
      </c>
      <c r="ED52" s="738"/>
      <c r="EE52" s="738"/>
      <c r="EF52" s="738"/>
      <c r="EG52" s="702"/>
      <c r="EH52" s="702"/>
      <c r="EI52" s="702"/>
      <c r="EJ52" s="702"/>
      <c r="EK52" s="702">
        <f>'3.3.23'!E7</f>
        <v>4740.5</v>
      </c>
      <c r="EL52" s="702"/>
      <c r="EM52" s="702"/>
      <c r="EN52" s="738"/>
      <c r="EO52" s="738">
        <f>'3.7.23'!E7</f>
        <v>4892.5</v>
      </c>
      <c r="EP52" s="738"/>
      <c r="EQ52" s="738"/>
      <c r="ER52" s="738">
        <f>'3.10.23'!E17+'3.10.23'!E27</f>
        <v>6013.5</v>
      </c>
      <c r="ES52" s="738"/>
      <c r="ET52" s="738"/>
      <c r="EU52" s="589"/>
      <c r="EV52" s="589">
        <f>'3.14.23'!E19</f>
        <v>4265.5</v>
      </c>
      <c r="EW52" s="589"/>
      <c r="EX52" s="589">
        <f>'3.16.23'!E29</f>
        <v>3790.5</v>
      </c>
      <c r="EY52" s="589"/>
      <c r="EZ52" s="589"/>
      <c r="FA52" s="589"/>
      <c r="FB52" s="640"/>
      <c r="FC52" s="640">
        <f>'3.21.23'!E19</f>
        <v>4930.5</v>
      </c>
      <c r="FD52" s="640"/>
      <c r="FE52" s="640"/>
      <c r="FF52" s="1218"/>
      <c r="FG52" s="1218"/>
      <c r="FH52" s="1218"/>
      <c r="FI52" s="1218"/>
      <c r="FJ52" s="1218"/>
      <c r="FK52" s="1218"/>
      <c r="FL52" s="1218"/>
      <c r="FM52" s="1218"/>
      <c r="FN52" s="1218"/>
      <c r="FO52" s="702"/>
      <c r="FP52" s="702">
        <f>'4.3.23'!E17+'4.3.23'!E27</f>
        <v>4854.5</v>
      </c>
      <c r="FQ52" s="702"/>
      <c r="FR52" s="702"/>
      <c r="FS52" s="702"/>
      <c r="FT52" s="702"/>
      <c r="FU52" s="702"/>
      <c r="FV52" s="702"/>
      <c r="FW52" s="738">
        <f>'4.10.23'!E29</f>
        <v>2232.5</v>
      </c>
      <c r="FX52" s="738">
        <f>'4.11.23'!E17 + '4.11.23'!E27</f>
        <v>6317.5</v>
      </c>
      <c r="FY52" s="738"/>
      <c r="FZ52" s="738"/>
      <c r="GA52" s="738"/>
      <c r="GB52" s="738"/>
      <c r="GC52" s="738"/>
      <c r="GD52" s="702"/>
      <c r="GE52" s="702">
        <f>'4.18.23'!E29</f>
        <v>2831</v>
      </c>
      <c r="GF52" s="702">
        <f>'4.19.23'!E18</f>
        <v>3961.5</v>
      </c>
      <c r="GG52" s="702"/>
      <c r="GH52" s="702"/>
      <c r="GI52" s="702"/>
      <c r="GJ52" s="702"/>
      <c r="GK52" s="640">
        <f>'4.24.23'!E27</f>
        <v>3363</v>
      </c>
      <c r="GL52" s="640"/>
      <c r="GM52" s="640"/>
      <c r="GN52" s="640"/>
      <c r="GO52" s="640"/>
      <c r="GP52" s="640"/>
      <c r="GQ52" s="640"/>
      <c r="GR52" s="589"/>
      <c r="GS52" s="589"/>
      <c r="GT52" s="589"/>
      <c r="GU52" s="589">
        <f>'5.04.23'!E27</f>
        <v>3173</v>
      </c>
      <c r="GV52" s="589"/>
      <c r="GW52" s="589"/>
      <c r="GX52" s="589"/>
      <c r="GY52" s="738">
        <f>'5.08.23'!E17+'5.08.23'!E27</f>
        <v>6973</v>
      </c>
      <c r="GZ52" s="738"/>
      <c r="HA52" s="738"/>
      <c r="HB52" s="738"/>
      <c r="HC52" s="738"/>
      <c r="HD52" s="738"/>
      <c r="HE52" s="738"/>
      <c r="HF52" s="702"/>
      <c r="HG52" s="702"/>
      <c r="HH52" s="702">
        <f>'5.17.23'!E28</f>
        <v>3125.5</v>
      </c>
      <c r="HI52" s="702">
        <f>'5.18.23'!E18</f>
        <v>4123</v>
      </c>
      <c r="HJ52" s="702"/>
      <c r="HK52" s="702"/>
      <c r="HL52" s="702"/>
      <c r="HM52" s="640"/>
      <c r="HN52" s="640"/>
      <c r="HO52" s="640"/>
      <c r="HP52" s="640"/>
      <c r="HQ52" s="640">
        <f>'5.26.23'!E18</f>
        <v>3372.5</v>
      </c>
      <c r="HR52" s="640"/>
      <c r="HS52" s="640"/>
      <c r="HT52" s="589"/>
      <c r="HU52" s="589"/>
      <c r="HV52" s="589"/>
      <c r="HW52" s="589">
        <f>'6.01.23'!E18</f>
        <v>4199</v>
      </c>
      <c r="HX52" s="589"/>
      <c r="HY52" s="589"/>
      <c r="HZ52" s="589"/>
      <c r="IA52" s="252">
        <f>'6.5.23'!E17</f>
        <v>4674</v>
      </c>
      <c r="IB52" s="252"/>
      <c r="IC52" s="252"/>
      <c r="ID52" s="252"/>
      <c r="IE52" s="252"/>
      <c r="IF52" s="252"/>
      <c r="IG52" s="252"/>
      <c r="IH52" s="252"/>
      <c r="II52" s="252"/>
      <c r="IJ52" s="252"/>
      <c r="IK52" s="252"/>
      <c r="IL52" s="189">
        <f t="shared" si="0"/>
        <v>207109.5</v>
      </c>
      <c r="IM52" s="961">
        <f>100000-IL52+350000</f>
        <v>242890.5</v>
      </c>
      <c r="IN52" s="194" t="str">
        <f t="shared" si="7"/>
        <v>Tokyo Style</v>
      </c>
      <c r="IP52" s="234">
        <f t="shared" si="3"/>
        <v>207109.5</v>
      </c>
      <c r="IQ52" s="316">
        <f>COUNT(B52:FZ52)+8+5</f>
        <v>52</v>
      </c>
      <c r="IT52" s="234">
        <v>168025.5</v>
      </c>
      <c r="IU52" s="234"/>
      <c r="IV52" s="979">
        <v>48</v>
      </c>
      <c r="IW52" s="981">
        <f t="shared" si="9"/>
        <v>21801</v>
      </c>
      <c r="IX52" s="977">
        <f t="shared" si="4"/>
        <v>207109.5</v>
      </c>
      <c r="IY52" s="978" t="str">
        <f t="shared" si="5"/>
        <v>Tokyo Style</v>
      </c>
    </row>
    <row r="53" spans="1:259" ht="10.15" customHeight="1">
      <c r="A53" s="195" t="s">
        <v>172</v>
      </c>
      <c r="B53" s="252"/>
      <c r="C53" s="252"/>
      <c r="D53" s="252"/>
      <c r="E53" s="252"/>
      <c r="F53" s="252"/>
      <c r="G53" s="252"/>
      <c r="H53" s="252"/>
      <c r="I53" s="252"/>
      <c r="J53" s="252"/>
      <c r="K53" s="252"/>
      <c r="L53" s="252"/>
      <c r="M53" s="252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  <c r="AA53" s="252"/>
      <c r="AB53" s="252"/>
      <c r="AC53" s="252"/>
      <c r="AD53" s="252"/>
      <c r="AE53" s="252"/>
      <c r="AF53" s="252"/>
      <c r="AG53" s="252"/>
      <c r="AH53" s="252"/>
      <c r="AI53" s="252"/>
      <c r="AJ53" s="252"/>
      <c r="AK53" s="252"/>
      <c r="AL53" s="252"/>
      <c r="AM53" s="252"/>
      <c r="AN53" s="252"/>
      <c r="AO53" s="252"/>
      <c r="AP53" s="252"/>
      <c r="AQ53" s="252"/>
      <c r="AR53" s="252"/>
      <c r="AS53" s="252"/>
      <c r="AT53" s="252"/>
      <c r="AU53" s="252"/>
      <c r="AV53" s="252"/>
      <c r="AW53" s="252"/>
      <c r="AX53" s="252"/>
      <c r="AY53" s="252"/>
      <c r="AZ53" s="252"/>
      <c r="BA53" s="252"/>
      <c r="BB53" s="252"/>
      <c r="BC53" s="252"/>
      <c r="BD53" s="252"/>
      <c r="BE53" s="252"/>
      <c r="BF53" s="252"/>
      <c r="BG53" s="252"/>
      <c r="BH53" s="252"/>
      <c r="BI53" s="252"/>
      <c r="BJ53" s="252"/>
      <c r="BK53" s="252"/>
      <c r="BL53" s="252"/>
      <c r="BM53" s="252"/>
      <c r="BN53" s="252"/>
      <c r="BO53" s="252"/>
      <c r="BP53" s="252"/>
      <c r="BQ53" s="252"/>
      <c r="BR53" s="1131"/>
      <c r="BS53" s="1131"/>
      <c r="BT53" s="1131"/>
      <c r="BU53" s="1131"/>
      <c r="BV53" s="252"/>
      <c r="BW53" s="252"/>
      <c r="BX53" s="252"/>
      <c r="BY53" s="252"/>
      <c r="BZ53" s="252"/>
      <c r="CA53" s="252"/>
      <c r="CB53" s="252"/>
      <c r="CC53" s="252"/>
      <c r="CD53" s="252"/>
      <c r="CE53" s="252"/>
      <c r="CF53" s="252"/>
      <c r="CG53" s="252"/>
      <c r="CH53" s="252"/>
      <c r="CI53" s="1139"/>
      <c r="CJ53" s="252"/>
      <c r="CK53" s="252"/>
      <c r="CL53" s="252"/>
      <c r="CM53" s="252"/>
      <c r="CN53" s="252"/>
      <c r="CO53" s="1166"/>
      <c r="CP53" s="1166"/>
      <c r="CQ53" s="252"/>
      <c r="CR53" s="252"/>
      <c r="CS53" s="252"/>
      <c r="CT53" s="252"/>
      <c r="CU53" s="252"/>
      <c r="CV53" s="252"/>
      <c r="CW53" s="252"/>
      <c r="CX53" s="252"/>
      <c r="CY53" s="252"/>
      <c r="CZ53" s="252"/>
      <c r="DA53" s="252"/>
      <c r="DB53" s="252"/>
      <c r="DC53" s="252"/>
      <c r="DD53" s="252"/>
      <c r="DE53" s="252"/>
      <c r="DF53" s="252"/>
      <c r="DG53" s="252"/>
      <c r="DH53" s="252"/>
      <c r="DI53" s="252"/>
      <c r="DJ53" s="252"/>
      <c r="DK53" s="252"/>
      <c r="DL53" s="252"/>
      <c r="DM53" s="252"/>
      <c r="DN53" s="252"/>
      <c r="DO53" s="252"/>
      <c r="DP53" s="252"/>
      <c r="DQ53" s="252"/>
      <c r="DR53" s="252"/>
      <c r="DS53" s="252"/>
      <c r="DT53" s="252"/>
      <c r="DU53" s="252"/>
      <c r="DV53" s="252"/>
      <c r="DW53" s="252"/>
      <c r="DX53" s="1166"/>
      <c r="DY53" s="1166"/>
      <c r="DZ53" s="1196"/>
      <c r="EA53" s="252"/>
      <c r="EB53" s="252"/>
      <c r="EC53" s="252"/>
      <c r="ED53" s="252"/>
      <c r="EE53" s="252"/>
      <c r="EF53" s="252"/>
      <c r="EG53" s="252"/>
      <c r="EH53" s="252"/>
      <c r="EI53" s="252"/>
      <c r="EJ53" s="252"/>
      <c r="EK53" s="252"/>
      <c r="EL53" s="252"/>
      <c r="EM53" s="252"/>
      <c r="EN53" s="252"/>
      <c r="EO53" s="252"/>
      <c r="EP53" s="252"/>
      <c r="EQ53" s="252"/>
      <c r="ER53" s="252"/>
      <c r="ES53" s="252"/>
      <c r="ET53" s="252"/>
      <c r="EU53" s="252"/>
      <c r="EV53" s="252"/>
      <c r="EW53" s="252"/>
      <c r="EX53" s="252"/>
      <c r="EY53" s="252"/>
      <c r="EZ53" s="252"/>
      <c r="FA53" s="252"/>
      <c r="FB53" s="252"/>
      <c r="FC53" s="252"/>
      <c r="FD53" s="252"/>
      <c r="FE53" s="252"/>
      <c r="FF53" s="1218"/>
      <c r="FG53" s="1218"/>
      <c r="FH53" s="1218"/>
      <c r="FI53" s="1218"/>
      <c r="FJ53" s="1218"/>
      <c r="FK53" s="1218"/>
      <c r="FL53" s="1218"/>
      <c r="FM53" s="1218"/>
      <c r="FN53" s="1218"/>
      <c r="FO53" s="252"/>
      <c r="FP53" s="252"/>
      <c r="FQ53" s="252"/>
      <c r="FR53" s="252"/>
      <c r="FS53" s="252"/>
      <c r="FT53" s="252"/>
      <c r="FU53" s="252"/>
      <c r="FV53" s="252"/>
      <c r="FW53" s="252"/>
      <c r="FX53" s="252"/>
      <c r="FY53" s="252"/>
      <c r="FZ53" s="252"/>
      <c r="GA53" s="252"/>
      <c r="GB53" s="252"/>
      <c r="GC53" s="252"/>
      <c r="GD53" s="252"/>
      <c r="GE53" s="252"/>
      <c r="GF53" s="252"/>
      <c r="GG53" s="252"/>
      <c r="GH53" s="252"/>
      <c r="GI53" s="252"/>
      <c r="GJ53" s="252"/>
      <c r="GK53" s="252"/>
      <c r="GL53" s="252"/>
      <c r="GM53" s="252"/>
      <c r="GN53" s="252"/>
      <c r="GO53" s="252"/>
      <c r="GP53" s="252"/>
      <c r="GQ53" s="252"/>
      <c r="GR53" s="252"/>
      <c r="GS53" s="252"/>
      <c r="GT53" s="252"/>
      <c r="GU53" s="252"/>
      <c r="GV53" s="252"/>
      <c r="GW53" s="252"/>
      <c r="GX53" s="252"/>
      <c r="GY53" s="252"/>
      <c r="GZ53" s="252"/>
      <c r="HA53" s="252"/>
      <c r="HB53" s="252"/>
      <c r="HC53" s="252"/>
      <c r="HD53" s="252"/>
      <c r="HE53" s="252"/>
      <c r="HF53" s="252"/>
      <c r="HG53" s="252"/>
      <c r="HH53" s="252"/>
      <c r="HI53" s="252"/>
      <c r="HJ53" s="252"/>
      <c r="HK53" s="252"/>
      <c r="HL53" s="252"/>
      <c r="HM53" s="252"/>
      <c r="HN53" s="252"/>
      <c r="HO53" s="252"/>
      <c r="HP53" s="252"/>
      <c r="HQ53" s="252"/>
      <c r="HR53" s="252"/>
      <c r="HS53" s="252"/>
      <c r="HT53" s="252"/>
      <c r="HU53" s="252"/>
      <c r="HV53" s="252"/>
      <c r="HW53" s="252"/>
      <c r="HX53" s="252"/>
      <c r="HY53" s="252"/>
      <c r="HZ53" s="252"/>
      <c r="IA53" s="252"/>
      <c r="IB53" s="252"/>
      <c r="IC53" s="252"/>
      <c r="ID53" s="252"/>
      <c r="IE53" s="252"/>
      <c r="IF53" s="252"/>
      <c r="IG53" s="252"/>
      <c r="IH53" s="252"/>
      <c r="II53" s="252"/>
      <c r="IJ53" s="252"/>
      <c r="IK53" s="252"/>
      <c r="IL53" s="189">
        <f t="shared" si="0"/>
        <v>0</v>
      </c>
      <c r="IM53" s="961">
        <f>100000-IL53</f>
        <v>100000</v>
      </c>
      <c r="IN53" s="194" t="str">
        <f t="shared" si="7"/>
        <v>Trapiyaki</v>
      </c>
      <c r="IP53" s="234">
        <f t="shared" si="3"/>
        <v>0</v>
      </c>
      <c r="IQ53" s="316">
        <f>COUNT(B53:FZ53)</f>
        <v>0</v>
      </c>
      <c r="IT53" s="234">
        <v>21920</v>
      </c>
      <c r="IU53" s="234"/>
      <c r="IV53" s="979">
        <v>49</v>
      </c>
      <c r="IW53" s="981">
        <f t="shared" si="9"/>
        <v>0</v>
      </c>
      <c r="IX53" s="977">
        <f t="shared" si="4"/>
        <v>0</v>
      </c>
      <c r="IY53" s="978" t="str">
        <f t="shared" si="5"/>
        <v>Trapiyaki</v>
      </c>
    </row>
    <row r="54" spans="1:259" ht="10.15" customHeight="1">
      <c r="A54" s="195" t="s">
        <v>144</v>
      </c>
      <c r="B54" s="252"/>
      <c r="C54" s="252"/>
      <c r="D54" s="252"/>
      <c r="E54" s="640"/>
      <c r="F54" s="640"/>
      <c r="G54" s="640"/>
      <c r="H54" s="640">
        <f>'9.22.22'!E7+'9.22.22'!E17</f>
        <v>3458</v>
      </c>
      <c r="I54" s="640"/>
      <c r="J54" s="640"/>
      <c r="K54" s="640"/>
      <c r="L54" s="252"/>
      <c r="M54" s="252"/>
      <c r="N54" s="252"/>
      <c r="O54" s="252"/>
      <c r="P54" s="252"/>
      <c r="Q54" s="252"/>
      <c r="R54" s="252"/>
      <c r="S54" s="738"/>
      <c r="T54" s="738">
        <f>'10.04.22'!E20</f>
        <v>2403.5</v>
      </c>
      <c r="U54" s="738">
        <f>'10.05.22'!E20</f>
        <v>2441.5</v>
      </c>
      <c r="V54" s="738">
        <f>'10.06.22'!E21</f>
        <v>1273</v>
      </c>
      <c r="W54" s="738">
        <f>'10.07.22'!E11</f>
        <v>1472.5</v>
      </c>
      <c r="X54" s="738"/>
      <c r="Y54" s="738"/>
      <c r="Z54" s="589"/>
      <c r="AA54" s="589"/>
      <c r="AB54" s="589">
        <f>'10.12.22'!E7+'10.12.22'!E18</f>
        <v>5320</v>
      </c>
      <c r="AC54" s="589"/>
      <c r="AD54" s="589"/>
      <c r="AE54" s="589"/>
      <c r="AF54" s="589"/>
      <c r="AG54" s="640"/>
      <c r="AH54" s="640"/>
      <c r="AI54" s="640"/>
      <c r="AJ54" s="640">
        <f>'10.20.22'!E29</f>
        <v>4132.5</v>
      </c>
      <c r="AK54" s="640">
        <f>'10.21.22'!E7</f>
        <v>2251.5</v>
      </c>
      <c r="AL54" s="640"/>
      <c r="AM54" s="640"/>
      <c r="AN54" s="252"/>
      <c r="AO54" s="252"/>
      <c r="AP54" s="252"/>
      <c r="AQ54" s="252"/>
      <c r="AR54" s="252"/>
      <c r="AS54" s="252"/>
      <c r="AT54" s="252"/>
      <c r="AU54" s="252"/>
      <c r="AV54" s="252"/>
      <c r="AW54" s="252"/>
      <c r="AX54" s="252"/>
      <c r="AY54" s="252"/>
      <c r="AZ54" s="252"/>
      <c r="BA54" s="252"/>
      <c r="BB54" s="252"/>
      <c r="BC54" s="252"/>
      <c r="BD54" s="252"/>
      <c r="BE54" s="252"/>
      <c r="BF54" s="252"/>
      <c r="BG54" s="252"/>
      <c r="BH54" s="252"/>
      <c r="BI54" s="640"/>
      <c r="BJ54" s="640"/>
      <c r="BK54" s="640">
        <f>'11.16.22'!E27</f>
        <v>2261</v>
      </c>
      <c r="BL54" s="640">
        <f>'11.17.22'!E10</f>
        <v>2850</v>
      </c>
      <c r="BM54" s="640"/>
      <c r="BN54" s="640"/>
      <c r="BO54" s="640"/>
      <c r="BP54" s="702"/>
      <c r="BQ54" s="702">
        <f>'11.22.22'!E7</f>
        <v>3116</v>
      </c>
      <c r="BR54" s="1134"/>
      <c r="BS54" s="1134"/>
      <c r="BT54" s="1134"/>
      <c r="BU54" s="1134"/>
      <c r="BV54" s="702"/>
      <c r="BW54" s="738"/>
      <c r="BX54" s="738"/>
      <c r="BY54" s="738"/>
      <c r="BZ54" s="738"/>
      <c r="CA54" s="738">
        <f>'12.02.22'!E8 + '12.02.22'!E18</f>
        <v>5101.5</v>
      </c>
      <c r="CB54" s="738"/>
      <c r="CC54" s="738"/>
      <c r="CD54" s="252"/>
      <c r="CE54" s="252"/>
      <c r="CF54" s="252"/>
      <c r="CG54" s="252"/>
      <c r="CH54" s="589">
        <f>'12.13.22'!E9</f>
        <v>788.5</v>
      </c>
      <c r="CI54" s="640"/>
      <c r="CJ54" s="640"/>
      <c r="CK54" s="640"/>
      <c r="CL54" s="640"/>
      <c r="CM54" s="640">
        <f>'1.12.23'!E8</f>
        <v>2422.5</v>
      </c>
      <c r="CN54" s="640"/>
      <c r="CO54" s="1166"/>
      <c r="CP54" s="1166"/>
      <c r="CQ54" s="702"/>
      <c r="CR54" s="702">
        <f>'1.17.23'!E27</f>
        <v>2318</v>
      </c>
      <c r="CS54" s="702"/>
      <c r="CT54" s="702">
        <f>'1.19.23'!E8 + '1.19.23'!E18</f>
        <v>4930.5</v>
      </c>
      <c r="CU54" s="702"/>
      <c r="CV54" s="702"/>
      <c r="CW54" s="702"/>
      <c r="CX54" s="738"/>
      <c r="CY54" s="738"/>
      <c r="CZ54" s="738">
        <f>'1.25.23'!E19+'1.25.23'!E29</f>
        <v>5006.5</v>
      </c>
      <c r="DA54" s="738"/>
      <c r="DB54" s="738">
        <f>'1.27.23'!E18</f>
        <v>2308.5</v>
      </c>
      <c r="DC54" s="738"/>
      <c r="DD54" s="738">
        <f>'1.29.23'!E27</f>
        <v>2565</v>
      </c>
      <c r="DE54" s="589"/>
      <c r="DF54" s="589"/>
      <c r="DG54" s="589"/>
      <c r="DH54" s="589"/>
      <c r="DI54" s="589">
        <f>'2.03.23'!E7</f>
        <v>2527</v>
      </c>
      <c r="DJ54" s="589"/>
      <c r="DK54" s="589"/>
      <c r="DL54" s="252"/>
      <c r="DM54" s="252"/>
      <c r="DN54" s="252"/>
      <c r="DO54" s="252"/>
      <c r="DP54" s="252"/>
      <c r="DQ54" s="252"/>
      <c r="DR54" s="252"/>
      <c r="DS54" s="702">
        <f>'2.13.23'!E29</f>
        <v>2156.5</v>
      </c>
      <c r="DT54" s="702"/>
      <c r="DU54" s="702"/>
      <c r="DV54" s="702">
        <f>'2.16.23'!E7</f>
        <v>2517.5</v>
      </c>
      <c r="DW54" s="702"/>
      <c r="DX54" s="1166"/>
      <c r="DY54" s="1166"/>
      <c r="DZ54" s="738"/>
      <c r="EA54" s="738"/>
      <c r="EB54" s="738">
        <f>'2.22.23'!E9</f>
        <v>2356</v>
      </c>
      <c r="EC54" s="738"/>
      <c r="ED54" s="738"/>
      <c r="EE54" s="738"/>
      <c r="EF54" s="738"/>
      <c r="EG54" s="702"/>
      <c r="EH54" s="702">
        <f>'2.28.23'!E9</f>
        <v>2536.5</v>
      </c>
      <c r="EI54" s="702">
        <f>'3.1.23'!E19+'3.1.23'!E29</f>
        <v>4322.5</v>
      </c>
      <c r="EJ54" s="702"/>
      <c r="EK54" s="702"/>
      <c r="EL54" s="702"/>
      <c r="EM54" s="702"/>
      <c r="EN54" s="738"/>
      <c r="EO54" s="738"/>
      <c r="EP54" s="738">
        <f>'3.8.23'!E19</f>
        <v>2432</v>
      </c>
      <c r="EQ54" s="738"/>
      <c r="ER54" s="738">
        <f>'3.10.23'!E9</f>
        <v>1890.5</v>
      </c>
      <c r="ES54" s="738"/>
      <c r="ET54" s="738"/>
      <c r="EU54" s="589"/>
      <c r="EV54" s="589"/>
      <c r="EW54" s="589">
        <f>'3.15.23'!E8 + '3.15.23'!E17</f>
        <v>5168</v>
      </c>
      <c r="EX54" s="589"/>
      <c r="EY54" s="589">
        <f>'3.17.23'!E19 + '3.17.23'!E29</f>
        <v>4009</v>
      </c>
      <c r="EZ54" s="589"/>
      <c r="FA54" s="589"/>
      <c r="FB54" s="640"/>
      <c r="FC54" s="640">
        <f>'3.21.23'!E9</f>
        <v>2242</v>
      </c>
      <c r="FD54" s="640">
        <f>'3.22.23'!E27</f>
        <v>2394</v>
      </c>
      <c r="FE54" s="640"/>
      <c r="FF54" s="1218"/>
      <c r="FG54" s="1218"/>
      <c r="FH54" s="1218"/>
      <c r="FI54" s="1218"/>
      <c r="FJ54" s="1218"/>
      <c r="FK54" s="1218"/>
      <c r="FL54" s="1218"/>
      <c r="FM54" s="1218"/>
      <c r="FN54" s="1218"/>
      <c r="FO54" s="702"/>
      <c r="FP54" s="702"/>
      <c r="FQ54" s="702"/>
      <c r="FR54" s="702"/>
      <c r="FS54" s="702"/>
      <c r="FT54" s="702">
        <f>'4.7.23'!E18</f>
        <v>1947.5</v>
      </c>
      <c r="FU54" s="702"/>
      <c r="FV54" s="702">
        <f>'4.9.23'!E9</f>
        <v>1795.5</v>
      </c>
      <c r="FW54" s="738"/>
      <c r="FX54" s="738">
        <f>'4.11.23'!E19</f>
        <v>2356</v>
      </c>
      <c r="FY54" s="738">
        <f>'4.12.23'!E27</f>
        <v>997.5</v>
      </c>
      <c r="FZ54" s="738">
        <f>'4.13.23'!E7</f>
        <v>2099.5</v>
      </c>
      <c r="GA54" s="738"/>
      <c r="GB54" s="738"/>
      <c r="GC54" s="738"/>
      <c r="GD54" s="702"/>
      <c r="GE54" s="702"/>
      <c r="GF54" s="702"/>
      <c r="GG54" s="702">
        <f>'4.20.23'!E27</f>
        <v>2251.5</v>
      </c>
      <c r="GH54" s="702"/>
      <c r="GI54" s="702"/>
      <c r="GJ54" s="702"/>
      <c r="GK54" s="640"/>
      <c r="GL54" s="640">
        <f>'4.25.23'!E7</f>
        <v>2631.5</v>
      </c>
      <c r="GM54" s="640">
        <f>'4.26.23'!E17</f>
        <v>3277.5</v>
      </c>
      <c r="GN54" s="640"/>
      <c r="GO54" s="640"/>
      <c r="GP54" s="640"/>
      <c r="GQ54" s="640"/>
      <c r="GR54" s="589"/>
      <c r="GS54" s="589"/>
      <c r="GT54" s="589"/>
      <c r="GU54" s="589"/>
      <c r="GV54" s="589"/>
      <c r="GW54" s="589">
        <f>'5.06.23'!E8</f>
        <v>2631.5</v>
      </c>
      <c r="GX54" s="589"/>
      <c r="GY54" s="738"/>
      <c r="GZ54" s="738"/>
      <c r="HA54" s="738"/>
      <c r="HB54" s="738"/>
      <c r="HC54" s="738">
        <f>'5.12.23'!E8+'5.12.23'!E18</f>
        <v>4351</v>
      </c>
      <c r="HD54" s="738"/>
      <c r="HE54" s="738"/>
      <c r="HF54" s="702"/>
      <c r="HG54" s="702"/>
      <c r="HH54" s="702">
        <f>'5.17.23'!E17</f>
        <v>2916.5</v>
      </c>
      <c r="HI54" s="702">
        <f>'5.18.23'!E28</f>
        <v>1928.5</v>
      </c>
      <c r="HJ54" s="702"/>
      <c r="HK54" s="702"/>
      <c r="HL54" s="702">
        <f>'5.21.23'!E18</f>
        <v>3410.5</v>
      </c>
      <c r="HM54" s="640"/>
      <c r="HN54" s="640"/>
      <c r="HO54" s="640">
        <f>'5.24.23'!E18</f>
        <v>3125.5</v>
      </c>
      <c r="HP54" s="640"/>
      <c r="HQ54" s="640"/>
      <c r="HR54" s="640"/>
      <c r="HS54" s="640"/>
      <c r="HT54" s="589"/>
      <c r="HU54" s="589">
        <f>'5.30.23'!E8</f>
        <v>2441.5</v>
      </c>
      <c r="HV54" s="589"/>
      <c r="HW54" s="589"/>
      <c r="HX54" s="589"/>
      <c r="HY54" s="589"/>
      <c r="HZ54" s="589"/>
      <c r="IA54" s="252"/>
      <c r="IB54" s="252"/>
      <c r="IC54" s="252"/>
      <c r="ID54" s="252"/>
      <c r="IE54" s="252">
        <f>'6.9.23'!E8</f>
        <v>2565</v>
      </c>
      <c r="IF54" s="252"/>
      <c r="IG54" s="252">
        <f>'6.11.23'!E7</f>
        <v>3087.5</v>
      </c>
      <c r="IH54" s="252"/>
      <c r="II54" s="252"/>
      <c r="IJ54" s="252"/>
      <c r="IK54" s="252"/>
      <c r="IL54" s="189">
        <f t="shared" si="0"/>
        <v>134786</v>
      </c>
      <c r="IM54" s="961">
        <f>100000-IL54</f>
        <v>-34786</v>
      </c>
      <c r="IN54" s="194" t="str">
        <f t="shared" si="7"/>
        <v>Uncle Al's BBQ</v>
      </c>
      <c r="IP54" s="234">
        <f t="shared" si="3"/>
        <v>134786</v>
      </c>
      <c r="IQ54" s="316">
        <f>COUNT(B54:FZ54)+8+8</f>
        <v>52</v>
      </c>
      <c r="IT54" s="234">
        <v>5830</v>
      </c>
      <c r="IU54" s="234"/>
      <c r="IV54" s="979">
        <v>50</v>
      </c>
      <c r="IW54" s="981">
        <f t="shared" si="9"/>
        <v>14188</v>
      </c>
      <c r="IX54" s="977">
        <f t="shared" si="4"/>
        <v>134786</v>
      </c>
      <c r="IY54" s="978" t="str">
        <f t="shared" si="5"/>
        <v>Uncle Al's BBQ</v>
      </c>
    </row>
    <row r="55" spans="1:259" ht="10.15" customHeight="1">
      <c r="A55" s="195" t="s">
        <v>240</v>
      </c>
      <c r="B55" s="252"/>
      <c r="C55" s="252"/>
      <c r="D55" s="252"/>
      <c r="E55" s="252"/>
      <c r="F55" s="252"/>
      <c r="G55" s="252"/>
      <c r="H55" s="252"/>
      <c r="I55" s="252"/>
      <c r="J55" s="252"/>
      <c r="K55" s="252"/>
      <c r="L55" s="252"/>
      <c r="M55" s="252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  <c r="AA55" s="252"/>
      <c r="AB55" s="252"/>
      <c r="AC55" s="252"/>
      <c r="AD55" s="252"/>
      <c r="AE55" s="252"/>
      <c r="AF55" s="252"/>
      <c r="AG55" s="252"/>
      <c r="AH55" s="252"/>
      <c r="AI55" s="252"/>
      <c r="AJ55" s="252"/>
      <c r="AK55" s="252"/>
      <c r="AL55" s="252"/>
      <c r="AM55" s="252"/>
      <c r="AN55" s="252"/>
      <c r="AO55" s="252"/>
      <c r="AP55" s="252"/>
      <c r="AQ55" s="252"/>
      <c r="AR55" s="252"/>
      <c r="AS55" s="252"/>
      <c r="AT55" s="252"/>
      <c r="AU55" s="252"/>
      <c r="AV55" s="252"/>
      <c r="AW55" s="252"/>
      <c r="AX55" s="252"/>
      <c r="AY55" s="252"/>
      <c r="AZ55" s="252"/>
      <c r="BA55" s="252"/>
      <c r="BB55" s="252"/>
      <c r="BC55" s="252"/>
      <c r="BD55" s="252"/>
      <c r="BE55" s="252"/>
      <c r="BF55" s="252"/>
      <c r="BG55" s="252"/>
      <c r="BH55" s="252"/>
      <c r="BI55" s="252"/>
      <c r="BJ55" s="252"/>
      <c r="BK55" s="252"/>
      <c r="BL55" s="252"/>
      <c r="BM55" s="252"/>
      <c r="BN55" s="252"/>
      <c r="BO55" s="252"/>
      <c r="BP55" s="252"/>
      <c r="BQ55" s="252"/>
      <c r="BR55" s="1131"/>
      <c r="BS55" s="1131"/>
      <c r="BT55" s="1131"/>
      <c r="BU55" s="1131"/>
      <c r="BV55" s="252"/>
      <c r="BW55" s="252"/>
      <c r="BX55" s="252"/>
      <c r="BY55" s="252"/>
      <c r="BZ55" s="252"/>
      <c r="CA55" s="252"/>
      <c r="CB55" s="252"/>
      <c r="CC55" s="252"/>
      <c r="CD55" s="252"/>
      <c r="CE55" s="252"/>
      <c r="CF55" s="252"/>
      <c r="CG55" s="252"/>
      <c r="CH55" s="252"/>
      <c r="CI55" s="1139"/>
      <c r="CJ55" s="252"/>
      <c r="CK55" s="252"/>
      <c r="CL55" s="252"/>
      <c r="CM55" s="252"/>
      <c r="CN55" s="252"/>
      <c r="CO55" s="1166"/>
      <c r="CP55" s="1166"/>
      <c r="CQ55" s="252"/>
      <c r="CR55" s="252"/>
      <c r="CS55" s="252"/>
      <c r="CT55" s="252"/>
      <c r="CU55" s="252"/>
      <c r="CV55" s="252"/>
      <c r="CW55" s="252"/>
      <c r="CX55" s="252"/>
      <c r="CY55" s="252"/>
      <c r="CZ55" s="252"/>
      <c r="DA55" s="252"/>
      <c r="DB55" s="252"/>
      <c r="DC55" s="252"/>
      <c r="DD55" s="252"/>
      <c r="DE55" s="252"/>
      <c r="DF55" s="252"/>
      <c r="DG55" s="252"/>
      <c r="DH55" s="252"/>
      <c r="DI55" s="252"/>
      <c r="DJ55" s="252"/>
      <c r="DK55" s="252"/>
      <c r="DL55" s="252"/>
      <c r="DM55" s="252"/>
      <c r="DN55" s="252"/>
      <c r="DO55" s="252"/>
      <c r="DP55" s="252"/>
      <c r="DQ55" s="252"/>
      <c r="DR55" s="252"/>
      <c r="DS55" s="252"/>
      <c r="DT55" s="252"/>
      <c r="DU55" s="252"/>
      <c r="DV55" s="252"/>
      <c r="DW55" s="252"/>
      <c r="DX55" s="1166"/>
      <c r="DY55" s="1166"/>
      <c r="DZ55" s="1196"/>
      <c r="EA55" s="252"/>
      <c r="EB55" s="252"/>
      <c r="EC55" s="252"/>
      <c r="ED55" s="252"/>
      <c r="EE55" s="252"/>
      <c r="EF55" s="252"/>
      <c r="EG55" s="252"/>
      <c r="EH55" s="252"/>
      <c r="EI55" s="252"/>
      <c r="EJ55" s="252"/>
      <c r="EK55" s="252"/>
      <c r="EL55" s="252"/>
      <c r="EM55" s="252"/>
      <c r="EN55" s="252"/>
      <c r="EO55" s="252"/>
      <c r="EP55" s="252"/>
      <c r="EQ55" s="252"/>
      <c r="ER55" s="252"/>
      <c r="ES55" s="252"/>
      <c r="ET55" s="252"/>
      <c r="EU55" s="252"/>
      <c r="EV55" s="252"/>
      <c r="EW55" s="252"/>
      <c r="EX55" s="252"/>
      <c r="EY55" s="252"/>
      <c r="EZ55" s="252"/>
      <c r="FA55" s="252"/>
      <c r="FB55" s="252"/>
      <c r="FC55" s="252"/>
      <c r="FD55" s="252"/>
      <c r="FE55" s="252"/>
      <c r="FF55" s="1218"/>
      <c r="FG55" s="1218"/>
      <c r="FH55" s="1218"/>
      <c r="FI55" s="1218"/>
      <c r="FJ55" s="1218"/>
      <c r="FK55" s="1218"/>
      <c r="FL55" s="1218"/>
      <c r="FM55" s="1218"/>
      <c r="FN55" s="1218"/>
      <c r="FO55" s="252"/>
      <c r="FP55" s="252"/>
      <c r="FQ55" s="252"/>
      <c r="FR55" s="252"/>
      <c r="FS55" s="252"/>
      <c r="FT55" s="252"/>
      <c r="FU55" s="252"/>
      <c r="FV55" s="252"/>
      <c r="FW55" s="252"/>
      <c r="FX55" s="252"/>
      <c r="FY55" s="252"/>
      <c r="FZ55" s="252"/>
      <c r="GA55" s="252"/>
      <c r="GB55" s="252"/>
      <c r="GC55" s="252"/>
      <c r="GD55" s="252"/>
      <c r="GE55" s="252"/>
      <c r="GF55" s="252"/>
      <c r="GG55" s="252"/>
      <c r="GH55" s="252"/>
      <c r="GI55" s="252"/>
      <c r="GJ55" s="252"/>
      <c r="GK55" s="252"/>
      <c r="GL55" s="252"/>
      <c r="GM55" s="252"/>
      <c r="GN55" s="252"/>
      <c r="GO55" s="252"/>
      <c r="GP55" s="252"/>
      <c r="GQ55" s="252"/>
      <c r="GR55" s="252"/>
      <c r="GS55" s="252"/>
      <c r="GT55" s="252"/>
      <c r="GU55" s="252"/>
      <c r="GV55" s="252"/>
      <c r="GW55" s="252"/>
      <c r="GX55" s="252"/>
      <c r="GY55" s="252"/>
      <c r="GZ55" s="252"/>
      <c r="HA55" s="252"/>
      <c r="HB55" s="252"/>
      <c r="HC55" s="252"/>
      <c r="HD55" s="252"/>
      <c r="HE55" s="252"/>
      <c r="HF55" s="252"/>
      <c r="HG55" s="252"/>
      <c r="HH55" s="252"/>
      <c r="HI55" s="252"/>
      <c r="HJ55" s="252"/>
      <c r="HK55" s="252"/>
      <c r="HL55" s="252"/>
      <c r="HM55" s="252"/>
      <c r="HN55" s="252"/>
      <c r="HO55" s="252"/>
      <c r="HP55" s="252"/>
      <c r="HQ55" s="252"/>
      <c r="HR55" s="252"/>
      <c r="HS55" s="252"/>
      <c r="HT55" s="252"/>
      <c r="HU55" s="252"/>
      <c r="HV55" s="252"/>
      <c r="HW55" s="252"/>
      <c r="HX55" s="252"/>
      <c r="HY55" s="252"/>
      <c r="HZ55" s="252"/>
      <c r="IA55" s="252"/>
      <c r="IB55" s="252"/>
      <c r="IC55" s="252"/>
      <c r="ID55" s="252"/>
      <c r="IE55" s="252"/>
      <c r="IF55" s="252"/>
      <c r="IG55" s="252"/>
      <c r="IH55" s="252"/>
      <c r="II55" s="252"/>
      <c r="IJ55" s="252"/>
      <c r="IK55" s="252"/>
      <c r="IL55" s="189">
        <f t="shared" si="0"/>
        <v>0</v>
      </c>
      <c r="IM55" s="961">
        <f>100000-IL55</f>
        <v>100000</v>
      </c>
      <c r="IN55" s="194" t="str">
        <f t="shared" si="7"/>
        <v>Veggie Bomb</v>
      </c>
      <c r="IP55" s="234">
        <f t="shared" si="3"/>
        <v>0</v>
      </c>
      <c r="IQ55" s="316">
        <f>COUNT(B55:FZ55)</f>
        <v>0</v>
      </c>
      <c r="IT55" s="234">
        <v>228015.5</v>
      </c>
      <c r="IU55" s="234"/>
      <c r="IV55" s="979">
        <v>51</v>
      </c>
      <c r="IW55" s="981">
        <f t="shared" si="9"/>
        <v>0</v>
      </c>
      <c r="IX55" s="977">
        <f t="shared" si="4"/>
        <v>0</v>
      </c>
      <c r="IY55" s="978" t="str">
        <f t="shared" si="5"/>
        <v>Veggie Bomb</v>
      </c>
    </row>
    <row r="56" spans="1:259" ht="10.15" customHeight="1">
      <c r="A56" s="195" t="s">
        <v>797</v>
      </c>
      <c r="B56" s="589">
        <f>'9.16.22'!E13</f>
        <v>275.5</v>
      </c>
      <c r="C56" s="589"/>
      <c r="D56" s="589"/>
      <c r="E56" s="640"/>
      <c r="F56" s="640"/>
      <c r="G56" s="640"/>
      <c r="H56" s="640">
        <f>'9.22.22'!E28</f>
        <v>2166</v>
      </c>
      <c r="I56" s="640"/>
      <c r="J56" s="640"/>
      <c r="K56" s="640">
        <f>'9.25.22'!E27</f>
        <v>1957</v>
      </c>
      <c r="L56" s="252"/>
      <c r="M56" s="252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589"/>
      <c r="AA56" s="589"/>
      <c r="AB56" s="589"/>
      <c r="AC56" s="589"/>
      <c r="AD56" s="589"/>
      <c r="AE56" s="589">
        <f>'10.15.22'!E19</f>
        <v>2128</v>
      </c>
      <c r="AF56" s="589"/>
      <c r="AG56" s="252"/>
      <c r="AH56" s="252"/>
      <c r="AI56" s="252"/>
      <c r="AJ56" s="252"/>
      <c r="AK56" s="252"/>
      <c r="AL56" s="252"/>
      <c r="AM56" s="252"/>
      <c r="AN56" s="252"/>
      <c r="AO56" s="252"/>
      <c r="AP56" s="252"/>
      <c r="AQ56" s="252"/>
      <c r="AR56" s="252"/>
      <c r="AS56" s="252"/>
      <c r="AT56" s="252"/>
      <c r="AU56" s="738"/>
      <c r="AV56" s="738"/>
      <c r="AW56" s="738"/>
      <c r="AX56" s="738"/>
      <c r="AY56" s="738"/>
      <c r="AZ56" s="738"/>
      <c r="BA56" s="738">
        <f>'11.06.22'!E28</f>
        <v>2365.5</v>
      </c>
      <c r="BB56" s="252"/>
      <c r="BC56" s="252"/>
      <c r="BD56" s="252"/>
      <c r="BE56" s="252"/>
      <c r="BF56" s="252"/>
      <c r="BG56" s="252"/>
      <c r="BH56" s="252"/>
      <c r="BI56" s="640">
        <f>'11.14.22'!E31</f>
        <v>1178</v>
      </c>
      <c r="BJ56" s="640"/>
      <c r="BK56" s="640"/>
      <c r="BL56" s="640"/>
      <c r="BM56" s="640"/>
      <c r="BN56" s="640"/>
      <c r="BO56" s="640"/>
      <c r="BP56" s="702">
        <f>'11.21.22'!E28</f>
        <v>2945</v>
      </c>
      <c r="BQ56" s="702"/>
      <c r="BR56" s="1134"/>
      <c r="BS56" s="1134"/>
      <c r="BT56" s="1134"/>
      <c r="BU56" s="1134"/>
      <c r="BV56" s="702"/>
      <c r="BW56" s="252"/>
      <c r="BX56" s="252"/>
      <c r="BY56" s="252"/>
      <c r="BZ56" s="252"/>
      <c r="CA56" s="252"/>
      <c r="CB56" s="252"/>
      <c r="CC56" s="252"/>
      <c r="CD56" s="252"/>
      <c r="CE56" s="252"/>
      <c r="CF56" s="252"/>
      <c r="CG56" s="252"/>
      <c r="CH56" s="589">
        <f>'12.13.22'!E16</f>
        <v>1140</v>
      </c>
      <c r="CI56" s="640"/>
      <c r="CJ56" s="640"/>
      <c r="CK56" s="640"/>
      <c r="CL56" s="640"/>
      <c r="CM56" s="640"/>
      <c r="CN56" s="640">
        <f>'1.13.23'!E28</f>
        <v>2356</v>
      </c>
      <c r="CO56" s="1166"/>
      <c r="CP56" s="1166"/>
      <c r="CQ56" s="702"/>
      <c r="CR56" s="702">
        <f>'1.17.23'!E28</f>
        <v>3220.5</v>
      </c>
      <c r="CS56" s="702"/>
      <c r="CT56" s="702"/>
      <c r="CU56" s="702"/>
      <c r="CV56" s="702"/>
      <c r="CW56" s="702">
        <f>'1.22.23'!E28</f>
        <v>3049.5</v>
      </c>
      <c r="CX56" s="252"/>
      <c r="CY56" s="252"/>
      <c r="CZ56" s="252"/>
      <c r="DA56" s="252"/>
      <c r="DB56" s="252"/>
      <c r="DC56" s="252"/>
      <c r="DD56" s="252"/>
      <c r="DE56" s="589">
        <f>'1.30.23'!E28</f>
        <v>2593.5</v>
      </c>
      <c r="DF56" s="589"/>
      <c r="DG56" s="589"/>
      <c r="DH56" s="589"/>
      <c r="DI56" s="589"/>
      <c r="DJ56" s="589"/>
      <c r="DK56" s="589">
        <f>'2.05.23'!E28</f>
        <v>3277.5</v>
      </c>
      <c r="DL56" s="252"/>
      <c r="DM56" s="252"/>
      <c r="DN56" s="252"/>
      <c r="DO56" s="252"/>
      <c r="DP56" s="252"/>
      <c r="DQ56" s="252"/>
      <c r="DR56" s="252"/>
      <c r="DS56" s="702"/>
      <c r="DT56" s="702"/>
      <c r="DU56" s="702"/>
      <c r="DV56" s="702">
        <f>'2.16.23'!E28</f>
        <v>1776.5</v>
      </c>
      <c r="DW56" s="702"/>
      <c r="DX56" s="1166"/>
      <c r="DY56" s="1166"/>
      <c r="DZ56" s="1196"/>
      <c r="EA56" s="252"/>
      <c r="EB56" s="252"/>
      <c r="EC56" s="252"/>
      <c r="ED56" s="252"/>
      <c r="EE56" s="252"/>
      <c r="EF56" s="252"/>
      <c r="EG56" s="702">
        <f>'2.27.23'!E28</f>
        <v>1814.5</v>
      </c>
      <c r="EH56" s="702"/>
      <c r="EI56" s="702"/>
      <c r="EJ56" s="702"/>
      <c r="EK56" s="702"/>
      <c r="EL56" s="702"/>
      <c r="EM56" s="702"/>
      <c r="EN56" s="252"/>
      <c r="EO56" s="252"/>
      <c r="EP56" s="252"/>
      <c r="EQ56" s="252"/>
      <c r="ER56" s="252"/>
      <c r="ES56" s="252"/>
      <c r="ET56" s="252"/>
      <c r="EU56" s="252"/>
      <c r="EV56" s="252"/>
      <c r="EW56" s="252"/>
      <c r="EX56" s="252"/>
      <c r="EY56" s="252"/>
      <c r="EZ56" s="252"/>
      <c r="FA56" s="252"/>
      <c r="FB56" s="252"/>
      <c r="FC56" s="252"/>
      <c r="FD56" s="252"/>
      <c r="FE56" s="252"/>
      <c r="FF56" s="1218"/>
      <c r="FG56" s="1218"/>
      <c r="FH56" s="1218"/>
      <c r="FI56" s="1218"/>
      <c r="FJ56" s="1218"/>
      <c r="FK56" s="1218"/>
      <c r="FL56" s="1218"/>
      <c r="FM56" s="1218"/>
      <c r="FN56" s="1218"/>
      <c r="FO56" s="252"/>
      <c r="FP56" s="252"/>
      <c r="FQ56" s="252"/>
      <c r="FR56" s="252"/>
      <c r="FS56" s="252"/>
      <c r="FT56" s="252"/>
      <c r="FU56" s="252"/>
      <c r="FV56" s="252"/>
      <c r="FW56" s="738">
        <f>'4.10.23'!E28</f>
        <v>2365.5</v>
      </c>
      <c r="FX56" s="738"/>
      <c r="FY56" s="738"/>
      <c r="FZ56" s="738"/>
      <c r="GA56" s="738"/>
      <c r="GB56" s="738"/>
      <c r="GC56" s="738"/>
      <c r="GD56" s="252"/>
      <c r="GE56" s="252"/>
      <c r="GF56" s="252"/>
      <c r="GG56" s="252"/>
      <c r="GH56" s="252"/>
      <c r="GI56" s="252"/>
      <c r="GJ56" s="252"/>
      <c r="GK56" s="252"/>
      <c r="GL56" s="252"/>
      <c r="GM56" s="252"/>
      <c r="GN56" s="252"/>
      <c r="GO56" s="252"/>
      <c r="GP56" s="252"/>
      <c r="GQ56" s="252"/>
      <c r="GR56" s="252"/>
      <c r="GS56" s="252"/>
      <c r="GT56" s="252"/>
      <c r="GU56" s="252"/>
      <c r="GV56" s="252"/>
      <c r="GW56" s="252"/>
      <c r="GX56" s="252"/>
      <c r="GY56" s="252"/>
      <c r="GZ56" s="252"/>
      <c r="HA56" s="252"/>
      <c r="HB56" s="252"/>
      <c r="HC56" s="252"/>
      <c r="HD56" s="252"/>
      <c r="HE56" s="252"/>
      <c r="HF56" s="252"/>
      <c r="HG56" s="252"/>
      <c r="HH56" s="252"/>
      <c r="HI56" s="252"/>
      <c r="HJ56" s="252"/>
      <c r="HK56" s="252"/>
      <c r="HL56" s="252"/>
      <c r="HM56" s="252"/>
      <c r="HN56" s="252"/>
      <c r="HO56" s="252"/>
      <c r="HP56" s="252"/>
      <c r="HQ56" s="252"/>
      <c r="HR56" s="252"/>
      <c r="HS56" s="252"/>
      <c r="HT56" s="252"/>
      <c r="HU56" s="252"/>
      <c r="HV56" s="252"/>
      <c r="HW56" s="252"/>
      <c r="HX56" s="252"/>
      <c r="HY56" s="252"/>
      <c r="HZ56" s="252"/>
      <c r="IA56" s="252"/>
      <c r="IB56" s="252"/>
      <c r="IC56" s="252"/>
      <c r="ID56" s="252"/>
      <c r="IE56" s="252"/>
      <c r="IF56" s="252"/>
      <c r="IG56" s="252"/>
      <c r="IH56" s="252"/>
      <c r="II56" s="252"/>
      <c r="IJ56" s="252"/>
      <c r="IK56" s="252"/>
      <c r="IL56" s="189">
        <f t="shared" si="0"/>
        <v>34608.5</v>
      </c>
      <c r="IM56" s="961">
        <f>100000-IL56</f>
        <v>65391.5</v>
      </c>
      <c r="IN56" s="194" t="str">
        <f t="shared" si="7"/>
        <v>Venice Gelato Café</v>
      </c>
      <c r="IP56" s="234">
        <f t="shared" si="3"/>
        <v>34608.5</v>
      </c>
      <c r="IQ56" s="316">
        <f>COUNT(B56:FZ56)+1</f>
        <v>17</v>
      </c>
      <c r="IT56" s="234">
        <v>75970</v>
      </c>
      <c r="IU56" s="234"/>
      <c r="IV56" s="979">
        <v>52</v>
      </c>
      <c r="IW56" s="981">
        <f t="shared" si="9"/>
        <v>3643</v>
      </c>
      <c r="IX56" s="977">
        <f t="shared" si="4"/>
        <v>34608.5</v>
      </c>
      <c r="IY56" s="978" t="str">
        <f t="shared" si="5"/>
        <v>Venice Gelato Café</v>
      </c>
    </row>
    <row r="57" spans="1:259" ht="10.15" customHeight="1">
      <c r="A57" s="195" t="s">
        <v>70</v>
      </c>
      <c r="B57" s="589"/>
      <c r="C57" s="589">
        <f>'9.17.22'!E14+'9.17.22'!E29</f>
        <v>1558</v>
      </c>
      <c r="D57" s="589"/>
      <c r="E57" s="640"/>
      <c r="F57" s="640"/>
      <c r="G57" s="640">
        <f>'9.21.22'!E11+'9.21.22'!E21</f>
        <v>5130</v>
      </c>
      <c r="H57" s="640">
        <f>'9.22.22'!E27</f>
        <v>2631.5</v>
      </c>
      <c r="I57" s="640"/>
      <c r="J57" s="640">
        <f>'9.24.22'!E8+'9.24.22'!E18</f>
        <v>6868.5</v>
      </c>
      <c r="K57" s="640">
        <f>'9.25.22'!E20+'9.25.22'!E30</f>
        <v>4636</v>
      </c>
      <c r="L57" s="702"/>
      <c r="M57" s="702"/>
      <c r="N57" s="702">
        <f>'9.28.22'!E10</f>
        <v>2584</v>
      </c>
      <c r="O57" s="702">
        <f>'9.29.22'!E9</f>
        <v>2679</v>
      </c>
      <c r="P57" s="702"/>
      <c r="Q57" s="702"/>
      <c r="R57" s="702"/>
      <c r="S57" s="738"/>
      <c r="T57" s="738"/>
      <c r="U57" s="738"/>
      <c r="V57" s="738">
        <f>'10.06.22'!E11</f>
        <v>3648</v>
      </c>
      <c r="W57" s="738">
        <f>'10.07.22'!E31</f>
        <v>3078</v>
      </c>
      <c r="X57" s="738">
        <f>'10.08.22'!E10+'10.08.22'!E20</f>
        <v>6374.5</v>
      </c>
      <c r="Y57" s="738"/>
      <c r="Z57" s="589">
        <f>'10.10.22'!E28</f>
        <v>3382</v>
      </c>
      <c r="AA57" s="589">
        <f>'10.11.22'!E21</f>
        <v>3448.5</v>
      </c>
      <c r="AB57" s="589">
        <f>'10.12.22'!E31</f>
        <v>3268</v>
      </c>
      <c r="AC57" s="589"/>
      <c r="AD57" s="589"/>
      <c r="AE57" s="589">
        <f>'10.15.22'!E11</f>
        <v>2422.5</v>
      </c>
      <c r="AF57" s="589">
        <f>'10.16.22'!E27</f>
        <v>3049.5</v>
      </c>
      <c r="AG57" s="640">
        <f>'10.17.22'!E30</f>
        <v>3591</v>
      </c>
      <c r="AH57" s="640"/>
      <c r="AI57" s="640"/>
      <c r="AJ57" s="640"/>
      <c r="AK57" s="640"/>
      <c r="AL57" s="640">
        <f>'10.22.22'!E29</f>
        <v>3638.5</v>
      </c>
      <c r="AM57" s="640">
        <f>'10.23.22'!E11</f>
        <v>2356</v>
      </c>
      <c r="AN57" s="702"/>
      <c r="AO57" s="702">
        <f>'10.25.22'!E8</f>
        <v>4237</v>
      </c>
      <c r="AP57" s="702">
        <f>'10.26.22'!E28</f>
        <v>3315.5</v>
      </c>
      <c r="AQ57" s="702">
        <f>'10.27.22'!E17</f>
        <v>4674</v>
      </c>
      <c r="AR57" s="702"/>
      <c r="AS57" s="702"/>
      <c r="AT57" s="702"/>
      <c r="AU57" s="738"/>
      <c r="AV57" s="738"/>
      <c r="AW57" s="738"/>
      <c r="AX57" s="738">
        <f>'11.03.22'!E9</f>
        <v>4294</v>
      </c>
      <c r="AY57" s="738">
        <f>'11.04.22'!E18</f>
        <v>3800</v>
      </c>
      <c r="AZ57" s="738"/>
      <c r="BA57" s="738"/>
      <c r="BB57" s="589"/>
      <c r="BC57" s="589">
        <f>'11.08.22'!E30</f>
        <v>4056.5</v>
      </c>
      <c r="BD57" s="589"/>
      <c r="BE57" s="589">
        <f>'11.10.22'!E10</f>
        <v>3895</v>
      </c>
      <c r="BF57" s="589"/>
      <c r="BG57" s="589"/>
      <c r="BH57" s="589">
        <f>'11.13.22'!E7</f>
        <v>4493.5</v>
      </c>
      <c r="BI57" s="640">
        <f>'11.14.22'!E27</f>
        <v>4142</v>
      </c>
      <c r="BJ57" s="640"/>
      <c r="BK57" s="640"/>
      <c r="BL57" s="640"/>
      <c r="BM57" s="640"/>
      <c r="BN57" s="640">
        <f>'11.19.22'!E10</f>
        <v>4503</v>
      </c>
      <c r="BO57" s="640"/>
      <c r="BP57" s="702"/>
      <c r="BQ57" s="702">
        <f>'11.22.22'!E30</f>
        <v>2774</v>
      </c>
      <c r="BR57" s="1134"/>
      <c r="BS57" s="1134"/>
      <c r="BT57" s="1134"/>
      <c r="BU57" s="1134"/>
      <c r="BV57" s="702"/>
      <c r="BW57" s="738"/>
      <c r="BX57" s="738"/>
      <c r="BY57" s="738"/>
      <c r="BZ57" s="738"/>
      <c r="CA57" s="738"/>
      <c r="CB57" s="738"/>
      <c r="CC57" s="738">
        <f>'12.04.22'!E10</f>
        <v>6023</v>
      </c>
      <c r="CD57" s="589">
        <f>'12.05.22'!E29</f>
        <v>4873.5</v>
      </c>
      <c r="CE57" s="589"/>
      <c r="CF57" s="589"/>
      <c r="CG57" s="589">
        <f>'12.08.22'!E9+'12.08.22'!E22</f>
        <v>9272</v>
      </c>
      <c r="CH57" s="252"/>
      <c r="CI57" s="640"/>
      <c r="CJ57" s="640">
        <f>'1.09.23'!E19</f>
        <v>2052</v>
      </c>
      <c r="CK57" s="640"/>
      <c r="CL57" s="640"/>
      <c r="CM57" s="640"/>
      <c r="CN57" s="640"/>
      <c r="CO57" s="1166"/>
      <c r="CP57" s="1166"/>
      <c r="CQ57" s="702"/>
      <c r="CR57" s="702"/>
      <c r="CS57" s="702"/>
      <c r="CT57" s="702">
        <f>'1.19.23'!E27</f>
        <v>4664.5</v>
      </c>
      <c r="CU57" s="702"/>
      <c r="CV57" s="702">
        <f>'1.21.23'!E9</f>
        <v>4693</v>
      </c>
      <c r="CW57" s="702"/>
      <c r="CX57" s="738"/>
      <c r="CY57" s="738"/>
      <c r="CZ57" s="738"/>
      <c r="DA57" s="738"/>
      <c r="DB57" s="738"/>
      <c r="DC57" s="738"/>
      <c r="DD57" s="738">
        <f>'1.29.23'!E8</f>
        <v>5405.5</v>
      </c>
      <c r="DE57" s="589"/>
      <c r="DF57" s="589">
        <f>'1.31.23'!E27</f>
        <v>0</v>
      </c>
      <c r="DG57" s="589">
        <f>'2.01.23'!E29</f>
        <v>6241.5</v>
      </c>
      <c r="DH57" s="589"/>
      <c r="DI57" s="589"/>
      <c r="DJ57" s="589">
        <f>'2.04.23'!E8</f>
        <v>5044.5</v>
      </c>
      <c r="DK57" s="589">
        <f>'2.05.23'!E8</f>
        <v>5310.5</v>
      </c>
      <c r="DL57" s="640"/>
      <c r="DM57" s="640"/>
      <c r="DN57" s="640"/>
      <c r="DO57" s="640"/>
      <c r="DP57" s="640"/>
      <c r="DQ57" s="640">
        <f>'2.11.23'!E19</f>
        <v>5329.5</v>
      </c>
      <c r="DR57" s="640"/>
      <c r="DS57" s="702">
        <f>'2.13.23'!E9</f>
        <v>4218</v>
      </c>
      <c r="DT57" s="702"/>
      <c r="DU57" s="702"/>
      <c r="DV57" s="702"/>
      <c r="DW57" s="702">
        <f>'2.17.23'!E18</f>
        <v>3828.5</v>
      </c>
      <c r="DX57" s="1166"/>
      <c r="DY57" s="1166"/>
      <c r="DZ57" s="738">
        <f>'2.20.23'!E18</f>
        <v>5472</v>
      </c>
      <c r="EA57" s="738"/>
      <c r="EB57" s="738"/>
      <c r="EC57" s="738"/>
      <c r="ED57" s="738"/>
      <c r="EE57" s="738"/>
      <c r="EF57" s="738"/>
      <c r="EG57" s="702"/>
      <c r="EH57" s="702">
        <f>'2.28.23'!E29</f>
        <v>3439</v>
      </c>
      <c r="EI57" s="702"/>
      <c r="EJ57" s="702"/>
      <c r="EK57" s="702"/>
      <c r="EL57" s="702">
        <f>'3.4.23'!E9</f>
        <v>4588.5</v>
      </c>
      <c r="EM57" s="702">
        <f>'3.5.23'!E8</f>
        <v>4313</v>
      </c>
      <c r="EN57" s="738"/>
      <c r="EO57" s="738"/>
      <c r="EP57" s="738"/>
      <c r="EQ57" s="738">
        <f>'3.9.23'!E9</f>
        <v>3771.5</v>
      </c>
      <c r="ER57" s="738"/>
      <c r="ES57" s="738"/>
      <c r="ET57" s="738"/>
      <c r="EU57" s="589"/>
      <c r="EV57" s="589">
        <f>'3.14.23'!E29</f>
        <v>3287</v>
      </c>
      <c r="EW57" s="589">
        <f>'3.15.23'!E29</f>
        <v>4028</v>
      </c>
      <c r="EX57" s="589"/>
      <c r="EY57" s="589"/>
      <c r="EZ57" s="589"/>
      <c r="FA57" s="589"/>
      <c r="FB57" s="252"/>
      <c r="FC57" s="252"/>
      <c r="FD57" s="252"/>
      <c r="FE57" s="252"/>
      <c r="FF57" s="1218"/>
      <c r="FG57" s="1218"/>
      <c r="FH57" s="1218"/>
      <c r="FI57" s="1218"/>
      <c r="FJ57" s="1218"/>
      <c r="FK57" s="1218"/>
      <c r="FL57" s="1218"/>
      <c r="FM57" s="1218"/>
      <c r="FN57" s="1218"/>
      <c r="FO57" s="702">
        <f>'4.2.23'!E18</f>
        <v>2099.5</v>
      </c>
      <c r="FP57" s="702"/>
      <c r="FQ57" s="702">
        <f>'4.4.23'!E27</f>
        <v>3125.5</v>
      </c>
      <c r="FR57" s="702"/>
      <c r="FS57" s="702"/>
      <c r="FT57" s="702"/>
      <c r="FU57" s="702"/>
      <c r="FV57" s="702"/>
      <c r="FW57" s="738"/>
      <c r="FX57" s="738">
        <f>'4.11.23'!E18</f>
        <v>4313</v>
      </c>
      <c r="FY57" s="738"/>
      <c r="FZ57" s="738"/>
      <c r="GA57" s="738"/>
      <c r="GB57" s="738"/>
      <c r="GC57" s="738"/>
      <c r="GD57" s="702"/>
      <c r="GE57" s="702">
        <f>'4.18.23'!E18</f>
        <v>4180</v>
      </c>
      <c r="GF57" s="702"/>
      <c r="GG57" s="702"/>
      <c r="GH57" s="702"/>
      <c r="GI57" s="702">
        <f>'4.22.23'!E27</f>
        <v>3306</v>
      </c>
      <c r="GJ57" s="702"/>
      <c r="GK57" s="640"/>
      <c r="GL57" s="640"/>
      <c r="GM57" s="640"/>
      <c r="GN57" s="640">
        <f>'4.27.23'!E17</f>
        <v>5215.5</v>
      </c>
      <c r="GO57" s="640"/>
      <c r="GP57" s="640"/>
      <c r="GQ57" s="640"/>
      <c r="GR57" s="589"/>
      <c r="GS57" s="589">
        <f>'5.02.23'!E27</f>
        <v>3942.5</v>
      </c>
      <c r="GT57" s="589"/>
      <c r="GU57" s="589"/>
      <c r="GV57" s="589"/>
      <c r="GW57" s="589"/>
      <c r="GX57" s="589"/>
      <c r="GY57" s="738"/>
      <c r="GZ57" s="738"/>
      <c r="HA57" s="738">
        <f>'5.10.23'!E18</f>
        <v>4892.5</v>
      </c>
      <c r="HB57" s="738"/>
      <c r="HC57" s="738"/>
      <c r="HD57" s="738"/>
      <c r="HE57" s="738"/>
      <c r="HF57" s="252"/>
      <c r="HG57" s="252"/>
      <c r="HH57" s="252"/>
      <c r="HI57" s="252"/>
      <c r="HJ57" s="252"/>
      <c r="HK57" s="252"/>
      <c r="HL57" s="252"/>
      <c r="HM57" s="640"/>
      <c r="HN57" s="640"/>
      <c r="HO57" s="640"/>
      <c r="HP57" s="640">
        <f>'5.25.23'!E28</f>
        <v>3619.5</v>
      </c>
      <c r="HQ57" s="640"/>
      <c r="HR57" s="640"/>
      <c r="HS57" s="640"/>
      <c r="HT57" s="589"/>
      <c r="HU57" s="589"/>
      <c r="HV57" s="589">
        <f>'5.31.23'!E18</f>
        <v>4864</v>
      </c>
      <c r="HW57" s="589"/>
      <c r="HX57" s="589"/>
      <c r="HY57" s="589"/>
      <c r="HZ57" s="589"/>
      <c r="IA57" s="252"/>
      <c r="IB57" s="252"/>
      <c r="IC57" s="252"/>
      <c r="ID57" s="252"/>
      <c r="IE57" s="252"/>
      <c r="IF57" s="252"/>
      <c r="IG57" s="252"/>
      <c r="IH57" s="252"/>
      <c r="II57" s="252"/>
      <c r="IJ57" s="252"/>
      <c r="IK57" s="252"/>
      <c r="IL57" s="189">
        <f t="shared" si="0"/>
        <v>243941</v>
      </c>
      <c r="IM57" s="358">
        <f>449000-IL57+350000+350000</f>
        <v>905059</v>
      </c>
      <c r="IN57" s="194" t="str">
        <f t="shared" si="7"/>
        <v>Wafl</v>
      </c>
      <c r="IP57" s="234">
        <f t="shared" si="3"/>
        <v>243941</v>
      </c>
      <c r="IQ57" s="316">
        <f>COUNT(B57:FZ57)+5</f>
        <v>58</v>
      </c>
      <c r="IT57" s="234">
        <v>71377</v>
      </c>
      <c r="IU57" s="234"/>
      <c r="IV57" s="979">
        <v>53</v>
      </c>
      <c r="IW57" s="981">
        <f t="shared" si="9"/>
        <v>25678</v>
      </c>
      <c r="IX57" s="977">
        <f t="shared" si="4"/>
        <v>243941</v>
      </c>
      <c r="IY57" s="978" t="str">
        <f t="shared" si="5"/>
        <v>Wafl</v>
      </c>
    </row>
    <row r="58" spans="1:259" ht="10.15" customHeight="1">
      <c r="A58" s="195" t="s">
        <v>181</v>
      </c>
      <c r="B58" s="252"/>
      <c r="C58" s="252"/>
      <c r="D58" s="252"/>
      <c r="E58" s="252"/>
      <c r="F58" s="252"/>
      <c r="G58" s="252"/>
      <c r="H58" s="252"/>
      <c r="I58" s="252"/>
      <c r="J58" s="252"/>
      <c r="K58" s="252"/>
      <c r="L58" s="252"/>
      <c r="M58" s="252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  <c r="AA58" s="252"/>
      <c r="AB58" s="252"/>
      <c r="AC58" s="252"/>
      <c r="AD58" s="252"/>
      <c r="AE58" s="252"/>
      <c r="AF58" s="252"/>
      <c r="AG58" s="252"/>
      <c r="AH58" s="252"/>
      <c r="AI58" s="252"/>
      <c r="AJ58" s="252"/>
      <c r="AK58" s="252"/>
      <c r="AL58" s="252"/>
      <c r="AM58" s="252"/>
      <c r="AN58" s="252"/>
      <c r="AO58" s="252"/>
      <c r="AP58" s="252"/>
      <c r="AQ58" s="252"/>
      <c r="AR58" s="252"/>
      <c r="AS58" s="252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252"/>
      <c r="BI58" s="252"/>
      <c r="BJ58" s="252"/>
      <c r="BK58" s="252"/>
      <c r="BL58" s="252"/>
      <c r="BM58" s="252"/>
      <c r="BN58" s="252"/>
      <c r="BO58" s="252"/>
      <c r="BP58" s="252"/>
      <c r="BQ58" s="252"/>
      <c r="BR58" s="1131"/>
      <c r="BS58" s="1131"/>
      <c r="BT58" s="1131"/>
      <c r="BU58" s="1131"/>
      <c r="BV58" s="252"/>
      <c r="BW58" s="252"/>
      <c r="BX58" s="252"/>
      <c r="BY58" s="252"/>
      <c r="BZ58" s="252"/>
      <c r="CA58" s="252"/>
      <c r="CB58" s="252"/>
      <c r="CC58" s="252"/>
      <c r="CD58" s="252"/>
      <c r="CE58" s="252"/>
      <c r="CF58" s="252"/>
      <c r="CG58" s="252"/>
      <c r="CH58" s="252"/>
      <c r="CI58" s="1139"/>
      <c r="CJ58" s="252"/>
      <c r="CK58" s="252"/>
      <c r="CL58" s="252"/>
      <c r="CM58" s="252"/>
      <c r="CN58" s="252"/>
      <c r="CO58" s="1166"/>
      <c r="CP58" s="1166"/>
      <c r="CQ58" s="252"/>
      <c r="CR58" s="252"/>
      <c r="CS58" s="252"/>
      <c r="CT58" s="252"/>
      <c r="CU58" s="252"/>
      <c r="CV58" s="252"/>
      <c r="CW58" s="252"/>
      <c r="CX58" s="252"/>
      <c r="CY58" s="252"/>
      <c r="CZ58" s="252"/>
      <c r="DA58" s="252"/>
      <c r="DB58" s="252"/>
      <c r="DC58" s="252"/>
      <c r="DD58" s="252"/>
      <c r="DE58" s="252"/>
      <c r="DF58" s="252"/>
      <c r="DG58" s="252"/>
      <c r="DH58" s="252"/>
      <c r="DI58" s="252"/>
      <c r="DJ58" s="252"/>
      <c r="DK58" s="252"/>
      <c r="DL58" s="252"/>
      <c r="DM58" s="252"/>
      <c r="DN58" s="252"/>
      <c r="DO58" s="252"/>
      <c r="DP58" s="252"/>
      <c r="DQ58" s="252"/>
      <c r="DR58" s="252"/>
      <c r="DS58" s="252"/>
      <c r="DT58" s="252"/>
      <c r="DU58" s="252"/>
      <c r="DV58" s="252"/>
      <c r="DW58" s="252"/>
      <c r="DX58" s="1166"/>
      <c r="DY58" s="1166"/>
      <c r="DZ58" s="1196"/>
      <c r="EA58" s="252"/>
      <c r="EB58" s="252"/>
      <c r="EC58" s="252"/>
      <c r="ED58" s="252"/>
      <c r="EE58" s="252"/>
      <c r="EF58" s="252"/>
      <c r="EG58" s="252"/>
      <c r="EH58" s="252"/>
      <c r="EI58" s="252"/>
      <c r="EJ58" s="252"/>
      <c r="EK58" s="252"/>
      <c r="EL58" s="252"/>
      <c r="EM58" s="252"/>
      <c r="EN58" s="252"/>
      <c r="EO58" s="252"/>
      <c r="EP58" s="252"/>
      <c r="EQ58" s="252"/>
      <c r="ER58" s="252"/>
      <c r="ES58" s="252"/>
      <c r="ET58" s="252"/>
      <c r="EU58" s="252"/>
      <c r="EV58" s="252"/>
      <c r="EW58" s="252"/>
      <c r="EX58" s="252"/>
      <c r="EY58" s="252"/>
      <c r="EZ58" s="252"/>
      <c r="FA58" s="252"/>
      <c r="FB58" s="252"/>
      <c r="FC58" s="252"/>
      <c r="FD58" s="252"/>
      <c r="FE58" s="252"/>
      <c r="FF58" s="1218"/>
      <c r="FG58" s="1218"/>
      <c r="FH58" s="1218"/>
      <c r="FI58" s="1218"/>
      <c r="FJ58" s="1218"/>
      <c r="FK58" s="1218"/>
      <c r="FL58" s="1218"/>
      <c r="FM58" s="1218"/>
      <c r="FN58" s="1218"/>
      <c r="FO58" s="252"/>
      <c r="FP58" s="252"/>
      <c r="FQ58" s="252"/>
      <c r="FR58" s="252"/>
      <c r="FS58" s="252"/>
      <c r="FT58" s="252"/>
      <c r="FU58" s="252"/>
      <c r="FV58" s="252"/>
      <c r="FW58" s="252"/>
      <c r="FX58" s="252"/>
      <c r="FY58" s="252"/>
      <c r="FZ58" s="252"/>
      <c r="GA58" s="252"/>
      <c r="GB58" s="252"/>
      <c r="GC58" s="252"/>
      <c r="GD58" s="252"/>
      <c r="GE58" s="252"/>
      <c r="GF58" s="252"/>
      <c r="GG58" s="252"/>
      <c r="GH58" s="252"/>
      <c r="GI58" s="252"/>
      <c r="GJ58" s="252"/>
      <c r="GK58" s="252"/>
      <c r="GL58" s="252"/>
      <c r="GM58" s="252"/>
      <c r="GN58" s="252"/>
      <c r="GO58" s="252"/>
      <c r="GP58" s="252"/>
      <c r="GQ58" s="252"/>
      <c r="GR58" s="252"/>
      <c r="GS58" s="252"/>
      <c r="GT58" s="252"/>
      <c r="GU58" s="252"/>
      <c r="GV58" s="252"/>
      <c r="GW58" s="252"/>
      <c r="GX58" s="252"/>
      <c r="GY58" s="252"/>
      <c r="GZ58" s="252"/>
      <c r="HA58" s="252"/>
      <c r="HB58" s="252"/>
      <c r="HC58" s="252"/>
      <c r="HD58" s="252"/>
      <c r="HE58" s="252"/>
      <c r="HF58" s="252"/>
      <c r="HG58" s="252"/>
      <c r="HH58" s="252"/>
      <c r="HI58" s="252"/>
      <c r="HJ58" s="252"/>
      <c r="HK58" s="252"/>
      <c r="HL58" s="252"/>
      <c r="HM58" s="252"/>
      <c r="HN58" s="252"/>
      <c r="HO58" s="252"/>
      <c r="HP58" s="252"/>
      <c r="HQ58" s="252"/>
      <c r="HR58" s="252"/>
      <c r="HS58" s="252"/>
      <c r="HT58" s="252"/>
      <c r="HU58" s="252"/>
      <c r="HV58" s="252"/>
      <c r="HW58" s="252"/>
      <c r="HX58" s="252"/>
      <c r="HY58" s="252"/>
      <c r="HZ58" s="252"/>
      <c r="IA58" s="252"/>
      <c r="IB58" s="252"/>
      <c r="IC58" s="252"/>
      <c r="ID58" s="252"/>
      <c r="IE58" s="252"/>
      <c r="IF58" s="252"/>
      <c r="IG58" s="252"/>
      <c r="IH58" s="252"/>
      <c r="II58" s="252"/>
      <c r="IJ58" s="252"/>
      <c r="IK58" s="252"/>
      <c r="IL58" s="189">
        <f t="shared" si="0"/>
        <v>0</v>
      </c>
      <c r="IM58" s="358">
        <f t="shared" ref="IM58:IM63" si="10">100000-IL58</f>
        <v>100000</v>
      </c>
      <c r="IN58" s="194" t="str">
        <f t="shared" si="7"/>
        <v>White Rabbit</v>
      </c>
      <c r="IP58" s="234">
        <f t="shared" si="3"/>
        <v>0</v>
      </c>
      <c r="IQ58" s="316">
        <f>COUNT(B58:FZ58)</f>
        <v>0</v>
      </c>
      <c r="IT58" s="234">
        <v>3570</v>
      </c>
      <c r="IU58" s="234"/>
      <c r="IV58" s="979">
        <v>54</v>
      </c>
      <c r="IW58" s="981">
        <f t="shared" si="9"/>
        <v>0</v>
      </c>
      <c r="IX58" s="977">
        <f t="shared" si="4"/>
        <v>0</v>
      </c>
      <c r="IY58" s="978" t="str">
        <f t="shared" si="5"/>
        <v>White Rabbit</v>
      </c>
    </row>
    <row r="59" spans="1:259" ht="10.15" customHeight="1">
      <c r="A59" s="515" t="s">
        <v>205</v>
      </c>
      <c r="B59" s="252"/>
      <c r="C59" s="252"/>
      <c r="D59" s="252"/>
      <c r="E59" s="640"/>
      <c r="F59" s="640">
        <f>'9.20.22'!E10</f>
        <v>978.5</v>
      </c>
      <c r="G59" s="640"/>
      <c r="H59" s="640"/>
      <c r="I59" s="640"/>
      <c r="J59" s="640"/>
      <c r="K59" s="640"/>
      <c r="L59" s="702"/>
      <c r="M59" s="702"/>
      <c r="N59" s="702">
        <f>'9.28.22'!E29</f>
        <v>1045</v>
      </c>
      <c r="O59" s="702"/>
      <c r="P59" s="702">
        <f>'9.30.22'!E10+'9.30.22'!E20</f>
        <v>2964</v>
      </c>
      <c r="Q59" s="702"/>
      <c r="R59" s="702"/>
      <c r="S59" s="738"/>
      <c r="T59" s="738">
        <f>'10.04.22'!E9+'10.04.22'!E19</f>
        <v>3562.5</v>
      </c>
      <c r="U59" s="738"/>
      <c r="V59" s="738">
        <f>'10.06.22'!E31</f>
        <v>636.5</v>
      </c>
      <c r="W59" s="738"/>
      <c r="X59" s="738"/>
      <c r="Y59" s="738"/>
      <c r="Z59" s="589"/>
      <c r="AA59" s="589"/>
      <c r="AB59" s="589"/>
      <c r="AC59" s="589">
        <f>'10.13.22'!E20</f>
        <v>2071</v>
      </c>
      <c r="AD59" s="589">
        <f>'10.14.22'!E11</f>
        <v>1805</v>
      </c>
      <c r="AE59" s="589"/>
      <c r="AF59" s="589"/>
      <c r="AG59" s="640"/>
      <c r="AH59" s="640">
        <f>'10.18.22'!E30</f>
        <v>826.5</v>
      </c>
      <c r="AI59" s="640"/>
      <c r="AJ59" s="640"/>
      <c r="AK59" s="640"/>
      <c r="AL59" s="640"/>
      <c r="AM59" s="640"/>
      <c r="AN59" s="702"/>
      <c r="AO59" s="702"/>
      <c r="AP59" s="702"/>
      <c r="AQ59" s="702">
        <f>'10.27.22'!E7</f>
        <v>2242</v>
      </c>
      <c r="AR59" s="702"/>
      <c r="AS59" s="702"/>
      <c r="AT59" s="702"/>
      <c r="AU59" s="738"/>
      <c r="AV59" s="738"/>
      <c r="AW59" s="738"/>
      <c r="AX59" s="738"/>
      <c r="AY59" s="738">
        <f>'11.04.22'!E19</f>
        <v>1482</v>
      </c>
      <c r="AZ59" s="738"/>
      <c r="BA59" s="738"/>
      <c r="BB59" s="252"/>
      <c r="BC59" s="252"/>
      <c r="BD59" s="252"/>
      <c r="BE59" s="252"/>
      <c r="BF59" s="252"/>
      <c r="BG59" s="252"/>
      <c r="BH59" s="252"/>
      <c r="BI59" s="640"/>
      <c r="BJ59" s="640">
        <f>'11.15.22'!E17</f>
        <v>2508</v>
      </c>
      <c r="BK59" s="640"/>
      <c r="BL59" s="640"/>
      <c r="BM59" s="640"/>
      <c r="BN59" s="640"/>
      <c r="BO59" s="640"/>
      <c r="BP59" s="252"/>
      <c r="BQ59" s="252"/>
      <c r="BR59" s="1131"/>
      <c r="BS59" s="1131"/>
      <c r="BT59" s="1131"/>
      <c r="BU59" s="1131"/>
      <c r="BV59" s="252"/>
      <c r="BW59" s="738"/>
      <c r="BX59" s="738"/>
      <c r="BY59" s="738">
        <f>'11.30.22'!E7</f>
        <v>2945</v>
      </c>
      <c r="BZ59" s="738"/>
      <c r="CA59" s="738"/>
      <c r="CB59" s="738"/>
      <c r="CC59" s="738"/>
      <c r="CD59" s="589">
        <f>'12.05.22'!E27</f>
        <v>2004.5</v>
      </c>
      <c r="CE59" s="589"/>
      <c r="CF59" s="589"/>
      <c r="CG59" s="589"/>
      <c r="CH59" s="252"/>
      <c r="CI59" s="640"/>
      <c r="CJ59" s="640"/>
      <c r="CK59" s="640"/>
      <c r="CL59" s="640">
        <f>'1.11.23'!E18</f>
        <v>1738.5</v>
      </c>
      <c r="CM59" s="640"/>
      <c r="CN59" s="640"/>
      <c r="CO59" s="1166"/>
      <c r="CP59" s="1166"/>
      <c r="CQ59" s="252"/>
      <c r="CR59" s="252"/>
      <c r="CS59" s="252"/>
      <c r="CT59" s="252"/>
      <c r="CU59" s="252"/>
      <c r="CV59" s="252"/>
      <c r="CW59" s="252"/>
      <c r="CX59" s="738"/>
      <c r="CY59" s="738">
        <f>'1.24.23'!E9</f>
        <v>2175.5</v>
      </c>
      <c r="CZ59" s="738"/>
      <c r="DA59" s="738"/>
      <c r="DB59" s="738"/>
      <c r="DC59" s="738"/>
      <c r="DD59" s="738"/>
      <c r="DE59" s="589">
        <f>'1.30.23'!E17</f>
        <v>2612.5</v>
      </c>
      <c r="DF59" s="589"/>
      <c r="DG59" s="589"/>
      <c r="DH59" s="589"/>
      <c r="DI59" s="589"/>
      <c r="DJ59" s="589"/>
      <c r="DK59" s="589"/>
      <c r="DL59" s="640"/>
      <c r="DM59" s="640"/>
      <c r="DN59" s="640"/>
      <c r="DO59" s="640"/>
      <c r="DP59" s="640">
        <f>'2.10.23'!E18</f>
        <v>2185</v>
      </c>
      <c r="DQ59" s="640"/>
      <c r="DR59" s="640"/>
      <c r="DS59" s="702"/>
      <c r="DT59" s="702"/>
      <c r="DU59" s="702"/>
      <c r="DV59" s="702">
        <f>'2.16.23'!E18</f>
        <v>2185</v>
      </c>
      <c r="DW59" s="702"/>
      <c r="DX59" s="1166"/>
      <c r="DY59" s="1166"/>
      <c r="DZ59" s="738">
        <f>'2.20.23'!E27</f>
        <v>1700.5</v>
      </c>
      <c r="EA59" s="738"/>
      <c r="EB59" s="738"/>
      <c r="EC59" s="738"/>
      <c r="ED59" s="738"/>
      <c r="EE59" s="738"/>
      <c r="EF59" s="738"/>
      <c r="EG59" s="702">
        <f>'2.27.23'!E18</f>
        <v>2926</v>
      </c>
      <c r="EH59" s="702"/>
      <c r="EI59" s="702"/>
      <c r="EJ59" s="702"/>
      <c r="EK59" s="702"/>
      <c r="EL59" s="702"/>
      <c r="EM59" s="702"/>
      <c r="EN59" s="738"/>
      <c r="EO59" s="738"/>
      <c r="EP59" s="738"/>
      <c r="EQ59" s="738">
        <f>'3.9.23'!E18</f>
        <v>2907</v>
      </c>
      <c r="ER59" s="738"/>
      <c r="ES59" s="738"/>
      <c r="ET59" s="738"/>
      <c r="EU59" s="589"/>
      <c r="EV59" s="589"/>
      <c r="EW59" s="589">
        <f>'3.15.23'!E9</f>
        <v>2365.5</v>
      </c>
      <c r="EX59" s="589"/>
      <c r="EY59" s="589"/>
      <c r="EZ59" s="589"/>
      <c r="FA59" s="589"/>
      <c r="FB59" s="640"/>
      <c r="FC59" s="640"/>
      <c r="FD59" s="640">
        <f>'3.22.23'!E9 + '3.22.23'!E19</f>
        <v>5567</v>
      </c>
      <c r="FE59" s="640"/>
      <c r="FF59" s="1218"/>
      <c r="FG59" s="1218"/>
      <c r="FH59" s="1218"/>
      <c r="FI59" s="1218"/>
      <c r="FJ59" s="1218"/>
      <c r="FK59" s="1218"/>
      <c r="FL59" s="1218"/>
      <c r="FM59" s="1218"/>
      <c r="FN59" s="1218"/>
      <c r="FO59" s="702"/>
      <c r="FP59" s="702"/>
      <c r="FQ59" s="702"/>
      <c r="FR59" s="702"/>
      <c r="FS59" s="702">
        <f>'4.6.23'!E8</f>
        <v>2242</v>
      </c>
      <c r="FT59" s="702"/>
      <c r="FU59" s="702"/>
      <c r="FV59" s="702"/>
      <c r="FW59" s="738"/>
      <c r="FX59" s="738"/>
      <c r="FY59" s="738">
        <f>'4.12.23'!E29</f>
        <v>2612.5</v>
      </c>
      <c r="FZ59" s="738"/>
      <c r="GA59" s="738"/>
      <c r="GB59" s="738"/>
      <c r="GC59" s="738"/>
      <c r="GD59" s="702"/>
      <c r="GE59" s="702">
        <f>'4.18.23'!E9</f>
        <v>2118.5</v>
      </c>
      <c r="GF59" s="702"/>
      <c r="GG59" s="702">
        <f>'4.20.23'!E18</f>
        <v>3059</v>
      </c>
      <c r="GH59" s="702"/>
      <c r="GI59" s="702"/>
      <c r="GJ59" s="702"/>
      <c r="GK59" s="252"/>
      <c r="GL59" s="252"/>
      <c r="GM59" s="252"/>
      <c r="GN59" s="252"/>
      <c r="GO59" s="252"/>
      <c r="GP59" s="252"/>
      <c r="GQ59" s="252"/>
      <c r="GR59" s="252"/>
      <c r="GS59" s="252"/>
      <c r="GT59" s="252"/>
      <c r="GU59" s="252"/>
      <c r="GV59" s="252"/>
      <c r="GW59" s="252"/>
      <c r="GX59" s="252"/>
      <c r="GY59" s="738"/>
      <c r="GZ59" s="738"/>
      <c r="HA59" s="738"/>
      <c r="HB59" s="738">
        <f>'5.11.23'!E7</f>
        <v>3011.5</v>
      </c>
      <c r="HC59" s="738"/>
      <c r="HD59" s="738"/>
      <c r="HE59" s="738"/>
      <c r="HF59" s="702"/>
      <c r="HG59" s="702"/>
      <c r="HH59" s="702">
        <f>'5.17.23'!E8</f>
        <v>3182.5</v>
      </c>
      <c r="HI59" s="702"/>
      <c r="HJ59" s="702"/>
      <c r="HK59" s="702"/>
      <c r="HL59" s="702"/>
      <c r="HM59" s="640">
        <f>'5.22.23'!E17</f>
        <v>3287</v>
      </c>
      <c r="HN59" s="640"/>
      <c r="HO59" s="640"/>
      <c r="HP59" s="640"/>
      <c r="HQ59" s="640"/>
      <c r="HR59" s="640"/>
      <c r="HS59" s="640"/>
      <c r="HT59" s="252"/>
      <c r="HU59" s="252"/>
      <c r="HV59" s="252"/>
      <c r="HW59" s="252"/>
      <c r="HX59" s="252"/>
      <c r="HY59" s="252"/>
      <c r="HZ59" s="252"/>
      <c r="IA59" s="252"/>
      <c r="IB59" s="252"/>
      <c r="IC59" s="252"/>
      <c r="ID59" s="252"/>
      <c r="IE59" s="252">
        <f>'6.9.23'!E18</f>
        <v>3078</v>
      </c>
      <c r="IF59" s="252"/>
      <c r="IG59" s="252"/>
      <c r="IH59" s="252"/>
      <c r="II59" s="252"/>
      <c r="IJ59" s="252"/>
      <c r="IK59" s="252"/>
      <c r="IL59" s="189">
        <f t="shared" si="0"/>
        <v>74024</v>
      </c>
      <c r="IM59" s="522">
        <f t="shared" si="10"/>
        <v>25976</v>
      </c>
      <c r="IN59" s="194" t="str">
        <f t="shared" si="7"/>
        <v>Yalla</v>
      </c>
      <c r="IP59" s="234">
        <f t="shared" si="3"/>
        <v>74024</v>
      </c>
      <c r="IQ59" s="316">
        <f>COUNT(B59:FZ59)+4+3</f>
        <v>32</v>
      </c>
      <c r="IT59" s="234">
        <v>43804.5</v>
      </c>
      <c r="IU59" s="234"/>
      <c r="IV59" s="979">
        <v>55</v>
      </c>
      <c r="IW59" s="981">
        <f t="shared" si="9"/>
        <v>7792</v>
      </c>
      <c r="IX59" s="977">
        <f t="shared" si="4"/>
        <v>74024</v>
      </c>
      <c r="IY59" s="978" t="str">
        <f t="shared" si="5"/>
        <v>Yalla</v>
      </c>
    </row>
    <row r="60" spans="1:259" ht="10.15" customHeight="1">
      <c r="A60" s="195" t="s">
        <v>244</v>
      </c>
      <c r="B60" s="252"/>
      <c r="C60" s="252"/>
      <c r="D60" s="252"/>
      <c r="E60" s="640"/>
      <c r="F60" s="640">
        <f>'9.20.22'!E7</f>
        <v>4579</v>
      </c>
      <c r="G60" s="640"/>
      <c r="H60" s="640">
        <f>'9.22.22'!E8+'9.22.22'!E18</f>
        <v>7210.5</v>
      </c>
      <c r="I60" s="640"/>
      <c r="J60" s="640"/>
      <c r="K60" s="640"/>
      <c r="L60" s="702">
        <f>'9.26.22'!E7</f>
        <v>4398.5</v>
      </c>
      <c r="M60" s="702"/>
      <c r="N60" s="702"/>
      <c r="O60" s="702">
        <f>'9.29.22'!E8</f>
        <v>4313</v>
      </c>
      <c r="P60" s="702"/>
      <c r="Q60" s="702"/>
      <c r="R60" s="702"/>
      <c r="S60" s="738"/>
      <c r="T60" s="738"/>
      <c r="U60" s="738"/>
      <c r="V60" s="738"/>
      <c r="W60" s="738">
        <f>'10.07.22'!E19+'10.07.22'!E29</f>
        <v>4883</v>
      </c>
      <c r="X60" s="738"/>
      <c r="Y60" s="738"/>
      <c r="Z60" s="589">
        <f>'10.10.22'!E7</f>
        <v>4816.5</v>
      </c>
      <c r="AA60" s="589">
        <f>'10.11.22'!E20+'10.11.22'!E29</f>
        <v>6469.5</v>
      </c>
      <c r="AB60" s="589"/>
      <c r="AC60" s="589">
        <f>'10.13.22'!E9+'10.13.22'!E19</f>
        <v>8246</v>
      </c>
      <c r="AD60" s="589"/>
      <c r="AE60" s="589"/>
      <c r="AF60" s="589"/>
      <c r="AG60" s="640"/>
      <c r="AH60" s="640">
        <f>'10.18.22'!E8</f>
        <v>5158.5</v>
      </c>
      <c r="AI60" s="640"/>
      <c r="AJ60" s="640">
        <f>'10.20.22'!E8 + '10.20.22'!E18</f>
        <v>8531</v>
      </c>
      <c r="AK60" s="640"/>
      <c r="AL60" s="640"/>
      <c r="AM60" s="640"/>
      <c r="AN60" s="702"/>
      <c r="AO60" s="702">
        <f>'10.25.22'!E11</f>
        <v>4208.5</v>
      </c>
      <c r="AP60" s="702"/>
      <c r="AQ60" s="702">
        <f>'10.27.22'!E9</f>
        <v>4199</v>
      </c>
      <c r="AR60" s="702"/>
      <c r="AS60" s="702"/>
      <c r="AT60" s="702"/>
      <c r="AU60" s="738"/>
      <c r="AV60" s="738">
        <f>'11.01.22'!E17</f>
        <v>5614.5</v>
      </c>
      <c r="AW60" s="738"/>
      <c r="AX60" s="738">
        <f>'11.03.22'!E18</f>
        <v>5225</v>
      </c>
      <c r="AY60" s="738"/>
      <c r="AZ60" s="738"/>
      <c r="BA60" s="738"/>
      <c r="BB60" s="589"/>
      <c r="BC60" s="1129">
        <f>'11.08.22'!E19</f>
        <v>5282</v>
      </c>
      <c r="BD60" s="589"/>
      <c r="BE60" s="589"/>
      <c r="BF60" s="589"/>
      <c r="BG60" s="589"/>
      <c r="BH60" s="589"/>
      <c r="BI60" s="640">
        <f>'11.14.22'!E18</f>
        <v>4911.5</v>
      </c>
      <c r="BJ60" s="640"/>
      <c r="BK60" s="640"/>
      <c r="BL60" s="640"/>
      <c r="BM60" s="640"/>
      <c r="BN60" s="640"/>
      <c r="BO60" s="640"/>
      <c r="BP60" s="702">
        <f>'11.21.22'!E18</f>
        <v>5073</v>
      </c>
      <c r="BQ60" s="702"/>
      <c r="BR60" s="1134"/>
      <c r="BS60" s="1134"/>
      <c r="BT60" s="1134"/>
      <c r="BU60" s="1134"/>
      <c r="BV60" s="702"/>
      <c r="BW60" s="738"/>
      <c r="BX60" s="738">
        <f>'11.29.22'!E9</f>
        <v>5671.5</v>
      </c>
      <c r="BY60" s="738"/>
      <c r="BZ60" s="738">
        <f>'12.01.22'!E19</f>
        <v>6051.5</v>
      </c>
      <c r="CA60" s="738"/>
      <c r="CB60" s="738"/>
      <c r="CC60" s="738"/>
      <c r="CD60" s="589">
        <f>'12.05.22'!E19</f>
        <v>6802</v>
      </c>
      <c r="CE60" s="589"/>
      <c r="CF60" s="589"/>
      <c r="CG60" s="589"/>
      <c r="CH60" s="252"/>
      <c r="CI60" s="640"/>
      <c r="CJ60" s="640"/>
      <c r="CK60" s="640">
        <f>'1.10.23'!E18</f>
        <v>4199</v>
      </c>
      <c r="CL60" s="640"/>
      <c r="CM60" s="640"/>
      <c r="CN60" s="640">
        <f>'1.13.23'!E19</f>
        <v>4816.5</v>
      </c>
      <c r="CO60" s="1166"/>
      <c r="CP60" s="1166"/>
      <c r="CQ60" s="702"/>
      <c r="CR60" s="702"/>
      <c r="CS60" s="702"/>
      <c r="CT60" s="702"/>
      <c r="CU60" s="702">
        <f>'1.20.23'!E29</f>
        <v>2669.5</v>
      </c>
      <c r="CV60" s="702"/>
      <c r="CW60" s="702"/>
      <c r="CX60" s="738">
        <f>'1.23.23'!E19</f>
        <v>4769</v>
      </c>
      <c r="CY60" s="738"/>
      <c r="CZ60" s="738"/>
      <c r="DA60" s="738">
        <f>'1.26.23'!E8</f>
        <v>5434</v>
      </c>
      <c r="DB60" s="738"/>
      <c r="DC60" s="738"/>
      <c r="DD60" s="738"/>
      <c r="DE60" s="589">
        <f>'1.30.23'!E9</f>
        <v>5263</v>
      </c>
      <c r="DF60" s="589">
        <f>'1.31.23'!E19</f>
        <v>5671.5</v>
      </c>
      <c r="DG60" s="589"/>
      <c r="DH60" s="589"/>
      <c r="DI60" s="589"/>
      <c r="DJ60" s="589"/>
      <c r="DK60" s="589"/>
      <c r="DL60" s="252">
        <f>'2.06.23'!E9</f>
        <v>5139.5</v>
      </c>
      <c r="DM60" s="252"/>
      <c r="DN60" s="252"/>
      <c r="DO60" s="252"/>
      <c r="DP60" s="252">
        <f>'2.10.23'!E8</f>
        <v>5225</v>
      </c>
      <c r="DQ60" s="252"/>
      <c r="DR60" s="252"/>
      <c r="DS60" s="702"/>
      <c r="DT60" s="702"/>
      <c r="DU60" s="702"/>
      <c r="DV60" s="702">
        <f>'2.16.23'!E8</f>
        <v>5367.5</v>
      </c>
      <c r="DW60" s="702"/>
      <c r="DX60" s="1166"/>
      <c r="DY60" s="1166"/>
      <c r="DZ60" s="738"/>
      <c r="EA60" s="738"/>
      <c r="EB60" s="738"/>
      <c r="EC60" s="738">
        <f>'2.23.23'!E18</f>
        <v>6203.5</v>
      </c>
      <c r="ED60" s="738"/>
      <c r="EE60" s="738"/>
      <c r="EF60" s="738"/>
      <c r="EG60" s="702"/>
      <c r="EH60" s="702">
        <f>'2.28.23'!E18</f>
        <v>6127.5</v>
      </c>
      <c r="EI60" s="702"/>
      <c r="EJ60" s="702"/>
      <c r="EK60" s="702"/>
      <c r="EL60" s="702"/>
      <c r="EM60" s="702"/>
      <c r="EN60" s="738">
        <f>'3.6.23'!E7</f>
        <v>6327</v>
      </c>
      <c r="EO60" s="738"/>
      <c r="EP60" s="738">
        <f>'3.8.23'!E17</f>
        <v>7039.5</v>
      </c>
      <c r="EQ60" s="738"/>
      <c r="ER60" s="738"/>
      <c r="ES60" s="738"/>
      <c r="ET60" s="738"/>
      <c r="EU60" s="589"/>
      <c r="EV60" s="589"/>
      <c r="EW60" s="589">
        <f>'3.15.23'!E19</f>
        <v>7723.5</v>
      </c>
      <c r="EX60" s="589"/>
      <c r="EY60" s="589">
        <f>'3.17.23'!E7</f>
        <v>6593</v>
      </c>
      <c r="EZ60" s="589"/>
      <c r="FA60" s="589"/>
      <c r="FB60" s="640">
        <f>'3.20.23'!E17</f>
        <v>8056</v>
      </c>
      <c r="FC60" s="640"/>
      <c r="FD60" s="640"/>
      <c r="FE60" s="640"/>
      <c r="FF60" s="1218"/>
      <c r="FG60" s="1218"/>
      <c r="FH60" s="1218"/>
      <c r="FI60" s="1218"/>
      <c r="FJ60" s="1218"/>
      <c r="FK60" s="1218"/>
      <c r="FL60" s="1218"/>
      <c r="FM60" s="1218"/>
      <c r="FN60" s="1218"/>
      <c r="FO60" s="702"/>
      <c r="FP60" s="702">
        <f>'4.3.23'!E8</f>
        <v>5443.5</v>
      </c>
      <c r="FQ60" s="702"/>
      <c r="FR60" s="702"/>
      <c r="FS60" s="702">
        <f>'4.6.23'!E9</f>
        <v>4750</v>
      </c>
      <c r="FT60" s="702"/>
      <c r="FU60" s="702"/>
      <c r="FV60" s="702"/>
      <c r="FW60" s="738"/>
      <c r="FX60" s="738"/>
      <c r="FY60" s="738"/>
      <c r="FZ60" s="738">
        <f>'4.13.23'!E17</f>
        <v>6593</v>
      </c>
      <c r="GA60" s="738"/>
      <c r="GB60" s="738"/>
      <c r="GC60" s="738"/>
      <c r="GD60" s="702"/>
      <c r="GE60" s="702"/>
      <c r="GF60" s="702">
        <f>'4.19.23'!E8</f>
        <v>5823.5</v>
      </c>
      <c r="GG60" s="702"/>
      <c r="GH60" s="702"/>
      <c r="GI60" s="702"/>
      <c r="GJ60" s="702"/>
      <c r="GK60" s="640"/>
      <c r="GL60" s="640"/>
      <c r="GM60" s="640"/>
      <c r="GN60" s="640"/>
      <c r="GO60" s="640">
        <f>'4.28.23'!E27</f>
        <v>3439</v>
      </c>
      <c r="GP60" s="640"/>
      <c r="GQ60" s="640"/>
      <c r="GR60" s="589">
        <f>'5.01.23'!E17</f>
        <v>7828</v>
      </c>
      <c r="GS60" s="589"/>
      <c r="GT60" s="589"/>
      <c r="GU60" s="589"/>
      <c r="GV60" s="589"/>
      <c r="GW60" s="589"/>
      <c r="GX60" s="589"/>
      <c r="GY60" s="252"/>
      <c r="GZ60" s="252"/>
      <c r="HA60" s="252"/>
      <c r="HB60" s="252"/>
      <c r="HC60" s="252"/>
      <c r="HD60" s="252"/>
      <c r="HE60" s="252"/>
      <c r="HF60" s="702"/>
      <c r="HG60" s="702">
        <f>'5.16.23'!E18</f>
        <v>8037</v>
      </c>
      <c r="HH60" s="702"/>
      <c r="HI60" s="702"/>
      <c r="HJ60" s="702"/>
      <c r="HK60" s="702"/>
      <c r="HL60" s="702"/>
      <c r="HM60" s="640"/>
      <c r="HN60" s="640"/>
      <c r="HO60" s="640"/>
      <c r="HP60" s="640"/>
      <c r="HQ60" s="640">
        <f>'5.26.23'!E17</f>
        <v>6004</v>
      </c>
      <c r="HR60" s="640"/>
      <c r="HS60" s="640"/>
      <c r="HT60" s="589"/>
      <c r="HU60" s="589"/>
      <c r="HV60" s="589"/>
      <c r="HW60" s="589">
        <f>'6.01.23'!E8</f>
        <v>6517</v>
      </c>
      <c r="HX60" s="589"/>
      <c r="HY60" s="589"/>
      <c r="HZ60" s="589"/>
      <c r="IA60" s="252"/>
      <c r="IB60" s="252"/>
      <c r="IC60" s="252"/>
      <c r="ID60" s="252">
        <f>'6.8.23'!E8</f>
        <v>7267.5</v>
      </c>
      <c r="IE60" s="252"/>
      <c r="IF60" s="252"/>
      <c r="IG60" s="252"/>
      <c r="IH60" s="252"/>
      <c r="II60" s="252"/>
      <c r="IJ60" s="252"/>
      <c r="IK60" s="252"/>
      <c r="IL60" s="189">
        <f t="shared" si="0"/>
        <v>269971</v>
      </c>
      <c r="IM60" s="358">
        <f t="shared" si="10"/>
        <v>-169971</v>
      </c>
      <c r="IN60" s="194" t="str">
        <f t="shared" si="7"/>
        <v>Yuna's Bob</v>
      </c>
      <c r="IP60" s="234">
        <f t="shared" si="3"/>
        <v>269971</v>
      </c>
      <c r="IQ60" s="316">
        <f>COUNT(B60:FZ60)+5+4</f>
        <v>49</v>
      </c>
      <c r="IT60" s="234">
        <v>499011.5</v>
      </c>
      <c r="IU60" s="234"/>
      <c r="IV60" s="979">
        <v>56</v>
      </c>
      <c r="IW60" s="981">
        <f t="shared" si="9"/>
        <v>28418</v>
      </c>
      <c r="IX60" s="977">
        <f t="shared" si="4"/>
        <v>269971</v>
      </c>
      <c r="IY60" s="978" t="str">
        <f t="shared" si="5"/>
        <v>Yuna's Bob</v>
      </c>
    </row>
    <row r="61" spans="1:259" ht="10.15" customHeight="1">
      <c r="A61" s="195"/>
      <c r="B61" s="252"/>
      <c r="C61" s="252"/>
      <c r="D61" s="252"/>
      <c r="E61" s="252"/>
      <c r="F61" s="252"/>
      <c r="G61" s="252"/>
      <c r="H61" s="252"/>
      <c r="I61" s="252"/>
      <c r="J61" s="252"/>
      <c r="K61" s="252"/>
      <c r="L61" s="252"/>
      <c r="M61" s="252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  <c r="AA61" s="252"/>
      <c r="AB61" s="252"/>
      <c r="AC61" s="252"/>
      <c r="AD61" s="252"/>
      <c r="AE61" s="252"/>
      <c r="AF61" s="252"/>
      <c r="AG61" s="252"/>
      <c r="AH61" s="252"/>
      <c r="AI61" s="252"/>
      <c r="AJ61" s="252"/>
      <c r="AK61" s="252"/>
      <c r="AL61" s="252"/>
      <c r="AM61" s="252"/>
      <c r="AN61" s="252"/>
      <c r="AO61" s="252"/>
      <c r="AP61" s="252"/>
      <c r="AQ61" s="252"/>
      <c r="AR61" s="252"/>
      <c r="AS61" s="25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52"/>
      <c r="BI61" s="252"/>
      <c r="BJ61" s="252"/>
      <c r="BK61" s="252"/>
      <c r="BL61" s="252"/>
      <c r="BM61" s="252"/>
      <c r="BN61" s="252"/>
      <c r="BO61" s="252"/>
      <c r="BP61" s="252"/>
      <c r="BQ61" s="252"/>
      <c r="BR61" s="1131"/>
      <c r="BS61" s="1131"/>
      <c r="BT61" s="1131"/>
      <c r="BU61" s="1131"/>
      <c r="BV61" s="252"/>
      <c r="BW61" s="252"/>
      <c r="BX61" s="252"/>
      <c r="BY61" s="252"/>
      <c r="BZ61" s="252"/>
      <c r="CA61" s="252"/>
      <c r="CB61" s="252"/>
      <c r="CC61" s="252"/>
      <c r="CD61" s="252"/>
      <c r="CE61" s="252"/>
      <c r="CF61" s="252"/>
      <c r="CG61" s="252"/>
      <c r="CH61" s="252"/>
      <c r="CI61" s="1139"/>
      <c r="CJ61" s="252"/>
      <c r="CK61" s="252"/>
      <c r="CL61" s="252"/>
      <c r="CM61" s="252"/>
      <c r="CN61" s="252"/>
      <c r="CO61" s="1166"/>
      <c r="CP61" s="1166"/>
      <c r="CQ61" s="252"/>
      <c r="CR61" s="252"/>
      <c r="CS61" s="252"/>
      <c r="CT61" s="252"/>
      <c r="CU61" s="252"/>
      <c r="CV61" s="252"/>
      <c r="CW61" s="252"/>
      <c r="CX61" s="252"/>
      <c r="CY61" s="252"/>
      <c r="CZ61" s="252"/>
      <c r="DA61" s="252"/>
      <c r="DB61" s="252"/>
      <c r="DC61" s="252"/>
      <c r="DD61" s="252"/>
      <c r="DE61" s="252"/>
      <c r="DF61" s="252"/>
      <c r="DG61" s="252"/>
      <c r="DH61" s="252"/>
      <c r="DI61" s="252"/>
      <c r="DJ61" s="252"/>
      <c r="DK61" s="252"/>
      <c r="DL61" s="252"/>
      <c r="DM61" s="252"/>
      <c r="DN61" s="252"/>
      <c r="DO61" s="252"/>
      <c r="DP61" s="252"/>
      <c r="DQ61" s="252"/>
      <c r="DR61" s="252"/>
      <c r="DS61" s="252"/>
      <c r="DT61" s="252"/>
      <c r="DU61" s="252"/>
      <c r="DV61" s="252"/>
      <c r="DW61" s="252"/>
      <c r="DX61" s="1166"/>
      <c r="DY61" s="1166"/>
      <c r="DZ61" s="1196"/>
      <c r="EA61" s="252"/>
      <c r="EB61" s="252"/>
      <c r="EC61" s="252"/>
      <c r="ED61" s="252"/>
      <c r="EE61" s="252"/>
      <c r="EF61" s="252"/>
      <c r="EG61" s="252"/>
      <c r="EH61" s="252"/>
      <c r="EI61" s="252"/>
      <c r="EJ61" s="252"/>
      <c r="EK61" s="252"/>
      <c r="EL61" s="252"/>
      <c r="EM61" s="252"/>
      <c r="EN61" s="252"/>
      <c r="EO61" s="252"/>
      <c r="EP61" s="252"/>
      <c r="EQ61" s="252"/>
      <c r="ER61" s="252"/>
      <c r="ES61" s="252"/>
      <c r="ET61" s="252"/>
      <c r="EU61" s="252"/>
      <c r="EV61" s="252"/>
      <c r="EW61" s="252"/>
      <c r="EX61" s="252"/>
      <c r="EY61" s="252"/>
      <c r="EZ61" s="252"/>
      <c r="FA61" s="252"/>
      <c r="FB61" s="252"/>
      <c r="FC61" s="252"/>
      <c r="FD61" s="252"/>
      <c r="FE61" s="252"/>
      <c r="FF61" s="1218"/>
      <c r="FG61" s="1218"/>
      <c r="FH61" s="1218"/>
      <c r="FI61" s="1218"/>
      <c r="FJ61" s="1218"/>
      <c r="FK61" s="1218"/>
      <c r="FL61" s="1218"/>
      <c r="FM61" s="1218"/>
      <c r="FN61" s="1218"/>
      <c r="FO61" s="252"/>
      <c r="FP61" s="252"/>
      <c r="FQ61" s="252"/>
      <c r="FR61" s="252"/>
      <c r="FS61" s="252"/>
      <c r="FT61" s="252"/>
      <c r="FU61" s="252"/>
      <c r="FV61" s="252"/>
      <c r="FW61" s="252"/>
      <c r="FX61" s="252"/>
      <c r="FY61" s="252"/>
      <c r="FZ61" s="252"/>
      <c r="GA61" s="252"/>
      <c r="GB61" s="252"/>
      <c r="GC61" s="252"/>
      <c r="GD61" s="252"/>
      <c r="GE61" s="252"/>
      <c r="GF61" s="252"/>
      <c r="GG61" s="252"/>
      <c r="GH61" s="252"/>
      <c r="GI61" s="252"/>
      <c r="GJ61" s="252"/>
      <c r="GK61" s="252"/>
      <c r="GL61" s="252"/>
      <c r="GM61" s="252"/>
      <c r="GN61" s="252"/>
      <c r="GO61" s="252"/>
      <c r="GP61" s="252"/>
      <c r="GQ61" s="252"/>
      <c r="GR61" s="252"/>
      <c r="GS61" s="252"/>
      <c r="GT61" s="252"/>
      <c r="GU61" s="252"/>
      <c r="GV61" s="252"/>
      <c r="GW61" s="252"/>
      <c r="GX61" s="252"/>
      <c r="GY61" s="252"/>
      <c r="GZ61" s="252"/>
      <c r="HA61" s="252"/>
      <c r="HB61" s="252"/>
      <c r="HC61" s="252"/>
      <c r="HD61" s="252"/>
      <c r="HE61" s="252"/>
      <c r="HF61" s="252"/>
      <c r="HG61" s="252"/>
      <c r="HH61" s="252"/>
      <c r="HI61" s="252"/>
      <c r="HJ61" s="252"/>
      <c r="HK61" s="252"/>
      <c r="HL61" s="252"/>
      <c r="HM61" s="252"/>
      <c r="HN61" s="252"/>
      <c r="HO61" s="252"/>
      <c r="HP61" s="252"/>
      <c r="HQ61" s="252"/>
      <c r="HR61" s="252"/>
      <c r="HS61" s="252"/>
      <c r="HT61" s="252"/>
      <c r="HU61" s="252"/>
      <c r="HV61" s="252"/>
      <c r="HW61" s="252"/>
      <c r="HX61" s="252"/>
      <c r="HY61" s="252"/>
      <c r="HZ61" s="252"/>
      <c r="IA61" s="252"/>
      <c r="IB61" s="252"/>
      <c r="IC61" s="252"/>
      <c r="ID61" s="252"/>
      <c r="IE61" s="252"/>
      <c r="IF61" s="252"/>
      <c r="IG61" s="252"/>
      <c r="IH61" s="252"/>
      <c r="II61" s="252"/>
      <c r="IJ61" s="252"/>
      <c r="IK61" s="252"/>
      <c r="IL61" s="189">
        <f t="shared" si="0"/>
        <v>0</v>
      </c>
      <c r="IM61" s="961">
        <f t="shared" si="10"/>
        <v>100000</v>
      </c>
      <c r="IN61" s="195"/>
      <c r="IP61" s="234">
        <f t="shared" si="3"/>
        <v>0</v>
      </c>
      <c r="IT61" s="234">
        <v>7640</v>
      </c>
      <c r="IU61" s="234"/>
      <c r="IV61" s="979">
        <v>57</v>
      </c>
      <c r="IW61" s="981">
        <f t="shared" si="9"/>
        <v>0</v>
      </c>
      <c r="IX61" s="977">
        <f t="shared" si="4"/>
        <v>0</v>
      </c>
      <c r="IY61" s="978">
        <f t="shared" si="5"/>
        <v>0</v>
      </c>
    </row>
    <row r="62" spans="1:259" ht="10.15" customHeight="1">
      <c r="A62" s="195"/>
      <c r="B62" s="252"/>
      <c r="C62" s="252"/>
      <c r="D62" s="252"/>
      <c r="E62" s="252"/>
      <c r="F62" s="252"/>
      <c r="G62" s="252"/>
      <c r="H62" s="252"/>
      <c r="I62" s="252"/>
      <c r="J62" s="252"/>
      <c r="K62" s="252"/>
      <c r="L62" s="252"/>
      <c r="M62" s="252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  <c r="AA62" s="252"/>
      <c r="AB62" s="252"/>
      <c r="AC62" s="252"/>
      <c r="AD62" s="252"/>
      <c r="AE62" s="252"/>
      <c r="AF62" s="252"/>
      <c r="AG62" s="252"/>
      <c r="AH62" s="252"/>
      <c r="AI62" s="252"/>
      <c r="AJ62" s="252"/>
      <c r="AK62" s="252"/>
      <c r="AL62" s="252"/>
      <c r="AM62" s="252"/>
      <c r="AN62" s="252"/>
      <c r="AO62" s="252"/>
      <c r="AP62" s="252"/>
      <c r="AQ62" s="252"/>
      <c r="AR62" s="252"/>
      <c r="AS62" s="252"/>
      <c r="AT62" s="252"/>
      <c r="AU62" s="252"/>
      <c r="AV62" s="252"/>
      <c r="AW62" s="252"/>
      <c r="AX62" s="252"/>
      <c r="AY62" s="252"/>
      <c r="AZ62" s="252"/>
      <c r="BA62" s="252"/>
      <c r="BB62" s="252"/>
      <c r="BC62" s="987"/>
      <c r="BD62" s="252"/>
      <c r="BE62" s="252"/>
      <c r="BF62" s="252"/>
      <c r="BG62" s="252"/>
      <c r="BH62" s="252"/>
      <c r="BI62" s="252"/>
      <c r="BJ62" s="252"/>
      <c r="BK62" s="252"/>
      <c r="BL62" s="252"/>
      <c r="BM62" s="252"/>
      <c r="BN62" s="252"/>
      <c r="BO62" s="252"/>
      <c r="BP62" s="252"/>
      <c r="BQ62" s="252"/>
      <c r="BR62" s="1131"/>
      <c r="BS62" s="1131"/>
      <c r="BT62" s="1131"/>
      <c r="BU62" s="1131"/>
      <c r="BV62" s="252"/>
      <c r="BW62" s="252"/>
      <c r="BX62" s="252"/>
      <c r="BY62" s="252"/>
      <c r="BZ62" s="252"/>
      <c r="CA62" s="252"/>
      <c r="CB62" s="252"/>
      <c r="CC62" s="252"/>
      <c r="CD62" s="252"/>
      <c r="CE62" s="252"/>
      <c r="CF62" s="252"/>
      <c r="CG62" s="252"/>
      <c r="CH62" s="252"/>
      <c r="CI62" s="1139"/>
      <c r="CJ62" s="252"/>
      <c r="CK62" s="252"/>
      <c r="CL62" s="252"/>
      <c r="CM62" s="252"/>
      <c r="CN62" s="252"/>
      <c r="CO62" s="1166"/>
      <c r="CP62" s="1166"/>
      <c r="CQ62" s="252"/>
      <c r="CR62" s="252"/>
      <c r="CS62" s="252"/>
      <c r="CT62" s="252"/>
      <c r="CU62" s="252"/>
      <c r="CV62" s="252"/>
      <c r="CW62" s="252"/>
      <c r="CX62" s="252"/>
      <c r="CY62" s="252"/>
      <c r="CZ62" s="252"/>
      <c r="DA62" s="252"/>
      <c r="DB62" s="252"/>
      <c r="DC62" s="252"/>
      <c r="DD62" s="252"/>
      <c r="DE62" s="252"/>
      <c r="DF62" s="252"/>
      <c r="DG62" s="252"/>
      <c r="DH62" s="252"/>
      <c r="DI62" s="252"/>
      <c r="DJ62" s="252"/>
      <c r="DK62" s="252"/>
      <c r="DL62" s="252"/>
      <c r="DM62" s="252"/>
      <c r="DN62" s="252"/>
      <c r="DO62" s="252"/>
      <c r="DP62" s="252"/>
      <c r="DQ62" s="252"/>
      <c r="DR62" s="252"/>
      <c r="DS62" s="252"/>
      <c r="DT62" s="252"/>
      <c r="DU62" s="252"/>
      <c r="DV62" s="252"/>
      <c r="DW62" s="252"/>
      <c r="DX62" s="1166"/>
      <c r="DY62" s="1166"/>
      <c r="DZ62" s="1196"/>
      <c r="EA62" s="252"/>
      <c r="EB62" s="252"/>
      <c r="EC62" s="252"/>
      <c r="ED62" s="252"/>
      <c r="EE62" s="252"/>
      <c r="EF62" s="252"/>
      <c r="EG62" s="252"/>
      <c r="EH62" s="252"/>
      <c r="EI62" s="252"/>
      <c r="EJ62" s="252"/>
      <c r="EK62" s="252"/>
      <c r="EL62" s="252"/>
      <c r="EM62" s="252"/>
      <c r="EN62" s="252"/>
      <c r="EO62" s="252"/>
      <c r="EP62" s="252"/>
      <c r="EQ62" s="252"/>
      <c r="ER62" s="252"/>
      <c r="ES62" s="252"/>
      <c r="ET62" s="252"/>
      <c r="EU62" s="252"/>
      <c r="EV62" s="252"/>
      <c r="EW62" s="252"/>
      <c r="EX62" s="252"/>
      <c r="EY62" s="252"/>
      <c r="EZ62" s="252"/>
      <c r="FA62" s="252"/>
      <c r="FB62" s="252"/>
      <c r="FC62" s="252"/>
      <c r="FD62" s="252"/>
      <c r="FE62" s="252"/>
      <c r="FF62" s="1218"/>
      <c r="FG62" s="1218"/>
      <c r="FH62" s="1218"/>
      <c r="FI62" s="1218"/>
      <c r="FJ62" s="1218"/>
      <c r="FK62" s="1218"/>
      <c r="FL62" s="1218"/>
      <c r="FM62" s="1218"/>
      <c r="FN62" s="1218"/>
      <c r="FO62" s="252"/>
      <c r="FP62" s="252"/>
      <c r="FQ62" s="252"/>
      <c r="FR62" s="252"/>
      <c r="FS62" s="252"/>
      <c r="FT62" s="252"/>
      <c r="FU62" s="252"/>
      <c r="FV62" s="252"/>
      <c r="FW62" s="252"/>
      <c r="FX62" s="252"/>
      <c r="FY62" s="252"/>
      <c r="FZ62" s="252"/>
      <c r="GA62" s="252"/>
      <c r="GB62" s="252"/>
      <c r="GC62" s="252"/>
      <c r="GD62" s="252"/>
      <c r="GE62" s="252"/>
      <c r="GF62" s="252"/>
      <c r="GG62" s="252"/>
      <c r="GH62" s="252"/>
      <c r="GI62" s="252"/>
      <c r="GJ62" s="252"/>
      <c r="GK62" s="252"/>
      <c r="GL62" s="252"/>
      <c r="GM62" s="252"/>
      <c r="GN62" s="252"/>
      <c r="GO62" s="252"/>
      <c r="GP62" s="252"/>
      <c r="GQ62" s="252"/>
      <c r="GR62" s="252"/>
      <c r="GS62" s="252"/>
      <c r="GT62" s="252"/>
      <c r="GU62" s="252"/>
      <c r="GV62" s="252"/>
      <c r="GW62" s="252"/>
      <c r="GX62" s="252"/>
      <c r="GY62" s="252"/>
      <c r="GZ62" s="252"/>
      <c r="HA62" s="252"/>
      <c r="HB62" s="252"/>
      <c r="HC62" s="252"/>
      <c r="HD62" s="252"/>
      <c r="HE62" s="252"/>
      <c r="HF62" s="252"/>
      <c r="HG62" s="252"/>
      <c r="HH62" s="252"/>
      <c r="HI62" s="252"/>
      <c r="HJ62" s="252"/>
      <c r="HK62" s="252"/>
      <c r="HL62" s="252"/>
      <c r="HM62" s="252"/>
      <c r="HN62" s="252"/>
      <c r="HO62" s="252"/>
      <c r="HP62" s="252"/>
      <c r="HQ62" s="252"/>
      <c r="HR62" s="252"/>
      <c r="HS62" s="252"/>
      <c r="HT62" s="252"/>
      <c r="HU62" s="252"/>
      <c r="HV62" s="252"/>
      <c r="HW62" s="252"/>
      <c r="HX62" s="252"/>
      <c r="HY62" s="252"/>
      <c r="HZ62" s="252"/>
      <c r="IA62" s="252"/>
      <c r="IB62" s="252"/>
      <c r="IC62" s="252"/>
      <c r="ID62" s="252"/>
      <c r="IE62" s="252"/>
      <c r="IF62" s="252"/>
      <c r="IG62" s="252"/>
      <c r="IH62" s="252"/>
      <c r="II62" s="252"/>
      <c r="IJ62" s="252"/>
      <c r="IK62" s="252"/>
      <c r="IL62" s="189">
        <f t="shared" si="0"/>
        <v>0</v>
      </c>
      <c r="IM62" s="961">
        <f t="shared" si="10"/>
        <v>100000</v>
      </c>
      <c r="IN62" s="195"/>
      <c r="IP62" s="234">
        <f t="shared" si="3"/>
        <v>0</v>
      </c>
      <c r="IT62" s="234">
        <v>64586.5</v>
      </c>
      <c r="IU62" s="234"/>
      <c r="IV62" s="979">
        <v>58</v>
      </c>
      <c r="IW62" s="981">
        <f t="shared" si="9"/>
        <v>0</v>
      </c>
      <c r="IX62" s="977">
        <f t="shared" si="4"/>
        <v>0</v>
      </c>
      <c r="IY62" s="978">
        <f t="shared" si="5"/>
        <v>0</v>
      </c>
    </row>
    <row r="63" spans="1:259" s="521" customFormat="1" ht="10.15" customHeight="1">
      <c r="A63" s="195"/>
      <c r="B63" s="252"/>
      <c r="C63" s="252"/>
      <c r="D63" s="252"/>
      <c r="E63" s="252"/>
      <c r="F63" s="252"/>
      <c r="G63" s="252"/>
      <c r="H63" s="252"/>
      <c r="I63" s="252"/>
      <c r="J63" s="252"/>
      <c r="K63" s="252"/>
      <c r="L63" s="252"/>
      <c r="M63" s="252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  <c r="AA63" s="252"/>
      <c r="AB63" s="252"/>
      <c r="AC63" s="252"/>
      <c r="AD63" s="252"/>
      <c r="AE63" s="252"/>
      <c r="AF63" s="252"/>
      <c r="AG63" s="252"/>
      <c r="AH63" s="252"/>
      <c r="AI63" s="252"/>
      <c r="AJ63" s="252"/>
      <c r="AK63" s="252"/>
      <c r="AL63" s="252"/>
      <c r="AM63" s="252"/>
      <c r="AN63" s="252"/>
      <c r="AO63" s="252"/>
      <c r="AP63" s="252"/>
      <c r="AQ63" s="252"/>
      <c r="AR63" s="252"/>
      <c r="AS63" s="25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52"/>
      <c r="BI63" s="252"/>
      <c r="BJ63" s="252"/>
      <c r="BK63" s="252"/>
      <c r="BL63" s="252"/>
      <c r="BM63" s="252"/>
      <c r="BN63" s="252"/>
      <c r="BO63" s="252"/>
      <c r="BP63" s="252"/>
      <c r="BQ63" s="252"/>
      <c r="BR63" s="1131"/>
      <c r="BS63" s="1131"/>
      <c r="BT63" s="1131"/>
      <c r="BU63" s="1131"/>
      <c r="BV63" s="252"/>
      <c r="BW63" s="252"/>
      <c r="BX63" s="252"/>
      <c r="BY63" s="252"/>
      <c r="BZ63" s="252"/>
      <c r="CA63" s="252"/>
      <c r="CB63" s="252"/>
      <c r="CC63" s="252"/>
      <c r="CD63" s="252"/>
      <c r="CE63" s="252"/>
      <c r="CF63" s="252"/>
      <c r="CG63" s="252"/>
      <c r="CH63" s="252"/>
      <c r="CI63" s="1139"/>
      <c r="CJ63" s="252"/>
      <c r="CK63" s="252"/>
      <c r="CL63" s="252"/>
      <c r="CM63" s="252"/>
      <c r="CN63" s="252"/>
      <c r="CO63" s="1166"/>
      <c r="CP63" s="1166"/>
      <c r="CQ63" s="252"/>
      <c r="CR63" s="252"/>
      <c r="CS63" s="252"/>
      <c r="CT63" s="252"/>
      <c r="CU63" s="252"/>
      <c r="CV63" s="252"/>
      <c r="CW63" s="252"/>
      <c r="CX63" s="252"/>
      <c r="CY63" s="252"/>
      <c r="CZ63" s="252"/>
      <c r="DA63" s="252"/>
      <c r="DB63" s="252"/>
      <c r="DC63" s="252"/>
      <c r="DD63" s="252"/>
      <c r="DE63" s="252"/>
      <c r="DF63" s="252"/>
      <c r="DG63" s="252"/>
      <c r="DH63" s="252"/>
      <c r="DI63" s="252"/>
      <c r="DJ63" s="252"/>
      <c r="DK63" s="252"/>
      <c r="DL63" s="252"/>
      <c r="DM63" s="252"/>
      <c r="DN63" s="252"/>
      <c r="DO63" s="252"/>
      <c r="DP63" s="252"/>
      <c r="DQ63" s="252"/>
      <c r="DR63" s="252"/>
      <c r="DS63" s="252"/>
      <c r="DT63" s="252"/>
      <c r="DU63" s="252"/>
      <c r="DV63" s="252"/>
      <c r="DW63" s="252"/>
      <c r="DX63" s="1166"/>
      <c r="DY63" s="1166"/>
      <c r="DZ63" s="1196"/>
      <c r="EA63" s="252"/>
      <c r="EB63" s="252"/>
      <c r="EC63" s="252"/>
      <c r="ED63" s="252"/>
      <c r="EE63" s="252"/>
      <c r="EF63" s="252"/>
      <c r="EG63" s="252"/>
      <c r="EH63" s="252"/>
      <c r="EI63" s="252"/>
      <c r="EJ63" s="252"/>
      <c r="EK63" s="252"/>
      <c r="EL63" s="252"/>
      <c r="EM63" s="252"/>
      <c r="EN63" s="252"/>
      <c r="EO63" s="252"/>
      <c r="EP63" s="252"/>
      <c r="EQ63" s="252"/>
      <c r="ER63" s="252"/>
      <c r="ES63" s="252"/>
      <c r="ET63" s="252"/>
      <c r="EU63" s="252"/>
      <c r="EV63" s="252"/>
      <c r="EW63" s="252"/>
      <c r="EX63" s="252"/>
      <c r="EY63" s="252"/>
      <c r="EZ63" s="252"/>
      <c r="FA63" s="252"/>
      <c r="FB63" s="252"/>
      <c r="FC63" s="252"/>
      <c r="FD63" s="252"/>
      <c r="FE63" s="252"/>
      <c r="FF63" s="1218"/>
      <c r="FG63" s="1218"/>
      <c r="FH63" s="1218"/>
      <c r="FI63" s="1218"/>
      <c r="FJ63" s="1218"/>
      <c r="FK63" s="1218"/>
      <c r="FL63" s="1218"/>
      <c r="FM63" s="1218"/>
      <c r="FN63" s="1218"/>
      <c r="FO63" s="252"/>
      <c r="FP63" s="252"/>
      <c r="FQ63" s="252"/>
      <c r="FR63" s="252"/>
      <c r="FS63" s="252"/>
      <c r="FT63" s="252"/>
      <c r="FU63" s="252"/>
      <c r="FV63" s="252"/>
      <c r="FW63" s="252"/>
      <c r="FX63" s="252"/>
      <c r="FY63" s="252"/>
      <c r="FZ63" s="252"/>
      <c r="GA63" s="252"/>
      <c r="GB63" s="252"/>
      <c r="GC63" s="252"/>
      <c r="GD63" s="252"/>
      <c r="GE63" s="252"/>
      <c r="GF63" s="252"/>
      <c r="GG63" s="252"/>
      <c r="GH63" s="252"/>
      <c r="GI63" s="252"/>
      <c r="GJ63" s="252"/>
      <c r="GK63" s="252"/>
      <c r="GL63" s="252"/>
      <c r="GM63" s="252"/>
      <c r="GN63" s="252"/>
      <c r="GO63" s="252"/>
      <c r="GP63" s="252"/>
      <c r="GQ63" s="252"/>
      <c r="GR63" s="252"/>
      <c r="GS63" s="252"/>
      <c r="GT63" s="252"/>
      <c r="GU63" s="252"/>
      <c r="GV63" s="252"/>
      <c r="GW63" s="252"/>
      <c r="GX63" s="252"/>
      <c r="GY63" s="252"/>
      <c r="GZ63" s="252"/>
      <c r="HA63" s="252"/>
      <c r="HB63" s="252"/>
      <c r="HC63" s="252"/>
      <c r="HD63" s="252"/>
      <c r="HE63" s="252"/>
      <c r="HF63" s="252"/>
      <c r="HG63" s="252"/>
      <c r="HH63" s="252"/>
      <c r="HI63" s="252"/>
      <c r="HJ63" s="252"/>
      <c r="HK63" s="252"/>
      <c r="HL63" s="252"/>
      <c r="HM63" s="252"/>
      <c r="HN63" s="252"/>
      <c r="HO63" s="252"/>
      <c r="HP63" s="252"/>
      <c r="HQ63" s="252"/>
      <c r="HR63" s="252"/>
      <c r="HS63" s="252"/>
      <c r="HT63" s="252"/>
      <c r="HU63" s="252"/>
      <c r="HV63" s="252"/>
      <c r="HW63" s="252"/>
      <c r="HX63" s="252"/>
      <c r="HY63" s="252"/>
      <c r="HZ63" s="252"/>
      <c r="IA63" s="252"/>
      <c r="IB63" s="252"/>
      <c r="IC63" s="252"/>
      <c r="ID63" s="252"/>
      <c r="IE63" s="252"/>
      <c r="IF63" s="252"/>
      <c r="IG63" s="252"/>
      <c r="IH63" s="252"/>
      <c r="II63" s="252"/>
      <c r="IJ63" s="252"/>
      <c r="IK63" s="252"/>
      <c r="IL63" s="189">
        <f t="shared" ref="IL63" si="11">SUM(B63:IK63)</f>
        <v>0</v>
      </c>
      <c r="IM63" s="961">
        <f t="shared" si="10"/>
        <v>100000</v>
      </c>
      <c r="IN63" s="195"/>
      <c r="IO63" s="934"/>
      <c r="IP63" s="234">
        <f t="shared" si="3"/>
        <v>0</v>
      </c>
      <c r="IQ63" s="934"/>
      <c r="IR63" s="934"/>
      <c r="IS63" s="934"/>
      <c r="IT63" s="234">
        <v>42224</v>
      </c>
      <c r="IU63" s="234"/>
      <c r="IV63" s="979">
        <v>59</v>
      </c>
      <c r="IW63" s="981">
        <f t="shared" si="9"/>
        <v>0</v>
      </c>
      <c r="IX63" s="977">
        <f t="shared" si="4"/>
        <v>0</v>
      </c>
      <c r="IY63" s="978">
        <f t="shared" si="5"/>
        <v>0</v>
      </c>
    </row>
    <row r="64" spans="1:259" ht="13.9" customHeight="1" thickBot="1">
      <c r="A64" s="46" t="s">
        <v>24</v>
      </c>
      <c r="B64" s="530">
        <f t="shared" ref="B64:AG64" si="12">SUM(B3:B63)</f>
        <v>12730</v>
      </c>
      <c r="C64" s="530">
        <f t="shared" si="12"/>
        <v>17233</v>
      </c>
      <c r="D64" s="530">
        <f t="shared" si="12"/>
        <v>36575</v>
      </c>
      <c r="E64" s="530">
        <f t="shared" si="12"/>
        <v>20358.5</v>
      </c>
      <c r="F64" s="530">
        <f t="shared" si="12"/>
        <v>21090</v>
      </c>
      <c r="G64" s="530">
        <f t="shared" si="12"/>
        <v>27768.5</v>
      </c>
      <c r="H64" s="530">
        <f t="shared" si="12"/>
        <v>30704</v>
      </c>
      <c r="I64" s="530">
        <f t="shared" si="12"/>
        <v>32309.5</v>
      </c>
      <c r="J64" s="530">
        <f t="shared" si="12"/>
        <v>36651</v>
      </c>
      <c r="K64" s="530">
        <f t="shared" si="12"/>
        <v>35720</v>
      </c>
      <c r="L64" s="530">
        <f t="shared" si="12"/>
        <v>34314</v>
      </c>
      <c r="M64" s="530">
        <f t="shared" si="12"/>
        <v>41496</v>
      </c>
      <c r="N64" s="530">
        <f t="shared" si="12"/>
        <v>37933.5</v>
      </c>
      <c r="O64" s="530">
        <f t="shared" si="12"/>
        <v>39776.5</v>
      </c>
      <c r="P64" s="530">
        <f t="shared" si="12"/>
        <v>35387.5</v>
      </c>
      <c r="Q64" s="530">
        <f t="shared" si="12"/>
        <v>33715.5</v>
      </c>
      <c r="R64" s="530">
        <f t="shared" si="12"/>
        <v>34893.5</v>
      </c>
      <c r="S64" s="530">
        <f t="shared" si="12"/>
        <v>41420</v>
      </c>
      <c r="T64" s="530">
        <f t="shared" si="12"/>
        <v>44678.5</v>
      </c>
      <c r="U64" s="530">
        <f t="shared" si="12"/>
        <v>41733.5</v>
      </c>
      <c r="V64" s="530">
        <f t="shared" si="12"/>
        <v>40479.5</v>
      </c>
      <c r="W64" s="530">
        <f t="shared" si="12"/>
        <v>36043</v>
      </c>
      <c r="X64" s="530">
        <f t="shared" si="12"/>
        <v>41496</v>
      </c>
      <c r="Y64" s="530">
        <f t="shared" si="12"/>
        <v>44412.5</v>
      </c>
      <c r="Z64" s="530">
        <f t="shared" si="12"/>
        <v>46559.5</v>
      </c>
      <c r="AA64" s="530">
        <f t="shared" si="12"/>
        <v>45096.5</v>
      </c>
      <c r="AB64" s="530">
        <f t="shared" si="12"/>
        <v>49979.5</v>
      </c>
      <c r="AC64" s="530">
        <f t="shared" si="12"/>
        <v>42389</v>
      </c>
      <c r="AD64" s="530">
        <f t="shared" si="12"/>
        <v>37677</v>
      </c>
      <c r="AE64" s="530">
        <f t="shared" si="12"/>
        <v>42902</v>
      </c>
      <c r="AF64" s="530">
        <f t="shared" si="12"/>
        <v>52544.5</v>
      </c>
      <c r="AG64" s="530">
        <f t="shared" si="12"/>
        <v>44669</v>
      </c>
      <c r="AH64" s="530">
        <f t="shared" ref="AH64:BM64" si="13">SUM(AH3:AH63)</f>
        <v>45742.5</v>
      </c>
      <c r="AI64" s="530">
        <f t="shared" si="13"/>
        <v>42275</v>
      </c>
      <c r="AJ64" s="530">
        <f t="shared" si="13"/>
        <v>50511.5</v>
      </c>
      <c r="AK64" s="530">
        <f t="shared" si="13"/>
        <v>39102</v>
      </c>
      <c r="AL64" s="530">
        <f t="shared" si="13"/>
        <v>46369.5</v>
      </c>
      <c r="AM64" s="530">
        <f t="shared" si="13"/>
        <v>48108</v>
      </c>
      <c r="AN64" s="530">
        <f t="shared" si="13"/>
        <v>39700.5</v>
      </c>
      <c r="AO64" s="530">
        <f t="shared" si="13"/>
        <v>54074</v>
      </c>
      <c r="AP64" s="530">
        <f t="shared" si="13"/>
        <v>46350.5</v>
      </c>
      <c r="AQ64" s="530">
        <f t="shared" si="13"/>
        <v>48773</v>
      </c>
      <c r="AR64" s="530">
        <f t="shared" si="13"/>
        <v>38209</v>
      </c>
      <c r="AS64" s="530">
        <f t="shared" si="13"/>
        <v>50350</v>
      </c>
      <c r="AT64" s="530">
        <f t="shared" si="13"/>
        <v>46901.5</v>
      </c>
      <c r="AU64" s="530">
        <f t="shared" si="13"/>
        <v>46455</v>
      </c>
      <c r="AV64" s="530">
        <f t="shared" si="13"/>
        <v>50777.5</v>
      </c>
      <c r="AW64" s="530">
        <f t="shared" si="13"/>
        <v>48440.5</v>
      </c>
      <c r="AX64" s="530">
        <f t="shared" si="13"/>
        <v>53162</v>
      </c>
      <c r="AY64" s="530">
        <f t="shared" si="13"/>
        <v>37582</v>
      </c>
      <c r="AZ64" s="530">
        <f t="shared" si="13"/>
        <v>47804</v>
      </c>
      <c r="BA64" s="530">
        <f t="shared" si="13"/>
        <v>44298.5</v>
      </c>
      <c r="BB64" s="530">
        <f t="shared" si="13"/>
        <v>46616.5</v>
      </c>
      <c r="BC64" s="530">
        <f t="shared" si="13"/>
        <v>46246</v>
      </c>
      <c r="BD64" s="530">
        <f t="shared" si="13"/>
        <v>47186.5</v>
      </c>
      <c r="BE64" s="530">
        <f t="shared" si="13"/>
        <v>48013</v>
      </c>
      <c r="BF64" s="530">
        <f t="shared" si="13"/>
        <v>42446</v>
      </c>
      <c r="BG64" s="530">
        <f t="shared" si="13"/>
        <v>40593.5</v>
      </c>
      <c r="BH64" s="530">
        <f t="shared" si="13"/>
        <v>49960.5</v>
      </c>
      <c r="BI64" s="530">
        <f t="shared" si="13"/>
        <v>49761</v>
      </c>
      <c r="BJ64" s="530">
        <f t="shared" si="13"/>
        <v>44536</v>
      </c>
      <c r="BK64" s="530">
        <f t="shared" si="13"/>
        <v>50616</v>
      </c>
      <c r="BL64" s="530">
        <f t="shared" si="13"/>
        <v>43149</v>
      </c>
      <c r="BM64" s="530">
        <f t="shared" si="13"/>
        <v>41068.5</v>
      </c>
      <c r="BN64" s="530">
        <f t="shared" ref="BN64:DZ64" si="14">SUM(BN3:BN63)</f>
        <v>46550</v>
      </c>
      <c r="BO64" s="530">
        <f t="shared" si="14"/>
        <v>52326</v>
      </c>
      <c r="BP64" s="530">
        <f t="shared" si="14"/>
        <v>35862.5</v>
      </c>
      <c r="BQ64" s="530">
        <f t="shared" si="14"/>
        <v>39301.5</v>
      </c>
      <c r="BR64" s="530">
        <f t="shared" si="14"/>
        <v>0</v>
      </c>
      <c r="BS64" s="530">
        <f t="shared" si="14"/>
        <v>0</v>
      </c>
      <c r="BT64" s="530">
        <f t="shared" si="14"/>
        <v>0</v>
      </c>
      <c r="BU64" s="530">
        <f t="shared" si="14"/>
        <v>0</v>
      </c>
      <c r="BV64" s="530">
        <f t="shared" si="14"/>
        <v>16188</v>
      </c>
      <c r="BW64" s="530">
        <f t="shared" si="14"/>
        <v>49096</v>
      </c>
      <c r="BX64" s="530">
        <f t="shared" si="14"/>
        <v>38883.5</v>
      </c>
      <c r="BY64" s="530">
        <f t="shared" si="14"/>
        <v>43586</v>
      </c>
      <c r="BZ64" s="530">
        <f t="shared" si="14"/>
        <v>49922.5</v>
      </c>
      <c r="CA64" s="530">
        <f t="shared" si="14"/>
        <v>39377.5</v>
      </c>
      <c r="CB64" s="530">
        <f t="shared" si="14"/>
        <v>50758.5</v>
      </c>
      <c r="CC64" s="530">
        <f t="shared" si="14"/>
        <v>58529.5</v>
      </c>
      <c r="CD64" s="530">
        <f t="shared" si="14"/>
        <v>49105.5</v>
      </c>
      <c r="CE64" s="530">
        <f t="shared" si="14"/>
        <v>36841</v>
      </c>
      <c r="CF64" s="530">
        <f t="shared" si="14"/>
        <v>43006.5</v>
      </c>
      <c r="CG64" s="530">
        <f t="shared" si="14"/>
        <v>62842.5</v>
      </c>
      <c r="CH64" s="530">
        <f t="shared" si="14"/>
        <v>17128.5</v>
      </c>
      <c r="CI64" s="1140">
        <f t="shared" si="14"/>
        <v>17660.5</v>
      </c>
      <c r="CJ64" s="530">
        <f t="shared" si="14"/>
        <v>28747</v>
      </c>
      <c r="CK64" s="530">
        <f t="shared" si="14"/>
        <v>38408.5</v>
      </c>
      <c r="CL64" s="530">
        <f t="shared" si="14"/>
        <v>31739.5</v>
      </c>
      <c r="CM64" s="530">
        <f t="shared" si="14"/>
        <v>35007.5</v>
      </c>
      <c r="CN64" s="530">
        <f t="shared" si="14"/>
        <v>30096</v>
      </c>
      <c r="CO64" s="1167">
        <f t="shared" si="14"/>
        <v>0</v>
      </c>
      <c r="CP64" s="1167">
        <f t="shared" si="14"/>
        <v>0</v>
      </c>
      <c r="CQ64" s="530">
        <f t="shared" si="14"/>
        <v>21650.5</v>
      </c>
      <c r="CR64" s="530">
        <f t="shared" si="14"/>
        <v>31416.5</v>
      </c>
      <c r="CS64" s="530">
        <f t="shared" si="14"/>
        <v>37110</v>
      </c>
      <c r="CT64" s="530">
        <f t="shared" si="14"/>
        <v>31541.5</v>
      </c>
      <c r="CU64" s="530">
        <f t="shared" si="14"/>
        <v>34143</v>
      </c>
      <c r="CV64" s="530">
        <f t="shared" si="14"/>
        <v>38076</v>
      </c>
      <c r="CW64" s="530">
        <f t="shared" si="14"/>
        <v>35672.5</v>
      </c>
      <c r="CX64" s="530">
        <f t="shared" si="14"/>
        <v>35948</v>
      </c>
      <c r="CY64" s="530">
        <f t="shared" si="14"/>
        <v>37819.5</v>
      </c>
      <c r="CZ64" s="530">
        <f t="shared" si="14"/>
        <v>39957</v>
      </c>
      <c r="DA64" s="530">
        <f t="shared" si="14"/>
        <v>28709</v>
      </c>
      <c r="DB64" s="530">
        <f t="shared" si="14"/>
        <v>36879</v>
      </c>
      <c r="DC64" s="530">
        <f t="shared" si="14"/>
        <v>41961.5</v>
      </c>
      <c r="DD64" s="530">
        <f t="shared" si="14"/>
        <v>40840.5</v>
      </c>
      <c r="DE64" s="530">
        <f t="shared" si="14"/>
        <v>39643.5</v>
      </c>
      <c r="DF64" s="530">
        <f t="shared" si="14"/>
        <v>40033</v>
      </c>
      <c r="DG64" s="530">
        <f t="shared" si="14"/>
        <v>35302</v>
      </c>
      <c r="DH64" s="530">
        <f t="shared" si="14"/>
        <v>48478.5</v>
      </c>
      <c r="DI64" s="530">
        <f t="shared" si="14"/>
        <v>42588.5</v>
      </c>
      <c r="DJ64" s="530">
        <f t="shared" si="14"/>
        <v>44602.5</v>
      </c>
      <c r="DK64" s="530">
        <f t="shared" si="14"/>
        <v>36489.5</v>
      </c>
      <c r="DL64" s="530">
        <f t="shared" si="14"/>
        <v>41819</v>
      </c>
      <c r="DM64" s="530">
        <f t="shared" si="14"/>
        <v>43320</v>
      </c>
      <c r="DN64" s="530">
        <f t="shared" si="14"/>
        <v>47728</v>
      </c>
      <c r="DO64" s="530">
        <f t="shared" si="14"/>
        <v>38969</v>
      </c>
      <c r="DP64" s="530">
        <f t="shared" si="14"/>
        <v>38921.5</v>
      </c>
      <c r="DQ64" s="530">
        <f t="shared" si="14"/>
        <v>45144</v>
      </c>
      <c r="DR64" s="530">
        <f t="shared" si="14"/>
        <v>40783.5</v>
      </c>
      <c r="DS64" s="530">
        <f t="shared" si="14"/>
        <v>44032.5</v>
      </c>
      <c r="DT64" s="530">
        <f t="shared" si="14"/>
        <v>40354</v>
      </c>
      <c r="DU64" s="530">
        <f t="shared" si="14"/>
        <v>37021.5</v>
      </c>
      <c r="DV64" s="530">
        <f t="shared" si="14"/>
        <v>34988.5</v>
      </c>
      <c r="DW64" s="530">
        <f t="shared" si="14"/>
        <v>31663.5</v>
      </c>
      <c r="DX64" s="1167">
        <f t="shared" si="14"/>
        <v>0</v>
      </c>
      <c r="DY64" s="1167">
        <f t="shared" si="14"/>
        <v>0</v>
      </c>
      <c r="DZ64" s="1197">
        <f t="shared" si="14"/>
        <v>23303.5</v>
      </c>
      <c r="EA64" s="530">
        <f t="shared" ref="EA64:GO64" si="15">SUM(EA3:EA63)</f>
        <v>42807</v>
      </c>
      <c r="EB64" s="530">
        <f t="shared" si="15"/>
        <v>32119.5</v>
      </c>
      <c r="EC64" s="530">
        <f t="shared" si="15"/>
        <v>43614.5</v>
      </c>
      <c r="ED64" s="530">
        <f t="shared" si="15"/>
        <v>21308.5</v>
      </c>
      <c r="EE64" s="530">
        <f t="shared" si="15"/>
        <v>34228.5</v>
      </c>
      <c r="EF64" s="530">
        <f t="shared" si="15"/>
        <v>42968.5</v>
      </c>
      <c r="EG64" s="530">
        <f t="shared" si="15"/>
        <v>39909.5</v>
      </c>
      <c r="EH64" s="530">
        <f t="shared" si="15"/>
        <v>36727</v>
      </c>
      <c r="EI64" s="530">
        <f t="shared" si="15"/>
        <v>44365</v>
      </c>
      <c r="EJ64" s="530">
        <f t="shared" si="15"/>
        <v>53656</v>
      </c>
      <c r="EK64" s="530">
        <f t="shared" si="15"/>
        <v>29079.5</v>
      </c>
      <c r="EL64" s="530">
        <f t="shared" si="15"/>
        <v>47975</v>
      </c>
      <c r="EM64" s="530">
        <f t="shared" si="15"/>
        <v>47519</v>
      </c>
      <c r="EN64" s="530">
        <f t="shared" si="15"/>
        <v>46027.5</v>
      </c>
      <c r="EO64" s="530">
        <f t="shared" si="15"/>
        <v>35581</v>
      </c>
      <c r="EP64" s="530">
        <f t="shared" si="15"/>
        <v>41154</v>
      </c>
      <c r="EQ64" s="530">
        <f t="shared" si="15"/>
        <v>37126</v>
      </c>
      <c r="ER64" s="530">
        <f t="shared" si="15"/>
        <v>33516</v>
      </c>
      <c r="ES64" s="530">
        <f t="shared" si="15"/>
        <v>54436</v>
      </c>
      <c r="ET64" s="530">
        <f t="shared" si="15"/>
        <v>43937.5</v>
      </c>
      <c r="EU64" s="530">
        <f t="shared" si="15"/>
        <v>45856.5</v>
      </c>
      <c r="EV64" s="530">
        <f t="shared" si="15"/>
        <v>35587</v>
      </c>
      <c r="EW64" s="530">
        <f t="shared" si="15"/>
        <v>42360.5</v>
      </c>
      <c r="EX64" s="530">
        <f t="shared" si="15"/>
        <v>48763.5</v>
      </c>
      <c r="EY64" s="530">
        <f t="shared" si="15"/>
        <v>44165.5</v>
      </c>
      <c r="EZ64" s="530">
        <f t="shared" si="15"/>
        <v>58909.5</v>
      </c>
      <c r="FA64" s="530">
        <f t="shared" si="15"/>
        <v>53247.5</v>
      </c>
      <c r="FB64" s="530">
        <f t="shared" si="15"/>
        <v>43576.5</v>
      </c>
      <c r="FC64" s="530">
        <f t="shared" si="15"/>
        <v>48146</v>
      </c>
      <c r="FD64" s="530">
        <f t="shared" si="15"/>
        <v>45619</v>
      </c>
      <c r="FE64" s="530">
        <f t="shared" si="15"/>
        <v>42370</v>
      </c>
      <c r="FF64" s="1219">
        <f t="shared" si="15"/>
        <v>0</v>
      </c>
      <c r="FG64" s="1219">
        <f t="shared" si="15"/>
        <v>0</v>
      </c>
      <c r="FH64" s="1219">
        <f t="shared" si="15"/>
        <v>0</v>
      </c>
      <c r="FI64" s="1219">
        <f t="shared" si="15"/>
        <v>0</v>
      </c>
      <c r="FJ64" s="1219">
        <f t="shared" si="15"/>
        <v>0</v>
      </c>
      <c r="FK64" s="1219">
        <f t="shared" si="15"/>
        <v>0</v>
      </c>
      <c r="FL64" s="1219">
        <f t="shared" si="15"/>
        <v>0</v>
      </c>
      <c r="FM64" s="1219">
        <f t="shared" si="15"/>
        <v>0</v>
      </c>
      <c r="FN64" s="1219">
        <f t="shared" si="15"/>
        <v>0</v>
      </c>
      <c r="FO64" s="530">
        <f t="shared" si="15"/>
        <v>10372.5</v>
      </c>
      <c r="FP64" s="530">
        <f t="shared" si="15"/>
        <v>35606</v>
      </c>
      <c r="FQ64" s="530">
        <f t="shared" si="15"/>
        <v>39560</v>
      </c>
      <c r="FR64" s="530">
        <f t="shared" si="15"/>
        <v>30086.5</v>
      </c>
      <c r="FS64" s="530">
        <f t="shared" si="15"/>
        <v>40118.5</v>
      </c>
      <c r="FT64" s="530">
        <f t="shared" si="15"/>
        <v>22277.5</v>
      </c>
      <c r="FU64" s="530">
        <f t="shared" si="15"/>
        <v>44859</v>
      </c>
      <c r="FV64" s="530">
        <f t="shared" si="15"/>
        <v>29022.5</v>
      </c>
      <c r="FW64" s="530">
        <f t="shared" ref="FW64:FY64" si="16">SUM(FW3:FW63)</f>
        <v>32205</v>
      </c>
      <c r="FX64" s="530">
        <f t="shared" si="16"/>
        <v>29889.5</v>
      </c>
      <c r="FY64" s="530">
        <f t="shared" si="16"/>
        <v>31179</v>
      </c>
      <c r="FZ64" s="530">
        <f t="shared" si="15"/>
        <v>32309.5</v>
      </c>
      <c r="GA64" s="530">
        <f t="shared" si="15"/>
        <v>35748.5</v>
      </c>
      <c r="GB64" s="530">
        <f t="shared" si="15"/>
        <v>41980.5</v>
      </c>
      <c r="GC64" s="530">
        <f t="shared" si="15"/>
        <v>44279.5</v>
      </c>
      <c r="GD64" s="530">
        <f t="shared" si="15"/>
        <v>38703</v>
      </c>
      <c r="GE64" s="530">
        <f t="shared" si="15"/>
        <v>35093</v>
      </c>
      <c r="GF64" s="530">
        <f t="shared" si="15"/>
        <v>39140</v>
      </c>
      <c r="GG64" s="530">
        <f t="shared" si="15"/>
        <v>22534</v>
      </c>
      <c r="GH64" s="530">
        <f t="shared" si="15"/>
        <v>19323</v>
      </c>
      <c r="GI64" s="530">
        <f t="shared" si="15"/>
        <v>39415.5</v>
      </c>
      <c r="GJ64" s="530">
        <f t="shared" si="15"/>
        <v>23693</v>
      </c>
      <c r="GK64" s="530">
        <f t="shared" si="15"/>
        <v>28386</v>
      </c>
      <c r="GL64" s="530">
        <f t="shared" si="15"/>
        <v>26704.5</v>
      </c>
      <c r="GM64" s="530">
        <f t="shared" si="15"/>
        <v>25374.5</v>
      </c>
      <c r="GN64" s="530">
        <f t="shared" si="15"/>
        <v>33250</v>
      </c>
      <c r="GO64" s="530">
        <f t="shared" si="15"/>
        <v>29754</v>
      </c>
      <c r="GP64" s="530">
        <f t="shared" ref="GP64:IJ64" si="17">SUM(GP3:GP63)</f>
        <v>34257</v>
      </c>
      <c r="GQ64" s="530">
        <f t="shared" si="17"/>
        <v>29792</v>
      </c>
      <c r="GR64" s="530">
        <f t="shared" si="17"/>
        <v>41163.5</v>
      </c>
      <c r="GS64" s="530">
        <f t="shared" si="17"/>
        <v>27084.5</v>
      </c>
      <c r="GT64" s="530">
        <f t="shared" si="17"/>
        <v>29725.5</v>
      </c>
      <c r="GU64" s="530">
        <f t="shared" si="17"/>
        <v>30191</v>
      </c>
      <c r="GV64" s="530">
        <f t="shared" si="17"/>
        <v>29307.5</v>
      </c>
      <c r="GW64" s="530">
        <f t="shared" si="17"/>
        <v>27673.5</v>
      </c>
      <c r="GX64" s="530">
        <f t="shared" ref="GX64:GY64" si="18">SUM(GX3:GX63)</f>
        <v>25422</v>
      </c>
      <c r="GY64" s="530">
        <f t="shared" si="18"/>
        <v>25897</v>
      </c>
      <c r="GZ64" s="530">
        <f t="shared" si="17"/>
        <v>22125.5</v>
      </c>
      <c r="HA64" s="530">
        <f t="shared" si="17"/>
        <v>31141</v>
      </c>
      <c r="HB64" s="530">
        <f t="shared" si="17"/>
        <v>33155</v>
      </c>
      <c r="HC64" s="530">
        <f t="shared" si="17"/>
        <v>18316</v>
      </c>
      <c r="HD64" s="530">
        <f t="shared" si="17"/>
        <v>22591</v>
      </c>
      <c r="HE64" s="530">
        <f t="shared" si="17"/>
        <v>21451</v>
      </c>
      <c r="HF64" s="530">
        <f t="shared" si="17"/>
        <v>25735.5</v>
      </c>
      <c r="HG64" s="530">
        <f t="shared" si="17"/>
        <v>31226.5</v>
      </c>
      <c r="HH64" s="530">
        <f t="shared" si="17"/>
        <v>21878.5</v>
      </c>
      <c r="HI64" s="530">
        <f t="shared" si="17"/>
        <v>30989</v>
      </c>
      <c r="HJ64" s="530">
        <f t="shared" si="17"/>
        <v>27075</v>
      </c>
      <c r="HK64" s="530">
        <f t="shared" si="17"/>
        <v>28680.5</v>
      </c>
      <c r="HL64" s="530">
        <f t="shared" si="17"/>
        <v>26875.5</v>
      </c>
      <c r="HM64" s="530">
        <f t="shared" si="17"/>
        <v>24662</v>
      </c>
      <c r="HN64" s="530">
        <f t="shared" si="17"/>
        <v>26894.5</v>
      </c>
      <c r="HO64" s="530">
        <f t="shared" si="17"/>
        <v>26324.5</v>
      </c>
      <c r="HP64" s="530">
        <f t="shared" si="17"/>
        <v>38703</v>
      </c>
      <c r="HQ64" s="530">
        <f t="shared" si="17"/>
        <v>24235.5</v>
      </c>
      <c r="HR64" s="530">
        <f t="shared" si="17"/>
        <v>6061</v>
      </c>
      <c r="HS64" s="530">
        <f t="shared" si="17"/>
        <v>8711.5</v>
      </c>
      <c r="HT64" s="530">
        <f t="shared" si="17"/>
        <v>19484.5</v>
      </c>
      <c r="HU64" s="530">
        <f t="shared" si="17"/>
        <v>18724.5</v>
      </c>
      <c r="HV64" s="530">
        <f t="shared" si="17"/>
        <v>24491</v>
      </c>
      <c r="HW64" s="530">
        <f t="shared" si="17"/>
        <v>31188.5</v>
      </c>
      <c r="HX64" s="530">
        <f t="shared" si="17"/>
        <v>28329</v>
      </c>
      <c r="HY64" s="530">
        <f t="shared" si="17"/>
        <v>30922.5</v>
      </c>
      <c r="HZ64" s="530">
        <f t="shared" si="17"/>
        <v>30998.5</v>
      </c>
      <c r="IA64" s="530">
        <f t="shared" si="17"/>
        <v>22961.5</v>
      </c>
      <c r="IB64" s="530">
        <f t="shared" si="17"/>
        <v>36242.5</v>
      </c>
      <c r="IC64" s="530">
        <f t="shared" si="17"/>
        <v>31796.5</v>
      </c>
      <c r="ID64" s="530">
        <f t="shared" si="17"/>
        <v>34494.5</v>
      </c>
      <c r="IE64" s="530">
        <f t="shared" si="17"/>
        <v>23270.5</v>
      </c>
      <c r="IF64" s="530">
        <f t="shared" si="17"/>
        <v>40061.5</v>
      </c>
      <c r="IG64" s="530">
        <f t="shared" si="17"/>
        <v>26514.5</v>
      </c>
      <c r="IH64" s="530">
        <f t="shared" si="17"/>
        <v>0</v>
      </c>
      <c r="II64" s="530">
        <f t="shared" si="17"/>
        <v>0</v>
      </c>
      <c r="IJ64" s="530">
        <f t="shared" si="17"/>
        <v>0</v>
      </c>
      <c r="IK64" s="530">
        <f>SUM(IK3:IK63)</f>
        <v>0</v>
      </c>
      <c r="IL64" s="55">
        <f>SUM(IL3:IL63)</f>
        <v>8228137</v>
      </c>
      <c r="IM64" s="55">
        <f>SUM(IM3:IM63)</f>
        <v>8901727.5</v>
      </c>
      <c r="IT64" s="234">
        <f>SUM(IT3:IT63)</f>
        <v>5287160.5</v>
      </c>
      <c r="IU64" s="234"/>
      <c r="IV64" s="980"/>
      <c r="IW64" s="981">
        <f>SUM(IW3:IW63)</f>
        <v>852501.68421052629</v>
      </c>
      <c r="IX64" s="977">
        <f>SUM(IX3:IX63)</f>
        <v>8228137</v>
      </c>
      <c r="IY64" s="937"/>
    </row>
    <row r="65" spans="1:267" ht="12" customHeight="1" thickTop="1">
      <c r="A65" s="198" t="s">
        <v>85</v>
      </c>
      <c r="B65" s="241">
        <v>12730</v>
      </c>
      <c r="C65" s="241">
        <v>17233</v>
      </c>
      <c r="D65" s="241">
        <f>'9.18.22'!E45</f>
        <v>36575</v>
      </c>
      <c r="E65" s="241">
        <f>'9.19.22'!E35</f>
        <v>20358.5</v>
      </c>
      <c r="F65" s="241">
        <v>21090</v>
      </c>
      <c r="G65" s="241">
        <f>'9.21.22'!E37</f>
        <v>27768.5</v>
      </c>
      <c r="H65" s="241">
        <f>'9.22.22'!E38</f>
        <v>30704</v>
      </c>
      <c r="I65" s="241">
        <f>'9.23.22'!E38</f>
        <v>32309.5</v>
      </c>
      <c r="J65" s="241">
        <f>'9.24.22'!E38</f>
        <v>36651</v>
      </c>
      <c r="K65" s="241">
        <f>'9.25.22'!E37</f>
        <v>35720</v>
      </c>
      <c r="L65" s="241">
        <f>'9.26.22'!E38</f>
        <v>34314</v>
      </c>
      <c r="M65" s="241">
        <f>'9.27.22'!E38</f>
        <v>41496</v>
      </c>
      <c r="N65" s="241">
        <f>'9.28.22'!E38</f>
        <v>37933.5</v>
      </c>
      <c r="O65" s="241">
        <f>'9.29.22'!E38</f>
        <v>39776.5</v>
      </c>
      <c r="P65" s="241">
        <f>'9.30.22'!E38</f>
        <v>35387.5</v>
      </c>
      <c r="Q65" s="241">
        <f>'10.01.22'!E38</f>
        <v>33715.5</v>
      </c>
      <c r="R65" s="241">
        <f>'10.02.22'!E38</f>
        <v>34893.5</v>
      </c>
      <c r="S65" s="241">
        <f>'10.03.22'!E38</f>
        <v>41420</v>
      </c>
      <c r="T65" s="241">
        <f>'10.04.22'!E38</f>
        <v>44678.5</v>
      </c>
      <c r="U65" s="241">
        <f>'10.05.22'!E38</f>
        <v>41733.5</v>
      </c>
      <c r="V65" s="241">
        <f>'10.06.22'!E38</f>
        <v>40479.5</v>
      </c>
      <c r="W65" s="241">
        <f>'10.07.22'!E38</f>
        <v>36043</v>
      </c>
      <c r="X65" s="241">
        <f>'10.08.22'!E38</f>
        <v>41496</v>
      </c>
      <c r="Y65" s="241">
        <f>'10.09.22'!E38</f>
        <v>44412.5</v>
      </c>
      <c r="Z65" s="241">
        <f>'10.10.22'!E38</f>
        <v>46559.5</v>
      </c>
      <c r="AA65" s="241">
        <f>'10.11.22'!E38</f>
        <v>45096.5</v>
      </c>
      <c r="AB65" s="241">
        <f>'10.12.22'!E38</f>
        <v>49979.5</v>
      </c>
      <c r="AC65" s="241">
        <f>'10.13.22'!E38</f>
        <v>42389</v>
      </c>
      <c r="AD65" s="241">
        <f>'10.14.22'!E38</f>
        <v>37677</v>
      </c>
      <c r="AE65" s="241">
        <f>'10.15.22'!E38</f>
        <v>42902</v>
      </c>
      <c r="AF65" s="241">
        <f>'10.16.22'!E38</f>
        <v>52544.5</v>
      </c>
      <c r="AG65" s="241">
        <f>'10.17.22'!E38</f>
        <v>44669</v>
      </c>
      <c r="AH65" s="241">
        <f>'10.18.22'!E38</f>
        <v>45742.5</v>
      </c>
      <c r="AI65" s="241">
        <f>'10.19.22'!E38</f>
        <v>42275</v>
      </c>
      <c r="AJ65" s="241">
        <f>'10.20.22'!E38</f>
        <v>50511.5</v>
      </c>
      <c r="AK65" s="241">
        <f>'10.21.22'!E38</f>
        <v>39102</v>
      </c>
      <c r="AL65" s="241">
        <f>'10.22.22'!E38</f>
        <v>46369.5</v>
      </c>
      <c r="AM65" s="241">
        <f>'10.23.22'!E38</f>
        <v>48108</v>
      </c>
      <c r="AN65" s="241">
        <f>'10.24.22'!E38</f>
        <v>39700.5</v>
      </c>
      <c r="AO65" s="241">
        <f>'10.25.22'!E38</f>
        <v>54074</v>
      </c>
      <c r="AP65" s="241">
        <f>'10.26.22'!E38</f>
        <v>46350.5</v>
      </c>
      <c r="AQ65" s="241">
        <f>'10.27.22'!E38</f>
        <v>48773</v>
      </c>
      <c r="AR65" s="241">
        <f>'10.28.22'!E38</f>
        <v>38209</v>
      </c>
      <c r="AS65" s="241">
        <f>'10.29.22'!E38</f>
        <v>50350</v>
      </c>
      <c r="AT65" s="241">
        <f>'10.30.22'!E38</f>
        <v>46901.5</v>
      </c>
      <c r="AU65" s="241">
        <f>'10.31.22'!E38</f>
        <v>46455</v>
      </c>
      <c r="AV65" s="241">
        <f>'11.01.22'!E38</f>
        <v>50777.5</v>
      </c>
      <c r="AW65" s="241">
        <f>'11.02.22'!E38</f>
        <v>48440.5</v>
      </c>
      <c r="AX65" s="241">
        <f>'11.03.22'!E38</f>
        <v>53162</v>
      </c>
      <c r="AY65" s="241">
        <f>'11.04.22'!E38</f>
        <v>37582</v>
      </c>
      <c r="AZ65" s="241">
        <f>'11.05.22'!E38</f>
        <v>47804</v>
      </c>
      <c r="BA65" s="241">
        <f>'11.06.22'!E38</f>
        <v>44298.5</v>
      </c>
      <c r="BB65" s="241">
        <f>'11.07.22'!E38</f>
        <v>46616.5</v>
      </c>
      <c r="BC65" s="241">
        <f>'11.08.22'!E38</f>
        <v>46246</v>
      </c>
      <c r="BD65" s="241">
        <f>'11.09.22'!E38</f>
        <v>47186.5</v>
      </c>
      <c r="BE65" s="241">
        <f>'11.10.22'!E38</f>
        <v>48013</v>
      </c>
      <c r="BF65" s="241">
        <f>'11.11.22'!E38</f>
        <v>42446</v>
      </c>
      <c r="BG65" s="241">
        <f>'11.12.22'!E38</f>
        <v>40593.5</v>
      </c>
      <c r="BH65" s="241">
        <f>'11.13.22'!E38</f>
        <v>49960.5</v>
      </c>
      <c r="BI65" s="241">
        <f>'11.14.22'!E38</f>
        <v>49761</v>
      </c>
      <c r="BJ65" s="241">
        <f>'11.15.22'!E38</f>
        <v>44536</v>
      </c>
      <c r="BK65" s="241">
        <f>'11.16.22'!E38</f>
        <v>50616</v>
      </c>
      <c r="BL65" s="241">
        <f>'11.17.22'!E38</f>
        <v>43149</v>
      </c>
      <c r="BM65" s="241">
        <f>'11.18.22'!E38</f>
        <v>41068.5</v>
      </c>
      <c r="BN65" s="241">
        <f>'11.19.22'!E38</f>
        <v>46550</v>
      </c>
      <c r="BO65" s="241">
        <f>'11.20.22'!E38</f>
        <v>52326</v>
      </c>
      <c r="BP65" s="241">
        <f>'11.21.22'!E38</f>
        <v>35862.5</v>
      </c>
      <c r="BQ65" s="241">
        <f>'11.22.22'!E38</f>
        <v>39301.5</v>
      </c>
      <c r="BR65" s="241"/>
      <c r="BS65" s="241"/>
      <c r="BT65" s="241"/>
      <c r="BU65" s="241"/>
      <c r="BV65" s="241">
        <f>'11.27.22'!E38</f>
        <v>16188</v>
      </c>
      <c r="BW65" s="241">
        <f>'11.28.22'!E38</f>
        <v>49096</v>
      </c>
      <c r="BX65" s="241">
        <f>'11.29.22'!E38</f>
        <v>38883.5</v>
      </c>
      <c r="BY65" s="241">
        <f>'11.30.22'!E38</f>
        <v>43586</v>
      </c>
      <c r="BZ65" s="241">
        <f>'12.01.22'!E38</f>
        <v>49922.5</v>
      </c>
      <c r="CA65" s="241">
        <f>'12.02.22'!E38</f>
        <v>39377.5</v>
      </c>
      <c r="CB65" s="241">
        <f>'12.03.22'!E38</f>
        <v>50758.5</v>
      </c>
      <c r="CC65" s="241">
        <f>'12.04.22'!E38</f>
        <v>58529.5</v>
      </c>
      <c r="CD65" s="241">
        <f>'12.05.22'!E38</f>
        <v>49105.5</v>
      </c>
      <c r="CE65" s="241">
        <f>'12.06.22'!E38</f>
        <v>36841</v>
      </c>
      <c r="CF65" s="241">
        <f>'12.07.22'!E38</f>
        <v>43006.5</v>
      </c>
      <c r="CG65" s="241">
        <f>'12.08.22'!E44</f>
        <v>62842.5</v>
      </c>
      <c r="CH65" s="241">
        <f>'12.13.22'!E24</f>
        <v>17128.5</v>
      </c>
      <c r="CI65" s="241">
        <f>'1.08.23'!E38</f>
        <v>17660.5</v>
      </c>
      <c r="CJ65" s="241">
        <f>'1.09.23'!E38</f>
        <v>28747</v>
      </c>
      <c r="CK65" s="241">
        <f>'1.10.23'!E38</f>
        <v>38408.5</v>
      </c>
      <c r="CL65" s="241">
        <f>'1.11.23'!E38</f>
        <v>31739.5</v>
      </c>
      <c r="CM65" s="241">
        <f>'1.12.23'!E38</f>
        <v>35007.5</v>
      </c>
      <c r="CN65" s="241">
        <f>'1.13.23'!E38</f>
        <v>30096</v>
      </c>
      <c r="CO65" s="241"/>
      <c r="CP65" s="241"/>
      <c r="CQ65" s="241">
        <f>'1.16.23'!E38</f>
        <v>21650.5</v>
      </c>
      <c r="CR65" s="241">
        <f>'1.17.23'!E38</f>
        <v>31416.5</v>
      </c>
      <c r="CS65" s="241">
        <f>'1.18.23'!E38</f>
        <v>37110</v>
      </c>
      <c r="CT65" s="241">
        <f>'1.19.23'!E38</f>
        <v>31541.5</v>
      </c>
      <c r="CU65" s="241">
        <f>'1.20.23'!E38</f>
        <v>34143</v>
      </c>
      <c r="CV65" s="241">
        <f>'1.21.23'!E38</f>
        <v>38076</v>
      </c>
      <c r="CW65" s="241">
        <f>'1.22.23'!E38</f>
        <v>35672.5</v>
      </c>
      <c r="CX65" s="241">
        <f>'1.23.23'!E38</f>
        <v>35948</v>
      </c>
      <c r="CY65" s="241">
        <f>'1.24.23'!E38</f>
        <v>37819.5</v>
      </c>
      <c r="CZ65" s="241">
        <f>'1.25.23'!E38</f>
        <v>39957</v>
      </c>
      <c r="DA65" s="241">
        <f>'1.26.23'!E38</f>
        <v>28709</v>
      </c>
      <c r="DB65" s="241">
        <f>'1.27.23'!E38</f>
        <v>36879</v>
      </c>
      <c r="DC65" s="241">
        <f>'1.28.23'!E38</f>
        <v>41961.5</v>
      </c>
      <c r="DD65" s="241">
        <f>'1.29.23'!E38</f>
        <v>40840.5</v>
      </c>
      <c r="DE65" s="241">
        <f>'1.30.23'!E38</f>
        <v>39643.5</v>
      </c>
      <c r="DF65" s="241">
        <f>'1.31.23'!E38</f>
        <v>40033</v>
      </c>
      <c r="DG65" s="241">
        <f>'2.01.23'!E38</f>
        <v>35302</v>
      </c>
      <c r="DH65" s="241">
        <f>'2.02.23'!E38</f>
        <v>48478.5</v>
      </c>
      <c r="DI65" s="241">
        <f>'2.03.23'!E38</f>
        <v>42588.5</v>
      </c>
      <c r="DJ65" s="241">
        <f>'2.04.23'!E38</f>
        <v>44602.5</v>
      </c>
      <c r="DK65" s="241">
        <f>'2.05.23'!E38</f>
        <v>36489.5</v>
      </c>
      <c r="DL65" s="241">
        <f>'2.06.23'!E38</f>
        <v>41819</v>
      </c>
      <c r="DM65" s="241">
        <f>'2.07.23'!E38</f>
        <v>43320</v>
      </c>
      <c r="DN65" s="241">
        <f>'2.08.23'!E38</f>
        <v>47728</v>
      </c>
      <c r="DO65" s="241">
        <f>'2.09.23'!E38</f>
        <v>38969</v>
      </c>
      <c r="DP65" s="241">
        <f>'2.10.23'!E38</f>
        <v>38921.5</v>
      </c>
      <c r="DQ65" s="241">
        <f>'2.11.23'!E38</f>
        <v>45144</v>
      </c>
      <c r="DR65" s="241">
        <f>'2.12.23'!E38</f>
        <v>40783.5</v>
      </c>
      <c r="DS65" s="241">
        <f>'2.13.23'!E38</f>
        <v>44032.5</v>
      </c>
      <c r="DT65" s="241">
        <f>'2.14.23'!E38</f>
        <v>40354</v>
      </c>
      <c r="DU65" s="241">
        <f>'2.15.23'!E38</f>
        <v>37021.5</v>
      </c>
      <c r="DV65" s="241">
        <f>'2.16.23'!E38</f>
        <v>34988.5</v>
      </c>
      <c r="DW65" s="241">
        <f>'2.17.23'!E38</f>
        <v>31663.5</v>
      </c>
      <c r="DX65" s="241"/>
      <c r="DY65" s="241"/>
      <c r="DZ65" s="241">
        <f>'2.20.23'!E38</f>
        <v>23303.5</v>
      </c>
      <c r="EA65" s="241">
        <f>'2.21.23'!E38</f>
        <v>42807</v>
      </c>
      <c r="EB65" s="241">
        <f>'2.22.23'!E38</f>
        <v>32119.5</v>
      </c>
      <c r="EC65" s="241">
        <f>'2.23.23'!E38</f>
        <v>43614.5</v>
      </c>
      <c r="ED65" s="241">
        <f>'2.24.23'!E38</f>
        <v>21308.5</v>
      </c>
      <c r="EE65" s="241">
        <f>'2.25.23'!E38</f>
        <v>34228.5</v>
      </c>
      <c r="EF65" s="241">
        <f>'2.26.23'!E38</f>
        <v>42968.5</v>
      </c>
      <c r="EG65" s="241">
        <f>'2.27.23'!E38</f>
        <v>39909.5</v>
      </c>
      <c r="EH65" s="241">
        <f>'2.28.23'!E38</f>
        <v>36727</v>
      </c>
      <c r="EI65" s="241">
        <f>'3.1.23'!E38</f>
        <v>44365</v>
      </c>
      <c r="EJ65" s="241">
        <f>'3.2.23'!E38</f>
        <v>53656</v>
      </c>
      <c r="EK65" s="241">
        <f>'3.3.23'!E38</f>
        <v>29079.5</v>
      </c>
      <c r="EL65" s="241">
        <f>'3.4.23'!E38</f>
        <v>47975</v>
      </c>
      <c r="EM65" s="241">
        <f>'3.5.23'!E38</f>
        <v>47519</v>
      </c>
      <c r="EN65" s="241">
        <f>'3.6.23'!E38</f>
        <v>46027.5</v>
      </c>
      <c r="EO65" s="241">
        <f>'3.7.23'!E38</f>
        <v>35581</v>
      </c>
      <c r="EP65" s="241">
        <f>'3.8.23'!E38</f>
        <v>41154</v>
      </c>
      <c r="EQ65" s="241">
        <f>'3.9.23'!E38</f>
        <v>37126</v>
      </c>
      <c r="ER65" s="241">
        <f>'3.10.23'!E38</f>
        <v>33516</v>
      </c>
      <c r="ES65" s="241">
        <f>'3.11.23'!E38</f>
        <v>54436</v>
      </c>
      <c r="ET65" s="241">
        <f>'3.12.23'!E38</f>
        <v>43937.5</v>
      </c>
      <c r="EU65" s="241">
        <f>'3.13.23'!E38</f>
        <v>45856.5</v>
      </c>
      <c r="EV65" s="241">
        <f>'3.14.23'!E38</f>
        <v>35587</v>
      </c>
      <c r="EW65" s="241">
        <f>'3.15.23'!E38</f>
        <v>42360.5</v>
      </c>
      <c r="EX65" s="241">
        <f>'3.16.23'!E38</f>
        <v>48763.5</v>
      </c>
      <c r="EY65" s="241">
        <f>'3.17.23'!E38</f>
        <v>44165.5</v>
      </c>
      <c r="EZ65" s="241">
        <f>'3.18.23'!E38</f>
        <v>58909.5</v>
      </c>
      <c r="FA65" s="241">
        <f>'3.19.23'!E38</f>
        <v>53247.5</v>
      </c>
      <c r="FB65" s="241">
        <f>'3.20.23'!E38</f>
        <v>43576.5</v>
      </c>
      <c r="FC65" s="241">
        <f>'3.21.23'!E38</f>
        <v>48146</v>
      </c>
      <c r="FD65" s="241">
        <f>'3.22.23'!E38</f>
        <v>45619</v>
      </c>
      <c r="FE65" s="241">
        <f>'3.23.23'!E38</f>
        <v>42370</v>
      </c>
      <c r="FF65" s="241"/>
      <c r="FG65" s="241"/>
      <c r="FH65" s="241"/>
      <c r="FI65" s="241"/>
      <c r="FJ65" s="241"/>
      <c r="FK65" s="241"/>
      <c r="FL65" s="241"/>
      <c r="FM65" s="241"/>
      <c r="FN65" s="241"/>
      <c r="FO65" s="241">
        <f>'4.2.23'!E38</f>
        <v>10372.5</v>
      </c>
      <c r="FP65" s="241">
        <f>'4.3.23'!E38</f>
        <v>35606</v>
      </c>
      <c r="FQ65" s="241">
        <f>'4.4.23'!E38</f>
        <v>39560</v>
      </c>
      <c r="FR65" s="241">
        <f>'4.5.23'!E38</f>
        <v>30086.5</v>
      </c>
      <c r="FS65" s="241">
        <f>'4.6.23'!E38</f>
        <v>40118.5</v>
      </c>
      <c r="FT65" s="241">
        <f>'4.7.23'!E38</f>
        <v>22277.5</v>
      </c>
      <c r="FU65" s="241">
        <f>'4.8.23'!E38</f>
        <v>44859</v>
      </c>
      <c r="FV65" s="241">
        <f>'4.9.23'!E38</f>
        <v>29022.5</v>
      </c>
      <c r="FW65" s="241">
        <f>'4.10.23'!E38</f>
        <v>32205</v>
      </c>
      <c r="FX65" s="241">
        <f>'4.11.23'!E38</f>
        <v>29889.5</v>
      </c>
      <c r="FY65" s="241">
        <f>'4.12.23'!E38</f>
        <v>31179</v>
      </c>
      <c r="FZ65" s="241">
        <f>'4.13.23'!E38</f>
        <v>32309.5</v>
      </c>
      <c r="GA65" s="241">
        <f>'4.14.23'!E38</f>
        <v>35748.5</v>
      </c>
      <c r="GB65" s="241">
        <f>'4.15.23'!E38</f>
        <v>41980.5</v>
      </c>
      <c r="GC65" s="241">
        <f>'4.16.23'!E38</f>
        <v>44279.5</v>
      </c>
      <c r="GD65" s="241">
        <f>'4.17.23'!E38</f>
        <v>38703</v>
      </c>
      <c r="GE65" s="241">
        <f>'4.18.23'!E38</f>
        <v>35093</v>
      </c>
      <c r="GF65" s="241">
        <f>'4.19.23'!E38</f>
        <v>39140</v>
      </c>
      <c r="GG65" s="241">
        <f>'4.20.23'!E38</f>
        <v>22534</v>
      </c>
      <c r="GH65" s="241">
        <f>'4.21.23'!E38</f>
        <v>19323</v>
      </c>
      <c r="GI65" s="241">
        <f>'4.22.23'!E38</f>
        <v>39415.5</v>
      </c>
      <c r="GJ65" s="241">
        <f>'4.23.23'!E38</f>
        <v>23693</v>
      </c>
      <c r="GK65" s="241">
        <f>'4.24.23'!E38</f>
        <v>28386</v>
      </c>
      <c r="GL65" s="241">
        <f>'4.25.23'!E38</f>
        <v>26704.5</v>
      </c>
      <c r="GM65" s="241">
        <f>'4.26.23'!E38</f>
        <v>25374.5</v>
      </c>
      <c r="GN65" s="241">
        <f>'4.27.23'!E38</f>
        <v>33250</v>
      </c>
      <c r="GO65" s="241">
        <f>'4.28.23'!E38</f>
        <v>29754</v>
      </c>
      <c r="GP65" s="241">
        <f>'4.29.23'!E38</f>
        <v>34257</v>
      </c>
      <c r="GQ65" s="241">
        <f>'4.30.23'!E38</f>
        <v>29792</v>
      </c>
      <c r="GR65" s="241">
        <f>'5.01.23'!E38</f>
        <v>41163.5</v>
      </c>
      <c r="GS65" s="241">
        <f>'5.02.23'!E38</f>
        <v>27084.5</v>
      </c>
      <c r="GT65" s="241">
        <f>'5.03.23'!E38</f>
        <v>29725.5</v>
      </c>
      <c r="GU65" s="241">
        <f>'5.04.23'!E38</f>
        <v>30191</v>
      </c>
      <c r="GV65" s="241">
        <f>'5.05.23'!E38</f>
        <v>29307.5</v>
      </c>
      <c r="GW65" s="241">
        <f>'5.06.23'!E38</f>
        <v>27673.5</v>
      </c>
      <c r="GX65" s="241">
        <f>'5.07.23'!E38</f>
        <v>25422</v>
      </c>
      <c r="GY65" s="241">
        <f>'5.08.23'!E38</f>
        <v>25897</v>
      </c>
      <c r="GZ65" s="241">
        <f>'5.09.23'!E38</f>
        <v>22125.5</v>
      </c>
      <c r="HA65" s="241">
        <f>'5.10.23'!E38</f>
        <v>31141</v>
      </c>
      <c r="HB65" s="241">
        <f>'5.11.23'!E38</f>
        <v>33155</v>
      </c>
      <c r="HC65" s="241">
        <f>'5.12.23'!E38</f>
        <v>18316</v>
      </c>
      <c r="HD65" s="241">
        <f>'5.13.23'!E38</f>
        <v>22591</v>
      </c>
      <c r="HE65" s="241">
        <f>'5.14.23'!E38</f>
        <v>21451</v>
      </c>
      <c r="HF65" s="241">
        <f>'5.15.23'!E38</f>
        <v>25735.5</v>
      </c>
      <c r="HG65" s="241">
        <f>'5.16.23'!E38</f>
        <v>31226.5</v>
      </c>
      <c r="HH65" s="241">
        <f>'5.17.23'!E38</f>
        <v>21878.5</v>
      </c>
      <c r="HI65" s="241">
        <f>'5.18.23'!E38</f>
        <v>30989</v>
      </c>
      <c r="HJ65" s="241">
        <f>'5.19.23'!E38</f>
        <v>27075</v>
      </c>
      <c r="HK65" s="241">
        <f>'5.20.23'!E38</f>
        <v>28680.5</v>
      </c>
      <c r="HL65" s="241">
        <f>'5.21.23'!E38</f>
        <v>26875.5</v>
      </c>
      <c r="HM65" s="241">
        <f>'5.22.23'!E38</f>
        <v>24662</v>
      </c>
      <c r="HN65" s="241">
        <f>'5.23.23'!E38</f>
        <v>26894.5</v>
      </c>
      <c r="HO65" s="241">
        <f>'5.24.23'!E38</f>
        <v>26324.5</v>
      </c>
      <c r="HP65" s="241">
        <f>'5.25.23'!E38</f>
        <v>38703</v>
      </c>
      <c r="HQ65" s="241">
        <f>'5.26.23'!E38</f>
        <v>24235.5</v>
      </c>
      <c r="HR65" s="241">
        <f>'5.27.23'!E38</f>
        <v>6061</v>
      </c>
      <c r="HS65" s="241">
        <f>'5.28.23'!E38</f>
        <v>8711.5</v>
      </c>
      <c r="HT65" s="241">
        <f>'5.29.23'!E38</f>
        <v>19484.5</v>
      </c>
      <c r="HU65" s="241">
        <f>'5.30.23'!E38</f>
        <v>18724.5</v>
      </c>
      <c r="HV65" s="241">
        <f>'5.31.23'!E38</f>
        <v>24491</v>
      </c>
      <c r="HW65" s="241">
        <f>'6.01.23'!E38</f>
        <v>31188.5</v>
      </c>
      <c r="HX65" s="241">
        <f>'6.02.23'!E38</f>
        <v>28329</v>
      </c>
      <c r="HY65" s="241">
        <f>'6.03.23'!E38</f>
        <v>30922.5</v>
      </c>
      <c r="HZ65" s="241">
        <f>'6.04.23'!E38</f>
        <v>30998.5</v>
      </c>
      <c r="IA65" s="241">
        <f>'6.5.23'!E38</f>
        <v>22961.5</v>
      </c>
      <c r="IB65" s="241">
        <f>'6.6.23'!E38</f>
        <v>36242.5</v>
      </c>
      <c r="IC65" s="241">
        <f>'6.7.23'!E38</f>
        <v>31796.5</v>
      </c>
      <c r="ID65" s="241">
        <f>'6.8.23'!E38</f>
        <v>34494.5</v>
      </c>
      <c r="IE65" s="241">
        <f>'6.9.23'!E38</f>
        <v>23270.5</v>
      </c>
      <c r="IF65" s="241">
        <f>'6.10.23'!E38</f>
        <v>40061.5</v>
      </c>
      <c r="IG65" s="241">
        <f>'6.11.23'!E38</f>
        <v>26514.5</v>
      </c>
      <c r="IH65" s="241"/>
      <c r="II65" s="241"/>
      <c r="IJ65" s="241"/>
      <c r="IK65" s="241"/>
      <c r="IL65" s="197"/>
      <c r="IM65" s="57"/>
      <c r="IN65" s="521"/>
      <c r="IO65" s="521"/>
      <c r="IP65" s="521"/>
      <c r="IQ65" s="521"/>
      <c r="IR65" s="521"/>
      <c r="IS65" s="521"/>
    </row>
    <row r="66" spans="1:267" ht="12" customHeight="1">
      <c r="A66" s="198" t="s">
        <v>86</v>
      </c>
      <c r="B66" s="242">
        <f t="shared" ref="B66:BM66" si="19">B64-B65</f>
        <v>0</v>
      </c>
      <c r="C66" s="242">
        <f t="shared" si="19"/>
        <v>0</v>
      </c>
      <c r="D66" s="242">
        <f t="shared" si="19"/>
        <v>0</v>
      </c>
      <c r="E66" s="242">
        <f t="shared" si="19"/>
        <v>0</v>
      </c>
      <c r="F66" s="242">
        <f t="shared" si="19"/>
        <v>0</v>
      </c>
      <c r="G66" s="242">
        <f t="shared" si="19"/>
        <v>0</v>
      </c>
      <c r="H66" s="242">
        <f t="shared" si="19"/>
        <v>0</v>
      </c>
      <c r="I66" s="242">
        <f t="shared" si="19"/>
        <v>0</v>
      </c>
      <c r="J66" s="242">
        <f t="shared" si="19"/>
        <v>0</v>
      </c>
      <c r="K66" s="242">
        <f t="shared" si="19"/>
        <v>0</v>
      </c>
      <c r="L66" s="242">
        <f t="shared" si="19"/>
        <v>0</v>
      </c>
      <c r="M66" s="242">
        <f t="shared" si="19"/>
        <v>0</v>
      </c>
      <c r="N66" s="242">
        <f t="shared" si="19"/>
        <v>0</v>
      </c>
      <c r="O66" s="242">
        <f t="shared" si="19"/>
        <v>0</v>
      </c>
      <c r="P66" s="242">
        <f t="shared" si="19"/>
        <v>0</v>
      </c>
      <c r="Q66" s="242">
        <f t="shared" si="19"/>
        <v>0</v>
      </c>
      <c r="R66" s="242">
        <f t="shared" si="19"/>
        <v>0</v>
      </c>
      <c r="S66" s="242">
        <f t="shared" si="19"/>
        <v>0</v>
      </c>
      <c r="T66" s="242">
        <f t="shared" si="19"/>
        <v>0</v>
      </c>
      <c r="U66" s="242">
        <f t="shared" si="19"/>
        <v>0</v>
      </c>
      <c r="V66" s="242">
        <f t="shared" si="19"/>
        <v>0</v>
      </c>
      <c r="W66" s="242">
        <f t="shared" si="19"/>
        <v>0</v>
      </c>
      <c r="X66" s="242">
        <f t="shared" si="19"/>
        <v>0</v>
      </c>
      <c r="Y66" s="242">
        <f t="shared" si="19"/>
        <v>0</v>
      </c>
      <c r="Z66" s="242">
        <f t="shared" si="19"/>
        <v>0</v>
      </c>
      <c r="AA66" s="242">
        <f t="shared" si="19"/>
        <v>0</v>
      </c>
      <c r="AB66" s="242">
        <f t="shared" si="19"/>
        <v>0</v>
      </c>
      <c r="AC66" s="242">
        <f t="shared" si="19"/>
        <v>0</v>
      </c>
      <c r="AD66" s="242">
        <f t="shared" si="19"/>
        <v>0</v>
      </c>
      <c r="AE66" s="242">
        <f t="shared" si="19"/>
        <v>0</v>
      </c>
      <c r="AF66" s="242">
        <f t="shared" si="19"/>
        <v>0</v>
      </c>
      <c r="AG66" s="242">
        <f t="shared" si="19"/>
        <v>0</v>
      </c>
      <c r="AH66" s="242">
        <f t="shared" si="19"/>
        <v>0</v>
      </c>
      <c r="AI66" s="242">
        <f t="shared" si="19"/>
        <v>0</v>
      </c>
      <c r="AJ66" s="242">
        <f t="shared" si="19"/>
        <v>0</v>
      </c>
      <c r="AK66" s="242">
        <f t="shared" si="19"/>
        <v>0</v>
      </c>
      <c r="AL66" s="242">
        <f t="shared" si="19"/>
        <v>0</v>
      </c>
      <c r="AM66" s="242">
        <f t="shared" si="19"/>
        <v>0</v>
      </c>
      <c r="AN66" s="242">
        <f t="shared" si="19"/>
        <v>0</v>
      </c>
      <c r="AO66" s="242">
        <f t="shared" si="19"/>
        <v>0</v>
      </c>
      <c r="AP66" s="242">
        <f t="shared" si="19"/>
        <v>0</v>
      </c>
      <c r="AQ66" s="242">
        <f t="shared" si="19"/>
        <v>0</v>
      </c>
      <c r="AR66" s="242">
        <f t="shared" si="19"/>
        <v>0</v>
      </c>
      <c r="AS66" s="242">
        <f t="shared" si="19"/>
        <v>0</v>
      </c>
      <c r="AT66" s="242">
        <f t="shared" si="19"/>
        <v>0</v>
      </c>
      <c r="AU66" s="242">
        <f t="shared" si="19"/>
        <v>0</v>
      </c>
      <c r="AV66" s="242">
        <f t="shared" si="19"/>
        <v>0</v>
      </c>
      <c r="AW66" s="242">
        <f t="shared" si="19"/>
        <v>0</v>
      </c>
      <c r="AX66" s="242">
        <f t="shared" si="19"/>
        <v>0</v>
      </c>
      <c r="AY66" s="242">
        <f t="shared" si="19"/>
        <v>0</v>
      </c>
      <c r="AZ66" s="242">
        <f t="shared" si="19"/>
        <v>0</v>
      </c>
      <c r="BA66" s="242">
        <f t="shared" si="19"/>
        <v>0</v>
      </c>
      <c r="BB66" s="242">
        <f t="shared" si="19"/>
        <v>0</v>
      </c>
      <c r="BC66" s="242">
        <f t="shared" si="19"/>
        <v>0</v>
      </c>
      <c r="BD66" s="242">
        <f t="shared" si="19"/>
        <v>0</v>
      </c>
      <c r="BE66" s="242">
        <f t="shared" si="19"/>
        <v>0</v>
      </c>
      <c r="BF66" s="242">
        <f t="shared" si="19"/>
        <v>0</v>
      </c>
      <c r="BG66" s="242">
        <f t="shared" si="19"/>
        <v>0</v>
      </c>
      <c r="BH66" s="242">
        <f t="shared" si="19"/>
        <v>0</v>
      </c>
      <c r="BI66" s="242">
        <f t="shared" si="19"/>
        <v>0</v>
      </c>
      <c r="BJ66" s="242">
        <f t="shared" si="19"/>
        <v>0</v>
      </c>
      <c r="BK66" s="242">
        <f t="shared" si="19"/>
        <v>0</v>
      </c>
      <c r="BL66" s="242">
        <f t="shared" si="19"/>
        <v>0</v>
      </c>
      <c r="BM66" s="242">
        <f t="shared" si="19"/>
        <v>0</v>
      </c>
      <c r="BN66" s="242">
        <f t="shared" ref="BN66:BY66" si="20">BN64-BN65</f>
        <v>0</v>
      </c>
      <c r="BO66" s="242">
        <f t="shared" si="20"/>
        <v>0</v>
      </c>
      <c r="BP66" s="242">
        <f t="shared" si="20"/>
        <v>0</v>
      </c>
      <c r="BQ66" s="242">
        <f t="shared" si="20"/>
        <v>0</v>
      </c>
      <c r="BR66" s="242">
        <f t="shared" si="20"/>
        <v>0</v>
      </c>
      <c r="BS66" s="242">
        <f t="shared" si="20"/>
        <v>0</v>
      </c>
      <c r="BT66" s="242">
        <f t="shared" si="20"/>
        <v>0</v>
      </c>
      <c r="BU66" s="242">
        <f t="shared" si="20"/>
        <v>0</v>
      </c>
      <c r="BV66" s="242">
        <f t="shared" si="20"/>
        <v>0</v>
      </c>
      <c r="BW66" s="242">
        <f t="shared" si="20"/>
        <v>0</v>
      </c>
      <c r="BX66" s="242">
        <f t="shared" si="20"/>
        <v>0</v>
      </c>
      <c r="BY66" s="242">
        <f t="shared" si="20"/>
        <v>0</v>
      </c>
      <c r="BZ66" s="242">
        <f>BZ64-BZ65</f>
        <v>0</v>
      </c>
      <c r="CA66" s="242">
        <f t="shared" ref="CA66:IK66" si="21">CA64-CA65</f>
        <v>0</v>
      </c>
      <c r="CB66" s="242">
        <f t="shared" si="21"/>
        <v>0</v>
      </c>
      <c r="CC66" s="242">
        <f t="shared" si="21"/>
        <v>0</v>
      </c>
      <c r="CD66" s="242">
        <f t="shared" si="21"/>
        <v>0</v>
      </c>
      <c r="CE66" s="242">
        <f t="shared" si="21"/>
        <v>0</v>
      </c>
      <c r="CF66" s="242">
        <f t="shared" si="21"/>
        <v>0</v>
      </c>
      <c r="CG66" s="242">
        <f t="shared" si="21"/>
        <v>0</v>
      </c>
      <c r="CH66" s="242">
        <f t="shared" si="21"/>
        <v>0</v>
      </c>
      <c r="CI66" s="242">
        <f t="shared" si="21"/>
        <v>0</v>
      </c>
      <c r="CJ66" s="242">
        <f t="shared" si="21"/>
        <v>0</v>
      </c>
      <c r="CK66" s="242">
        <f t="shared" si="21"/>
        <v>0</v>
      </c>
      <c r="CL66" s="242">
        <f t="shared" si="21"/>
        <v>0</v>
      </c>
      <c r="CM66" s="242">
        <f t="shared" si="21"/>
        <v>0</v>
      </c>
      <c r="CN66" s="242">
        <f t="shared" si="21"/>
        <v>0</v>
      </c>
      <c r="CO66" s="242">
        <f t="shared" si="21"/>
        <v>0</v>
      </c>
      <c r="CP66" s="242">
        <f t="shared" si="21"/>
        <v>0</v>
      </c>
      <c r="CQ66" s="242">
        <f t="shared" si="21"/>
        <v>0</v>
      </c>
      <c r="CR66" s="242">
        <f t="shared" si="21"/>
        <v>0</v>
      </c>
      <c r="CS66" s="242">
        <f t="shared" si="21"/>
        <v>0</v>
      </c>
      <c r="CT66" s="242">
        <f t="shared" si="21"/>
        <v>0</v>
      </c>
      <c r="CU66" s="242">
        <f t="shared" si="21"/>
        <v>0</v>
      </c>
      <c r="CV66" s="242">
        <f t="shared" si="21"/>
        <v>0</v>
      </c>
      <c r="CW66" s="242">
        <f t="shared" si="21"/>
        <v>0</v>
      </c>
      <c r="CX66" s="242">
        <f t="shared" si="21"/>
        <v>0</v>
      </c>
      <c r="CY66" s="242">
        <f t="shared" si="21"/>
        <v>0</v>
      </c>
      <c r="CZ66" s="242">
        <f t="shared" si="21"/>
        <v>0</v>
      </c>
      <c r="DA66" s="242">
        <f t="shared" si="21"/>
        <v>0</v>
      </c>
      <c r="DB66" s="242">
        <f t="shared" si="21"/>
        <v>0</v>
      </c>
      <c r="DC66" s="242">
        <f t="shared" si="21"/>
        <v>0</v>
      </c>
      <c r="DD66" s="242">
        <f t="shared" si="21"/>
        <v>0</v>
      </c>
      <c r="DE66" s="242">
        <f t="shared" si="21"/>
        <v>0</v>
      </c>
      <c r="DF66" s="242">
        <f t="shared" si="21"/>
        <v>0</v>
      </c>
      <c r="DG66" s="242">
        <f t="shared" si="21"/>
        <v>0</v>
      </c>
      <c r="DH66" s="242">
        <f t="shared" si="21"/>
        <v>0</v>
      </c>
      <c r="DI66" s="242">
        <f t="shared" si="21"/>
        <v>0</v>
      </c>
      <c r="DJ66" s="242">
        <f t="shared" si="21"/>
        <v>0</v>
      </c>
      <c r="DK66" s="242">
        <f t="shared" si="21"/>
        <v>0</v>
      </c>
      <c r="DL66" s="242">
        <f t="shared" si="21"/>
        <v>0</v>
      </c>
      <c r="DM66" s="242">
        <f t="shared" si="21"/>
        <v>0</v>
      </c>
      <c r="DN66" s="242">
        <f t="shared" si="21"/>
        <v>0</v>
      </c>
      <c r="DO66" s="242">
        <f t="shared" si="21"/>
        <v>0</v>
      </c>
      <c r="DP66" s="242">
        <f t="shared" si="21"/>
        <v>0</v>
      </c>
      <c r="DQ66" s="242">
        <f t="shared" si="21"/>
        <v>0</v>
      </c>
      <c r="DR66" s="242">
        <f t="shared" si="21"/>
        <v>0</v>
      </c>
      <c r="DS66" s="242">
        <f t="shared" si="21"/>
        <v>0</v>
      </c>
      <c r="DT66" s="242">
        <f t="shared" si="21"/>
        <v>0</v>
      </c>
      <c r="DU66" s="242">
        <f t="shared" si="21"/>
        <v>0</v>
      </c>
      <c r="DV66" s="242">
        <f t="shared" si="21"/>
        <v>0</v>
      </c>
      <c r="DW66" s="242">
        <f t="shared" si="21"/>
        <v>0</v>
      </c>
      <c r="DX66" s="242">
        <f t="shared" si="21"/>
        <v>0</v>
      </c>
      <c r="DY66" s="242">
        <f t="shared" si="21"/>
        <v>0</v>
      </c>
      <c r="DZ66" s="242">
        <f t="shared" si="21"/>
        <v>0</v>
      </c>
      <c r="EA66" s="242">
        <f t="shared" si="21"/>
        <v>0</v>
      </c>
      <c r="EB66" s="242">
        <f t="shared" si="21"/>
        <v>0</v>
      </c>
      <c r="EC66" s="242">
        <f t="shared" si="21"/>
        <v>0</v>
      </c>
      <c r="ED66" s="242">
        <f t="shared" si="21"/>
        <v>0</v>
      </c>
      <c r="EE66" s="242">
        <f t="shared" si="21"/>
        <v>0</v>
      </c>
      <c r="EF66" s="242">
        <f t="shared" si="21"/>
        <v>0</v>
      </c>
      <c r="EG66" s="242">
        <f t="shared" si="21"/>
        <v>0</v>
      </c>
      <c r="EH66" s="242">
        <f t="shared" si="21"/>
        <v>0</v>
      </c>
      <c r="EI66" s="242">
        <f t="shared" si="21"/>
        <v>0</v>
      </c>
      <c r="EJ66" s="242">
        <f t="shared" si="21"/>
        <v>0</v>
      </c>
      <c r="EK66" s="242">
        <f t="shared" si="21"/>
        <v>0</v>
      </c>
      <c r="EL66" s="242">
        <f t="shared" si="21"/>
        <v>0</v>
      </c>
      <c r="EM66" s="242">
        <f t="shared" si="21"/>
        <v>0</v>
      </c>
      <c r="EN66" s="242">
        <f t="shared" si="21"/>
        <v>0</v>
      </c>
      <c r="EO66" s="242">
        <f t="shared" si="21"/>
        <v>0</v>
      </c>
      <c r="EP66" s="242">
        <f t="shared" si="21"/>
        <v>0</v>
      </c>
      <c r="EQ66" s="242">
        <f t="shared" si="21"/>
        <v>0</v>
      </c>
      <c r="ER66" s="242">
        <f t="shared" si="21"/>
        <v>0</v>
      </c>
      <c r="ES66" s="242">
        <f t="shared" si="21"/>
        <v>0</v>
      </c>
      <c r="ET66" s="242">
        <f t="shared" si="21"/>
        <v>0</v>
      </c>
      <c r="EU66" s="242">
        <f t="shared" si="21"/>
        <v>0</v>
      </c>
      <c r="EV66" s="242">
        <f t="shared" si="21"/>
        <v>0</v>
      </c>
      <c r="EW66" s="242">
        <f t="shared" si="21"/>
        <v>0</v>
      </c>
      <c r="EX66" s="242">
        <f t="shared" si="21"/>
        <v>0</v>
      </c>
      <c r="EY66" s="242">
        <f t="shared" si="21"/>
        <v>0</v>
      </c>
      <c r="EZ66" s="242">
        <f t="shared" si="21"/>
        <v>0</v>
      </c>
      <c r="FA66" s="242">
        <f t="shared" si="21"/>
        <v>0</v>
      </c>
      <c r="FB66" s="242">
        <f t="shared" si="21"/>
        <v>0</v>
      </c>
      <c r="FC66" s="242">
        <f t="shared" si="21"/>
        <v>0</v>
      </c>
      <c r="FD66" s="242">
        <f t="shared" si="21"/>
        <v>0</v>
      </c>
      <c r="FE66" s="242">
        <f t="shared" si="21"/>
        <v>0</v>
      </c>
      <c r="FF66" s="242">
        <f t="shared" si="21"/>
        <v>0</v>
      </c>
      <c r="FG66" s="242">
        <f t="shared" si="21"/>
        <v>0</v>
      </c>
      <c r="FH66" s="242">
        <f t="shared" si="21"/>
        <v>0</v>
      </c>
      <c r="FI66" s="242">
        <f t="shared" si="21"/>
        <v>0</v>
      </c>
      <c r="FJ66" s="242">
        <f t="shared" si="21"/>
        <v>0</v>
      </c>
      <c r="FK66" s="242">
        <f t="shared" si="21"/>
        <v>0</v>
      </c>
      <c r="FL66" s="242">
        <f t="shared" si="21"/>
        <v>0</v>
      </c>
      <c r="FM66" s="242">
        <f t="shared" si="21"/>
        <v>0</v>
      </c>
      <c r="FN66" s="242">
        <f t="shared" si="21"/>
        <v>0</v>
      </c>
      <c r="FO66" s="242">
        <f t="shared" si="21"/>
        <v>0</v>
      </c>
      <c r="FP66" s="242">
        <f t="shared" si="21"/>
        <v>0</v>
      </c>
      <c r="FQ66" s="242">
        <f t="shared" si="21"/>
        <v>0</v>
      </c>
      <c r="FR66" s="242">
        <f t="shared" si="21"/>
        <v>0</v>
      </c>
      <c r="FS66" s="242">
        <f t="shared" si="21"/>
        <v>0</v>
      </c>
      <c r="FT66" s="242">
        <f t="shared" si="21"/>
        <v>0</v>
      </c>
      <c r="FU66" s="242">
        <f t="shared" si="21"/>
        <v>0</v>
      </c>
      <c r="FV66" s="242">
        <f t="shared" si="21"/>
        <v>0</v>
      </c>
      <c r="FW66" s="242">
        <f t="shared" ref="FW66:FY66" si="22">FW64-FW65</f>
        <v>0</v>
      </c>
      <c r="FX66" s="242">
        <f t="shared" si="22"/>
        <v>0</v>
      </c>
      <c r="FY66" s="242">
        <f t="shared" si="22"/>
        <v>0</v>
      </c>
      <c r="FZ66" s="242">
        <f t="shared" si="21"/>
        <v>0</v>
      </c>
      <c r="GA66" s="242">
        <f t="shared" si="21"/>
        <v>0</v>
      </c>
      <c r="GB66" s="242">
        <f t="shared" si="21"/>
        <v>0</v>
      </c>
      <c r="GC66" s="242">
        <f t="shared" si="21"/>
        <v>0</v>
      </c>
      <c r="GD66" s="242">
        <f t="shared" si="21"/>
        <v>0</v>
      </c>
      <c r="GE66" s="242">
        <f t="shared" si="21"/>
        <v>0</v>
      </c>
      <c r="GF66" s="242">
        <f t="shared" si="21"/>
        <v>0</v>
      </c>
      <c r="GG66" s="242">
        <f t="shared" si="21"/>
        <v>0</v>
      </c>
      <c r="GH66" s="242">
        <f t="shared" si="21"/>
        <v>0</v>
      </c>
      <c r="GI66" s="242">
        <f t="shared" si="21"/>
        <v>0</v>
      </c>
      <c r="GJ66" s="242">
        <f t="shared" si="21"/>
        <v>0</v>
      </c>
      <c r="GK66" s="242">
        <f t="shared" si="21"/>
        <v>0</v>
      </c>
      <c r="GL66" s="242">
        <f t="shared" si="21"/>
        <v>0</v>
      </c>
      <c r="GM66" s="242">
        <f t="shared" si="21"/>
        <v>0</v>
      </c>
      <c r="GN66" s="242">
        <f t="shared" si="21"/>
        <v>0</v>
      </c>
      <c r="GO66" s="242">
        <f t="shared" si="21"/>
        <v>0</v>
      </c>
      <c r="GP66" s="242">
        <f t="shared" si="21"/>
        <v>0</v>
      </c>
      <c r="GQ66" s="242">
        <f t="shared" si="21"/>
        <v>0</v>
      </c>
      <c r="GR66" s="242">
        <f t="shared" si="21"/>
        <v>0</v>
      </c>
      <c r="GS66" s="242">
        <f t="shared" si="21"/>
        <v>0</v>
      </c>
      <c r="GT66" s="242">
        <f t="shared" si="21"/>
        <v>0</v>
      </c>
      <c r="GU66" s="242">
        <f t="shared" si="21"/>
        <v>0</v>
      </c>
      <c r="GV66" s="242">
        <f t="shared" si="21"/>
        <v>0</v>
      </c>
      <c r="GW66" s="242">
        <f t="shared" si="21"/>
        <v>0</v>
      </c>
      <c r="GX66" s="242">
        <f t="shared" ref="GX66:GY66" si="23">GX64-GX65</f>
        <v>0</v>
      </c>
      <c r="GY66" s="242">
        <f t="shared" si="23"/>
        <v>0</v>
      </c>
      <c r="GZ66" s="242">
        <f t="shared" si="21"/>
        <v>0</v>
      </c>
      <c r="HA66" s="242">
        <f t="shared" si="21"/>
        <v>0</v>
      </c>
      <c r="HB66" s="242">
        <f t="shared" si="21"/>
        <v>0</v>
      </c>
      <c r="HC66" s="242">
        <f t="shared" si="21"/>
        <v>0</v>
      </c>
      <c r="HD66" s="242">
        <f t="shared" si="21"/>
        <v>0</v>
      </c>
      <c r="HE66" s="242">
        <f t="shared" si="21"/>
        <v>0</v>
      </c>
      <c r="HF66" s="242">
        <f t="shared" si="21"/>
        <v>0</v>
      </c>
      <c r="HG66" s="242">
        <f t="shared" si="21"/>
        <v>0</v>
      </c>
      <c r="HH66" s="242">
        <f t="shared" si="21"/>
        <v>0</v>
      </c>
      <c r="HI66" s="242">
        <f t="shared" si="21"/>
        <v>0</v>
      </c>
      <c r="HJ66" s="242">
        <f t="shared" si="21"/>
        <v>0</v>
      </c>
      <c r="HK66" s="242">
        <f t="shared" si="21"/>
        <v>0</v>
      </c>
      <c r="HL66" s="242">
        <f t="shared" si="21"/>
        <v>0</v>
      </c>
      <c r="HM66" s="242">
        <f t="shared" si="21"/>
        <v>0</v>
      </c>
      <c r="HN66" s="242">
        <f t="shared" si="21"/>
        <v>0</v>
      </c>
      <c r="HO66" s="242">
        <f t="shared" si="21"/>
        <v>0</v>
      </c>
      <c r="HP66" s="242">
        <f t="shared" si="21"/>
        <v>0</v>
      </c>
      <c r="HQ66" s="242">
        <f t="shared" si="21"/>
        <v>0</v>
      </c>
      <c r="HR66" s="242">
        <f t="shared" si="21"/>
        <v>0</v>
      </c>
      <c r="HS66" s="242">
        <f t="shared" si="21"/>
        <v>0</v>
      </c>
      <c r="HT66" s="242">
        <f t="shared" si="21"/>
        <v>0</v>
      </c>
      <c r="HU66" s="242">
        <f t="shared" si="21"/>
        <v>0</v>
      </c>
      <c r="HV66" s="242">
        <f t="shared" si="21"/>
        <v>0</v>
      </c>
      <c r="HW66" s="242">
        <f t="shared" si="21"/>
        <v>0</v>
      </c>
      <c r="HX66" s="242">
        <f t="shared" si="21"/>
        <v>0</v>
      </c>
      <c r="HY66" s="242">
        <f t="shared" si="21"/>
        <v>0</v>
      </c>
      <c r="HZ66" s="242">
        <f t="shared" si="21"/>
        <v>0</v>
      </c>
      <c r="IA66" s="242">
        <f t="shared" si="21"/>
        <v>0</v>
      </c>
      <c r="IB66" s="242">
        <f t="shared" si="21"/>
        <v>0</v>
      </c>
      <c r="IC66" s="242">
        <f t="shared" si="21"/>
        <v>0</v>
      </c>
      <c r="ID66" s="242">
        <f t="shared" si="21"/>
        <v>0</v>
      </c>
      <c r="IE66" s="242">
        <f t="shared" si="21"/>
        <v>0</v>
      </c>
      <c r="IF66" s="242">
        <f t="shared" si="21"/>
        <v>0</v>
      </c>
      <c r="IG66" s="242">
        <f t="shared" si="21"/>
        <v>0</v>
      </c>
      <c r="IH66" s="242">
        <f t="shared" si="21"/>
        <v>0</v>
      </c>
      <c r="II66" s="242">
        <f t="shared" si="21"/>
        <v>0</v>
      </c>
      <c r="IJ66" s="242">
        <f t="shared" si="21"/>
        <v>0</v>
      </c>
      <c r="IK66" s="242">
        <f t="shared" si="21"/>
        <v>0</v>
      </c>
      <c r="IL66" s="233"/>
      <c r="IM66" s="199"/>
      <c r="IO66" s="316"/>
      <c r="IP66" s="316"/>
      <c r="IQ66" s="316"/>
      <c r="IR66" s="316"/>
      <c r="IS66" s="316"/>
      <c r="IT66" s="199"/>
      <c r="IU66" s="199"/>
      <c r="IV66" s="199"/>
      <c r="IW66" s="198"/>
      <c r="IX66" s="199"/>
      <c r="IY66" s="199"/>
      <c r="IZ66" s="199"/>
      <c r="JA66" s="199"/>
      <c r="JB66" s="199"/>
      <c r="JC66" s="199"/>
      <c r="JD66" s="199"/>
      <c r="JE66" s="199"/>
      <c r="JF66" s="199"/>
      <c r="JG66" s="199"/>
    </row>
    <row r="67" spans="1:267" ht="26.25" customHeight="1">
      <c r="C67" s="108"/>
      <c r="D67" s="108" t="s">
        <v>703</v>
      </c>
      <c r="E67" s="108"/>
      <c r="I67" s="108"/>
      <c r="J67" s="108"/>
      <c r="K67" s="108" t="s">
        <v>699</v>
      </c>
      <c r="L67" s="108"/>
      <c r="M67" s="108"/>
      <c r="AB67" s="974" t="s">
        <v>755</v>
      </c>
      <c r="BS67" s="974" t="s">
        <v>777</v>
      </c>
      <c r="CB67" s="982"/>
      <c r="CC67" s="982"/>
      <c r="CD67" s="982"/>
      <c r="CE67" s="982"/>
      <c r="CF67" s="982"/>
      <c r="CG67" s="982"/>
      <c r="CH67" s="982" t="s">
        <v>786</v>
      </c>
      <c r="CI67" s="982"/>
      <c r="CJ67" s="982"/>
      <c r="CK67" s="982"/>
      <c r="CL67" s="982"/>
      <c r="CM67" s="982"/>
      <c r="CN67" s="982"/>
      <c r="CO67" s="1284" t="s">
        <v>823</v>
      </c>
      <c r="CP67" s="1284"/>
      <c r="CQ67" s="982"/>
      <c r="CR67" s="982"/>
      <c r="CS67" s="982"/>
      <c r="CT67" s="982"/>
      <c r="CU67" s="982"/>
      <c r="CV67" s="982"/>
      <c r="CW67" s="982"/>
      <c r="CX67" s="982"/>
      <c r="CY67" s="982"/>
      <c r="CZ67" s="982"/>
      <c r="DA67" s="982"/>
      <c r="DB67" s="982"/>
      <c r="DC67" s="982"/>
      <c r="DD67" s="982"/>
      <c r="DE67" s="982"/>
      <c r="DF67" s="982"/>
      <c r="DG67" s="982"/>
      <c r="DH67" s="982"/>
      <c r="DI67" s="982"/>
      <c r="DJ67" s="982"/>
      <c r="DK67" s="982"/>
      <c r="DL67" s="982"/>
      <c r="DM67" s="982"/>
      <c r="DN67" s="982"/>
      <c r="DO67" s="982"/>
      <c r="DP67" s="982"/>
      <c r="DQ67" s="982"/>
      <c r="DR67" s="982"/>
      <c r="DS67" s="982"/>
      <c r="DT67" s="982"/>
      <c r="DU67" s="982"/>
      <c r="DV67" s="982"/>
      <c r="DW67" s="982"/>
      <c r="DX67" s="982" t="s">
        <v>839</v>
      </c>
      <c r="DY67" s="982" t="s">
        <v>839</v>
      </c>
      <c r="DZ67" s="982"/>
      <c r="EA67" s="982"/>
      <c r="EB67" s="982"/>
      <c r="EC67" s="982"/>
      <c r="ED67" s="982"/>
      <c r="EE67" s="982"/>
      <c r="EF67" s="982"/>
      <c r="EG67" s="982"/>
      <c r="EH67" s="982"/>
      <c r="EI67" s="982"/>
      <c r="EJ67" s="982"/>
      <c r="EK67" s="982"/>
      <c r="EL67" s="982"/>
      <c r="EM67" s="982"/>
      <c r="EN67" s="982"/>
      <c r="EO67" s="982"/>
      <c r="EP67" s="982"/>
      <c r="EQ67" s="982"/>
      <c r="ER67" s="982"/>
      <c r="ES67" s="982"/>
      <c r="ET67" s="982"/>
      <c r="EU67" s="982"/>
      <c r="EV67" s="982"/>
      <c r="EW67" s="982"/>
      <c r="EX67" s="982"/>
      <c r="EY67" s="982"/>
      <c r="EZ67" s="982"/>
      <c r="FA67" s="982"/>
      <c r="FB67" s="982"/>
      <c r="FC67" s="982"/>
      <c r="FD67" s="982"/>
      <c r="FE67" s="982"/>
      <c r="FF67" s="982" t="s">
        <v>871</v>
      </c>
      <c r="FG67" s="982" t="s">
        <v>872</v>
      </c>
      <c r="FH67" s="982" t="s">
        <v>871</v>
      </c>
      <c r="FI67" s="982" t="s">
        <v>872</v>
      </c>
      <c r="FJ67" s="982" t="s">
        <v>871</v>
      </c>
      <c r="FK67" s="982" t="s">
        <v>872</v>
      </c>
      <c r="FL67" s="982" t="s">
        <v>871</v>
      </c>
      <c r="FM67" s="982" t="s">
        <v>872</v>
      </c>
      <c r="FN67" s="982" t="s">
        <v>871</v>
      </c>
      <c r="FO67" s="982"/>
      <c r="FP67" s="982"/>
      <c r="FQ67" s="982"/>
      <c r="FR67" s="982"/>
      <c r="FS67" s="982"/>
      <c r="FT67" s="982"/>
      <c r="FU67" s="982"/>
      <c r="FV67" s="982"/>
      <c r="FW67" s="982"/>
      <c r="FX67" s="982"/>
      <c r="FY67" s="982"/>
      <c r="FZ67" s="982"/>
      <c r="GA67" s="982"/>
      <c r="GB67" s="982"/>
      <c r="GC67" s="982"/>
      <c r="GD67" s="982"/>
      <c r="GE67" s="982"/>
      <c r="GF67" s="982"/>
      <c r="GG67" s="982"/>
      <c r="GH67" s="982"/>
      <c r="GI67" s="982"/>
      <c r="GJ67" s="982"/>
      <c r="GK67" s="982"/>
      <c r="GL67" s="982"/>
      <c r="GM67" s="982"/>
      <c r="GN67" s="982"/>
      <c r="GO67" s="982"/>
      <c r="GP67" s="982"/>
      <c r="GQ67" s="982"/>
      <c r="GR67" s="982"/>
      <c r="GS67" s="982"/>
      <c r="GT67" s="982"/>
      <c r="GU67" s="982"/>
      <c r="GV67" s="982"/>
      <c r="GW67" s="982"/>
      <c r="GX67" s="982"/>
      <c r="GY67" s="982"/>
      <c r="GZ67" s="982"/>
      <c r="HA67" s="982"/>
      <c r="HB67" s="982"/>
      <c r="HC67" s="982"/>
      <c r="HD67" s="982"/>
      <c r="HE67" s="982"/>
      <c r="HF67" s="982"/>
      <c r="HG67" s="982"/>
      <c r="HH67" s="982"/>
      <c r="HI67" s="982"/>
      <c r="HJ67" s="982"/>
      <c r="HK67" s="982"/>
      <c r="HL67" s="982"/>
      <c r="HM67" s="982"/>
      <c r="HN67" s="982"/>
      <c r="HO67" s="982"/>
      <c r="HP67" s="982"/>
      <c r="HQ67" s="982"/>
      <c r="HR67" s="982"/>
      <c r="HS67" s="982"/>
      <c r="HT67" s="982"/>
      <c r="HU67" s="982"/>
      <c r="HV67" s="982"/>
      <c r="HW67" s="982"/>
      <c r="HX67" s="982"/>
      <c r="HY67" s="982"/>
      <c r="HZ67" s="982"/>
      <c r="IA67" s="982"/>
      <c r="IB67" s="982"/>
      <c r="IC67" s="982"/>
      <c r="ID67" s="982"/>
      <c r="IE67" s="982"/>
      <c r="IF67" s="982"/>
      <c r="IG67" s="982"/>
      <c r="IH67" s="982"/>
      <c r="II67" s="982"/>
      <c r="IJ67" s="982"/>
    </row>
    <row r="68" spans="1:267">
      <c r="C68" s="108"/>
      <c r="D68" s="108" t="s">
        <v>704</v>
      </c>
      <c r="E68" s="108"/>
      <c r="I68" s="108"/>
      <c r="J68" s="108"/>
      <c r="K68" s="108" t="s">
        <v>700</v>
      </c>
      <c r="L68" s="108"/>
      <c r="M68" s="108"/>
      <c r="BS68" s="974" t="s">
        <v>778</v>
      </c>
      <c r="CG68" s="974" t="s">
        <v>323</v>
      </c>
      <c r="CH68" s="974" t="s">
        <v>324</v>
      </c>
      <c r="IL68" s="234"/>
      <c r="IN68" s="199"/>
      <c r="IO68" s="199"/>
      <c r="IP68" s="199"/>
      <c r="IQ68" s="199"/>
      <c r="IR68" s="199"/>
      <c r="IS68" s="199"/>
    </row>
    <row r="70" spans="1:267">
      <c r="A70" s="188"/>
    </row>
    <row r="71" spans="1:267">
      <c r="A71" s="188"/>
    </row>
  </sheetData>
  <sortState ref="IV3:IY63">
    <sortCondition descending="1" ref="IX3"/>
  </sortState>
  <mergeCells count="4">
    <mergeCell ref="A1:A2"/>
    <mergeCell ref="IL1:IL2"/>
    <mergeCell ref="IM1:IM2"/>
    <mergeCell ref="CO67:CP67"/>
  </mergeCells>
  <conditionalFormatting sqref="IM26:IM28 IM36 IM39 IM60 IM53:IM55 IM33 IM63 IM6:IM8 IM11 IM13:IM15 IM19:IM21 IM42:IM48">
    <cfRule type="cellIs" dxfId="1250" priority="93" operator="lessThan">
      <formula>20000</formula>
    </cfRule>
    <cfRule type="cellIs" dxfId="1249" priority="94" operator="lessThan">
      <formula>25000</formula>
    </cfRule>
    <cfRule type="cellIs" dxfId="1248" priority="95" operator="lessThan">
      <formula>50000</formula>
    </cfRule>
  </conditionalFormatting>
  <conditionalFormatting sqref="IM22">
    <cfRule type="cellIs" dxfId="1247" priority="90" operator="lessThan">
      <formula>20000</formula>
    </cfRule>
    <cfRule type="cellIs" dxfId="1246" priority="91" operator="lessThan">
      <formula>25000</formula>
    </cfRule>
    <cfRule type="cellIs" dxfId="1245" priority="92" operator="lessThan">
      <formula>50000</formula>
    </cfRule>
  </conditionalFormatting>
  <conditionalFormatting sqref="IM34">
    <cfRule type="cellIs" dxfId="1244" priority="87" operator="lessThan">
      <formula>20000</formula>
    </cfRule>
    <cfRule type="cellIs" dxfId="1243" priority="88" operator="lessThan">
      <formula>25000</formula>
    </cfRule>
    <cfRule type="cellIs" dxfId="1242" priority="89" operator="lessThan">
      <formula>50000</formula>
    </cfRule>
  </conditionalFormatting>
  <conditionalFormatting sqref="IM37">
    <cfRule type="cellIs" dxfId="1241" priority="84" operator="lessThan">
      <formula>20000</formula>
    </cfRule>
    <cfRule type="cellIs" dxfId="1240" priority="85" operator="lessThan">
      <formula>25000</formula>
    </cfRule>
    <cfRule type="cellIs" dxfId="1239" priority="86" operator="lessThan">
      <formula>50000</formula>
    </cfRule>
  </conditionalFormatting>
  <conditionalFormatting sqref="IM52">
    <cfRule type="cellIs" dxfId="1238" priority="81" operator="lessThan">
      <formula>20000</formula>
    </cfRule>
    <cfRule type="cellIs" dxfId="1237" priority="82" operator="lessThan">
      <formula>25000</formula>
    </cfRule>
    <cfRule type="cellIs" dxfId="1236" priority="83" operator="lessThan">
      <formula>50000</formula>
    </cfRule>
  </conditionalFormatting>
  <conditionalFormatting sqref="IM57">
    <cfRule type="cellIs" dxfId="1235" priority="78" operator="lessThan">
      <formula>20000</formula>
    </cfRule>
    <cfRule type="cellIs" dxfId="1234" priority="79" operator="lessThan">
      <formula>25000</formula>
    </cfRule>
    <cfRule type="cellIs" dxfId="1233" priority="80" operator="lessThan">
      <formula>50000</formula>
    </cfRule>
  </conditionalFormatting>
  <conditionalFormatting sqref="IM50">
    <cfRule type="cellIs" dxfId="1232" priority="75" operator="lessThan">
      <formula>20000</formula>
    </cfRule>
    <cfRule type="cellIs" dxfId="1231" priority="76" operator="lessThan">
      <formula>25000</formula>
    </cfRule>
    <cfRule type="cellIs" dxfId="1230" priority="77" operator="lessThan">
      <formula>50000</formula>
    </cfRule>
  </conditionalFormatting>
  <conditionalFormatting sqref="IM5">
    <cfRule type="cellIs" dxfId="1229" priority="72" operator="lessThan">
      <formula>20000</formula>
    </cfRule>
    <cfRule type="cellIs" dxfId="1228" priority="73" operator="lessThan">
      <formula>25000</formula>
    </cfRule>
    <cfRule type="cellIs" dxfId="1227" priority="74" operator="lessThan">
      <formula>50000</formula>
    </cfRule>
  </conditionalFormatting>
  <conditionalFormatting sqref="IM56">
    <cfRule type="cellIs" dxfId="1226" priority="69" operator="lessThan">
      <formula>20000</formula>
    </cfRule>
    <cfRule type="cellIs" dxfId="1225" priority="70" operator="lessThan">
      <formula>25000</formula>
    </cfRule>
    <cfRule type="cellIs" dxfId="1224" priority="71" operator="lessThan">
      <formula>50000</formula>
    </cfRule>
  </conditionalFormatting>
  <conditionalFormatting sqref="IM35">
    <cfRule type="cellIs" dxfId="1223" priority="66" operator="lessThan">
      <formula>20000</formula>
    </cfRule>
    <cfRule type="cellIs" dxfId="1222" priority="67" operator="lessThan">
      <formula>25000</formula>
    </cfRule>
    <cfRule type="cellIs" dxfId="1221" priority="68" operator="lessThan">
      <formula>50000</formula>
    </cfRule>
  </conditionalFormatting>
  <conditionalFormatting sqref="IM3:IM4">
    <cfRule type="cellIs" dxfId="1220" priority="63" operator="lessThan">
      <formula>20000</formula>
    </cfRule>
    <cfRule type="cellIs" dxfId="1219" priority="64" operator="lessThan">
      <formula>25000</formula>
    </cfRule>
    <cfRule type="cellIs" dxfId="1218" priority="65" operator="lessThan">
      <formula>50000</formula>
    </cfRule>
  </conditionalFormatting>
  <conditionalFormatting sqref="IM16">
    <cfRule type="cellIs" dxfId="1217" priority="60" operator="lessThan">
      <formula>20000</formula>
    </cfRule>
    <cfRule type="cellIs" dxfId="1216" priority="61" operator="lessThan">
      <formula>25000</formula>
    </cfRule>
    <cfRule type="cellIs" dxfId="1215" priority="62" operator="lessThan">
      <formula>50000</formula>
    </cfRule>
  </conditionalFormatting>
  <conditionalFormatting sqref="IM29:IM30">
    <cfRule type="cellIs" dxfId="1214" priority="57" operator="lessThan">
      <formula>20000</formula>
    </cfRule>
    <cfRule type="cellIs" dxfId="1213" priority="58" operator="lessThan">
      <formula>25000</formula>
    </cfRule>
    <cfRule type="cellIs" dxfId="1212" priority="59" operator="lessThan">
      <formula>50000</formula>
    </cfRule>
  </conditionalFormatting>
  <conditionalFormatting sqref="IM61:IM62">
    <cfRule type="cellIs" dxfId="1211" priority="54" operator="lessThan">
      <formula>20000</formula>
    </cfRule>
    <cfRule type="cellIs" dxfId="1210" priority="55" operator="lessThan">
      <formula>25000</formula>
    </cfRule>
    <cfRule type="cellIs" dxfId="1209" priority="56" operator="lessThan">
      <formula>50000</formula>
    </cfRule>
  </conditionalFormatting>
  <conditionalFormatting sqref="IM23">
    <cfRule type="cellIs" dxfId="1208" priority="51" operator="lessThan">
      <formula>20000</formula>
    </cfRule>
    <cfRule type="cellIs" dxfId="1207" priority="52" operator="lessThan">
      <formula>25000</formula>
    </cfRule>
    <cfRule type="cellIs" dxfId="1206" priority="53" operator="lessThan">
      <formula>50000</formula>
    </cfRule>
  </conditionalFormatting>
  <conditionalFormatting sqref="IM10">
    <cfRule type="cellIs" dxfId="1205" priority="48" operator="lessThan">
      <formula>20000</formula>
    </cfRule>
    <cfRule type="cellIs" dxfId="1204" priority="49" operator="lessThan">
      <formula>25000</formula>
    </cfRule>
    <cfRule type="cellIs" dxfId="1203" priority="50" operator="lessThan">
      <formula>50000</formula>
    </cfRule>
  </conditionalFormatting>
  <conditionalFormatting sqref="IM58:IM59">
    <cfRule type="cellIs" dxfId="1202" priority="45" operator="lessThan">
      <formula>20000</formula>
    </cfRule>
    <cfRule type="cellIs" dxfId="1201" priority="46" operator="lessThan">
      <formula>25000</formula>
    </cfRule>
    <cfRule type="cellIs" dxfId="1200" priority="47" operator="lessThan">
      <formula>50000</formula>
    </cfRule>
  </conditionalFormatting>
  <conditionalFormatting sqref="IM38">
    <cfRule type="cellIs" dxfId="1199" priority="42" operator="lessThan">
      <formula>20000</formula>
    </cfRule>
    <cfRule type="cellIs" dxfId="1198" priority="43" operator="lessThan">
      <formula>25000</formula>
    </cfRule>
    <cfRule type="cellIs" dxfId="1197" priority="44" operator="lessThan">
      <formula>50000</formula>
    </cfRule>
  </conditionalFormatting>
  <conditionalFormatting sqref="IM17">
    <cfRule type="cellIs" dxfId="1196" priority="39" operator="lessThan">
      <formula>20000</formula>
    </cfRule>
    <cfRule type="cellIs" dxfId="1195" priority="40" operator="lessThan">
      <formula>25000</formula>
    </cfRule>
    <cfRule type="cellIs" dxfId="1194" priority="41" operator="lessThan">
      <formula>50000</formula>
    </cfRule>
  </conditionalFormatting>
  <conditionalFormatting sqref="IM40:IM41">
    <cfRule type="cellIs" dxfId="1193" priority="36" operator="lessThan">
      <formula>20000</formula>
    </cfRule>
    <cfRule type="cellIs" dxfId="1192" priority="37" operator="lessThan">
      <formula>25000</formula>
    </cfRule>
    <cfRule type="cellIs" dxfId="1191" priority="38" operator="lessThan">
      <formula>50000</formula>
    </cfRule>
  </conditionalFormatting>
  <conditionalFormatting sqref="IM12">
    <cfRule type="cellIs" dxfId="1190" priority="33" operator="lessThan">
      <formula>20000</formula>
    </cfRule>
    <cfRule type="cellIs" dxfId="1189" priority="34" operator="lessThan">
      <formula>25000</formula>
    </cfRule>
    <cfRule type="cellIs" dxfId="1188" priority="35" operator="lessThan">
      <formula>50000</formula>
    </cfRule>
  </conditionalFormatting>
  <conditionalFormatting sqref="B66:IK66">
    <cfRule type="cellIs" dxfId="1187" priority="31" operator="lessThan">
      <formula>0</formula>
    </cfRule>
    <cfRule type="cellIs" dxfId="1186" priority="32" operator="greaterThan">
      <formula>0</formula>
    </cfRule>
  </conditionalFormatting>
  <conditionalFormatting sqref="IM31">
    <cfRule type="cellIs" dxfId="1185" priority="28" operator="lessThan">
      <formula>20000</formula>
    </cfRule>
    <cfRule type="cellIs" dxfId="1184" priority="29" operator="lessThan">
      <formula>25000</formula>
    </cfRule>
    <cfRule type="cellIs" dxfId="1183" priority="30" operator="lessThan">
      <formula>50000</formula>
    </cfRule>
  </conditionalFormatting>
  <conditionalFormatting sqref="IM9">
    <cfRule type="cellIs" dxfId="1182" priority="25" operator="lessThan">
      <formula>20000</formula>
    </cfRule>
    <cfRule type="cellIs" dxfId="1181" priority="26" operator="lessThan">
      <formula>25000</formula>
    </cfRule>
    <cfRule type="cellIs" dxfId="1180" priority="27" operator="lessThan">
      <formula>50000</formula>
    </cfRule>
  </conditionalFormatting>
  <conditionalFormatting sqref="IM18">
    <cfRule type="cellIs" dxfId="1179" priority="22" operator="lessThan">
      <formula>20000</formula>
    </cfRule>
    <cfRule type="cellIs" dxfId="1178" priority="23" operator="lessThan">
      <formula>25000</formula>
    </cfRule>
    <cfRule type="cellIs" dxfId="1177" priority="24" operator="lessThan">
      <formula>50000</formula>
    </cfRule>
  </conditionalFormatting>
  <conditionalFormatting sqref="IM25">
    <cfRule type="cellIs" dxfId="1176" priority="19" operator="lessThan">
      <formula>20000</formula>
    </cfRule>
    <cfRule type="cellIs" dxfId="1175" priority="20" operator="lessThan">
      <formula>25000</formula>
    </cfRule>
    <cfRule type="cellIs" dxfId="1174" priority="21" operator="lessThan">
      <formula>50000</formula>
    </cfRule>
  </conditionalFormatting>
  <conditionalFormatting sqref="IM32">
    <cfRule type="cellIs" dxfId="1173" priority="16" operator="lessThan">
      <formula>20000</formula>
    </cfRule>
    <cfRule type="cellIs" dxfId="1172" priority="17" operator="lessThan">
      <formula>25000</formula>
    </cfRule>
    <cfRule type="cellIs" dxfId="1171" priority="18" operator="lessThan">
      <formula>50000</formula>
    </cfRule>
  </conditionalFormatting>
  <conditionalFormatting sqref="IM49">
    <cfRule type="cellIs" dxfId="1170" priority="7" operator="lessThan">
      <formula>20000</formula>
    </cfRule>
    <cfRule type="cellIs" dxfId="1169" priority="8" operator="lessThan">
      <formula>25000</formula>
    </cfRule>
    <cfRule type="cellIs" dxfId="1168" priority="9" operator="lessThan">
      <formula>50000</formula>
    </cfRule>
  </conditionalFormatting>
  <conditionalFormatting sqref="IM51">
    <cfRule type="cellIs" dxfId="1167" priority="4" operator="lessThan">
      <formula>20000</formula>
    </cfRule>
    <cfRule type="cellIs" dxfId="1166" priority="5" operator="lessThan">
      <formula>25000</formula>
    </cfRule>
    <cfRule type="cellIs" dxfId="1165" priority="6" operator="lessThan">
      <formula>50000</formula>
    </cfRule>
  </conditionalFormatting>
  <conditionalFormatting sqref="IM24">
    <cfRule type="cellIs" dxfId="1164" priority="1" operator="lessThan">
      <formula>20000</formula>
    </cfRule>
    <cfRule type="cellIs" dxfId="1163" priority="2" operator="lessThan">
      <formula>25000</formula>
    </cfRule>
    <cfRule type="cellIs" dxfId="1162" priority="3" operator="lessThan">
      <formula>50000</formula>
    </cfRule>
  </conditionalFormatting>
  <pageMargins left="0.7" right="0.7" top="0.75" bottom="0.75" header="0.3" footer="0.3"/>
  <pageSetup scale="130" orientation="portrait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7613A-D37A-4C90-A833-DC9BB495A04A}">
  <sheetPr codeName="Sheet146"/>
  <dimension ref="A1:DA58"/>
  <sheetViews>
    <sheetView workbookViewId="0">
      <selection sqref="A1:A2"/>
    </sheetView>
  </sheetViews>
  <sheetFormatPr defaultColWidth="8.85546875" defaultRowHeight="15"/>
  <cols>
    <col min="1" max="1" width="21.85546875" style="475" bestFit="1" customWidth="1"/>
    <col min="2" max="2" width="8" style="517" customWidth="1"/>
    <col min="3" max="4" width="8.28515625" style="517" customWidth="1"/>
    <col min="5" max="5" width="8.7109375" style="517" customWidth="1"/>
    <col min="6" max="6" width="8.42578125" style="517" customWidth="1"/>
    <col min="7" max="8" width="8.28515625" style="517" customWidth="1"/>
    <col min="9" max="11" width="8.5703125" style="517" customWidth="1"/>
    <col min="12" max="12" width="8.42578125" style="517" customWidth="1"/>
    <col min="13" max="13" width="8.5703125" style="517" customWidth="1"/>
    <col min="14" max="19" width="8.28515625" style="517" customWidth="1"/>
    <col min="20" max="21" width="8.42578125" style="517" customWidth="1"/>
    <col min="22" max="22" width="8.5703125" style="517" customWidth="1"/>
    <col min="23" max="25" width="8.42578125" style="517" customWidth="1"/>
    <col min="26" max="27" width="8.28515625" style="517" customWidth="1"/>
    <col min="28" max="30" width="8.42578125" style="517" customWidth="1"/>
    <col min="31" max="34" width="8.5703125" style="517" bestFit="1" customWidth="1"/>
    <col min="35" max="35" width="8.28515625" style="517" customWidth="1"/>
    <col min="36" max="36" width="8.5703125" style="517" bestFit="1" customWidth="1"/>
    <col min="37" max="37" width="8.7109375" style="517" customWidth="1"/>
    <col min="38" max="38" width="8.5703125" style="517" customWidth="1"/>
    <col min="39" max="42" width="8.5703125" style="517" bestFit="1" customWidth="1"/>
    <col min="43" max="44" width="8" style="517" customWidth="1"/>
    <col min="45" max="61" width="8.5703125" style="517" bestFit="1" customWidth="1"/>
    <col min="62" max="62" width="8.7109375" style="517" customWidth="1"/>
    <col min="63" max="63" width="8.5703125" style="517" bestFit="1" customWidth="1"/>
    <col min="64" max="65" width="6" style="517" bestFit="1" customWidth="1"/>
    <col min="66" max="67" width="8.5703125" style="517" bestFit="1" customWidth="1"/>
    <col min="68" max="75" width="8.5703125" style="659" bestFit="1" customWidth="1"/>
    <col min="76" max="78" width="6" style="659" customWidth="1"/>
    <col min="79" max="79" width="6" style="974" customWidth="1"/>
    <col min="80" max="85" width="8" style="974" customWidth="1"/>
    <col min="86" max="86" width="8" style="659" customWidth="1"/>
    <col min="87" max="87" width="12.28515625" style="474" customWidth="1"/>
    <col min="88" max="88" width="18" style="474" customWidth="1"/>
    <col min="89" max="89" width="5.28515625" style="781" customWidth="1"/>
    <col min="90" max="90" width="18.28515625" style="474" customWidth="1"/>
    <col min="91" max="92" width="12.42578125" style="474" customWidth="1"/>
    <col min="93" max="93" width="12.42578125" style="934" customWidth="1"/>
    <col min="94" max="94" width="3.42578125" style="474" customWidth="1"/>
    <col min="95" max="95" width="8.28515625" style="974" customWidth="1"/>
    <col min="96" max="96" width="10.7109375" style="474" customWidth="1"/>
    <col min="97" max="97" width="21.28515625" style="474" bestFit="1" customWidth="1"/>
    <col min="98" max="16384" width="8.85546875" style="474"/>
  </cols>
  <sheetData>
    <row r="1" spans="1:97">
      <c r="A1" s="1251" t="s">
        <v>77</v>
      </c>
      <c r="B1" s="250" t="s">
        <v>93</v>
      </c>
      <c r="C1" s="250" t="s">
        <v>87</v>
      </c>
      <c r="D1" s="250" t="s">
        <v>88</v>
      </c>
      <c r="E1" s="250" t="s">
        <v>89</v>
      </c>
      <c r="F1" s="250" t="s">
        <v>90</v>
      </c>
      <c r="G1" s="250" t="s">
        <v>91</v>
      </c>
      <c r="H1" s="250" t="s">
        <v>92</v>
      </c>
      <c r="I1" s="250" t="s">
        <v>93</v>
      </c>
      <c r="J1" s="250" t="s">
        <v>87</v>
      </c>
      <c r="K1" s="250" t="s">
        <v>88</v>
      </c>
      <c r="L1" s="250" t="s">
        <v>89</v>
      </c>
      <c r="M1" s="250" t="s">
        <v>90</v>
      </c>
      <c r="N1" s="250" t="s">
        <v>91</v>
      </c>
      <c r="O1" s="250" t="s">
        <v>92</v>
      </c>
      <c r="P1" s="250" t="s">
        <v>93</v>
      </c>
      <c r="Q1" s="250" t="s">
        <v>87</v>
      </c>
      <c r="R1" s="250" t="s">
        <v>88</v>
      </c>
      <c r="S1" s="250" t="s">
        <v>89</v>
      </c>
      <c r="T1" s="250" t="s">
        <v>90</v>
      </c>
      <c r="U1" s="250" t="s">
        <v>91</v>
      </c>
      <c r="V1" s="250" t="s">
        <v>92</v>
      </c>
      <c r="W1" s="250" t="s">
        <v>93</v>
      </c>
      <c r="X1" s="250" t="s">
        <v>87</v>
      </c>
      <c r="Y1" s="250" t="s">
        <v>88</v>
      </c>
      <c r="Z1" s="250" t="s">
        <v>89</v>
      </c>
      <c r="AA1" s="250" t="s">
        <v>90</v>
      </c>
      <c r="AB1" s="250" t="s">
        <v>91</v>
      </c>
      <c r="AC1" s="250" t="s">
        <v>92</v>
      </c>
      <c r="AD1" s="250" t="s">
        <v>93</v>
      </c>
      <c r="AE1" s="250" t="s">
        <v>87</v>
      </c>
      <c r="AF1" s="250" t="s">
        <v>88</v>
      </c>
      <c r="AG1" s="250" t="s">
        <v>89</v>
      </c>
      <c r="AH1" s="250" t="s">
        <v>90</v>
      </c>
      <c r="AI1" s="250" t="s">
        <v>91</v>
      </c>
      <c r="AJ1" s="250" t="s">
        <v>92</v>
      </c>
      <c r="AK1" s="250" t="s">
        <v>93</v>
      </c>
      <c r="AL1" s="250" t="s">
        <v>87</v>
      </c>
      <c r="AM1" s="250" t="s">
        <v>88</v>
      </c>
      <c r="AN1" s="250" t="s">
        <v>89</v>
      </c>
      <c r="AO1" s="250" t="s">
        <v>90</v>
      </c>
      <c r="AP1" s="250" t="s">
        <v>91</v>
      </c>
      <c r="AQ1" s="250" t="s">
        <v>92</v>
      </c>
      <c r="AR1" s="250" t="s">
        <v>93</v>
      </c>
      <c r="AS1" s="250" t="s">
        <v>87</v>
      </c>
      <c r="AT1" s="250" t="s">
        <v>88</v>
      </c>
      <c r="AU1" s="250" t="s">
        <v>89</v>
      </c>
      <c r="AV1" s="250" t="s">
        <v>90</v>
      </c>
      <c r="AW1" s="250" t="s">
        <v>91</v>
      </c>
      <c r="AX1" s="250" t="s">
        <v>92</v>
      </c>
      <c r="AY1" s="250" t="s">
        <v>93</v>
      </c>
      <c r="AZ1" s="250" t="s">
        <v>87</v>
      </c>
      <c r="BA1" s="250" t="s">
        <v>88</v>
      </c>
      <c r="BB1" s="250" t="s">
        <v>89</v>
      </c>
      <c r="BC1" s="250" t="s">
        <v>90</v>
      </c>
      <c r="BD1" s="250" t="s">
        <v>91</v>
      </c>
      <c r="BE1" s="250" t="s">
        <v>92</v>
      </c>
      <c r="BF1" s="250" t="s">
        <v>93</v>
      </c>
      <c r="BG1" s="250" t="s">
        <v>87</v>
      </c>
      <c r="BH1" s="250" t="s">
        <v>88</v>
      </c>
      <c r="BI1" s="250" t="s">
        <v>89</v>
      </c>
      <c r="BJ1" s="250" t="s">
        <v>90</v>
      </c>
      <c r="BK1" s="250" t="s">
        <v>91</v>
      </c>
      <c r="BL1" s="250" t="s">
        <v>92</v>
      </c>
      <c r="BM1" s="250" t="s">
        <v>93</v>
      </c>
      <c r="BN1" s="250" t="s">
        <v>87</v>
      </c>
      <c r="BO1" s="250" t="s">
        <v>88</v>
      </c>
      <c r="BP1" s="250" t="s">
        <v>89</v>
      </c>
      <c r="BQ1" s="250" t="s">
        <v>90</v>
      </c>
      <c r="BR1" s="250" t="s">
        <v>91</v>
      </c>
      <c r="BS1" s="250" t="s">
        <v>92</v>
      </c>
      <c r="BT1" s="250" t="s">
        <v>93</v>
      </c>
      <c r="BU1" s="250" t="s">
        <v>87</v>
      </c>
      <c r="BV1" s="250" t="s">
        <v>88</v>
      </c>
      <c r="BW1" s="250" t="s">
        <v>89</v>
      </c>
      <c r="BX1" s="250" t="s">
        <v>90</v>
      </c>
      <c r="BY1" s="250" t="s">
        <v>91</v>
      </c>
      <c r="BZ1" s="250" t="s">
        <v>92</v>
      </c>
      <c r="CA1" s="250" t="s">
        <v>93</v>
      </c>
      <c r="CB1" s="250" t="s">
        <v>87</v>
      </c>
      <c r="CC1" s="250" t="s">
        <v>88</v>
      </c>
      <c r="CD1" s="250" t="s">
        <v>89</v>
      </c>
      <c r="CE1" s="250" t="s">
        <v>90</v>
      </c>
      <c r="CF1" s="250" t="s">
        <v>91</v>
      </c>
      <c r="CG1" s="250" t="s">
        <v>92</v>
      </c>
      <c r="CH1" s="250" t="s">
        <v>93</v>
      </c>
      <c r="CI1" s="1253" t="s">
        <v>31</v>
      </c>
      <c r="CJ1" s="1282" t="s">
        <v>190</v>
      </c>
      <c r="CK1" s="774"/>
    </row>
    <row r="2" spans="1:97" ht="15.75" thickBot="1">
      <c r="A2" s="1280"/>
      <c r="B2" s="251">
        <v>44647</v>
      </c>
      <c r="C2" s="251">
        <v>44648</v>
      </c>
      <c r="D2" s="251">
        <v>44649</v>
      </c>
      <c r="E2" s="251">
        <v>44650</v>
      </c>
      <c r="F2" s="251">
        <v>44651</v>
      </c>
      <c r="G2" s="251">
        <v>44652</v>
      </c>
      <c r="H2" s="251">
        <v>44653</v>
      </c>
      <c r="I2" s="251">
        <v>44654</v>
      </c>
      <c r="J2" s="251">
        <v>44655</v>
      </c>
      <c r="K2" s="251">
        <v>44656</v>
      </c>
      <c r="L2" s="251">
        <v>44657</v>
      </c>
      <c r="M2" s="251">
        <v>44658</v>
      </c>
      <c r="N2" s="251">
        <v>44659</v>
      </c>
      <c r="O2" s="251">
        <v>44660</v>
      </c>
      <c r="P2" s="251">
        <v>44661</v>
      </c>
      <c r="Q2" s="251">
        <v>44662</v>
      </c>
      <c r="R2" s="251">
        <v>44663</v>
      </c>
      <c r="S2" s="251">
        <v>44664</v>
      </c>
      <c r="T2" s="251">
        <v>44665</v>
      </c>
      <c r="U2" s="251">
        <v>44666</v>
      </c>
      <c r="V2" s="251">
        <v>44667</v>
      </c>
      <c r="W2" s="251">
        <v>44668</v>
      </c>
      <c r="X2" s="251">
        <v>44669</v>
      </c>
      <c r="Y2" s="251">
        <v>44670</v>
      </c>
      <c r="Z2" s="251">
        <v>44671</v>
      </c>
      <c r="AA2" s="251">
        <v>44672</v>
      </c>
      <c r="AB2" s="251">
        <v>44673</v>
      </c>
      <c r="AC2" s="251">
        <v>44674</v>
      </c>
      <c r="AD2" s="251">
        <v>44675</v>
      </c>
      <c r="AE2" s="251">
        <v>44676</v>
      </c>
      <c r="AF2" s="251">
        <v>44677</v>
      </c>
      <c r="AG2" s="251">
        <v>44678</v>
      </c>
      <c r="AH2" s="251">
        <v>44679</v>
      </c>
      <c r="AI2" s="251">
        <v>44680</v>
      </c>
      <c r="AJ2" s="251">
        <v>44681</v>
      </c>
      <c r="AK2" s="251">
        <v>44682</v>
      </c>
      <c r="AL2" s="251">
        <v>44683</v>
      </c>
      <c r="AM2" s="251">
        <v>44684</v>
      </c>
      <c r="AN2" s="251">
        <v>44685</v>
      </c>
      <c r="AO2" s="251">
        <v>44686</v>
      </c>
      <c r="AP2" s="251">
        <v>44687</v>
      </c>
      <c r="AQ2" s="251">
        <v>44688</v>
      </c>
      <c r="AR2" s="251">
        <v>44689</v>
      </c>
      <c r="AS2" s="251">
        <v>44690</v>
      </c>
      <c r="AT2" s="251">
        <v>44691</v>
      </c>
      <c r="AU2" s="251">
        <v>44692</v>
      </c>
      <c r="AV2" s="251">
        <v>44693</v>
      </c>
      <c r="AW2" s="251">
        <v>44694</v>
      </c>
      <c r="AX2" s="251">
        <v>44695</v>
      </c>
      <c r="AY2" s="251">
        <v>44696</v>
      </c>
      <c r="AZ2" s="251">
        <v>44697</v>
      </c>
      <c r="BA2" s="251">
        <v>44698</v>
      </c>
      <c r="BB2" s="251">
        <v>44699</v>
      </c>
      <c r="BC2" s="251">
        <v>44700</v>
      </c>
      <c r="BD2" s="251">
        <v>44701</v>
      </c>
      <c r="BE2" s="251">
        <v>44702</v>
      </c>
      <c r="BF2" s="251">
        <v>44703</v>
      </c>
      <c r="BG2" s="251">
        <v>44704</v>
      </c>
      <c r="BH2" s="251">
        <v>44705</v>
      </c>
      <c r="BI2" s="251">
        <v>44706</v>
      </c>
      <c r="BJ2" s="251">
        <v>44707</v>
      </c>
      <c r="BK2" s="251">
        <v>44708</v>
      </c>
      <c r="BL2" s="251">
        <v>44709</v>
      </c>
      <c r="BM2" s="251">
        <v>44710</v>
      </c>
      <c r="BN2" s="251">
        <v>44711</v>
      </c>
      <c r="BO2" s="251">
        <v>44712</v>
      </c>
      <c r="BP2" s="251">
        <v>44713</v>
      </c>
      <c r="BQ2" s="251">
        <v>44714</v>
      </c>
      <c r="BR2" s="251">
        <v>44715</v>
      </c>
      <c r="BS2" s="251">
        <v>44716</v>
      </c>
      <c r="BT2" s="251">
        <v>44717</v>
      </c>
      <c r="BU2" s="251">
        <v>44718</v>
      </c>
      <c r="BV2" s="251">
        <v>44719</v>
      </c>
      <c r="BW2" s="251">
        <v>44720</v>
      </c>
      <c r="BX2" s="251">
        <v>44721</v>
      </c>
      <c r="BY2" s="251">
        <v>44722</v>
      </c>
      <c r="BZ2" s="251">
        <v>44723</v>
      </c>
      <c r="CA2" s="251">
        <v>44724</v>
      </c>
      <c r="CB2" s="251">
        <v>44725</v>
      </c>
      <c r="CC2" s="251">
        <v>44726</v>
      </c>
      <c r="CD2" s="251">
        <v>44727</v>
      </c>
      <c r="CE2" s="251">
        <v>44728</v>
      </c>
      <c r="CF2" s="251">
        <v>44729</v>
      </c>
      <c r="CG2" s="251">
        <v>44730</v>
      </c>
      <c r="CH2" s="251">
        <v>44731</v>
      </c>
      <c r="CI2" s="1281"/>
      <c r="CJ2" s="1283"/>
      <c r="CK2" s="774"/>
      <c r="CM2" s="659" t="s">
        <v>325</v>
      </c>
      <c r="CN2" s="659" t="s">
        <v>132</v>
      </c>
      <c r="CO2" s="974"/>
      <c r="CP2" s="937"/>
      <c r="CQ2" s="756" t="s">
        <v>316</v>
      </c>
      <c r="CR2" s="937" t="s">
        <v>326</v>
      </c>
      <c r="CS2" s="937"/>
    </row>
    <row r="3" spans="1:97" ht="10.15" customHeight="1">
      <c r="A3" s="194" t="s">
        <v>185</v>
      </c>
      <c r="B3" s="512"/>
      <c r="C3" s="512"/>
      <c r="D3" s="512"/>
      <c r="E3" s="512"/>
      <c r="F3" s="512"/>
      <c r="G3" s="512"/>
      <c r="H3" s="512"/>
      <c r="I3" s="512"/>
      <c r="J3" s="638"/>
      <c r="K3" s="638"/>
      <c r="L3" s="638"/>
      <c r="M3" s="638"/>
      <c r="N3" s="638"/>
      <c r="O3" s="638">
        <f>'4.9.22'!E18+'4.9.22'!E29</f>
        <v>11827.5</v>
      </c>
      <c r="P3" s="638">
        <v>0</v>
      </c>
      <c r="Q3" s="700"/>
      <c r="R3" s="701">
        <f>'4.12.22'!E18</f>
        <v>7438.5</v>
      </c>
      <c r="S3" s="700"/>
      <c r="T3" s="701">
        <f>'4.14.22'!E18</f>
        <v>7410</v>
      </c>
      <c r="U3" s="701"/>
      <c r="V3" s="701">
        <f>'4.16.22'!E22</f>
        <v>8322</v>
      </c>
      <c r="W3" s="701"/>
      <c r="X3" s="736"/>
      <c r="Y3" s="736"/>
      <c r="Z3" s="736"/>
      <c r="AA3" s="736">
        <f>'4.21.22'!E19</f>
        <v>7410</v>
      </c>
      <c r="AB3" s="736"/>
      <c r="AC3" s="736"/>
      <c r="AD3" s="736"/>
      <c r="AE3" s="591"/>
      <c r="AF3" s="591"/>
      <c r="AG3" s="591"/>
      <c r="AH3" s="591">
        <f>'4.28.22'!E21</f>
        <v>7419.5</v>
      </c>
      <c r="AI3" s="591"/>
      <c r="AJ3" s="591">
        <f>'4.30.22'!E12+'4.30.22'!E21</f>
        <v>14392.5</v>
      </c>
      <c r="AK3" s="591"/>
      <c r="AL3" s="512"/>
      <c r="AM3" s="512"/>
      <c r="AN3" s="512"/>
      <c r="AO3" s="512"/>
      <c r="AP3" s="512"/>
      <c r="AQ3" s="770"/>
      <c r="AR3" s="770"/>
      <c r="AS3" s="701"/>
      <c r="AT3" s="701">
        <f>'5.10.22'!E18</f>
        <v>7543</v>
      </c>
      <c r="AU3" s="701"/>
      <c r="AV3" s="701">
        <f>'5.12.22'!E19</f>
        <v>8084.5</v>
      </c>
      <c r="AW3" s="701"/>
      <c r="AX3" s="701"/>
      <c r="AY3" s="701"/>
      <c r="AZ3" s="736"/>
      <c r="BA3" s="736">
        <f>'5.17.22'!E22</f>
        <v>8360</v>
      </c>
      <c r="BB3" s="736"/>
      <c r="BC3" s="736"/>
      <c r="BD3" s="736"/>
      <c r="BE3" s="736">
        <f>'5.21.22'!E21</f>
        <v>8521.5</v>
      </c>
      <c r="BF3" s="736"/>
      <c r="BG3" s="591"/>
      <c r="BH3" s="591"/>
      <c r="BI3" s="591"/>
      <c r="BJ3" s="591">
        <f>'5.26.22'!E21</f>
        <v>8512</v>
      </c>
      <c r="BK3" s="591"/>
      <c r="BL3" s="868"/>
      <c r="BM3" s="868"/>
      <c r="BN3" s="638"/>
      <c r="BO3" s="638">
        <f>'5.31.22'!E21</f>
        <v>9281.5</v>
      </c>
      <c r="BP3" s="638"/>
      <c r="BQ3" s="638"/>
      <c r="BR3" s="638"/>
      <c r="BS3" s="638"/>
      <c r="BT3" s="638"/>
      <c r="BU3" s="701"/>
      <c r="BV3" s="701">
        <f>'6.07.22'!E21</f>
        <v>9319.5</v>
      </c>
      <c r="BW3" s="701"/>
      <c r="BX3" s="770">
        <v>0</v>
      </c>
      <c r="BY3" s="770">
        <v>0</v>
      </c>
      <c r="BZ3" s="770">
        <v>0</v>
      </c>
      <c r="CA3" s="770"/>
      <c r="CB3" s="512"/>
      <c r="CC3" s="512"/>
      <c r="CD3" s="512"/>
      <c r="CE3" s="512"/>
      <c r="CF3" s="512"/>
      <c r="CG3" s="512"/>
      <c r="CH3" s="512">
        <v>0</v>
      </c>
      <c r="CI3" s="189">
        <f t="shared" ref="CI3:CI50" si="0">SUM(B3:CH3)</f>
        <v>123842</v>
      </c>
      <c r="CJ3" s="189">
        <f>449000-CI3+350000</f>
        <v>675158</v>
      </c>
      <c r="CK3" s="775"/>
      <c r="CL3" s="194" t="s">
        <v>185</v>
      </c>
      <c r="CM3" s="474">
        <v>291690</v>
      </c>
      <c r="CN3" s="234">
        <f>CI3+CM3</f>
        <v>415532</v>
      </c>
      <c r="CO3" s="234"/>
      <c r="CP3" s="979">
        <v>1</v>
      </c>
      <c r="CQ3" s="981">
        <f t="shared" ref="CQ3:CQ50" si="1">CR3/9.75</f>
        <v>51180.666666666664</v>
      </c>
      <c r="CR3" s="977">
        <v>499011.5</v>
      </c>
      <c r="CS3" s="978" t="s">
        <v>70</v>
      </c>
    </row>
    <row r="4" spans="1:97" ht="10.15" customHeight="1">
      <c r="A4" s="194" t="s">
        <v>164</v>
      </c>
      <c r="B4" s="590"/>
      <c r="C4" s="590"/>
      <c r="D4" s="590"/>
      <c r="E4" s="590"/>
      <c r="F4" s="590"/>
      <c r="G4" s="590"/>
      <c r="H4" s="590"/>
      <c r="I4" s="591">
        <f>'4.3.22'!E18</f>
        <v>4322.5</v>
      </c>
      <c r="J4" s="639"/>
      <c r="K4" s="639"/>
      <c r="L4" s="639"/>
      <c r="M4" s="639"/>
      <c r="N4" s="639"/>
      <c r="O4" s="639"/>
      <c r="P4" s="638">
        <f>'4.10.22'!E28</f>
        <v>3125.5</v>
      </c>
      <c r="Q4" s="452"/>
      <c r="R4" s="452"/>
      <c r="S4" s="452"/>
      <c r="T4" s="452"/>
      <c r="U4" s="452"/>
      <c r="V4" s="452"/>
      <c r="W4" s="452"/>
      <c r="X4" s="737"/>
      <c r="Y4" s="737"/>
      <c r="Z4" s="737"/>
      <c r="AA4" s="737"/>
      <c r="AB4" s="737"/>
      <c r="AC4" s="737"/>
      <c r="AD4" s="737">
        <f>'4.24.22'!E28</f>
        <v>3334.5</v>
      </c>
      <c r="AE4" s="590"/>
      <c r="AF4" s="590"/>
      <c r="AG4" s="590"/>
      <c r="AH4" s="590"/>
      <c r="AI4" s="590"/>
      <c r="AJ4" s="590"/>
      <c r="AK4" s="591">
        <f>'5.1.22'!E21+'5.1.22'!E28</f>
        <v>6821</v>
      </c>
      <c r="AL4" s="452"/>
      <c r="AM4" s="452"/>
      <c r="AN4" s="452"/>
      <c r="AO4" s="452"/>
      <c r="AP4" s="452"/>
      <c r="AQ4" s="771"/>
      <c r="AR4" s="771"/>
      <c r="AS4" s="700"/>
      <c r="AT4" s="700"/>
      <c r="AU4" s="700"/>
      <c r="AV4" s="700"/>
      <c r="AW4" s="700"/>
      <c r="AX4" s="700"/>
      <c r="AY4" s="701">
        <f>'5.15.22'!E22</f>
        <v>4094.5</v>
      </c>
      <c r="AZ4" s="737"/>
      <c r="BA4" s="737"/>
      <c r="BB4" s="737"/>
      <c r="BC4" s="737"/>
      <c r="BD4" s="737"/>
      <c r="BE4" s="737"/>
      <c r="BF4" s="736">
        <f>'5.22.22'!E29</f>
        <v>3182.5</v>
      </c>
      <c r="BG4" s="452"/>
      <c r="BH4" s="452"/>
      <c r="BI4" s="452"/>
      <c r="BJ4" s="452"/>
      <c r="BK4" s="452"/>
      <c r="BL4" s="869"/>
      <c r="BM4" s="869"/>
      <c r="BN4" s="639"/>
      <c r="BO4" s="639"/>
      <c r="BP4" s="639"/>
      <c r="BQ4" s="639"/>
      <c r="BR4" s="639"/>
      <c r="BS4" s="639"/>
      <c r="BT4" s="638">
        <f>'6.05.22'!E22</f>
        <v>4275</v>
      </c>
      <c r="BU4" s="452"/>
      <c r="BV4" s="452"/>
      <c r="BW4" s="452"/>
      <c r="BX4" s="771"/>
      <c r="BY4" s="771"/>
      <c r="BZ4" s="771"/>
      <c r="CA4" s="771"/>
      <c r="CB4" s="452"/>
      <c r="CC4" s="452"/>
      <c r="CD4" s="452"/>
      <c r="CE4" s="452"/>
      <c r="CF4" s="452"/>
      <c r="CG4" s="452"/>
      <c r="CH4" s="452"/>
      <c r="CI4" s="189">
        <f t="shared" si="0"/>
        <v>29155.5</v>
      </c>
      <c r="CJ4" s="189">
        <f>449000-CI4</f>
        <v>419844.5</v>
      </c>
      <c r="CK4" s="775"/>
      <c r="CL4" s="194" t="s">
        <v>164</v>
      </c>
      <c r="CM4" s="474">
        <v>241220</v>
      </c>
      <c r="CN4" s="234">
        <f t="shared" ref="CN4:CN50" si="2">CI4+CM4</f>
        <v>270375.5</v>
      </c>
      <c r="CO4" s="234"/>
      <c r="CP4" s="979">
        <v>2</v>
      </c>
      <c r="CQ4" s="981">
        <f t="shared" si="1"/>
        <v>42618.666666666664</v>
      </c>
      <c r="CR4" s="977">
        <v>415532</v>
      </c>
      <c r="CS4" s="978" t="s">
        <v>185</v>
      </c>
    </row>
    <row r="5" spans="1:97" ht="10.15" customHeight="1">
      <c r="A5" s="195" t="s">
        <v>51</v>
      </c>
      <c r="B5" s="252"/>
      <c r="C5" s="252"/>
      <c r="D5" s="252"/>
      <c r="E5" s="252"/>
      <c r="F5" s="252"/>
      <c r="G5" s="252"/>
      <c r="H5" s="252"/>
      <c r="I5" s="252"/>
      <c r="J5" s="252"/>
      <c r="K5" s="252"/>
      <c r="L5" s="252"/>
      <c r="M5" s="252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738"/>
      <c r="Y5" s="738"/>
      <c r="Z5" s="738"/>
      <c r="AA5" s="738"/>
      <c r="AB5" s="738">
        <f>'4.22.22'!E21</f>
        <v>3923.5</v>
      </c>
      <c r="AC5" s="738"/>
      <c r="AD5" s="738"/>
      <c r="AE5" s="589">
        <f>'4.25.22'!E22</f>
        <v>3562.5</v>
      </c>
      <c r="AF5" s="589"/>
      <c r="AG5" s="589"/>
      <c r="AH5" s="589"/>
      <c r="AI5" s="589"/>
      <c r="AJ5" s="589"/>
      <c r="AK5" s="589"/>
      <c r="AL5" s="640"/>
      <c r="AM5" s="640"/>
      <c r="AN5" s="640"/>
      <c r="AO5" s="640"/>
      <c r="AP5" s="640">
        <f>'5.6.22'!E18</f>
        <v>3781</v>
      </c>
      <c r="AQ5" s="783"/>
      <c r="AR5" s="783"/>
      <c r="AS5" s="702"/>
      <c r="AT5" s="702"/>
      <c r="AU5" s="702"/>
      <c r="AV5" s="702"/>
      <c r="AW5" s="702">
        <f>'5.13.22'!E18</f>
        <v>3515</v>
      </c>
      <c r="AX5" s="702"/>
      <c r="AY5" s="702"/>
      <c r="AZ5" s="738"/>
      <c r="BA5" s="738"/>
      <c r="BB5" s="738"/>
      <c r="BC5" s="738">
        <f>'5.19.22'!E19</f>
        <v>3904.5</v>
      </c>
      <c r="BD5" s="738"/>
      <c r="BE5" s="738"/>
      <c r="BF5" s="738"/>
      <c r="BG5" s="589"/>
      <c r="BH5" s="589">
        <f>'5.24.22'!E19</f>
        <v>4123</v>
      </c>
      <c r="BI5" s="589"/>
      <c r="BJ5" s="589"/>
      <c r="BK5" s="589"/>
      <c r="BL5" s="870"/>
      <c r="BM5" s="870"/>
      <c r="BN5" s="252"/>
      <c r="BO5" s="252"/>
      <c r="BP5" s="252"/>
      <c r="BQ5" s="252"/>
      <c r="BR5" s="252"/>
      <c r="BS5" s="252"/>
      <c r="BT5" s="252"/>
      <c r="BU5" s="702"/>
      <c r="BV5" s="702"/>
      <c r="BW5" s="702">
        <f>'6.08.22'!E21</f>
        <v>3885.5</v>
      </c>
      <c r="BX5" s="772"/>
      <c r="BY5" s="772"/>
      <c r="BZ5" s="772"/>
      <c r="CA5" s="772"/>
      <c r="CB5" s="252"/>
      <c r="CC5" s="252"/>
      <c r="CD5" s="252"/>
      <c r="CE5" s="252"/>
      <c r="CF5" s="252"/>
      <c r="CG5" s="252"/>
      <c r="CH5" s="252"/>
      <c r="CI5" s="52">
        <f t="shared" si="0"/>
        <v>26695</v>
      </c>
      <c r="CJ5" s="52">
        <f>100000-CI5+350000</f>
        <v>423305</v>
      </c>
      <c r="CK5" s="776"/>
      <c r="CL5" s="195" t="s">
        <v>51</v>
      </c>
      <c r="CM5" s="474">
        <v>102300</v>
      </c>
      <c r="CN5" s="234">
        <f t="shared" si="2"/>
        <v>128995</v>
      </c>
      <c r="CO5" s="234"/>
      <c r="CP5" s="979">
        <v>3</v>
      </c>
      <c r="CQ5" s="981">
        <f t="shared" si="1"/>
        <v>37149.794871794875</v>
      </c>
      <c r="CR5" s="977">
        <v>362210.5</v>
      </c>
      <c r="CS5" s="978" t="s">
        <v>53</v>
      </c>
    </row>
    <row r="6" spans="1:97" ht="10.15" customHeight="1">
      <c r="A6" s="195" t="s">
        <v>62</v>
      </c>
      <c r="B6" s="252"/>
      <c r="C6" s="252"/>
      <c r="D6" s="252"/>
      <c r="E6" s="252"/>
      <c r="F6" s="252"/>
      <c r="G6" s="252"/>
      <c r="H6" s="252"/>
      <c r="I6" s="252"/>
      <c r="J6" s="640">
        <f>'4.4.22'!E19</f>
        <v>3144.5</v>
      </c>
      <c r="K6" s="640"/>
      <c r="L6" s="640"/>
      <c r="M6" s="640"/>
      <c r="N6" s="640"/>
      <c r="O6" s="640"/>
      <c r="P6" s="640"/>
      <c r="Q6" s="252"/>
      <c r="R6" s="252"/>
      <c r="S6" s="252"/>
      <c r="T6" s="252"/>
      <c r="U6" s="252"/>
      <c r="V6" s="252"/>
      <c r="W6" s="252"/>
      <c r="X6" s="738">
        <f>'4.18.22'!E19</f>
        <v>2878.5</v>
      </c>
      <c r="Y6" s="738"/>
      <c r="Z6" s="738"/>
      <c r="AA6" s="738"/>
      <c r="AB6" s="738"/>
      <c r="AC6" s="738">
        <f>'4.23.22'!E30</f>
        <v>2755</v>
      </c>
      <c r="AD6" s="738"/>
      <c r="AE6" s="589"/>
      <c r="AF6" s="589"/>
      <c r="AG6" s="589"/>
      <c r="AH6" s="589"/>
      <c r="AI6" s="589">
        <f>'4.29.22'!E29</f>
        <v>2498.5</v>
      </c>
      <c r="AJ6" s="589">
        <f>'4.30.22'!E28</f>
        <v>2622</v>
      </c>
      <c r="AK6" s="589"/>
      <c r="AL6" s="640">
        <f>'5.2.22'!E19</f>
        <v>3543.5</v>
      </c>
      <c r="AM6" s="640"/>
      <c r="AN6" s="640"/>
      <c r="AO6" s="640"/>
      <c r="AP6" s="640"/>
      <c r="AQ6" s="783"/>
      <c r="AR6" s="783"/>
      <c r="AS6" s="702">
        <f>'5.9.22'!E22</f>
        <v>3040</v>
      </c>
      <c r="AT6" s="702"/>
      <c r="AU6" s="702"/>
      <c r="AV6" s="702"/>
      <c r="AW6" s="702"/>
      <c r="AX6" s="702"/>
      <c r="AY6" s="702"/>
      <c r="AZ6" s="738">
        <f>'5.16.22'!E18</f>
        <v>3477</v>
      </c>
      <c r="BA6" s="738"/>
      <c r="BB6" s="738"/>
      <c r="BC6" s="738"/>
      <c r="BD6" s="738"/>
      <c r="BE6" s="738"/>
      <c r="BF6" s="738"/>
      <c r="BG6" s="252"/>
      <c r="BH6" s="252"/>
      <c r="BI6" s="252"/>
      <c r="BJ6" s="252"/>
      <c r="BK6" s="252"/>
      <c r="BL6" s="870"/>
      <c r="BM6" s="870"/>
      <c r="BN6" s="640">
        <f>'5.30.22'!E19</f>
        <v>3163.5</v>
      </c>
      <c r="BO6" s="640"/>
      <c r="BP6" s="640"/>
      <c r="BQ6" s="640"/>
      <c r="BR6" s="640"/>
      <c r="BS6" s="640"/>
      <c r="BT6" s="640"/>
      <c r="BU6" s="702">
        <f>'6.06.22'!E28</f>
        <v>3230</v>
      </c>
      <c r="BV6" s="702"/>
      <c r="BW6" s="702"/>
      <c r="BX6" s="772"/>
      <c r="BY6" s="772"/>
      <c r="BZ6" s="772"/>
      <c r="CA6" s="772"/>
      <c r="CB6" s="252"/>
      <c r="CC6" s="252"/>
      <c r="CD6" s="252"/>
      <c r="CE6" s="252"/>
      <c r="CF6" s="252"/>
      <c r="CG6" s="252"/>
      <c r="CH6" s="252"/>
      <c r="CI6" s="52">
        <f t="shared" si="0"/>
        <v>30352.5</v>
      </c>
      <c r="CJ6" s="52">
        <f>100000-CI6</f>
        <v>69647.5</v>
      </c>
      <c r="CK6" s="776"/>
      <c r="CL6" s="195" t="s">
        <v>62</v>
      </c>
      <c r="CM6" s="474">
        <v>37490</v>
      </c>
      <c r="CN6" s="234">
        <f t="shared" si="2"/>
        <v>67842.5</v>
      </c>
      <c r="CO6" s="234"/>
      <c r="CP6" s="979">
        <v>4</v>
      </c>
      <c r="CQ6" s="981">
        <f t="shared" si="1"/>
        <v>34980.051282051281</v>
      </c>
      <c r="CR6" s="977">
        <v>341055.5</v>
      </c>
      <c r="CS6" s="978" t="s">
        <v>65</v>
      </c>
    </row>
    <row r="7" spans="1:97" ht="10.15" customHeight="1">
      <c r="A7" s="195" t="s">
        <v>12</v>
      </c>
      <c r="B7" s="252"/>
      <c r="C7" s="252"/>
      <c r="D7" s="252"/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2"/>
      <c r="P7" s="252"/>
      <c r="Q7" s="702"/>
      <c r="R7" s="702">
        <f>'4.12.22'!E21</f>
        <v>2118.5</v>
      </c>
      <c r="S7" s="702">
        <f>'4.13.22'!E30</f>
        <v>1738.5</v>
      </c>
      <c r="T7" s="702"/>
      <c r="U7" s="702"/>
      <c r="V7" s="702"/>
      <c r="W7" s="702"/>
      <c r="X7" s="738"/>
      <c r="Y7" s="738"/>
      <c r="Z7" s="738">
        <f>'4.20.22'!E22</f>
        <v>2090</v>
      </c>
      <c r="AA7" s="738"/>
      <c r="AB7" s="738"/>
      <c r="AC7" s="738"/>
      <c r="AD7" s="738"/>
      <c r="AE7" s="589"/>
      <c r="AF7" s="589">
        <f>'4.26.22'!E18</f>
        <v>2669.5</v>
      </c>
      <c r="AG7" s="589"/>
      <c r="AH7" s="589"/>
      <c r="AI7" s="589"/>
      <c r="AJ7" s="589"/>
      <c r="AK7" s="589"/>
      <c r="AL7" s="252"/>
      <c r="AM7" s="252"/>
      <c r="AN7" s="252"/>
      <c r="AO7" s="252"/>
      <c r="AP7" s="252"/>
      <c r="AQ7" s="772"/>
      <c r="AR7" s="772"/>
      <c r="AS7" s="252"/>
      <c r="AT7" s="252"/>
      <c r="AU7" s="252"/>
      <c r="AV7" s="252"/>
      <c r="AW7" s="252"/>
      <c r="AX7" s="252"/>
      <c r="AY7" s="252"/>
      <c r="AZ7" s="738"/>
      <c r="BA7" s="738"/>
      <c r="BB7" s="738"/>
      <c r="BC7" s="738"/>
      <c r="BD7" s="738"/>
      <c r="BE7" s="738">
        <f>'5.21.22'!E29</f>
        <v>1662.5</v>
      </c>
      <c r="BF7" s="738"/>
      <c r="BG7" s="589">
        <f>'5.23.22'!E22</f>
        <v>2612.5</v>
      </c>
      <c r="BH7" s="589"/>
      <c r="BI7" s="589"/>
      <c r="BJ7" s="589"/>
      <c r="BK7" s="589"/>
      <c r="BL7" s="870"/>
      <c r="BM7" s="870"/>
      <c r="BN7" s="640"/>
      <c r="BO7" s="640"/>
      <c r="BP7" s="640"/>
      <c r="BQ7" s="640">
        <f>'6.02.22'!E21</f>
        <v>3040</v>
      </c>
      <c r="BR7" s="640"/>
      <c r="BS7" s="640"/>
      <c r="BT7" s="640"/>
      <c r="BU7" s="252"/>
      <c r="BV7" s="252"/>
      <c r="BW7" s="252"/>
      <c r="BX7" s="772"/>
      <c r="BY7" s="772"/>
      <c r="BZ7" s="772"/>
      <c r="CA7" s="772"/>
      <c r="CB7" s="252"/>
      <c r="CC7" s="252"/>
      <c r="CD7" s="252"/>
      <c r="CE7" s="252"/>
      <c r="CF7" s="252"/>
      <c r="CG7" s="252"/>
      <c r="CH7" s="252"/>
      <c r="CI7" s="52">
        <f t="shared" si="0"/>
        <v>15931.5</v>
      </c>
      <c r="CJ7" s="52">
        <f t="shared" ref="CJ7:CJ50" si="3">100000-CI7</f>
        <v>84068.5</v>
      </c>
      <c r="CK7" s="776"/>
      <c r="CL7" s="195" t="s">
        <v>12</v>
      </c>
      <c r="CM7" s="474">
        <v>20230</v>
      </c>
      <c r="CN7" s="234">
        <f t="shared" si="2"/>
        <v>36161.5</v>
      </c>
      <c r="CO7" s="234"/>
      <c r="CP7" s="979">
        <v>5</v>
      </c>
      <c r="CQ7" s="981">
        <f t="shared" si="1"/>
        <v>30042.153846153848</v>
      </c>
      <c r="CR7" s="977">
        <v>292911</v>
      </c>
      <c r="CS7" s="978" t="s">
        <v>235</v>
      </c>
    </row>
    <row r="8" spans="1:97" s="509" customFormat="1" ht="10.15" customHeight="1">
      <c r="A8" s="195" t="s">
        <v>239</v>
      </c>
      <c r="B8" s="252"/>
      <c r="C8" s="252"/>
      <c r="D8" s="252"/>
      <c r="E8" s="252"/>
      <c r="F8" s="252"/>
      <c r="G8" s="252"/>
      <c r="H8" s="252"/>
      <c r="I8" s="252"/>
      <c r="J8" s="640"/>
      <c r="K8" s="640">
        <f>'4.5.22'!E19</f>
        <v>3486.5</v>
      </c>
      <c r="L8" s="640"/>
      <c r="M8" s="640"/>
      <c r="N8" s="640"/>
      <c r="O8" s="640"/>
      <c r="P8" s="640"/>
      <c r="Q8" s="702"/>
      <c r="R8" s="702">
        <f>'4.12.22'!E28</f>
        <v>1814.5</v>
      </c>
      <c r="S8" s="702"/>
      <c r="T8" s="702">
        <f>'4.14.22'!E22</f>
        <v>2878.5</v>
      </c>
      <c r="U8" s="702">
        <f>'4.15.22'!E22</f>
        <v>2147</v>
      </c>
      <c r="V8" s="702"/>
      <c r="W8" s="702"/>
      <c r="X8" s="738">
        <f>'4.18.22'!E29</f>
        <v>2204</v>
      </c>
      <c r="Y8" s="738"/>
      <c r="Z8" s="738"/>
      <c r="AA8" s="738"/>
      <c r="AB8" s="738"/>
      <c r="AC8" s="738"/>
      <c r="AD8" s="738"/>
      <c r="AE8" s="589"/>
      <c r="AF8" s="589">
        <f>'4.26.22'!E21</f>
        <v>2669.5</v>
      </c>
      <c r="AG8" s="589"/>
      <c r="AH8" s="589"/>
      <c r="AI8" s="589"/>
      <c r="AJ8" s="589"/>
      <c r="AK8" s="589"/>
      <c r="AL8" s="640"/>
      <c r="AM8" s="640"/>
      <c r="AN8" s="640"/>
      <c r="AO8" s="640">
        <f>'5.5.22'!E28</f>
        <v>1653</v>
      </c>
      <c r="AP8" s="640"/>
      <c r="AQ8" s="783"/>
      <c r="AR8" s="783"/>
      <c r="AS8" s="702">
        <f>'5.9.22'!E28</f>
        <v>1776.5</v>
      </c>
      <c r="AT8" s="702"/>
      <c r="AU8" s="702"/>
      <c r="AV8" s="702"/>
      <c r="AW8" s="702"/>
      <c r="AX8" s="702"/>
      <c r="AY8" s="702"/>
      <c r="AZ8" s="738">
        <f>'5.16.22'!E28</f>
        <v>1995</v>
      </c>
      <c r="BA8" s="738"/>
      <c r="BB8" s="738"/>
      <c r="BC8" s="738"/>
      <c r="BD8" s="738">
        <f>'5.20.22'!E29</f>
        <v>1510.5</v>
      </c>
      <c r="BE8" s="738"/>
      <c r="BF8" s="738"/>
      <c r="BG8" s="252"/>
      <c r="BH8" s="252"/>
      <c r="BI8" s="252"/>
      <c r="BJ8" s="252"/>
      <c r="BK8" s="252"/>
      <c r="BL8" s="870"/>
      <c r="BM8" s="870"/>
      <c r="BN8" s="640"/>
      <c r="BO8" s="640"/>
      <c r="BP8" s="640">
        <f>'6.01.22'!E22</f>
        <v>3059</v>
      </c>
      <c r="BQ8" s="640"/>
      <c r="BR8" s="640"/>
      <c r="BS8" s="640"/>
      <c r="BT8" s="640"/>
      <c r="BU8" s="702">
        <f>'6.06.22'!E18</f>
        <v>2251.5</v>
      </c>
      <c r="BV8" s="702"/>
      <c r="BW8" s="702"/>
      <c r="BX8" s="772"/>
      <c r="BY8" s="772"/>
      <c r="BZ8" s="772"/>
      <c r="CA8" s="772"/>
      <c r="CB8" s="252"/>
      <c r="CC8" s="252"/>
      <c r="CD8" s="252"/>
      <c r="CE8" s="252"/>
      <c r="CF8" s="252"/>
      <c r="CG8" s="252"/>
      <c r="CH8" s="252"/>
      <c r="CI8" s="507">
        <f t="shared" si="0"/>
        <v>27445.5</v>
      </c>
      <c r="CJ8" s="507">
        <f t="shared" ref="CJ8" si="4">100000-CI8</f>
        <v>72554.5</v>
      </c>
      <c r="CK8" s="776"/>
      <c r="CL8" s="195" t="s">
        <v>239</v>
      </c>
      <c r="CM8" s="509">
        <v>14400</v>
      </c>
      <c r="CN8" s="234">
        <f t="shared" si="2"/>
        <v>41845.5</v>
      </c>
      <c r="CO8" s="234"/>
      <c r="CP8" s="979">
        <v>6</v>
      </c>
      <c r="CQ8" s="981">
        <f t="shared" si="1"/>
        <v>27730.820512820512</v>
      </c>
      <c r="CR8" s="977">
        <v>270375.5</v>
      </c>
      <c r="CS8" s="978" t="s">
        <v>164</v>
      </c>
    </row>
    <row r="9" spans="1:97" ht="10.15" customHeight="1">
      <c r="A9" s="195" t="s">
        <v>68</v>
      </c>
      <c r="B9" s="252"/>
      <c r="C9" s="252"/>
      <c r="D9" s="252"/>
      <c r="E9" s="252"/>
      <c r="F9" s="252"/>
      <c r="G9" s="252"/>
      <c r="H9" s="252"/>
      <c r="I9" s="252"/>
      <c r="J9" s="640"/>
      <c r="K9" s="640"/>
      <c r="L9" s="640"/>
      <c r="M9" s="640"/>
      <c r="N9" s="640">
        <f>'4.8.22'!E21</f>
        <v>2365.5</v>
      </c>
      <c r="O9" s="640"/>
      <c r="P9" s="640"/>
      <c r="Q9" s="252"/>
      <c r="R9" s="252"/>
      <c r="S9" s="252"/>
      <c r="T9" s="252"/>
      <c r="U9" s="252"/>
      <c r="V9" s="252"/>
      <c r="W9" s="252"/>
      <c r="X9" s="738"/>
      <c r="Y9" s="738"/>
      <c r="Z9" s="738"/>
      <c r="AA9" s="738"/>
      <c r="AB9" s="738"/>
      <c r="AC9" s="738">
        <f>'4.23.22'!E22</f>
        <v>2128</v>
      </c>
      <c r="AD9" s="738"/>
      <c r="AE9" s="589"/>
      <c r="AF9" s="589"/>
      <c r="AG9" s="589"/>
      <c r="AH9" s="589">
        <f>'4.28.22'!E28</f>
        <v>1624.5</v>
      </c>
      <c r="AI9" s="589"/>
      <c r="AJ9" s="589"/>
      <c r="AK9" s="589"/>
      <c r="AL9" s="252"/>
      <c r="AM9" s="252"/>
      <c r="AN9" s="252"/>
      <c r="AO9" s="252"/>
      <c r="AP9" s="252"/>
      <c r="AQ9" s="772"/>
      <c r="AR9" s="772"/>
      <c r="AS9" s="252"/>
      <c r="AT9" s="252"/>
      <c r="AU9" s="252"/>
      <c r="AV9" s="252"/>
      <c r="AW9" s="252"/>
      <c r="AX9" s="252"/>
      <c r="AY9" s="252"/>
      <c r="AZ9" s="738"/>
      <c r="BA9" s="738"/>
      <c r="BB9" s="738">
        <f>'5.18.22'!E19</f>
        <v>2166</v>
      </c>
      <c r="BC9" s="738"/>
      <c r="BD9" s="738"/>
      <c r="BE9" s="738"/>
      <c r="BF9" s="738"/>
      <c r="BG9" s="589"/>
      <c r="BH9" s="589"/>
      <c r="BI9" s="589"/>
      <c r="BJ9" s="589"/>
      <c r="BK9" s="589">
        <f>'5.27.22'!E18</f>
        <v>2365.5</v>
      </c>
      <c r="BL9" s="870"/>
      <c r="BM9" s="870"/>
      <c r="BN9" s="640"/>
      <c r="BO9" s="640"/>
      <c r="BP9" s="640">
        <f>'6.01.22'!E18</f>
        <v>2223</v>
      </c>
      <c r="BQ9" s="640"/>
      <c r="BR9" s="640"/>
      <c r="BS9" s="640"/>
      <c r="BT9" s="640"/>
      <c r="BU9" s="252"/>
      <c r="BV9" s="252"/>
      <c r="BW9" s="252"/>
      <c r="BX9" s="772"/>
      <c r="BY9" s="772"/>
      <c r="BZ9" s="772"/>
      <c r="CA9" s="772"/>
      <c r="CB9" s="738"/>
      <c r="CC9" s="738"/>
      <c r="CD9" s="738">
        <f>'6.15.22'!E11</f>
        <v>959.5</v>
      </c>
      <c r="CE9" s="738"/>
      <c r="CF9" s="252"/>
      <c r="CG9" s="252"/>
      <c r="CH9" s="252"/>
      <c r="CI9" s="52">
        <f t="shared" si="0"/>
        <v>13832</v>
      </c>
      <c r="CJ9" s="52">
        <f t="shared" si="3"/>
        <v>86168</v>
      </c>
      <c r="CK9" s="776"/>
      <c r="CL9" s="195" t="s">
        <v>68</v>
      </c>
      <c r="CM9" s="474">
        <v>4840</v>
      </c>
      <c r="CN9" s="234">
        <f t="shared" si="2"/>
        <v>18672</v>
      </c>
      <c r="CO9" s="234"/>
      <c r="CP9" s="979">
        <v>7</v>
      </c>
      <c r="CQ9" s="981">
        <f t="shared" si="1"/>
        <v>23386.205128205129</v>
      </c>
      <c r="CR9" s="977">
        <v>228015.5</v>
      </c>
      <c r="CS9" s="978" t="s">
        <v>45</v>
      </c>
    </row>
    <row r="10" spans="1:97" s="516" customFormat="1" ht="10.15" customHeight="1">
      <c r="A10" s="195" t="s">
        <v>245</v>
      </c>
      <c r="B10" s="589"/>
      <c r="C10" s="589"/>
      <c r="D10" s="589"/>
      <c r="E10" s="589"/>
      <c r="F10" s="589">
        <f>'3.31.22'!E22</f>
        <v>4151.5</v>
      </c>
      <c r="G10" s="589"/>
      <c r="H10" s="589"/>
      <c r="I10" s="589"/>
      <c r="J10" s="640">
        <f>'4.4.22'!E22</f>
        <v>5557.5</v>
      </c>
      <c r="K10" s="640"/>
      <c r="L10" s="640"/>
      <c r="M10" s="640"/>
      <c r="N10" s="640"/>
      <c r="O10" s="640"/>
      <c r="P10" s="640"/>
      <c r="Q10" s="252"/>
      <c r="R10" s="252"/>
      <c r="S10" s="252"/>
      <c r="T10" s="252"/>
      <c r="U10" s="252"/>
      <c r="V10" s="252"/>
      <c r="W10" s="252"/>
      <c r="X10" s="252"/>
      <c r="Y10" s="252"/>
      <c r="Z10" s="252"/>
      <c r="AA10" s="252"/>
      <c r="AB10" s="252"/>
      <c r="AC10" s="252"/>
      <c r="AD10" s="252"/>
      <c r="AE10" s="758"/>
      <c r="AF10" s="758"/>
      <c r="AG10" s="758"/>
      <c r="AH10" s="758"/>
      <c r="AI10" s="758"/>
      <c r="AJ10" s="758"/>
      <c r="AK10" s="758"/>
      <c r="AL10" s="640"/>
      <c r="AM10" s="640">
        <f>'5.3.22'!E18</f>
        <v>7068</v>
      </c>
      <c r="AN10" s="640"/>
      <c r="AO10" s="640"/>
      <c r="AP10" s="640"/>
      <c r="AQ10" s="783"/>
      <c r="AR10" s="783"/>
      <c r="AS10" s="702">
        <f>'5.9.22'!E19</f>
        <v>3885.5</v>
      </c>
      <c r="AT10" s="702"/>
      <c r="AU10" s="702"/>
      <c r="AV10" s="702"/>
      <c r="AW10" s="702"/>
      <c r="AX10" s="702"/>
      <c r="AY10" s="702"/>
      <c r="AZ10" s="738">
        <f>'5.16.22'!E21</f>
        <v>3809.5</v>
      </c>
      <c r="BA10" s="738"/>
      <c r="BB10" s="738"/>
      <c r="BC10" s="738"/>
      <c r="BD10" s="738"/>
      <c r="BE10" s="738"/>
      <c r="BF10" s="738"/>
      <c r="BG10" s="589">
        <f>'5.23.22'!E19</f>
        <v>2973.5</v>
      </c>
      <c r="BH10" s="589"/>
      <c r="BI10" s="589"/>
      <c r="BJ10" s="589"/>
      <c r="BK10" s="589"/>
      <c r="BL10" s="870"/>
      <c r="BM10" s="870"/>
      <c r="BN10" s="252"/>
      <c r="BO10" s="252"/>
      <c r="BP10" s="252"/>
      <c r="BQ10" s="252"/>
      <c r="BR10" s="252"/>
      <c r="BS10" s="252"/>
      <c r="BT10" s="252"/>
      <c r="BU10" s="252"/>
      <c r="BV10" s="252"/>
      <c r="BW10" s="252"/>
      <c r="BX10" s="772"/>
      <c r="BY10" s="772"/>
      <c r="BZ10" s="772"/>
      <c r="CA10" s="772"/>
      <c r="CB10" s="252"/>
      <c r="CC10" s="252"/>
      <c r="CD10" s="252"/>
      <c r="CE10" s="252"/>
      <c r="CF10" s="252"/>
      <c r="CG10" s="252"/>
      <c r="CH10" s="252"/>
      <c r="CI10" s="520">
        <f t="shared" si="0"/>
        <v>27445.5</v>
      </c>
      <c r="CJ10" s="520">
        <f t="shared" ref="CJ10" si="5">100000-CI10</f>
        <v>72554.5</v>
      </c>
      <c r="CK10" s="776"/>
      <c r="CL10" s="195" t="s">
        <v>245</v>
      </c>
      <c r="CM10" s="516">
        <v>5070</v>
      </c>
      <c r="CN10" s="234">
        <f t="shared" si="2"/>
        <v>32515.5</v>
      </c>
      <c r="CO10" s="234"/>
      <c r="CP10" s="979">
        <v>8</v>
      </c>
      <c r="CQ10" s="981">
        <f t="shared" si="1"/>
        <v>20230.51282051282</v>
      </c>
      <c r="CR10" s="977">
        <v>197247.5</v>
      </c>
      <c r="CS10" s="978" t="s">
        <v>143</v>
      </c>
    </row>
    <row r="11" spans="1:97" ht="10.15" customHeight="1">
      <c r="A11" s="195" t="s">
        <v>254</v>
      </c>
      <c r="B11" s="589"/>
      <c r="C11" s="589">
        <f>'3.28.22'!E30</f>
        <v>1092.5</v>
      </c>
      <c r="D11" s="589"/>
      <c r="E11" s="589"/>
      <c r="F11" s="589">
        <f>'3.31.22'!E30</f>
        <v>1539</v>
      </c>
      <c r="G11" s="589">
        <f>'4.1.22'!E29</f>
        <v>1311</v>
      </c>
      <c r="H11" s="589"/>
      <c r="I11" s="589">
        <f>'4.3.22'!E19+'4.3.22'!E29</f>
        <v>4332</v>
      </c>
      <c r="J11" s="640">
        <f>'4.4.22'!E18</f>
        <v>3002</v>
      </c>
      <c r="K11" s="640"/>
      <c r="L11" s="640"/>
      <c r="M11" s="640">
        <f>'4.7.22'!E21+'4.7.22'!E28</f>
        <v>5063.5</v>
      </c>
      <c r="N11" s="640"/>
      <c r="O11" s="640"/>
      <c r="P11" s="640"/>
      <c r="Q11" s="702">
        <f>'4.11.22'!E28</f>
        <v>2555.5</v>
      </c>
      <c r="R11" s="702"/>
      <c r="S11" s="702"/>
      <c r="T11" s="702"/>
      <c r="U11" s="702"/>
      <c r="V11" s="702"/>
      <c r="W11" s="702"/>
      <c r="X11" s="738"/>
      <c r="Y11" s="738"/>
      <c r="Z11" s="738"/>
      <c r="AA11" s="738"/>
      <c r="AB11" s="738">
        <f>'4.22.22'!E18</f>
        <v>2413</v>
      </c>
      <c r="AC11" s="738"/>
      <c r="AD11" s="738"/>
      <c r="AE11" s="758"/>
      <c r="AF11" s="758"/>
      <c r="AG11" s="758"/>
      <c r="AH11" s="758"/>
      <c r="AI11" s="758"/>
      <c r="AJ11" s="758"/>
      <c r="AK11" s="758"/>
      <c r="AL11" s="252"/>
      <c r="AM11" s="252"/>
      <c r="AN11" s="252"/>
      <c r="AO11" s="252"/>
      <c r="AP11" s="252"/>
      <c r="AQ11" s="772"/>
      <c r="AR11" s="772"/>
      <c r="AS11" s="702"/>
      <c r="AT11" s="702">
        <f>'5.10.22'!E28</f>
        <v>2080.5</v>
      </c>
      <c r="AU11" s="702"/>
      <c r="AV11" s="702"/>
      <c r="AW11" s="702"/>
      <c r="AX11" s="702">
        <f>'5.14.22'!E28</f>
        <v>2090</v>
      </c>
      <c r="AY11" s="702">
        <f>'5.15.22'!E9</f>
        <v>3173</v>
      </c>
      <c r="AZ11" s="252"/>
      <c r="BA11" s="252"/>
      <c r="BB11" s="252"/>
      <c r="BC11" s="252"/>
      <c r="BD11" s="252"/>
      <c r="BE11" s="252"/>
      <c r="BF11" s="252"/>
      <c r="BG11" s="252"/>
      <c r="BH11" s="252"/>
      <c r="BI11" s="252"/>
      <c r="BJ11" s="252"/>
      <c r="BK11" s="252"/>
      <c r="BL11" s="870"/>
      <c r="BM11" s="870"/>
      <c r="BN11" s="640"/>
      <c r="BO11" s="640"/>
      <c r="BP11" s="640"/>
      <c r="BQ11" s="640"/>
      <c r="BR11" s="640">
        <f>'6.03.02'!E22</f>
        <v>3087.5</v>
      </c>
      <c r="BS11" s="640">
        <f>'6.04.22'!E29</f>
        <v>2622</v>
      </c>
      <c r="BT11" s="640"/>
      <c r="BU11" s="702">
        <f>'6.06.22'!E19+'6.06.22'!E30</f>
        <v>5880.5</v>
      </c>
      <c r="BV11" s="702"/>
      <c r="BW11" s="702"/>
      <c r="BX11" s="772"/>
      <c r="BY11" s="772"/>
      <c r="BZ11" s="772"/>
      <c r="CA11" s="772"/>
      <c r="CB11" s="738"/>
      <c r="CC11" s="738">
        <f>'6.14.22'!E9</f>
        <v>1054.5</v>
      </c>
      <c r="CD11" s="738"/>
      <c r="CE11" s="738"/>
      <c r="CF11" s="252"/>
      <c r="CG11" s="252"/>
      <c r="CH11" s="252"/>
      <c r="CI11" s="52">
        <f t="shared" si="0"/>
        <v>41296.5</v>
      </c>
      <c r="CJ11" s="52">
        <f>100000-CI11+350000</f>
        <v>408703.5</v>
      </c>
      <c r="CK11" s="776"/>
      <c r="CL11" s="195" t="s">
        <v>43</v>
      </c>
      <c r="CM11" s="474">
        <v>85110</v>
      </c>
      <c r="CN11" s="234">
        <f t="shared" si="2"/>
        <v>126406.5</v>
      </c>
      <c r="CO11" s="234"/>
      <c r="CP11" s="979">
        <v>9</v>
      </c>
      <c r="CQ11" s="981">
        <f t="shared" si="1"/>
        <v>19788.205128205129</v>
      </c>
      <c r="CR11" s="977">
        <v>192935</v>
      </c>
      <c r="CS11" s="978" t="s">
        <v>242</v>
      </c>
    </row>
    <row r="12" spans="1:97" ht="10.15" customHeight="1">
      <c r="A12" s="195" t="s">
        <v>49</v>
      </c>
      <c r="B12" s="589"/>
      <c r="C12" s="589"/>
      <c r="D12" s="589">
        <f>'3.29.22'!E21</f>
        <v>3505.5</v>
      </c>
      <c r="E12" s="589"/>
      <c r="F12" s="589"/>
      <c r="G12" s="589"/>
      <c r="H12" s="589"/>
      <c r="I12" s="589"/>
      <c r="J12" s="640"/>
      <c r="K12" s="640"/>
      <c r="L12" s="640">
        <f>'4.6.22'!E22</f>
        <v>3866.5</v>
      </c>
      <c r="M12" s="640"/>
      <c r="N12" s="640"/>
      <c r="O12" s="640"/>
      <c r="P12" s="640">
        <f>'4.10.22'!E22</f>
        <v>3591</v>
      </c>
      <c r="Q12" s="252"/>
      <c r="R12" s="252"/>
      <c r="S12" s="252"/>
      <c r="T12" s="252"/>
      <c r="U12" s="252"/>
      <c r="V12" s="252"/>
      <c r="W12" s="252"/>
      <c r="X12" s="738"/>
      <c r="Y12" s="738">
        <f>'4.19.22'!E18</f>
        <v>3980.5</v>
      </c>
      <c r="Z12" s="738"/>
      <c r="AA12" s="738"/>
      <c r="AB12" s="738"/>
      <c r="AC12" s="738"/>
      <c r="AD12" s="738"/>
      <c r="AE12" s="758"/>
      <c r="AF12" s="758"/>
      <c r="AG12" s="758"/>
      <c r="AH12" s="758"/>
      <c r="AI12" s="758"/>
      <c r="AJ12" s="758"/>
      <c r="AK12" s="758"/>
      <c r="AL12" s="640"/>
      <c r="AM12" s="640"/>
      <c r="AN12" s="640"/>
      <c r="AO12" s="640"/>
      <c r="AP12" s="640">
        <f>'5.6.22'!E22+'5.6.22'!E29</f>
        <v>3961.5</v>
      </c>
      <c r="AQ12" s="783"/>
      <c r="AR12" s="783"/>
      <c r="AS12" s="252"/>
      <c r="AT12" s="252"/>
      <c r="AU12" s="252"/>
      <c r="AV12" s="252"/>
      <c r="AW12" s="252"/>
      <c r="AX12" s="252"/>
      <c r="AY12" s="252"/>
      <c r="AZ12" s="252"/>
      <c r="BA12" s="252"/>
      <c r="BB12" s="252"/>
      <c r="BC12" s="252"/>
      <c r="BD12" s="252"/>
      <c r="BE12" s="252"/>
      <c r="BF12" s="252"/>
      <c r="BG12" s="252"/>
      <c r="BH12" s="252"/>
      <c r="BI12" s="252"/>
      <c r="BJ12" s="252"/>
      <c r="BK12" s="252"/>
      <c r="BL12" s="870"/>
      <c r="BM12" s="870"/>
      <c r="BN12" s="640"/>
      <c r="BO12" s="640"/>
      <c r="BP12" s="640">
        <f>'6.01.22'!E19</f>
        <v>4066</v>
      </c>
      <c r="BQ12" s="640"/>
      <c r="BR12" s="640"/>
      <c r="BS12" s="640"/>
      <c r="BT12" s="640"/>
      <c r="BU12" s="252"/>
      <c r="BV12" s="252"/>
      <c r="BW12" s="252"/>
      <c r="BX12" s="772"/>
      <c r="BY12" s="772"/>
      <c r="BZ12" s="772"/>
      <c r="CA12" s="772"/>
      <c r="CB12" s="738"/>
      <c r="CC12" s="738"/>
      <c r="CD12" s="738"/>
      <c r="CE12" s="738">
        <f>'6.16.22'!E12</f>
        <v>2204</v>
      </c>
      <c r="CF12" s="252"/>
      <c r="CG12" s="252"/>
      <c r="CH12" s="252"/>
      <c r="CI12" s="52">
        <f t="shared" si="0"/>
        <v>25175</v>
      </c>
      <c r="CJ12" s="52">
        <f t="shared" si="3"/>
        <v>74825</v>
      </c>
      <c r="CK12" s="776"/>
      <c r="CL12" s="195" t="s">
        <v>49</v>
      </c>
      <c r="CM12" s="474">
        <v>78320</v>
      </c>
      <c r="CN12" s="782">
        <f t="shared" si="2"/>
        <v>103495</v>
      </c>
      <c r="CO12" s="234"/>
      <c r="CP12" s="979">
        <v>10</v>
      </c>
      <c r="CQ12" s="981">
        <f t="shared" si="1"/>
        <v>19293.897435897437</v>
      </c>
      <c r="CR12" s="977">
        <v>188115.5</v>
      </c>
      <c r="CS12" s="978" t="s">
        <v>63</v>
      </c>
    </row>
    <row r="13" spans="1:97" ht="10.15" customHeight="1">
      <c r="A13" s="195" t="s">
        <v>235</v>
      </c>
      <c r="B13" s="589">
        <f>'3.27.22'!E29</f>
        <v>2755</v>
      </c>
      <c r="C13" s="589">
        <f>'3.28.22'!E28</f>
        <v>3686</v>
      </c>
      <c r="D13" s="589"/>
      <c r="E13" s="589"/>
      <c r="F13" s="589">
        <f>'3.31.22'!E28</f>
        <v>4493.5</v>
      </c>
      <c r="G13" s="589"/>
      <c r="H13" s="589">
        <f>'4.2.22'!E21+'4.2.22'!E28</f>
        <v>7818.5</v>
      </c>
      <c r="I13" s="589"/>
      <c r="J13" s="640"/>
      <c r="K13" s="640">
        <f>'4.5.22'!E28</f>
        <v>5320</v>
      </c>
      <c r="L13" s="640"/>
      <c r="M13" s="640">
        <f>'4.7.22'!E30</f>
        <v>5253.5</v>
      </c>
      <c r="N13" s="640"/>
      <c r="O13" s="640">
        <f>'4.9.22'!E12</f>
        <v>4018.5</v>
      </c>
      <c r="P13" s="640">
        <f>'4.10.22'!E30</f>
        <v>4626.5</v>
      </c>
      <c r="Q13" s="702"/>
      <c r="R13" s="702">
        <f>'4.12.22'!E29</f>
        <v>4436.5</v>
      </c>
      <c r="S13" s="702"/>
      <c r="T13" s="702"/>
      <c r="U13" s="702">
        <f>'4.15.22'!E30</f>
        <v>3819</v>
      </c>
      <c r="V13" s="702"/>
      <c r="W13" s="702">
        <f>'4.17.22'!E29</f>
        <v>4645.5</v>
      </c>
      <c r="X13" s="738">
        <f>'4.18.22'!E30</f>
        <v>3952</v>
      </c>
      <c r="Y13" s="738"/>
      <c r="Z13" s="738"/>
      <c r="AA13" s="738"/>
      <c r="AB13" s="738"/>
      <c r="AC13" s="738">
        <f>'4.23.22'!E28</f>
        <v>4617</v>
      </c>
      <c r="AD13" s="738">
        <f>'4.24.22'!E30</f>
        <v>5044.5</v>
      </c>
      <c r="AE13" s="589"/>
      <c r="AF13" s="589">
        <f>'4.26.22'!E30</f>
        <v>4712</v>
      </c>
      <c r="AG13" s="589"/>
      <c r="AH13" s="589"/>
      <c r="AI13" s="589">
        <f>'4.29.22'!E30</f>
        <v>3990</v>
      </c>
      <c r="AJ13" s="589"/>
      <c r="AK13" s="589">
        <f>'5.1.22'!E30</f>
        <v>4892.5</v>
      </c>
      <c r="AL13" s="640"/>
      <c r="AM13" s="640"/>
      <c r="AN13" s="640"/>
      <c r="AO13" s="640"/>
      <c r="AP13" s="640">
        <f>'5.6.22'!E30</f>
        <v>3515</v>
      </c>
      <c r="AQ13" s="783"/>
      <c r="AR13" s="783"/>
      <c r="AS13" s="702"/>
      <c r="AT13" s="702"/>
      <c r="AU13" s="702"/>
      <c r="AV13" s="702">
        <f>'5.12.22'!E30</f>
        <v>4883</v>
      </c>
      <c r="AW13" s="702"/>
      <c r="AX13" s="702"/>
      <c r="AY13" s="702">
        <f>'5.15.22'!E30</f>
        <v>4930.5</v>
      </c>
      <c r="AZ13" s="738"/>
      <c r="BA13" s="738">
        <f>'5.17.22'!E30</f>
        <v>4332</v>
      </c>
      <c r="BB13" s="738"/>
      <c r="BC13" s="738"/>
      <c r="BD13" s="738">
        <f>'5.20.22'!E30</f>
        <v>4256</v>
      </c>
      <c r="BE13" s="738"/>
      <c r="BF13" s="738">
        <f>'5.22.22'!E30</f>
        <v>4892.5</v>
      </c>
      <c r="BG13" s="589">
        <f>'5.23.22'!E30</f>
        <v>4522</v>
      </c>
      <c r="BH13" s="589">
        <f>'5.24.22'!E30</f>
        <v>4550.5</v>
      </c>
      <c r="BI13" s="589"/>
      <c r="BJ13" s="589"/>
      <c r="BK13" s="589"/>
      <c r="BL13" s="870"/>
      <c r="BM13" s="870"/>
      <c r="BN13" s="640"/>
      <c r="BO13" s="640"/>
      <c r="BP13" s="640">
        <f>'6.01.22'!E29</f>
        <v>5728.5</v>
      </c>
      <c r="BQ13" s="640"/>
      <c r="BR13" s="640">
        <f>'6.03.02'!E30</f>
        <v>5500.5</v>
      </c>
      <c r="BS13" s="640">
        <f>'6.04.22'!E30</f>
        <v>6669</v>
      </c>
      <c r="BT13" s="640"/>
      <c r="BU13" s="702">
        <f>'6.06.22'!E29</f>
        <v>6583.5</v>
      </c>
      <c r="BV13" s="702">
        <f>'6.07.22'!E29</f>
        <v>5747.5</v>
      </c>
      <c r="BW13" s="702"/>
      <c r="BX13" s="772"/>
      <c r="BY13" s="772"/>
      <c r="BZ13" s="772"/>
      <c r="CA13" s="772"/>
      <c r="CB13" s="252"/>
      <c r="CC13" s="252"/>
      <c r="CD13" s="252"/>
      <c r="CE13" s="252"/>
      <c r="CF13" s="252"/>
      <c r="CG13" s="252"/>
      <c r="CH13" s="252"/>
      <c r="CI13" s="52">
        <f t="shared" si="0"/>
        <v>144191</v>
      </c>
      <c r="CJ13" s="52">
        <f>100000-CI13+350000</f>
        <v>305809</v>
      </c>
      <c r="CK13" s="776"/>
      <c r="CL13" s="195" t="s">
        <v>235</v>
      </c>
      <c r="CM13" s="474">
        <v>148720</v>
      </c>
      <c r="CN13" s="234">
        <f t="shared" si="2"/>
        <v>292911</v>
      </c>
      <c r="CO13" s="234"/>
      <c r="CP13" s="979">
        <v>11</v>
      </c>
      <c r="CQ13" s="981">
        <f t="shared" si="1"/>
        <v>17233.384615384617</v>
      </c>
      <c r="CR13" s="977">
        <v>168025.5</v>
      </c>
      <c r="CS13" s="978" t="s">
        <v>145</v>
      </c>
    </row>
    <row r="14" spans="1:97" ht="10.15" customHeight="1">
      <c r="A14" s="195" t="s">
        <v>188</v>
      </c>
      <c r="B14" s="252"/>
      <c r="C14" s="252"/>
      <c r="D14" s="252"/>
      <c r="E14" s="252"/>
      <c r="F14" s="252"/>
      <c r="G14" s="252"/>
      <c r="H14" s="252"/>
      <c r="I14" s="252"/>
      <c r="J14" s="252"/>
      <c r="K14" s="252"/>
      <c r="L14" s="252"/>
      <c r="M14" s="252"/>
      <c r="N14" s="252"/>
      <c r="O14" s="252"/>
      <c r="P14" s="252"/>
      <c r="Q14" s="702">
        <f>'4.11.22'!E22</f>
        <v>3030.5</v>
      </c>
      <c r="R14" s="702">
        <f>'4.12.22'!E22</f>
        <v>2137.5</v>
      </c>
      <c r="S14" s="702"/>
      <c r="T14" s="702"/>
      <c r="U14" s="702"/>
      <c r="V14" s="702"/>
      <c r="W14" s="702"/>
      <c r="X14" s="738"/>
      <c r="Y14" s="738">
        <f>'4.19.22'!E22</f>
        <v>2878.5</v>
      </c>
      <c r="Z14" s="738"/>
      <c r="AA14" s="738">
        <f>'4.21.22'!E22</f>
        <v>2622</v>
      </c>
      <c r="AB14" s="738"/>
      <c r="AC14" s="738"/>
      <c r="AD14" s="738"/>
      <c r="AE14" s="589"/>
      <c r="AF14" s="589"/>
      <c r="AG14" s="589">
        <f>'4.27.22'!E18</f>
        <v>2394</v>
      </c>
      <c r="AH14" s="589"/>
      <c r="AI14" s="589"/>
      <c r="AJ14" s="589"/>
      <c r="AK14" s="589"/>
      <c r="AL14" s="640">
        <f>'5.2.22'!E22</f>
        <v>3097</v>
      </c>
      <c r="AM14" s="640"/>
      <c r="AN14" s="640">
        <f>'5.4.22'!E28</f>
        <v>1862</v>
      </c>
      <c r="AO14" s="640"/>
      <c r="AP14" s="640"/>
      <c r="AQ14" s="783"/>
      <c r="AR14" s="783"/>
      <c r="AS14" s="702"/>
      <c r="AT14" s="702">
        <f>'5.10.22'!E22</f>
        <v>2422.5</v>
      </c>
      <c r="AU14" s="702"/>
      <c r="AV14" s="702"/>
      <c r="AW14" s="702"/>
      <c r="AX14" s="702"/>
      <c r="AY14" s="702"/>
      <c r="AZ14" s="738"/>
      <c r="BA14" s="738"/>
      <c r="BB14" s="738">
        <f>'5.18.22'!E21</f>
        <v>2527</v>
      </c>
      <c r="BC14" s="738"/>
      <c r="BD14" s="738"/>
      <c r="BE14" s="738"/>
      <c r="BF14" s="738"/>
      <c r="BG14" s="589"/>
      <c r="BH14" s="589"/>
      <c r="BI14" s="589">
        <f>'5.25.22'!E21</f>
        <v>2403.5</v>
      </c>
      <c r="BJ14" s="589"/>
      <c r="BK14" s="589"/>
      <c r="BL14" s="870"/>
      <c r="BM14" s="870"/>
      <c r="BN14" s="640"/>
      <c r="BO14" s="640">
        <f>'5.31.22'!E28</f>
        <v>2242</v>
      </c>
      <c r="BP14" s="640"/>
      <c r="BQ14" s="640"/>
      <c r="BR14" s="640"/>
      <c r="BS14" s="640"/>
      <c r="BT14" s="640"/>
      <c r="BU14" s="252"/>
      <c r="BV14" s="252"/>
      <c r="BW14" s="252"/>
      <c r="BX14" s="772"/>
      <c r="BY14" s="772"/>
      <c r="BZ14" s="772"/>
      <c r="CA14" s="772"/>
      <c r="CB14" s="252"/>
      <c r="CC14" s="252"/>
      <c r="CD14" s="252"/>
      <c r="CE14" s="252"/>
      <c r="CF14" s="252"/>
      <c r="CG14" s="252"/>
      <c r="CH14" s="252"/>
      <c r="CI14" s="52">
        <f t="shared" si="0"/>
        <v>27616.5</v>
      </c>
      <c r="CJ14" s="52">
        <f t="shared" si="3"/>
        <v>72383.5</v>
      </c>
      <c r="CK14" s="776"/>
      <c r="CL14" s="195" t="s">
        <v>188</v>
      </c>
      <c r="CM14" s="474">
        <v>24320</v>
      </c>
      <c r="CN14" s="234">
        <f t="shared" si="2"/>
        <v>51936.5</v>
      </c>
      <c r="CO14" s="234"/>
      <c r="CP14" s="979">
        <v>12</v>
      </c>
      <c r="CQ14" s="981">
        <f t="shared" si="1"/>
        <v>16683.333333333332</v>
      </c>
      <c r="CR14" s="977">
        <v>162662.5</v>
      </c>
      <c r="CS14" s="978" t="s">
        <v>82</v>
      </c>
    </row>
    <row r="15" spans="1:97" s="516" customFormat="1" ht="10.15" customHeight="1">
      <c r="A15" s="195" t="s">
        <v>243</v>
      </c>
      <c r="B15" s="252"/>
      <c r="C15" s="252"/>
      <c r="D15" s="252"/>
      <c r="E15" s="252"/>
      <c r="F15" s="252"/>
      <c r="G15" s="252"/>
      <c r="H15" s="252"/>
      <c r="I15" s="252"/>
      <c r="J15" s="640"/>
      <c r="K15" s="640"/>
      <c r="L15" s="640"/>
      <c r="M15" s="640"/>
      <c r="N15" s="640">
        <f>'4.8.22'!E31</f>
        <v>3144.5</v>
      </c>
      <c r="O15" s="640"/>
      <c r="P15" s="640"/>
      <c r="Q15" s="702"/>
      <c r="R15" s="702"/>
      <c r="S15" s="702"/>
      <c r="T15" s="702"/>
      <c r="U15" s="702"/>
      <c r="V15" s="702"/>
      <c r="W15" s="702">
        <f>'4.17.22'!E11</f>
        <v>5215.5</v>
      </c>
      <c r="X15" s="252"/>
      <c r="Y15" s="252"/>
      <c r="Z15" s="252"/>
      <c r="AA15" s="252"/>
      <c r="AB15" s="252"/>
      <c r="AC15" s="252"/>
      <c r="AD15" s="252"/>
      <c r="AE15" s="589"/>
      <c r="AF15" s="589">
        <f>'4.26.22'!E29</f>
        <v>4094.5</v>
      </c>
      <c r="AG15" s="589"/>
      <c r="AH15" s="589"/>
      <c r="AI15" s="589"/>
      <c r="AJ15" s="589"/>
      <c r="AK15" s="589"/>
      <c r="AL15" s="640">
        <f>'5.2.22'!E28</f>
        <v>5168</v>
      </c>
      <c r="AM15" s="640"/>
      <c r="AN15" s="640"/>
      <c r="AO15" s="640"/>
      <c r="AP15" s="640">
        <f>'5.6.22'!E28</f>
        <v>4845</v>
      </c>
      <c r="AQ15" s="783"/>
      <c r="AR15" s="783"/>
      <c r="AS15" s="252"/>
      <c r="AT15" s="252"/>
      <c r="AU15" s="252"/>
      <c r="AV15" s="252"/>
      <c r="AW15" s="252"/>
      <c r="AX15" s="252"/>
      <c r="AY15" s="252"/>
      <c r="AZ15" s="738"/>
      <c r="BA15" s="738"/>
      <c r="BB15" s="738"/>
      <c r="BC15" s="738">
        <f>'5.19.22'!E21</f>
        <v>6327</v>
      </c>
      <c r="BD15" s="738"/>
      <c r="BE15" s="738"/>
      <c r="BF15" s="738"/>
      <c r="BG15" s="589"/>
      <c r="BH15" s="589"/>
      <c r="BI15" s="589"/>
      <c r="BJ15" s="589">
        <f>'5.26.22'!E18</f>
        <v>5557.5</v>
      </c>
      <c r="BK15" s="589">
        <f>'5.27.22'!E29</f>
        <v>4550.5</v>
      </c>
      <c r="BL15" s="870"/>
      <c r="BM15" s="870"/>
      <c r="BN15" s="640">
        <f>'5.30.22'!E18+'5.30.22'!E29</f>
        <v>11305</v>
      </c>
      <c r="BO15" s="640"/>
      <c r="BP15" s="640"/>
      <c r="BQ15" s="640"/>
      <c r="BR15" s="640"/>
      <c r="BS15" s="640"/>
      <c r="BT15" s="640">
        <f>'6.05.22'!E9</f>
        <v>7676</v>
      </c>
      <c r="BU15" s="252"/>
      <c r="BV15" s="252"/>
      <c r="BW15" s="252"/>
      <c r="BX15" s="772"/>
      <c r="BY15" s="772"/>
      <c r="BZ15" s="772"/>
      <c r="CA15" s="772"/>
      <c r="CB15" s="738"/>
      <c r="CC15" s="738"/>
      <c r="CD15" s="738"/>
      <c r="CE15" s="738">
        <f>'6.16.22'!E11</f>
        <v>1130.5</v>
      </c>
      <c r="CF15" s="252"/>
      <c r="CG15" s="252"/>
      <c r="CH15" s="252"/>
      <c r="CI15" s="520">
        <f t="shared" si="0"/>
        <v>59014</v>
      </c>
      <c r="CJ15" s="520">
        <f t="shared" ref="CJ15" si="6">100000-CI15</f>
        <v>40986</v>
      </c>
      <c r="CK15" s="776"/>
      <c r="CL15" s="195" t="s">
        <v>243</v>
      </c>
      <c r="CM15" s="516">
        <v>11620</v>
      </c>
      <c r="CN15" s="234">
        <f t="shared" si="2"/>
        <v>70634</v>
      </c>
      <c r="CO15" s="234"/>
      <c r="CP15" s="979">
        <v>13</v>
      </c>
      <c r="CQ15" s="981">
        <f t="shared" si="1"/>
        <v>13230.25641025641</v>
      </c>
      <c r="CR15" s="977">
        <v>128995</v>
      </c>
      <c r="CS15" s="978" t="s">
        <v>51</v>
      </c>
    </row>
    <row r="16" spans="1:97" ht="10.15" customHeight="1">
      <c r="A16" s="195" t="s">
        <v>63</v>
      </c>
      <c r="B16" s="589"/>
      <c r="C16" s="589"/>
      <c r="D16" s="589"/>
      <c r="E16" s="589"/>
      <c r="F16" s="589"/>
      <c r="G16" s="589"/>
      <c r="H16" s="589"/>
      <c r="I16" s="589">
        <f>'4.3.22'!E12</f>
        <v>2584</v>
      </c>
      <c r="J16" s="640"/>
      <c r="K16" s="640"/>
      <c r="L16" s="640">
        <f>'4.6.22'!E21</f>
        <v>2384.5</v>
      </c>
      <c r="M16" s="640"/>
      <c r="N16" s="640"/>
      <c r="O16" s="640"/>
      <c r="P16" s="640"/>
      <c r="Q16" s="702"/>
      <c r="R16" s="702"/>
      <c r="S16" s="702"/>
      <c r="T16" s="702"/>
      <c r="U16" s="702">
        <f>'4.15.22'!E28</f>
        <v>2204</v>
      </c>
      <c r="V16" s="702">
        <f>'4.16.22'!E30</f>
        <v>1919</v>
      </c>
      <c r="W16" s="702">
        <f>'4.17.22'!E21</f>
        <v>3268</v>
      </c>
      <c r="X16" s="738"/>
      <c r="Y16" s="738"/>
      <c r="Z16" s="738"/>
      <c r="AA16" s="738"/>
      <c r="AB16" s="738">
        <f>'4.22.22'!E28</f>
        <v>1824</v>
      </c>
      <c r="AC16" s="738"/>
      <c r="AD16" s="738"/>
      <c r="AE16" s="589">
        <f>'4.25.22'!E29</f>
        <v>2137.5</v>
      </c>
      <c r="AF16" s="589"/>
      <c r="AG16" s="589"/>
      <c r="AH16" s="589"/>
      <c r="AI16" s="589"/>
      <c r="AJ16" s="589"/>
      <c r="AK16" s="589"/>
      <c r="AL16" s="252"/>
      <c r="AM16" s="252"/>
      <c r="AN16" s="252"/>
      <c r="AO16" s="252"/>
      <c r="AP16" s="252"/>
      <c r="AQ16" s="772"/>
      <c r="AR16" s="772"/>
      <c r="AS16" s="252"/>
      <c r="AT16" s="252"/>
      <c r="AU16" s="252"/>
      <c r="AV16" s="252"/>
      <c r="AW16" s="252"/>
      <c r="AX16" s="252"/>
      <c r="AY16" s="252"/>
      <c r="AZ16" s="252"/>
      <c r="BA16" s="252"/>
      <c r="BB16" s="252"/>
      <c r="BC16" s="252"/>
      <c r="BD16" s="252"/>
      <c r="BE16" s="252"/>
      <c r="BF16" s="252"/>
      <c r="BG16" s="252"/>
      <c r="BH16" s="252"/>
      <c r="BI16" s="252"/>
      <c r="BJ16" s="252"/>
      <c r="BK16" s="252"/>
      <c r="BL16" s="870"/>
      <c r="BM16" s="870"/>
      <c r="BN16" s="640"/>
      <c r="BO16" s="640"/>
      <c r="BP16" s="640"/>
      <c r="BQ16" s="640"/>
      <c r="BR16" s="640">
        <f>'6.03.02'!E21+'6.03.02'!E28</f>
        <v>4465</v>
      </c>
      <c r="BS16" s="640"/>
      <c r="BT16" s="640">
        <f>'6.05.22'!E30</f>
        <v>2365.5</v>
      </c>
      <c r="BU16" s="252"/>
      <c r="BV16" s="252"/>
      <c r="BW16" s="252"/>
      <c r="BX16" s="772"/>
      <c r="BY16" s="772"/>
      <c r="BZ16" s="772"/>
      <c r="CA16" s="772"/>
      <c r="CB16" s="738">
        <f>'6.13.22'!E10</f>
        <v>494</v>
      </c>
      <c r="CC16" s="738"/>
      <c r="CD16" s="738"/>
      <c r="CE16" s="738"/>
      <c r="CF16" s="252"/>
      <c r="CG16" s="252"/>
      <c r="CH16" s="252"/>
      <c r="CI16" s="52">
        <f t="shared" si="0"/>
        <v>23645.5</v>
      </c>
      <c r="CJ16" s="52">
        <f>449000-CI16+350000</f>
        <v>775354.5</v>
      </c>
      <c r="CK16" s="776"/>
      <c r="CL16" s="195" t="s">
        <v>63</v>
      </c>
      <c r="CM16" s="474">
        <v>164470</v>
      </c>
      <c r="CN16" s="234">
        <f t="shared" si="2"/>
        <v>188115.5</v>
      </c>
      <c r="CO16" s="234"/>
      <c r="CP16" s="979">
        <v>14</v>
      </c>
      <c r="CQ16" s="981">
        <f t="shared" si="1"/>
        <v>13104.358974358975</v>
      </c>
      <c r="CR16" s="977">
        <v>127767.5</v>
      </c>
      <c r="CS16" s="978" t="s">
        <v>246</v>
      </c>
    </row>
    <row r="17" spans="1:97" ht="10.15" customHeight="1">
      <c r="A17" s="195" t="s">
        <v>78</v>
      </c>
      <c r="B17" s="589">
        <f>'3.27.22'!E30</f>
        <v>1615</v>
      </c>
      <c r="C17" s="589">
        <f>'3.28.22'!E18</f>
        <v>2413</v>
      </c>
      <c r="D17" s="589">
        <f>'3.29.22'!E30</f>
        <v>1282.5</v>
      </c>
      <c r="E17" s="589">
        <f>'3.30.22'!E19</f>
        <v>2859.5</v>
      </c>
      <c r="F17" s="589"/>
      <c r="G17" s="589"/>
      <c r="H17" s="589"/>
      <c r="I17" s="589"/>
      <c r="J17" s="640"/>
      <c r="K17" s="640"/>
      <c r="L17" s="640">
        <f>'4.6.22'!E29</f>
        <v>1805</v>
      </c>
      <c r="M17" s="640"/>
      <c r="N17" s="640"/>
      <c r="O17" s="640">
        <f>'4.9.22'!E21</f>
        <v>2964</v>
      </c>
      <c r="P17" s="640"/>
      <c r="Q17" s="252"/>
      <c r="R17" s="252"/>
      <c r="S17" s="252"/>
      <c r="T17" s="252"/>
      <c r="U17" s="252"/>
      <c r="V17" s="252"/>
      <c r="W17" s="252"/>
      <c r="X17" s="738"/>
      <c r="Y17" s="738"/>
      <c r="Z17" s="738">
        <f>'4.20.22'!E18</f>
        <v>2584</v>
      </c>
      <c r="AA17" s="738"/>
      <c r="AB17" s="738"/>
      <c r="AC17" s="738"/>
      <c r="AD17" s="738"/>
      <c r="AE17" s="589">
        <f>'4.25.22'!E21</f>
        <v>2726.5</v>
      </c>
      <c r="AF17" s="589"/>
      <c r="AG17" s="589"/>
      <c r="AH17" s="589"/>
      <c r="AI17" s="589"/>
      <c r="AJ17" s="589"/>
      <c r="AK17" s="589"/>
      <c r="AL17" s="640">
        <f>'5.2.22'!E21</f>
        <v>2897.5</v>
      </c>
      <c r="AM17" s="640">
        <f>'5.3.22'!E28</f>
        <v>1767</v>
      </c>
      <c r="AN17" s="640">
        <f>'5.4.22'!E18</f>
        <v>2232.5</v>
      </c>
      <c r="AO17" s="640"/>
      <c r="AP17" s="640"/>
      <c r="AQ17" s="783"/>
      <c r="AR17" s="783"/>
      <c r="AS17" s="702">
        <f>'5.9.22'!E21</f>
        <v>2080.5</v>
      </c>
      <c r="AT17" s="702"/>
      <c r="AU17" s="702"/>
      <c r="AV17" s="702"/>
      <c r="AW17" s="702"/>
      <c r="AX17" s="702"/>
      <c r="AY17" s="702"/>
      <c r="AZ17" s="738">
        <f>'5.16.22'!E22</f>
        <v>2441.5</v>
      </c>
      <c r="BA17" s="738"/>
      <c r="BB17" s="738"/>
      <c r="BC17" s="738"/>
      <c r="BD17" s="738"/>
      <c r="BE17" s="738"/>
      <c r="BF17" s="738"/>
      <c r="BG17" s="589"/>
      <c r="BH17" s="589"/>
      <c r="BI17" s="589">
        <f>'5.25.22'!E19</f>
        <v>2014</v>
      </c>
      <c r="BJ17" s="589"/>
      <c r="BK17" s="589"/>
      <c r="BL17" s="870"/>
      <c r="BM17" s="870"/>
      <c r="BN17" s="640"/>
      <c r="BO17" s="640"/>
      <c r="BP17" s="640"/>
      <c r="BQ17" s="640"/>
      <c r="BR17" s="640"/>
      <c r="BS17" s="640">
        <f>'6.04.22'!E9</f>
        <v>3021</v>
      </c>
      <c r="BT17" s="640"/>
      <c r="BU17" s="702"/>
      <c r="BV17" s="702"/>
      <c r="BW17" s="702">
        <f>'6.08.22'!E19</f>
        <v>1339.5</v>
      </c>
      <c r="BX17" s="772"/>
      <c r="BY17" s="772"/>
      <c r="BZ17" s="772"/>
      <c r="CA17" s="772"/>
      <c r="CB17" s="252"/>
      <c r="CC17" s="252"/>
      <c r="CD17" s="252"/>
      <c r="CE17" s="252"/>
      <c r="CF17" s="252"/>
      <c r="CG17" s="252"/>
      <c r="CH17" s="252"/>
      <c r="CI17" s="52">
        <f t="shared" si="0"/>
        <v>36043</v>
      </c>
      <c r="CJ17" s="52">
        <f t="shared" si="3"/>
        <v>63957</v>
      </c>
      <c r="CK17" s="776"/>
      <c r="CL17" s="195" t="s">
        <v>78</v>
      </c>
      <c r="CM17" s="474">
        <v>19180</v>
      </c>
      <c r="CN17" s="234">
        <f t="shared" si="2"/>
        <v>55223</v>
      </c>
      <c r="CO17" s="234"/>
      <c r="CP17" s="979">
        <v>15</v>
      </c>
      <c r="CQ17" s="981">
        <f t="shared" si="1"/>
        <v>12964.76923076923</v>
      </c>
      <c r="CR17" s="977">
        <v>126406.5</v>
      </c>
      <c r="CS17" s="978" t="s">
        <v>43</v>
      </c>
    </row>
    <row r="18" spans="1:97" ht="10.15" customHeight="1">
      <c r="A18" s="195" t="s">
        <v>129</v>
      </c>
      <c r="B18" s="252"/>
      <c r="C18" s="252"/>
      <c r="D18" s="25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  <c r="AA18" s="252"/>
      <c r="AB18" s="252"/>
      <c r="AC18" s="252"/>
      <c r="AD18" s="252"/>
      <c r="AE18" s="758"/>
      <c r="AF18" s="758"/>
      <c r="AG18" s="758"/>
      <c r="AH18" s="758"/>
      <c r="AI18" s="758"/>
      <c r="AJ18" s="758"/>
      <c r="AK18" s="758"/>
      <c r="AL18" s="252"/>
      <c r="AM18" s="252"/>
      <c r="AN18" s="252"/>
      <c r="AO18" s="252"/>
      <c r="AP18" s="252"/>
      <c r="AQ18" s="772"/>
      <c r="AR18" s="772"/>
      <c r="AS18" s="252"/>
      <c r="AT18" s="252"/>
      <c r="AU18" s="252"/>
      <c r="AV18" s="252"/>
      <c r="AW18" s="252"/>
      <c r="AX18" s="252"/>
      <c r="AY18" s="252"/>
      <c r="AZ18" s="252"/>
      <c r="BA18" s="252"/>
      <c r="BB18" s="252"/>
      <c r="BC18" s="252"/>
      <c r="BD18" s="252"/>
      <c r="BE18" s="252"/>
      <c r="BF18" s="252"/>
      <c r="BG18" s="252"/>
      <c r="BH18" s="252"/>
      <c r="BI18" s="252"/>
      <c r="BJ18" s="252"/>
      <c r="BK18" s="252"/>
      <c r="BL18" s="870"/>
      <c r="BM18" s="870"/>
      <c r="BN18" s="252"/>
      <c r="BO18" s="252"/>
      <c r="BP18" s="252"/>
      <c r="BQ18" s="252"/>
      <c r="BR18" s="252"/>
      <c r="BS18" s="252"/>
      <c r="BT18" s="252"/>
      <c r="BU18" s="252"/>
      <c r="BV18" s="252"/>
      <c r="BW18" s="252"/>
      <c r="BX18" s="772"/>
      <c r="BY18" s="772"/>
      <c r="BZ18" s="772"/>
      <c r="CA18" s="772"/>
      <c r="CB18" s="252"/>
      <c r="CC18" s="252"/>
      <c r="CD18" s="252"/>
      <c r="CE18" s="252"/>
      <c r="CF18" s="252"/>
      <c r="CG18" s="252"/>
      <c r="CH18" s="252"/>
      <c r="CI18" s="52">
        <f t="shared" si="0"/>
        <v>0</v>
      </c>
      <c r="CJ18" s="52">
        <f t="shared" si="3"/>
        <v>100000</v>
      </c>
      <c r="CK18" s="776"/>
      <c r="CL18" s="195" t="s">
        <v>129</v>
      </c>
      <c r="CM18" s="474">
        <v>11600</v>
      </c>
      <c r="CN18" s="234">
        <f t="shared" si="2"/>
        <v>11600</v>
      </c>
      <c r="CO18" s="234"/>
      <c r="CP18" s="979">
        <v>16</v>
      </c>
      <c r="CQ18" s="981">
        <f t="shared" si="1"/>
        <v>12548.51282051282</v>
      </c>
      <c r="CR18" s="977">
        <v>122348</v>
      </c>
      <c r="CS18" s="978" t="s">
        <v>44</v>
      </c>
    </row>
    <row r="19" spans="1:97" s="506" customFormat="1" ht="10.15" customHeight="1">
      <c r="A19" s="195" t="s">
        <v>238</v>
      </c>
      <c r="B19" s="252"/>
      <c r="C19" s="252"/>
      <c r="D19" s="252"/>
      <c r="E19" s="252"/>
      <c r="F19" s="252"/>
      <c r="G19" s="252"/>
      <c r="H19" s="252"/>
      <c r="I19" s="252"/>
      <c r="J19" s="640"/>
      <c r="K19" s="640"/>
      <c r="L19" s="640"/>
      <c r="M19" s="640">
        <f>'4.7.22'!E18</f>
        <v>3002</v>
      </c>
      <c r="N19" s="640">
        <f>'4.8.22'!E28</f>
        <v>1463</v>
      </c>
      <c r="O19" s="640"/>
      <c r="P19" s="640"/>
      <c r="Q19" s="702">
        <f>'4.11.22'!E19</f>
        <v>3230</v>
      </c>
      <c r="R19" s="702"/>
      <c r="S19" s="702">
        <f>'4.13.22'!E19</f>
        <v>3325</v>
      </c>
      <c r="T19" s="702"/>
      <c r="U19" s="702"/>
      <c r="V19" s="702"/>
      <c r="W19" s="702"/>
      <c r="X19" s="738"/>
      <c r="Y19" s="738"/>
      <c r="Z19" s="738"/>
      <c r="AA19" s="738"/>
      <c r="AB19" s="738">
        <f>'4.22.22'!E29</f>
        <v>1995</v>
      </c>
      <c r="AC19" s="738"/>
      <c r="AD19" s="738"/>
      <c r="AE19" s="589"/>
      <c r="AF19" s="589"/>
      <c r="AG19" s="589"/>
      <c r="AH19" s="589"/>
      <c r="AI19" s="589">
        <f>'4.29.22'!E19</f>
        <v>2983</v>
      </c>
      <c r="AJ19" s="589"/>
      <c r="AK19" s="589"/>
      <c r="AL19" s="640"/>
      <c r="AM19" s="640"/>
      <c r="AN19" s="640">
        <f>'5.4.22'!E29</f>
        <v>2698</v>
      </c>
      <c r="AO19" s="640"/>
      <c r="AP19" s="640"/>
      <c r="AQ19" s="783"/>
      <c r="AR19" s="783"/>
      <c r="AS19" s="252"/>
      <c r="AT19" s="252"/>
      <c r="AU19" s="252"/>
      <c r="AV19" s="252"/>
      <c r="AW19" s="252"/>
      <c r="AX19" s="252"/>
      <c r="AY19" s="252"/>
      <c r="AZ19" s="738"/>
      <c r="BA19" s="738">
        <f>'5.17.22'!E19</f>
        <v>3914</v>
      </c>
      <c r="BB19" s="738"/>
      <c r="BC19" s="738"/>
      <c r="BD19" s="738"/>
      <c r="BE19" s="738"/>
      <c r="BF19" s="738"/>
      <c r="BG19" s="252"/>
      <c r="BH19" s="252"/>
      <c r="BI19" s="252"/>
      <c r="BJ19" s="252"/>
      <c r="BK19" s="252"/>
      <c r="BL19" s="870"/>
      <c r="BM19" s="870"/>
      <c r="BN19" s="640"/>
      <c r="BO19" s="640"/>
      <c r="BP19" s="640">
        <f>'6.01.22'!E30</f>
        <v>2489</v>
      </c>
      <c r="BQ19" s="640"/>
      <c r="BR19" s="640"/>
      <c r="BS19" s="640"/>
      <c r="BT19" s="640"/>
      <c r="BU19" s="252"/>
      <c r="BV19" s="252"/>
      <c r="BW19" s="252"/>
      <c r="BX19" s="772"/>
      <c r="BY19" s="772"/>
      <c r="BZ19" s="772"/>
      <c r="CA19" s="772"/>
      <c r="CB19" s="252"/>
      <c r="CC19" s="252"/>
      <c r="CD19" s="252"/>
      <c r="CE19" s="252"/>
      <c r="CF19" s="252"/>
      <c r="CG19" s="252"/>
      <c r="CH19" s="252"/>
      <c r="CI19" s="507">
        <f t="shared" si="0"/>
        <v>25099</v>
      </c>
      <c r="CJ19" s="507">
        <f t="shared" ref="CJ19" si="7">100000-CI19</f>
        <v>74901</v>
      </c>
      <c r="CK19" s="776"/>
      <c r="CL19" s="195" t="s">
        <v>238</v>
      </c>
      <c r="CM19" s="506">
        <v>12970</v>
      </c>
      <c r="CN19" s="234">
        <f t="shared" si="2"/>
        <v>38069</v>
      </c>
      <c r="CO19" s="234"/>
      <c r="CP19" s="979">
        <v>17</v>
      </c>
      <c r="CQ19" s="981">
        <f t="shared" si="1"/>
        <v>11411.589743589744</v>
      </c>
      <c r="CR19" s="977">
        <v>111263</v>
      </c>
      <c r="CS19" s="978" t="s">
        <v>66</v>
      </c>
    </row>
    <row r="20" spans="1:97" ht="10.15" customHeight="1">
      <c r="A20" s="195" t="s">
        <v>79</v>
      </c>
      <c r="B20" s="252"/>
      <c r="C20" s="252"/>
      <c r="D20" s="252"/>
      <c r="E20" s="252"/>
      <c r="F20" s="252"/>
      <c r="G20" s="252"/>
      <c r="H20" s="252"/>
      <c r="I20" s="252"/>
      <c r="J20" s="252"/>
      <c r="K20" s="252"/>
      <c r="L20" s="252"/>
      <c r="M20" s="252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  <c r="AA20" s="252"/>
      <c r="AB20" s="252"/>
      <c r="AC20" s="252"/>
      <c r="AD20" s="252"/>
      <c r="AE20" s="758"/>
      <c r="AF20" s="758"/>
      <c r="AG20" s="758"/>
      <c r="AH20" s="758"/>
      <c r="AI20" s="758"/>
      <c r="AJ20" s="758"/>
      <c r="AK20" s="758"/>
      <c r="AL20" s="252"/>
      <c r="AM20" s="252"/>
      <c r="AN20" s="252"/>
      <c r="AO20" s="252"/>
      <c r="AP20" s="252"/>
      <c r="AQ20" s="772"/>
      <c r="AR20" s="772"/>
      <c r="AS20" s="252"/>
      <c r="AT20" s="252"/>
      <c r="AU20" s="252"/>
      <c r="AV20" s="252"/>
      <c r="AW20" s="252"/>
      <c r="AX20" s="252"/>
      <c r="AY20" s="252"/>
      <c r="AZ20" s="252"/>
      <c r="BA20" s="252"/>
      <c r="BB20" s="252"/>
      <c r="BC20" s="252"/>
      <c r="BD20" s="252"/>
      <c r="BE20" s="252"/>
      <c r="BF20" s="252"/>
      <c r="BG20" s="252"/>
      <c r="BH20" s="252"/>
      <c r="BI20" s="252"/>
      <c r="BJ20" s="252"/>
      <c r="BK20" s="252"/>
      <c r="BL20" s="870"/>
      <c r="BM20" s="870"/>
      <c r="BN20" s="252"/>
      <c r="BO20" s="252"/>
      <c r="BP20" s="252"/>
      <c r="BQ20" s="252"/>
      <c r="BR20" s="252"/>
      <c r="BS20" s="252"/>
      <c r="BT20" s="252"/>
      <c r="BU20" s="252"/>
      <c r="BV20" s="252"/>
      <c r="BW20" s="252"/>
      <c r="BX20" s="772"/>
      <c r="BY20" s="772"/>
      <c r="BZ20" s="772"/>
      <c r="CA20" s="772"/>
      <c r="CB20" s="252"/>
      <c r="CC20" s="252"/>
      <c r="CD20" s="252"/>
      <c r="CE20" s="252"/>
      <c r="CF20" s="252"/>
      <c r="CG20" s="252"/>
      <c r="CH20" s="252"/>
      <c r="CI20" s="52">
        <f t="shared" si="0"/>
        <v>0</v>
      </c>
      <c r="CJ20" s="52">
        <f t="shared" si="3"/>
        <v>100000</v>
      </c>
      <c r="CK20" s="776"/>
      <c r="CL20" s="195" t="s">
        <v>79</v>
      </c>
      <c r="CM20" s="474">
        <v>500</v>
      </c>
      <c r="CN20" s="234">
        <f t="shared" si="2"/>
        <v>500</v>
      </c>
      <c r="CO20" s="234"/>
      <c r="CP20" s="979">
        <v>18</v>
      </c>
      <c r="CQ20" s="981">
        <f t="shared" si="1"/>
        <v>10614.871794871795</v>
      </c>
      <c r="CR20" s="977">
        <v>103495</v>
      </c>
      <c r="CS20" s="978" t="s">
        <v>49</v>
      </c>
    </row>
    <row r="21" spans="1:97" ht="10.15" customHeight="1">
      <c r="A21" s="195" t="s">
        <v>53</v>
      </c>
      <c r="B21" s="252"/>
      <c r="C21" s="252"/>
      <c r="D21" s="252"/>
      <c r="E21" s="252"/>
      <c r="F21" s="252"/>
      <c r="G21" s="252"/>
      <c r="H21" s="252"/>
      <c r="I21" s="252"/>
      <c r="J21" s="252"/>
      <c r="K21" s="252"/>
      <c r="L21" s="252"/>
      <c r="M21" s="252"/>
      <c r="N21" s="252"/>
      <c r="O21" s="252"/>
      <c r="P21" s="252"/>
      <c r="Q21" s="702">
        <f>'4.11.22'!E18+'4.11.22'!E29</f>
        <v>3477</v>
      </c>
      <c r="R21" s="702"/>
      <c r="S21" s="702"/>
      <c r="T21" s="702">
        <f>'4.14.22'!E21+'4.14.22'!E28</f>
        <v>2622</v>
      </c>
      <c r="U21" s="702">
        <f>'4.15.22'!E18+'4.15.22'!E29</f>
        <v>2289.5</v>
      </c>
      <c r="V21" s="702"/>
      <c r="W21" s="702"/>
      <c r="X21" s="738"/>
      <c r="Y21" s="738"/>
      <c r="Z21" s="738">
        <f>'4.20.22'!E21</f>
        <v>3980.5</v>
      </c>
      <c r="AA21" s="738"/>
      <c r="AB21" s="738"/>
      <c r="AC21" s="738"/>
      <c r="AD21" s="738"/>
      <c r="AE21" s="758"/>
      <c r="AF21" s="758"/>
      <c r="AG21" s="758"/>
      <c r="AH21" s="758"/>
      <c r="AI21" s="758"/>
      <c r="AJ21" s="758"/>
      <c r="AK21" s="758"/>
      <c r="AL21" s="252"/>
      <c r="AM21" s="252"/>
      <c r="AN21" s="252"/>
      <c r="AO21" s="252"/>
      <c r="AP21" s="252"/>
      <c r="AQ21" s="772"/>
      <c r="AR21" s="772"/>
      <c r="AS21" s="702">
        <f>'5.9.22'!E18+'5.9.22'!E29</f>
        <v>3296.5</v>
      </c>
      <c r="AT21" s="702"/>
      <c r="AU21" s="702">
        <f>'5.11.22'!E18+'5.11.22'!E29</f>
        <v>3192</v>
      </c>
      <c r="AV21" s="702"/>
      <c r="AW21" s="702"/>
      <c r="AX21" s="702"/>
      <c r="AY21" s="702"/>
      <c r="AZ21" s="252"/>
      <c r="BA21" s="252"/>
      <c r="BB21" s="252"/>
      <c r="BC21" s="252"/>
      <c r="BD21" s="252"/>
      <c r="BE21" s="252"/>
      <c r="BF21" s="252"/>
      <c r="BG21" s="589">
        <f>'5.23.22'!E18+'5.23.22'!E29</f>
        <v>3524.5</v>
      </c>
      <c r="BH21" s="589"/>
      <c r="BI21" s="589">
        <f>'5.25.22'!E18+'5.25.22'!E29</f>
        <v>2612.5</v>
      </c>
      <c r="BJ21" s="589"/>
      <c r="BK21" s="589"/>
      <c r="BL21" s="870"/>
      <c r="BM21" s="870"/>
      <c r="BN21" s="252"/>
      <c r="BO21" s="252"/>
      <c r="BP21" s="252"/>
      <c r="BQ21" s="252"/>
      <c r="BR21" s="252"/>
      <c r="BS21" s="252"/>
      <c r="BT21" s="252"/>
      <c r="BU21" s="702"/>
      <c r="BV21" s="702">
        <f>'6.07.22'!E18+'6.07.22'!E30</f>
        <v>4256</v>
      </c>
      <c r="BW21" s="702"/>
      <c r="BX21" s="772"/>
      <c r="BY21" s="772"/>
      <c r="BZ21" s="772"/>
      <c r="CA21" s="772"/>
      <c r="CB21" s="252"/>
      <c r="CC21" s="252"/>
      <c r="CD21" s="252"/>
      <c r="CE21" s="252"/>
      <c r="CF21" s="252"/>
      <c r="CG21" s="252"/>
      <c r="CH21" s="252"/>
      <c r="CI21" s="52">
        <f t="shared" si="0"/>
        <v>29250.5</v>
      </c>
      <c r="CJ21" s="358">
        <f>350000-CI21+700000</f>
        <v>1020749.5</v>
      </c>
      <c r="CK21" s="776"/>
      <c r="CL21" s="195" t="s">
        <v>53</v>
      </c>
      <c r="CM21" s="474">
        <v>332960</v>
      </c>
      <c r="CN21" s="234">
        <f t="shared" si="2"/>
        <v>362210.5</v>
      </c>
      <c r="CO21" s="234"/>
      <c r="CP21" s="979">
        <v>19</v>
      </c>
      <c r="CQ21" s="981">
        <f t="shared" si="1"/>
        <v>9866.6666666666661</v>
      </c>
      <c r="CR21" s="977">
        <v>96200</v>
      </c>
      <c r="CS21" s="978" t="s">
        <v>76</v>
      </c>
    </row>
    <row r="22" spans="1:97" ht="10.15" customHeight="1">
      <c r="A22" s="195" t="s">
        <v>80</v>
      </c>
      <c r="B22" s="252"/>
      <c r="C22" s="252"/>
      <c r="D22" s="252"/>
      <c r="E22" s="252"/>
      <c r="F22" s="252"/>
      <c r="G22" s="252"/>
      <c r="H22" s="252"/>
      <c r="I22" s="252"/>
      <c r="J22" s="252"/>
      <c r="K22" s="252"/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  <c r="AA22" s="252"/>
      <c r="AB22" s="252"/>
      <c r="AC22" s="252"/>
      <c r="AD22" s="252"/>
      <c r="AE22" s="758"/>
      <c r="AF22" s="758"/>
      <c r="AG22" s="758"/>
      <c r="AH22" s="758"/>
      <c r="AI22" s="758"/>
      <c r="AJ22" s="758"/>
      <c r="AK22" s="758"/>
      <c r="AL22" s="252"/>
      <c r="AM22" s="252"/>
      <c r="AN22" s="252"/>
      <c r="AO22" s="252"/>
      <c r="AP22" s="252"/>
      <c r="AQ22" s="772"/>
      <c r="AR22" s="772"/>
      <c r="AS22" s="252"/>
      <c r="AT22" s="252"/>
      <c r="AU22" s="252"/>
      <c r="AV22" s="252"/>
      <c r="AW22" s="252"/>
      <c r="AX22" s="252"/>
      <c r="AY22" s="252"/>
      <c r="AZ22" s="252"/>
      <c r="BA22" s="252"/>
      <c r="BB22" s="252"/>
      <c r="BC22" s="252"/>
      <c r="BD22" s="252"/>
      <c r="BE22" s="252"/>
      <c r="BF22" s="252"/>
      <c r="BG22" s="252"/>
      <c r="BH22" s="252"/>
      <c r="BI22" s="252"/>
      <c r="BJ22" s="252"/>
      <c r="BK22" s="252"/>
      <c r="BL22" s="870"/>
      <c r="BM22" s="870"/>
      <c r="BN22" s="252"/>
      <c r="BO22" s="252"/>
      <c r="BP22" s="252"/>
      <c r="BQ22" s="252"/>
      <c r="BR22" s="252"/>
      <c r="BS22" s="252"/>
      <c r="BT22" s="252"/>
      <c r="BU22" s="252"/>
      <c r="BV22" s="252"/>
      <c r="BW22" s="252"/>
      <c r="BX22" s="772"/>
      <c r="BY22" s="772"/>
      <c r="BZ22" s="772"/>
      <c r="CA22" s="772"/>
      <c r="CB22" s="252"/>
      <c r="CC22" s="252"/>
      <c r="CD22" s="252"/>
      <c r="CE22" s="252"/>
      <c r="CF22" s="252"/>
      <c r="CG22" s="252"/>
      <c r="CH22" s="252"/>
      <c r="CI22" s="52">
        <f t="shared" si="0"/>
        <v>0</v>
      </c>
      <c r="CJ22" s="52">
        <f t="shared" si="3"/>
        <v>100000</v>
      </c>
      <c r="CK22" s="776"/>
      <c r="CL22" s="195" t="s">
        <v>80</v>
      </c>
      <c r="CM22" s="474">
        <v>8000</v>
      </c>
      <c r="CN22" s="234">
        <f t="shared" si="2"/>
        <v>8000</v>
      </c>
      <c r="CO22" s="234"/>
      <c r="CP22" s="979">
        <v>20</v>
      </c>
      <c r="CQ22" s="981">
        <f t="shared" si="1"/>
        <v>7791.7948717948721</v>
      </c>
      <c r="CR22" s="977">
        <v>75970</v>
      </c>
      <c r="CS22" s="978" t="s">
        <v>172</v>
      </c>
    </row>
    <row r="23" spans="1:97" ht="9.6" customHeight="1">
      <c r="A23" s="515" t="s">
        <v>267</v>
      </c>
      <c r="B23" s="252"/>
      <c r="C23" s="252"/>
      <c r="D23" s="252"/>
      <c r="E23" s="252"/>
      <c r="F23" s="252"/>
      <c r="G23" s="252"/>
      <c r="H23" s="252"/>
      <c r="I23" s="252"/>
      <c r="J23" s="640"/>
      <c r="K23" s="640"/>
      <c r="L23" s="640"/>
      <c r="M23" s="640"/>
      <c r="N23" s="640">
        <f>'4.8.22'!E22</f>
        <v>2888</v>
      </c>
      <c r="O23" s="640"/>
      <c r="P23" s="640"/>
      <c r="Q23" s="702"/>
      <c r="R23" s="702"/>
      <c r="S23" s="702">
        <f>'4.13.22'!E22</f>
        <v>2850</v>
      </c>
      <c r="T23" s="702"/>
      <c r="U23" s="702"/>
      <c r="V23" s="702"/>
      <c r="W23" s="702"/>
      <c r="X23" s="738"/>
      <c r="Y23" s="738"/>
      <c r="Z23" s="738">
        <f>'4.20.22'!E19</f>
        <v>2546</v>
      </c>
      <c r="AA23" s="738"/>
      <c r="AB23" s="738"/>
      <c r="AC23" s="738"/>
      <c r="AD23" s="738"/>
      <c r="AE23" s="589"/>
      <c r="AF23" s="589"/>
      <c r="AG23" s="589">
        <f>'4.27.22'!E22</f>
        <v>2812</v>
      </c>
      <c r="AH23" s="589"/>
      <c r="AI23" s="589"/>
      <c r="AJ23" s="589"/>
      <c r="AK23" s="589"/>
      <c r="AL23" s="252"/>
      <c r="AM23" s="252"/>
      <c r="AN23" s="252"/>
      <c r="AO23" s="252"/>
      <c r="AP23" s="252"/>
      <c r="AQ23" s="772"/>
      <c r="AR23" s="772"/>
      <c r="AS23" s="702"/>
      <c r="AT23" s="702"/>
      <c r="AU23" s="702"/>
      <c r="AV23" s="702">
        <f>'5.12.22'!E21+'5.12.22'!E28</f>
        <v>4408</v>
      </c>
      <c r="AW23" s="702"/>
      <c r="AX23" s="702"/>
      <c r="AY23" s="702"/>
      <c r="AZ23" s="738"/>
      <c r="BA23" s="738">
        <f>'5.17.22'!E21</f>
        <v>2802.5</v>
      </c>
      <c r="BB23" s="738"/>
      <c r="BC23" s="738"/>
      <c r="BD23" s="738"/>
      <c r="BE23" s="738"/>
      <c r="BF23" s="738"/>
      <c r="BG23" s="589"/>
      <c r="BH23" s="589"/>
      <c r="BI23" s="589"/>
      <c r="BJ23" s="589">
        <f>'5.26.22'!E19+'5.26.22'!E30</f>
        <v>4265.5</v>
      </c>
      <c r="BK23" s="589"/>
      <c r="BL23" s="870"/>
      <c r="BM23" s="870"/>
      <c r="BN23" s="640"/>
      <c r="BO23" s="640">
        <f>'5.31.22'!E19</f>
        <v>2897.5</v>
      </c>
      <c r="BP23" s="640"/>
      <c r="BQ23" s="640"/>
      <c r="BR23" s="640"/>
      <c r="BS23" s="640"/>
      <c r="BT23" s="640"/>
      <c r="BU23" s="702"/>
      <c r="BV23" s="702"/>
      <c r="BW23" s="702">
        <f>'6.08.22'!E29</f>
        <v>1634</v>
      </c>
      <c r="BX23" s="772"/>
      <c r="BY23" s="772"/>
      <c r="BZ23" s="772"/>
      <c r="CA23" s="772"/>
      <c r="CB23" s="738"/>
      <c r="CC23" s="738"/>
      <c r="CD23" s="738"/>
      <c r="CE23" s="738">
        <f>'6.16.22'!E9</f>
        <v>883.5</v>
      </c>
      <c r="CF23" s="252"/>
      <c r="CG23" s="252"/>
      <c r="CH23" s="252"/>
      <c r="CI23" s="52">
        <f t="shared" si="0"/>
        <v>27987</v>
      </c>
      <c r="CJ23" s="52">
        <f t="shared" si="3"/>
        <v>72013</v>
      </c>
      <c r="CK23" s="776"/>
      <c r="CL23" s="195" t="s">
        <v>194</v>
      </c>
      <c r="CM23" s="474">
        <v>0</v>
      </c>
      <c r="CN23" s="234">
        <f t="shared" si="2"/>
        <v>27987</v>
      </c>
      <c r="CO23" s="234"/>
      <c r="CP23" s="979">
        <v>21</v>
      </c>
      <c r="CQ23" s="981">
        <f t="shared" si="1"/>
        <v>7320.7179487179483</v>
      </c>
      <c r="CR23" s="977">
        <v>71377</v>
      </c>
      <c r="CS23" s="978" t="s">
        <v>144</v>
      </c>
    </row>
    <row r="24" spans="1:97" ht="9.6" customHeight="1">
      <c r="A24" s="195" t="s">
        <v>234</v>
      </c>
      <c r="B24" s="252"/>
      <c r="C24" s="252"/>
      <c r="D24" s="252"/>
      <c r="E24" s="252"/>
      <c r="F24" s="252"/>
      <c r="G24" s="252"/>
      <c r="H24" s="252"/>
      <c r="I24" s="252"/>
      <c r="J24" s="640"/>
      <c r="K24" s="640">
        <f>'4.5.22'!E30</f>
        <v>2261</v>
      </c>
      <c r="L24" s="640"/>
      <c r="M24" s="640"/>
      <c r="N24" s="640"/>
      <c r="O24" s="640"/>
      <c r="P24" s="640"/>
      <c r="Q24" s="702"/>
      <c r="R24" s="702">
        <f>'4.12.22'!E31</f>
        <v>2270.5</v>
      </c>
      <c r="S24" s="702"/>
      <c r="T24" s="702"/>
      <c r="U24" s="702"/>
      <c r="V24" s="702"/>
      <c r="W24" s="702"/>
      <c r="X24" s="738"/>
      <c r="Y24" s="738"/>
      <c r="Z24" s="738">
        <f>'4.20.22'!E30</f>
        <v>2536.5</v>
      </c>
      <c r="AA24" s="738"/>
      <c r="AB24" s="738"/>
      <c r="AC24" s="738"/>
      <c r="AD24" s="738"/>
      <c r="AE24" s="589"/>
      <c r="AF24" s="589"/>
      <c r="AG24" s="589">
        <f>'4.27.22'!E29</f>
        <v>2346.5</v>
      </c>
      <c r="AH24" s="589">
        <f>'4.28.22'!E29</f>
        <v>2213.5</v>
      </c>
      <c r="AI24" s="589"/>
      <c r="AJ24" s="589"/>
      <c r="AK24" s="589"/>
      <c r="AL24" s="252"/>
      <c r="AM24" s="252"/>
      <c r="AN24" s="252"/>
      <c r="AO24" s="252"/>
      <c r="AP24" s="252"/>
      <c r="AQ24" s="772"/>
      <c r="AR24" s="772"/>
      <c r="AS24" s="252"/>
      <c r="AT24" s="252"/>
      <c r="AU24" s="252"/>
      <c r="AV24" s="252"/>
      <c r="AW24" s="252"/>
      <c r="AX24" s="252"/>
      <c r="AY24" s="252"/>
      <c r="AZ24" s="738"/>
      <c r="BA24" s="738"/>
      <c r="BB24" s="738">
        <f>'5.18.22'!E29</f>
        <v>2603</v>
      </c>
      <c r="BC24" s="738">
        <f>'5.19.22'!E30</f>
        <v>2327.5</v>
      </c>
      <c r="BD24" s="738"/>
      <c r="BE24" s="738"/>
      <c r="BF24" s="738"/>
      <c r="BG24" s="252"/>
      <c r="BH24" s="252"/>
      <c r="BI24" s="252"/>
      <c r="BJ24" s="252"/>
      <c r="BK24" s="252"/>
      <c r="BL24" s="870"/>
      <c r="BM24" s="870"/>
      <c r="BN24" s="252"/>
      <c r="BO24" s="252"/>
      <c r="BP24" s="252"/>
      <c r="BQ24" s="252"/>
      <c r="BR24" s="252"/>
      <c r="BS24" s="252"/>
      <c r="BT24" s="252"/>
      <c r="BU24" s="252"/>
      <c r="BV24" s="252"/>
      <c r="BW24" s="252"/>
      <c r="BX24" s="772"/>
      <c r="BY24" s="772"/>
      <c r="BZ24" s="772"/>
      <c r="CA24" s="772"/>
      <c r="CB24" s="252"/>
      <c r="CC24" s="252"/>
      <c r="CD24" s="252"/>
      <c r="CE24" s="252"/>
      <c r="CF24" s="252"/>
      <c r="CG24" s="252"/>
      <c r="CH24" s="252"/>
      <c r="CI24" s="52">
        <f t="shared" si="0"/>
        <v>16558.5</v>
      </c>
      <c r="CJ24" s="52">
        <f t="shared" si="3"/>
        <v>83441.5</v>
      </c>
      <c r="CK24" s="776"/>
      <c r="CL24" s="195" t="s">
        <v>234</v>
      </c>
      <c r="CM24" s="474">
        <v>18120</v>
      </c>
      <c r="CN24" s="234">
        <f t="shared" si="2"/>
        <v>34678.5</v>
      </c>
      <c r="CO24" s="234"/>
      <c r="CP24" s="979">
        <v>22</v>
      </c>
      <c r="CQ24" s="981">
        <f t="shared" si="1"/>
        <v>7244.5128205128203</v>
      </c>
      <c r="CR24" s="977">
        <v>70634</v>
      </c>
      <c r="CS24" s="978" t="s">
        <v>243</v>
      </c>
    </row>
    <row r="25" spans="1:97" s="516" customFormat="1" ht="9.6" customHeight="1">
      <c r="A25" s="195" t="s">
        <v>265</v>
      </c>
      <c r="B25" s="252"/>
      <c r="C25" s="252"/>
      <c r="D25" s="252"/>
      <c r="E25" s="252"/>
      <c r="F25" s="252"/>
      <c r="G25" s="252"/>
      <c r="H25" s="252"/>
      <c r="I25" s="252"/>
      <c r="J25" s="640"/>
      <c r="K25" s="640">
        <f>'4.5.22'!E22</f>
        <v>2774</v>
      </c>
      <c r="L25" s="640"/>
      <c r="M25" s="640"/>
      <c r="N25" s="640"/>
      <c r="O25" s="640"/>
      <c r="P25" s="640"/>
      <c r="Q25" s="252"/>
      <c r="R25" s="252"/>
      <c r="S25" s="252"/>
      <c r="T25" s="252"/>
      <c r="U25" s="252"/>
      <c r="V25" s="252"/>
      <c r="W25" s="252"/>
      <c r="X25" s="252"/>
      <c r="Y25" s="252"/>
      <c r="Z25" s="252"/>
      <c r="AA25" s="252"/>
      <c r="AB25" s="252"/>
      <c r="AC25" s="252"/>
      <c r="AD25" s="252"/>
      <c r="AE25" s="758"/>
      <c r="AF25" s="758"/>
      <c r="AG25" s="758"/>
      <c r="AH25" s="758"/>
      <c r="AI25" s="758"/>
      <c r="AJ25" s="758"/>
      <c r="AK25" s="758"/>
      <c r="AL25" s="252"/>
      <c r="AM25" s="252"/>
      <c r="AN25" s="252"/>
      <c r="AO25" s="252"/>
      <c r="AP25" s="252"/>
      <c r="AQ25" s="772"/>
      <c r="AR25" s="772"/>
      <c r="AS25" s="252"/>
      <c r="AT25" s="252"/>
      <c r="AU25" s="252"/>
      <c r="AV25" s="252"/>
      <c r="AW25" s="252"/>
      <c r="AX25" s="252"/>
      <c r="AY25" s="252"/>
      <c r="AZ25" s="252"/>
      <c r="BA25" s="252"/>
      <c r="BB25" s="252"/>
      <c r="BC25" s="252"/>
      <c r="BD25" s="252"/>
      <c r="BE25" s="252"/>
      <c r="BF25" s="252"/>
      <c r="BG25" s="252"/>
      <c r="BH25" s="252"/>
      <c r="BI25" s="252"/>
      <c r="BJ25" s="252"/>
      <c r="BK25" s="252"/>
      <c r="BL25" s="870"/>
      <c r="BM25" s="870"/>
      <c r="BN25" s="252"/>
      <c r="BO25" s="252"/>
      <c r="BP25" s="252"/>
      <c r="BQ25" s="252"/>
      <c r="BR25" s="252"/>
      <c r="BS25" s="252"/>
      <c r="BT25" s="252"/>
      <c r="BU25" s="252"/>
      <c r="BV25" s="252"/>
      <c r="BW25" s="252"/>
      <c r="BX25" s="772"/>
      <c r="BY25" s="772"/>
      <c r="BZ25" s="772"/>
      <c r="CA25" s="772"/>
      <c r="CB25" s="252"/>
      <c r="CC25" s="252"/>
      <c r="CD25" s="252"/>
      <c r="CE25" s="252"/>
      <c r="CF25" s="252"/>
      <c r="CG25" s="252"/>
      <c r="CH25" s="252"/>
      <c r="CI25" s="520">
        <f t="shared" si="0"/>
        <v>2774</v>
      </c>
      <c r="CJ25" s="520">
        <f t="shared" ref="CJ25" si="8">100000-CI25</f>
        <v>97226</v>
      </c>
      <c r="CK25" s="776"/>
      <c r="CL25" s="195" t="s">
        <v>265</v>
      </c>
      <c r="CM25" s="753">
        <v>0</v>
      </c>
      <c r="CN25" s="234">
        <f t="shared" si="2"/>
        <v>2774</v>
      </c>
      <c r="CO25" s="234"/>
      <c r="CP25" s="979">
        <v>23</v>
      </c>
      <c r="CQ25" s="981">
        <f t="shared" si="1"/>
        <v>6958.2051282051279</v>
      </c>
      <c r="CR25" s="977">
        <v>67842.5</v>
      </c>
      <c r="CS25" s="978" t="s">
        <v>62</v>
      </c>
    </row>
    <row r="26" spans="1:97" ht="10.15" customHeight="1">
      <c r="A26" s="195" t="s">
        <v>69</v>
      </c>
      <c r="B26" s="252"/>
      <c r="C26" s="252"/>
      <c r="D26" s="252"/>
      <c r="E26" s="252"/>
      <c r="F26" s="252"/>
      <c r="G26" s="252"/>
      <c r="H26" s="252"/>
      <c r="I26" s="252"/>
      <c r="J26" s="252"/>
      <c r="K26" s="252"/>
      <c r="L26" s="252"/>
      <c r="M26" s="252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738"/>
      <c r="Y26" s="738"/>
      <c r="Z26" s="738"/>
      <c r="AA26" s="738"/>
      <c r="AB26" s="738">
        <f>'4.22.22'!E22</f>
        <v>2935.5</v>
      </c>
      <c r="AC26" s="738"/>
      <c r="AD26" s="738"/>
      <c r="AE26" s="589"/>
      <c r="AF26" s="589"/>
      <c r="AG26" s="589"/>
      <c r="AH26" s="589"/>
      <c r="AI26" s="589">
        <f>'4.29.22'!E22</f>
        <v>2897.5</v>
      </c>
      <c r="AJ26" s="589"/>
      <c r="AK26" s="589"/>
      <c r="AL26" s="640"/>
      <c r="AM26" s="640"/>
      <c r="AN26" s="640">
        <f>'5.4.22'!E22</f>
        <v>3249</v>
      </c>
      <c r="AO26" s="640"/>
      <c r="AP26" s="640">
        <f>'5.6.22'!E21</f>
        <v>2337</v>
      </c>
      <c r="AQ26" s="783"/>
      <c r="AR26" s="783"/>
      <c r="AS26" s="702"/>
      <c r="AT26" s="702"/>
      <c r="AU26" s="702">
        <f>'5.11.22'!E22</f>
        <v>1738.5</v>
      </c>
      <c r="AV26" s="702"/>
      <c r="AW26" s="702">
        <f>'5.13.22'!E22</f>
        <v>2327.5</v>
      </c>
      <c r="AX26" s="702"/>
      <c r="AY26" s="702"/>
      <c r="AZ26" s="252"/>
      <c r="BA26" s="252"/>
      <c r="BB26" s="252"/>
      <c r="BC26" s="252"/>
      <c r="BD26" s="252"/>
      <c r="BE26" s="252"/>
      <c r="BF26" s="252"/>
      <c r="BG26" s="252"/>
      <c r="BH26" s="252"/>
      <c r="BI26" s="252"/>
      <c r="BJ26" s="252"/>
      <c r="BK26" s="252"/>
      <c r="BL26" s="870"/>
      <c r="BM26" s="870"/>
      <c r="BN26" s="252"/>
      <c r="BO26" s="252"/>
      <c r="BP26" s="252"/>
      <c r="BQ26" s="252"/>
      <c r="BR26" s="252"/>
      <c r="BS26" s="252"/>
      <c r="BT26" s="252"/>
      <c r="BU26" s="252"/>
      <c r="BV26" s="252"/>
      <c r="BW26" s="252"/>
      <c r="BX26" s="772"/>
      <c r="BY26" s="772"/>
      <c r="BZ26" s="772"/>
      <c r="CA26" s="772"/>
      <c r="CB26" s="252"/>
      <c r="CC26" s="252"/>
      <c r="CD26" s="252"/>
      <c r="CE26" s="252"/>
      <c r="CF26" s="252"/>
      <c r="CG26" s="252"/>
      <c r="CH26" s="252"/>
      <c r="CI26" s="52">
        <f t="shared" si="0"/>
        <v>15485</v>
      </c>
      <c r="CJ26" s="52">
        <f t="shared" si="3"/>
        <v>84515</v>
      </c>
      <c r="CK26" s="776"/>
      <c r="CL26" s="195" t="s">
        <v>69</v>
      </c>
      <c r="CM26" s="516">
        <v>13780</v>
      </c>
      <c r="CN26" s="234">
        <f t="shared" si="2"/>
        <v>29265</v>
      </c>
      <c r="CO26" s="234"/>
      <c r="CP26" s="979">
        <v>24</v>
      </c>
      <c r="CQ26" s="981">
        <f t="shared" si="1"/>
        <v>6624.2564102564102</v>
      </c>
      <c r="CR26" s="977">
        <v>64586.5</v>
      </c>
      <c r="CS26" s="978" t="s">
        <v>244</v>
      </c>
    </row>
    <row r="27" spans="1:97" ht="10.15" customHeight="1">
      <c r="A27" s="195" t="s">
        <v>76</v>
      </c>
      <c r="B27" s="252"/>
      <c r="C27" s="252"/>
      <c r="D27" s="252"/>
      <c r="E27" s="252"/>
      <c r="F27" s="252"/>
      <c r="G27" s="252"/>
      <c r="H27" s="252"/>
      <c r="I27" s="252"/>
      <c r="J27" s="252"/>
      <c r="K27" s="252"/>
      <c r="L27" s="252"/>
      <c r="M27" s="252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  <c r="AA27" s="252"/>
      <c r="AB27" s="252"/>
      <c r="AC27" s="252"/>
      <c r="AD27" s="252"/>
      <c r="AE27" s="758"/>
      <c r="AF27" s="758"/>
      <c r="AG27" s="758"/>
      <c r="AH27" s="758"/>
      <c r="AI27" s="758"/>
      <c r="AJ27" s="758"/>
      <c r="AK27" s="758"/>
      <c r="AL27" s="252"/>
      <c r="AM27" s="252"/>
      <c r="AN27" s="252"/>
      <c r="AO27" s="252"/>
      <c r="AP27" s="252"/>
      <c r="AQ27" s="772"/>
      <c r="AR27" s="772"/>
      <c r="AS27" s="252"/>
      <c r="AT27" s="252"/>
      <c r="AU27" s="252"/>
      <c r="AV27" s="252"/>
      <c r="AW27" s="252"/>
      <c r="AX27" s="252"/>
      <c r="AY27" s="252"/>
      <c r="AZ27" s="252"/>
      <c r="BA27" s="252"/>
      <c r="BB27" s="252"/>
      <c r="BC27" s="252"/>
      <c r="BD27" s="252"/>
      <c r="BE27" s="252"/>
      <c r="BF27" s="252"/>
      <c r="BG27" s="252"/>
      <c r="BH27" s="252"/>
      <c r="BI27" s="252"/>
      <c r="BJ27" s="252"/>
      <c r="BK27" s="252"/>
      <c r="BL27" s="870"/>
      <c r="BM27" s="870"/>
      <c r="BN27" s="252"/>
      <c r="BO27" s="252"/>
      <c r="BP27" s="252"/>
      <c r="BQ27" s="252"/>
      <c r="BR27" s="252"/>
      <c r="BS27" s="252"/>
      <c r="BT27" s="252"/>
      <c r="BU27" s="252"/>
      <c r="BV27" s="252"/>
      <c r="BW27" s="252"/>
      <c r="BX27" s="772"/>
      <c r="BY27" s="772"/>
      <c r="BZ27" s="772"/>
      <c r="CA27" s="772"/>
      <c r="CB27" s="252"/>
      <c r="CC27" s="252"/>
      <c r="CD27" s="252"/>
      <c r="CE27" s="252"/>
      <c r="CF27" s="252"/>
      <c r="CG27" s="252"/>
      <c r="CH27" s="252"/>
      <c r="CI27" s="52">
        <f t="shared" si="0"/>
        <v>0</v>
      </c>
      <c r="CJ27" s="52">
        <f>449000-CI27+350000</f>
        <v>799000</v>
      </c>
      <c r="CK27" s="776"/>
      <c r="CL27" s="195" t="s">
        <v>76</v>
      </c>
      <c r="CM27" s="474">
        <v>96200</v>
      </c>
      <c r="CN27" s="234">
        <f t="shared" si="2"/>
        <v>96200</v>
      </c>
      <c r="CO27" s="234"/>
      <c r="CP27" s="979">
        <v>25</v>
      </c>
      <c r="CQ27" s="981">
        <f t="shared" si="1"/>
        <v>5663.8974358974356</v>
      </c>
      <c r="CR27" s="977">
        <v>55223</v>
      </c>
      <c r="CS27" s="978" t="s">
        <v>78</v>
      </c>
    </row>
    <row r="28" spans="1:97" ht="10.15" customHeight="1">
      <c r="A28" s="195" t="s">
        <v>186</v>
      </c>
      <c r="B28" s="252"/>
      <c r="C28" s="252"/>
      <c r="D28" s="252"/>
      <c r="E28" s="252"/>
      <c r="F28" s="252"/>
      <c r="G28" s="252"/>
      <c r="H28" s="252"/>
      <c r="I28" s="252"/>
      <c r="J28" s="252"/>
      <c r="K28" s="252"/>
      <c r="L28" s="252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  <c r="AA28" s="252"/>
      <c r="AB28" s="252"/>
      <c r="AC28" s="252"/>
      <c r="AD28" s="252"/>
      <c r="AE28" s="758"/>
      <c r="AF28" s="758"/>
      <c r="AG28" s="758"/>
      <c r="AH28" s="758"/>
      <c r="AI28" s="758"/>
      <c r="AJ28" s="758"/>
      <c r="AK28" s="758"/>
      <c r="AL28" s="252"/>
      <c r="AM28" s="252"/>
      <c r="AN28" s="252"/>
      <c r="AO28" s="252"/>
      <c r="AP28" s="252"/>
      <c r="AQ28" s="772"/>
      <c r="AR28" s="772"/>
      <c r="AS28" s="252"/>
      <c r="AT28" s="252"/>
      <c r="AU28" s="252"/>
      <c r="AV28" s="252"/>
      <c r="AW28" s="252"/>
      <c r="AX28" s="252"/>
      <c r="AY28" s="252"/>
      <c r="AZ28" s="252"/>
      <c r="BA28" s="252"/>
      <c r="BB28" s="252"/>
      <c r="BC28" s="252"/>
      <c r="BD28" s="252"/>
      <c r="BE28" s="252"/>
      <c r="BF28" s="252"/>
      <c r="BG28" s="252"/>
      <c r="BH28" s="252"/>
      <c r="BI28" s="252"/>
      <c r="BJ28" s="252"/>
      <c r="BK28" s="252"/>
      <c r="BL28" s="870"/>
      <c r="BM28" s="870"/>
      <c r="BN28" s="252"/>
      <c r="BO28" s="252"/>
      <c r="BP28" s="252"/>
      <c r="BQ28" s="252"/>
      <c r="BR28" s="252"/>
      <c r="BS28" s="252"/>
      <c r="BT28" s="252"/>
      <c r="BU28" s="252"/>
      <c r="BV28" s="252"/>
      <c r="BW28" s="252"/>
      <c r="BX28" s="772"/>
      <c r="BY28" s="772"/>
      <c r="BZ28" s="772"/>
      <c r="CA28" s="772"/>
      <c r="CB28" s="252"/>
      <c r="CC28" s="252"/>
      <c r="CD28" s="252"/>
      <c r="CE28" s="252"/>
      <c r="CF28" s="252"/>
      <c r="CG28" s="252"/>
      <c r="CH28" s="252"/>
      <c r="CI28" s="52">
        <f t="shared" si="0"/>
        <v>0</v>
      </c>
      <c r="CJ28" s="52">
        <f t="shared" ref="CJ28" si="9">100000-CI28</f>
        <v>100000</v>
      </c>
      <c r="CK28" s="776"/>
      <c r="CL28" s="195" t="s">
        <v>186</v>
      </c>
      <c r="CM28" s="474">
        <v>23730</v>
      </c>
      <c r="CN28" s="234">
        <f t="shared" si="2"/>
        <v>23730</v>
      </c>
      <c r="CO28" s="234"/>
      <c r="CP28" s="979">
        <v>26</v>
      </c>
      <c r="CQ28" s="981">
        <f t="shared" si="1"/>
        <v>5338.0512820512822</v>
      </c>
      <c r="CR28" s="977">
        <v>52046</v>
      </c>
      <c r="CS28" s="978" t="s">
        <v>83</v>
      </c>
    </row>
    <row r="29" spans="1:97" ht="10.15" customHeight="1">
      <c r="A29" s="195" t="s">
        <v>44</v>
      </c>
      <c r="B29" s="589"/>
      <c r="C29" s="589"/>
      <c r="D29" s="589"/>
      <c r="E29" s="589"/>
      <c r="F29" s="589">
        <f>'3.31.22'!E19</f>
        <v>2888</v>
      </c>
      <c r="G29" s="589"/>
      <c r="H29" s="589">
        <f>'4.2.22'!E11+'4.2.22'!E22</f>
        <v>5595.5</v>
      </c>
      <c r="I29" s="589"/>
      <c r="J29" s="640"/>
      <c r="K29" s="640"/>
      <c r="L29" s="640"/>
      <c r="M29" s="640">
        <f>'4.7.22'!E29</f>
        <v>1966.5</v>
      </c>
      <c r="N29" s="640"/>
      <c r="O29" s="640">
        <f>'4.9.22'!E10</f>
        <v>570</v>
      </c>
      <c r="P29" s="640">
        <f>'4.10.22'!E18</f>
        <v>3173</v>
      </c>
      <c r="Q29" s="252"/>
      <c r="R29" s="252"/>
      <c r="S29" s="252"/>
      <c r="T29" s="252"/>
      <c r="U29" s="252"/>
      <c r="V29" s="252"/>
      <c r="W29" s="252"/>
      <c r="X29" s="738"/>
      <c r="Y29" s="738"/>
      <c r="Z29" s="738"/>
      <c r="AA29" s="738"/>
      <c r="AB29" s="738"/>
      <c r="AC29" s="738">
        <f>'4.23.22'!E21</f>
        <v>3496</v>
      </c>
      <c r="AD29" s="738">
        <f>'4.24.22'!E21</f>
        <v>3496</v>
      </c>
      <c r="AE29" s="758"/>
      <c r="AF29" s="758"/>
      <c r="AG29" s="758"/>
      <c r="AH29" s="758"/>
      <c r="AI29" s="758"/>
      <c r="AJ29" s="758"/>
      <c r="AK29" s="758"/>
      <c r="AL29" s="640">
        <f>'5.2.22'!E18</f>
        <v>3439</v>
      </c>
      <c r="AM29" s="640"/>
      <c r="AN29" s="640"/>
      <c r="AO29" s="640">
        <f>'5.5.22'!E21</f>
        <v>3182.5</v>
      </c>
      <c r="AP29" s="640"/>
      <c r="AQ29" s="783"/>
      <c r="AR29" s="783"/>
      <c r="AS29" s="702"/>
      <c r="AT29" s="702">
        <f>'5.10.22'!E29</f>
        <v>2099.5</v>
      </c>
      <c r="AU29" s="702"/>
      <c r="AV29" s="702"/>
      <c r="AW29" s="702"/>
      <c r="AX29" s="702">
        <f>'5.14.22'!E29</f>
        <v>1843</v>
      </c>
      <c r="AY29" s="702"/>
      <c r="AZ29" s="738">
        <f>'5.16.22'!E29</f>
        <v>2584</v>
      </c>
      <c r="BA29" s="738"/>
      <c r="BB29" s="738"/>
      <c r="BC29" s="738"/>
      <c r="BD29" s="738"/>
      <c r="BE29" s="738"/>
      <c r="BF29" s="738">
        <f>'5.22.22'!E21+'5.22.22'!E28</f>
        <v>6859</v>
      </c>
      <c r="BG29" s="252"/>
      <c r="BH29" s="252"/>
      <c r="BI29" s="252"/>
      <c r="BJ29" s="252"/>
      <c r="BK29" s="252"/>
      <c r="BL29" s="870"/>
      <c r="BM29" s="870"/>
      <c r="BN29" s="640"/>
      <c r="BO29" s="640"/>
      <c r="BP29" s="640"/>
      <c r="BQ29" s="640">
        <f>'6.02.22'!E22</f>
        <v>3543.5</v>
      </c>
      <c r="BR29" s="640"/>
      <c r="BS29" s="640"/>
      <c r="BT29" s="640"/>
      <c r="BU29" s="702"/>
      <c r="BV29" s="702"/>
      <c r="BW29" s="702">
        <f>'6.08.22'!E22</f>
        <v>3562.5</v>
      </c>
      <c r="BX29" s="772"/>
      <c r="BY29" s="772"/>
      <c r="BZ29" s="772"/>
      <c r="CA29" s="772"/>
      <c r="CB29" s="252"/>
      <c r="CC29" s="252"/>
      <c r="CD29" s="252"/>
      <c r="CE29" s="252"/>
      <c r="CF29" s="252"/>
      <c r="CG29" s="252"/>
      <c r="CH29" s="252"/>
      <c r="CI29" s="52">
        <f t="shared" si="0"/>
        <v>48298</v>
      </c>
      <c r="CJ29" s="52">
        <f t="shared" si="3"/>
        <v>51702</v>
      </c>
      <c r="CK29" s="776"/>
      <c r="CL29" s="195" t="s">
        <v>44</v>
      </c>
      <c r="CM29" s="474">
        <v>74050</v>
      </c>
      <c r="CN29" s="234">
        <f t="shared" si="2"/>
        <v>122348</v>
      </c>
      <c r="CO29" s="234"/>
      <c r="CP29" s="979">
        <v>27</v>
      </c>
      <c r="CQ29" s="981">
        <f t="shared" si="1"/>
        <v>5326.8205128205127</v>
      </c>
      <c r="CR29" s="977">
        <v>51936.5</v>
      </c>
      <c r="CS29" s="978" t="s">
        <v>188</v>
      </c>
    </row>
    <row r="30" spans="1:97" ht="10.15" customHeight="1">
      <c r="A30" s="195" t="s">
        <v>143</v>
      </c>
      <c r="B30" s="589"/>
      <c r="C30" s="589"/>
      <c r="D30" s="589"/>
      <c r="E30" s="589">
        <f>'3.30.22'!E29</f>
        <v>2118.5</v>
      </c>
      <c r="F30" s="589"/>
      <c r="G30" s="589"/>
      <c r="H30" s="589"/>
      <c r="I30" s="589"/>
      <c r="J30" s="640"/>
      <c r="K30" s="640"/>
      <c r="L30" s="640"/>
      <c r="M30" s="640"/>
      <c r="N30" s="640"/>
      <c r="O30" s="640">
        <f>'4.9.22'!E28</f>
        <v>1738.5</v>
      </c>
      <c r="P30" s="640"/>
      <c r="Q30" s="702"/>
      <c r="R30" s="702"/>
      <c r="S30" s="702">
        <f>'4.13.22'!E18</f>
        <v>4408</v>
      </c>
      <c r="T30" s="702"/>
      <c r="U30" s="702"/>
      <c r="V30" s="702"/>
      <c r="W30" s="702"/>
      <c r="X30" s="738"/>
      <c r="Y30" s="738">
        <f>'4.19.22'!E21</f>
        <v>4085</v>
      </c>
      <c r="Z30" s="738"/>
      <c r="AA30" s="738"/>
      <c r="AB30" s="738"/>
      <c r="AC30" s="738"/>
      <c r="AD30" s="738">
        <f>'4.24.22'!E11</f>
        <v>4978</v>
      </c>
      <c r="AE30" s="589"/>
      <c r="AF30" s="589"/>
      <c r="AG30" s="589"/>
      <c r="AH30" s="589"/>
      <c r="AI30" s="589">
        <f>'4.29.22'!E18</f>
        <v>3914</v>
      </c>
      <c r="AJ30" s="589"/>
      <c r="AK30" s="589"/>
      <c r="AL30" s="252"/>
      <c r="AM30" s="252"/>
      <c r="AN30" s="252"/>
      <c r="AO30" s="252"/>
      <c r="AP30" s="252"/>
      <c r="AQ30" s="772"/>
      <c r="AR30" s="772"/>
      <c r="AS30" s="702"/>
      <c r="AT30" s="702"/>
      <c r="AU30" s="702"/>
      <c r="AV30" s="702"/>
      <c r="AW30" s="702">
        <f>'5.13.22'!E19</f>
        <v>3173</v>
      </c>
      <c r="AX30" s="702">
        <f>'5.14.22'!E22</f>
        <v>3657.5</v>
      </c>
      <c r="AY30" s="702"/>
      <c r="AZ30" s="738"/>
      <c r="BA30" s="738"/>
      <c r="BB30" s="738"/>
      <c r="BC30" s="738"/>
      <c r="BD30" s="738">
        <f>'5.20.22'!E19</f>
        <v>3439</v>
      </c>
      <c r="BE30" s="738"/>
      <c r="BF30" s="738"/>
      <c r="BG30" s="252"/>
      <c r="BH30" s="252"/>
      <c r="BI30" s="252"/>
      <c r="BJ30" s="252"/>
      <c r="BK30" s="252"/>
      <c r="BL30" s="870"/>
      <c r="BM30" s="870"/>
      <c r="BN30" s="640">
        <f>'5.30.22'!E22</f>
        <v>3885.5</v>
      </c>
      <c r="BO30" s="640"/>
      <c r="BP30" s="640"/>
      <c r="BQ30" s="640"/>
      <c r="BR30" s="640"/>
      <c r="BS30" s="640"/>
      <c r="BT30" s="640"/>
      <c r="BU30" s="702">
        <f>'6.06.22'!E21</f>
        <v>4132.5</v>
      </c>
      <c r="BV30" s="702"/>
      <c r="BW30" s="702"/>
      <c r="BX30" s="772"/>
      <c r="BY30" s="772"/>
      <c r="BZ30" s="772"/>
      <c r="CA30" s="772"/>
      <c r="CB30" s="738"/>
      <c r="CC30" s="738"/>
      <c r="CD30" s="738"/>
      <c r="CE30" s="738"/>
      <c r="CF30" s="738" t="e">
        <f>#REF!</f>
        <v>#REF!</v>
      </c>
      <c r="CG30" s="252"/>
      <c r="CH30" s="252"/>
      <c r="CI30" s="52" t="e">
        <f t="shared" si="0"/>
        <v>#REF!</v>
      </c>
      <c r="CJ30" s="52" t="e">
        <f>100000-CI30+350000+350000</f>
        <v>#REF!</v>
      </c>
      <c r="CK30" s="776"/>
      <c r="CL30" s="195" t="s">
        <v>143</v>
      </c>
      <c r="CM30" s="474">
        <v>156540</v>
      </c>
      <c r="CN30" s="234" t="e">
        <f t="shared" si="2"/>
        <v>#REF!</v>
      </c>
      <c r="CO30" s="234"/>
      <c r="CP30" s="979">
        <v>28</v>
      </c>
      <c r="CQ30" s="981">
        <f t="shared" si="1"/>
        <v>5196.6153846153848</v>
      </c>
      <c r="CR30" s="977">
        <v>50667</v>
      </c>
      <c r="CS30" s="978" t="s">
        <v>159</v>
      </c>
    </row>
    <row r="31" spans="1:97" s="513" customFormat="1" ht="10.15" customHeight="1">
      <c r="A31" s="515" t="s">
        <v>242</v>
      </c>
      <c r="B31" s="589"/>
      <c r="C31" s="589"/>
      <c r="D31" s="589"/>
      <c r="E31" s="589"/>
      <c r="F31" s="589"/>
      <c r="G31" s="589">
        <f>'4.1.22'!E30</f>
        <v>3268</v>
      </c>
      <c r="H31" s="589"/>
      <c r="I31" s="589"/>
      <c r="J31" s="640">
        <f>'4.4.22'!E30</f>
        <v>6013.5</v>
      </c>
      <c r="K31" s="640"/>
      <c r="L31" s="640"/>
      <c r="M31" s="640"/>
      <c r="N31" s="640">
        <f>'4.8.22'!E30</f>
        <v>4854.5</v>
      </c>
      <c r="O31" s="640"/>
      <c r="P31" s="640"/>
      <c r="Q31" s="702"/>
      <c r="R31" s="702"/>
      <c r="S31" s="702"/>
      <c r="T31" s="702">
        <f>'4.14.22'!E29</f>
        <v>5006.5</v>
      </c>
      <c r="U31" s="702"/>
      <c r="V31" s="702">
        <f>'4.16.22'!E28</f>
        <v>4132.5</v>
      </c>
      <c r="W31" s="702"/>
      <c r="X31" s="738"/>
      <c r="Y31" s="738"/>
      <c r="Z31" s="738"/>
      <c r="AA31" s="738">
        <f>'4.21.22'!E30</f>
        <v>3562.5</v>
      </c>
      <c r="AB31" s="738">
        <f>'4.22.22'!E30</f>
        <v>4028</v>
      </c>
      <c r="AC31" s="738"/>
      <c r="AD31" s="738"/>
      <c r="AE31" s="589"/>
      <c r="AF31" s="589"/>
      <c r="AG31" s="589">
        <f>'4.27.22'!E30</f>
        <v>4883</v>
      </c>
      <c r="AH31" s="589">
        <f>'4.28.22'!E30</f>
        <v>4170.5</v>
      </c>
      <c r="AI31" s="589"/>
      <c r="AJ31" s="589"/>
      <c r="AK31" s="589"/>
      <c r="AL31" s="640">
        <f>'5.2.22'!E30</f>
        <v>4085</v>
      </c>
      <c r="AM31" s="640">
        <f>'5.3.22'!E30</f>
        <v>4484</v>
      </c>
      <c r="AN31" s="640"/>
      <c r="AO31" s="640"/>
      <c r="AP31" s="640"/>
      <c r="AQ31" s="783"/>
      <c r="AR31" s="783"/>
      <c r="AS31" s="702">
        <f>'5.9.22'!E30</f>
        <v>3800</v>
      </c>
      <c r="AT31" s="702">
        <f>'5.10.22'!E30</f>
        <v>3885.5</v>
      </c>
      <c r="AU31" s="702"/>
      <c r="AV31" s="702"/>
      <c r="AW31" s="702">
        <f>'5.13.22'!E30</f>
        <v>3154</v>
      </c>
      <c r="AX31" s="702"/>
      <c r="AY31" s="702"/>
      <c r="AZ31" s="738">
        <f>'5.16.22'!E30</f>
        <v>4645.5</v>
      </c>
      <c r="BA31" s="738"/>
      <c r="BB31" s="738">
        <f>'5.18.22'!E30</f>
        <v>4360.5</v>
      </c>
      <c r="BC31" s="738">
        <f>'5.19.22'!E29</f>
        <v>3895</v>
      </c>
      <c r="BD31" s="738"/>
      <c r="BE31" s="738"/>
      <c r="BF31" s="738"/>
      <c r="BG31" s="589"/>
      <c r="BH31" s="589"/>
      <c r="BI31" s="589">
        <f>'5.25.22'!E30</f>
        <v>5006.5</v>
      </c>
      <c r="BJ31" s="589">
        <f>'5.26.22'!E29</f>
        <v>4237</v>
      </c>
      <c r="BK31" s="589"/>
      <c r="BL31" s="870"/>
      <c r="BM31" s="870"/>
      <c r="BN31" s="640">
        <f>'5.30.22'!E30</f>
        <v>4664.5</v>
      </c>
      <c r="BO31" s="640">
        <f>'5.31.22'!E30</f>
        <v>5396</v>
      </c>
      <c r="BP31" s="640"/>
      <c r="BQ31" s="640"/>
      <c r="BR31" s="640"/>
      <c r="BS31" s="640"/>
      <c r="BT31" s="640"/>
      <c r="BU31" s="252"/>
      <c r="BV31" s="252"/>
      <c r="BW31" s="252">
        <f>'6.08.22'!E30</f>
        <v>5082.5</v>
      </c>
      <c r="BX31" s="772"/>
      <c r="BY31" s="772"/>
      <c r="BZ31" s="772"/>
      <c r="CA31" s="772"/>
      <c r="CB31" s="252"/>
      <c r="CC31" s="252"/>
      <c r="CD31" s="252"/>
      <c r="CE31" s="252"/>
      <c r="CF31" s="252"/>
      <c r="CG31" s="252"/>
      <c r="CH31" s="252"/>
      <c r="CI31" s="514">
        <f t="shared" si="0"/>
        <v>96615</v>
      </c>
      <c r="CJ31" s="514">
        <f>100000-CI31+350000+350000</f>
        <v>703385</v>
      </c>
      <c r="CK31" s="776"/>
      <c r="CL31" s="515" t="s">
        <v>242</v>
      </c>
      <c r="CM31" s="474">
        <v>96320</v>
      </c>
      <c r="CN31" s="234">
        <f t="shared" si="2"/>
        <v>192935</v>
      </c>
      <c r="CO31" s="234"/>
      <c r="CP31" s="979">
        <v>29</v>
      </c>
      <c r="CQ31" s="981">
        <f t="shared" si="1"/>
        <v>4492.7692307692305</v>
      </c>
      <c r="CR31" s="977">
        <v>43804.5</v>
      </c>
      <c r="CS31" s="978" t="s">
        <v>258</v>
      </c>
    </row>
    <row r="32" spans="1:97" ht="10.15" customHeight="1">
      <c r="A32" s="195" t="s">
        <v>81</v>
      </c>
      <c r="B32" s="252"/>
      <c r="C32" s="252"/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  <c r="AA32" s="252"/>
      <c r="AB32" s="252"/>
      <c r="AC32" s="252"/>
      <c r="AD32" s="252"/>
      <c r="AE32" s="758"/>
      <c r="AF32" s="758"/>
      <c r="AG32" s="758"/>
      <c r="AH32" s="758"/>
      <c r="AI32" s="758"/>
      <c r="AJ32" s="758"/>
      <c r="AK32" s="758"/>
      <c r="AL32" s="252"/>
      <c r="AM32" s="252"/>
      <c r="AN32" s="252"/>
      <c r="AO32" s="252"/>
      <c r="AP32" s="252"/>
      <c r="AQ32" s="772"/>
      <c r="AR32" s="772"/>
      <c r="AS32" s="252"/>
      <c r="AT32" s="252"/>
      <c r="AU32" s="252"/>
      <c r="AV32" s="252"/>
      <c r="AW32" s="252"/>
      <c r="AX32" s="252"/>
      <c r="AY32" s="252"/>
      <c r="AZ32" s="252"/>
      <c r="BA32" s="252"/>
      <c r="BB32" s="252"/>
      <c r="BC32" s="252"/>
      <c r="BD32" s="252"/>
      <c r="BE32" s="252"/>
      <c r="BF32" s="252"/>
      <c r="BG32" s="252"/>
      <c r="BH32" s="252"/>
      <c r="BI32" s="252"/>
      <c r="BJ32" s="252"/>
      <c r="BK32" s="252"/>
      <c r="BL32" s="870"/>
      <c r="BM32" s="870"/>
      <c r="BN32" s="252"/>
      <c r="BO32" s="252"/>
      <c r="BP32" s="252"/>
      <c r="BQ32" s="252"/>
      <c r="BR32" s="252"/>
      <c r="BS32" s="252"/>
      <c r="BT32" s="252"/>
      <c r="BU32" s="252"/>
      <c r="BV32" s="252"/>
      <c r="BW32" s="252"/>
      <c r="BX32" s="772"/>
      <c r="BY32" s="772"/>
      <c r="BZ32" s="772"/>
      <c r="CA32" s="772"/>
      <c r="CB32" s="252"/>
      <c r="CC32" s="252"/>
      <c r="CD32" s="252"/>
      <c r="CE32" s="252"/>
      <c r="CF32" s="252"/>
      <c r="CG32" s="252"/>
      <c r="CH32" s="252"/>
      <c r="CI32" s="52">
        <f t="shared" si="0"/>
        <v>0</v>
      </c>
      <c r="CJ32" s="52">
        <f t="shared" si="3"/>
        <v>100000</v>
      </c>
      <c r="CK32" s="776"/>
      <c r="CL32" s="195" t="s">
        <v>81</v>
      </c>
      <c r="CM32" s="513">
        <v>6760</v>
      </c>
      <c r="CN32" s="234">
        <f t="shared" si="2"/>
        <v>6760</v>
      </c>
      <c r="CO32" s="234"/>
      <c r="CP32" s="979">
        <v>30</v>
      </c>
      <c r="CQ32" s="981">
        <f t="shared" si="1"/>
        <v>4330.666666666667</v>
      </c>
      <c r="CR32" s="977">
        <v>42224</v>
      </c>
      <c r="CS32" s="978" t="s">
        <v>205</v>
      </c>
    </row>
    <row r="33" spans="1:97" s="516" customFormat="1" ht="10.15" customHeight="1">
      <c r="A33" s="195" t="s">
        <v>246</v>
      </c>
      <c r="B33" s="589">
        <v>979</v>
      </c>
      <c r="C33" s="589"/>
      <c r="D33" s="589">
        <f>'3.29.22'!E18+'3.29.22'!E29</f>
        <v>5529</v>
      </c>
      <c r="E33" s="589"/>
      <c r="F33" s="589">
        <f>'3.31.22'!E21</f>
        <v>3819</v>
      </c>
      <c r="G33" s="589">
        <f>'4.1.22'!E21+'4.1.22'!E28</f>
        <v>3876</v>
      </c>
      <c r="H33" s="589">
        <f>'4.2.22'!E18+'4.2.22'!E29</f>
        <v>4484</v>
      </c>
      <c r="I33" s="589">
        <f>'4.3.22'!E21</f>
        <v>3581.5</v>
      </c>
      <c r="J33" s="640"/>
      <c r="K33" s="640"/>
      <c r="L33" s="640"/>
      <c r="M33" s="640"/>
      <c r="N33" s="640">
        <f>'4.8.22'!E29</f>
        <v>2109</v>
      </c>
      <c r="O33" s="640">
        <f>'4.9.22'!E11+'4.9.22'!E22</f>
        <v>5738</v>
      </c>
      <c r="P33" s="640">
        <f>'4.10.22'!E11+'4.10.22'!E21</f>
        <v>5633.5</v>
      </c>
      <c r="Q33" s="702"/>
      <c r="R33" s="702"/>
      <c r="S33" s="702"/>
      <c r="T33" s="702"/>
      <c r="U33" s="702"/>
      <c r="V33" s="702">
        <f>'4.16.22'!E11+'4.16.22'!E21</f>
        <v>5339</v>
      </c>
      <c r="W33" s="702">
        <f>'4.17.22'!E22</f>
        <v>3800</v>
      </c>
      <c r="X33" s="738"/>
      <c r="Y33" s="738"/>
      <c r="Z33" s="738"/>
      <c r="AA33" s="738"/>
      <c r="AB33" s="738"/>
      <c r="AC33" s="738">
        <f>'4.23.22'!E12</f>
        <v>3201.5</v>
      </c>
      <c r="AD33" s="738">
        <f>'4.24.22'!E22+'4.24.22'!E29</f>
        <v>6403</v>
      </c>
      <c r="AE33" s="589"/>
      <c r="AF33" s="589"/>
      <c r="AG33" s="589">
        <f>'4.27.22'!E19</f>
        <v>3515</v>
      </c>
      <c r="AH33" s="589">
        <f>'4.28.22'!E19</f>
        <v>3201.5</v>
      </c>
      <c r="AI33" s="589"/>
      <c r="AJ33" s="589">
        <f>'4.30.22'!E22</f>
        <v>3876</v>
      </c>
      <c r="AK33" s="589">
        <f>'5.1.22'!E22</f>
        <v>4617</v>
      </c>
      <c r="AL33" s="640"/>
      <c r="AM33" s="640"/>
      <c r="AN33" s="640">
        <f>'5.4.22'!E19</f>
        <v>3714.5</v>
      </c>
      <c r="AO33" s="640"/>
      <c r="AP33" s="640"/>
      <c r="AQ33" s="783"/>
      <c r="AR33" s="783"/>
      <c r="AS33" s="702"/>
      <c r="AT33" s="702">
        <f>'5.10.22'!E21</f>
        <v>3819</v>
      </c>
      <c r="AU33" s="702"/>
      <c r="AV33" s="702"/>
      <c r="AW33" s="702"/>
      <c r="AX33" s="702">
        <f>'5.14.22'!E21</f>
        <v>3885.5</v>
      </c>
      <c r="AY33" s="702">
        <f>'5.15.22'!E21</f>
        <v>3990</v>
      </c>
      <c r="AZ33" s="738"/>
      <c r="BA33" s="738"/>
      <c r="BB33" s="738"/>
      <c r="BC33" s="738"/>
      <c r="BD33" s="738">
        <f>'5.20.22'!E18</f>
        <v>3752.5</v>
      </c>
      <c r="BE33" s="738">
        <f>'5.21.22'!E22</f>
        <v>3572</v>
      </c>
      <c r="BF33" s="738">
        <f>'5.22.22'!E9</f>
        <v>3315.5</v>
      </c>
      <c r="BG33" s="589"/>
      <c r="BH33" s="589">
        <f>'5.24.22'!E21</f>
        <v>4085</v>
      </c>
      <c r="BI33" s="589"/>
      <c r="BJ33" s="589"/>
      <c r="BK33" s="589"/>
      <c r="BL33" s="870"/>
      <c r="BM33" s="870"/>
      <c r="BN33" s="640"/>
      <c r="BO33" s="640"/>
      <c r="BP33" s="640"/>
      <c r="BQ33" s="640"/>
      <c r="BR33" s="640">
        <f>'6.03.02'!E18+'6.03.02'!E29</f>
        <v>6184.5</v>
      </c>
      <c r="BS33" s="640">
        <f>'6.04.22'!E22</f>
        <v>4037.5</v>
      </c>
      <c r="BT33" s="640">
        <f>'6.05.22'!E21</f>
        <v>4911.5</v>
      </c>
      <c r="BU33" s="702"/>
      <c r="BV33" s="702">
        <f>'6.07.22'!E22</f>
        <v>3211</v>
      </c>
      <c r="BW33" s="702"/>
      <c r="BX33" s="772"/>
      <c r="BY33" s="772"/>
      <c r="BZ33" s="772"/>
      <c r="CA33" s="772"/>
      <c r="CB33" s="738"/>
      <c r="CC33" s="738"/>
      <c r="CD33" s="738">
        <f>'6.15.22'!E9</f>
        <v>798</v>
      </c>
      <c r="CE33" s="738">
        <f>'6.16.22'!E10</f>
        <v>2299</v>
      </c>
      <c r="CF33" s="252"/>
      <c r="CG33" s="252"/>
      <c r="CH33" s="252"/>
      <c r="CI33" s="520">
        <f t="shared" si="0"/>
        <v>121277.5</v>
      </c>
      <c r="CJ33" s="520">
        <f>100000-CI33+350000</f>
        <v>328722.5</v>
      </c>
      <c r="CK33" s="776"/>
      <c r="CL33" s="195" t="s">
        <v>246</v>
      </c>
      <c r="CM33" s="474">
        <v>6490</v>
      </c>
      <c r="CN33" s="782">
        <f t="shared" si="2"/>
        <v>127767.5</v>
      </c>
      <c r="CO33" s="234"/>
      <c r="CP33" s="979">
        <v>31</v>
      </c>
      <c r="CQ33" s="981">
        <f t="shared" si="1"/>
        <v>4291.8461538461543</v>
      </c>
      <c r="CR33" s="977">
        <v>41845.5</v>
      </c>
      <c r="CS33" s="978" t="s">
        <v>239</v>
      </c>
    </row>
    <row r="34" spans="1:97" ht="10.15" customHeight="1">
      <c r="A34" s="195" t="s">
        <v>66</v>
      </c>
      <c r="B34" s="589"/>
      <c r="C34" s="589">
        <f>'3.28.22'!E29</f>
        <v>2356</v>
      </c>
      <c r="D34" s="589"/>
      <c r="E34" s="589">
        <f>'3.30.22'!E22</f>
        <v>2992.5</v>
      </c>
      <c r="F34" s="589"/>
      <c r="G34" s="589">
        <f>'4.1.22'!E19</f>
        <v>2945</v>
      </c>
      <c r="H34" s="589"/>
      <c r="I34" s="589">
        <f>'4.3.22'!E28</f>
        <v>1881</v>
      </c>
      <c r="J34" s="640"/>
      <c r="K34" s="640">
        <f>'4.5.22'!E21</f>
        <v>2755</v>
      </c>
      <c r="L34" s="640"/>
      <c r="M34" s="640"/>
      <c r="N34" s="640">
        <f>'4.8.22'!E19</f>
        <v>2156.5</v>
      </c>
      <c r="O34" s="640"/>
      <c r="P34" s="640"/>
      <c r="Q34" s="702"/>
      <c r="R34" s="702"/>
      <c r="S34" s="702"/>
      <c r="T34" s="702"/>
      <c r="U34" s="702"/>
      <c r="V34" s="702">
        <f>'4.16.22'!E12</f>
        <v>2859.5</v>
      </c>
      <c r="W34" s="702">
        <f>'4.17.22'!E12</f>
        <v>3049.5</v>
      </c>
      <c r="X34" s="738"/>
      <c r="Y34" s="738"/>
      <c r="Z34" s="738"/>
      <c r="AA34" s="738"/>
      <c r="AB34" s="738"/>
      <c r="AC34" s="738">
        <f>'4.23.22'!E29</f>
        <v>2137.5</v>
      </c>
      <c r="AD34" s="738"/>
      <c r="AE34" s="589"/>
      <c r="AF34" s="589">
        <f>'4.26.22'!E28</f>
        <v>2717</v>
      </c>
      <c r="AG34" s="589"/>
      <c r="AH34" s="589"/>
      <c r="AI34" s="589">
        <f>'4.29.22'!E28</f>
        <v>2460.5</v>
      </c>
      <c r="AJ34" s="589"/>
      <c r="AK34" s="589">
        <f>'5.1.22'!E29</f>
        <v>2565</v>
      </c>
      <c r="AL34" s="640"/>
      <c r="AM34" s="640"/>
      <c r="AN34" s="640">
        <f>'5.4.22'!E12</f>
        <v>2869</v>
      </c>
      <c r="AO34" s="640"/>
      <c r="AP34" s="640"/>
      <c r="AQ34" s="783"/>
      <c r="AR34" s="783"/>
      <c r="AS34" s="252"/>
      <c r="AT34" s="252"/>
      <c r="AU34" s="252"/>
      <c r="AV34" s="252"/>
      <c r="AW34" s="252"/>
      <c r="AX34" s="252"/>
      <c r="AY34" s="252"/>
      <c r="AZ34" s="738"/>
      <c r="BA34" s="738"/>
      <c r="BB34" s="738"/>
      <c r="BC34" s="738"/>
      <c r="BD34" s="738"/>
      <c r="BE34" s="738">
        <f>'5.21.22'!E28</f>
        <v>2232.5</v>
      </c>
      <c r="BF34" s="738"/>
      <c r="BG34" s="589"/>
      <c r="BH34" s="589"/>
      <c r="BI34" s="589"/>
      <c r="BJ34" s="589">
        <f>'5.26.22'!E22</f>
        <v>3401</v>
      </c>
      <c r="BK34" s="589">
        <f>'5.27.22'!E19</f>
        <v>3638.5</v>
      </c>
      <c r="BL34" s="870"/>
      <c r="BM34" s="870"/>
      <c r="BN34" s="640"/>
      <c r="BO34" s="640">
        <f>'5.31.22'!E18+'5.31.22'!E29</f>
        <v>6023</v>
      </c>
      <c r="BP34" s="640"/>
      <c r="BQ34" s="640"/>
      <c r="BR34" s="640"/>
      <c r="BS34" s="640"/>
      <c r="BT34" s="640"/>
      <c r="BU34" s="252"/>
      <c r="BV34" s="252"/>
      <c r="BW34" s="252"/>
      <c r="BX34" s="772"/>
      <c r="BY34" s="772"/>
      <c r="BZ34" s="772"/>
      <c r="CA34" s="772"/>
      <c r="CB34" s="738"/>
      <c r="CC34" s="738"/>
      <c r="CD34" s="738"/>
      <c r="CE34" s="738"/>
      <c r="CF34" s="738" t="e">
        <f>#REF!</f>
        <v>#REF!</v>
      </c>
      <c r="CG34" s="252"/>
      <c r="CH34" s="252"/>
      <c r="CI34" s="52" t="e">
        <f t="shared" si="0"/>
        <v>#REF!</v>
      </c>
      <c r="CJ34" s="52" t="e">
        <f>100000-CI34+350000</f>
        <v>#REF!</v>
      </c>
      <c r="CK34" s="776"/>
      <c r="CL34" s="195" t="s">
        <v>66</v>
      </c>
      <c r="CM34" s="516">
        <v>61160</v>
      </c>
      <c r="CN34" s="782" t="e">
        <f t="shared" si="2"/>
        <v>#REF!</v>
      </c>
      <c r="CO34" s="234"/>
      <c r="CP34" s="979">
        <v>32</v>
      </c>
      <c r="CQ34" s="981">
        <f t="shared" si="1"/>
        <v>3904.5128205128203</v>
      </c>
      <c r="CR34" s="977">
        <v>38069</v>
      </c>
      <c r="CS34" s="978" t="s">
        <v>238</v>
      </c>
    </row>
    <row r="35" spans="1:97" ht="10.15" customHeight="1">
      <c r="A35" s="196" t="s">
        <v>65</v>
      </c>
      <c r="B35" s="589"/>
      <c r="C35" s="589">
        <f>'3.28.22'!E21</f>
        <v>3458</v>
      </c>
      <c r="D35" s="589"/>
      <c r="E35" s="589">
        <f>'3.30.22'!E21</f>
        <v>3819</v>
      </c>
      <c r="F35" s="589"/>
      <c r="G35" s="589"/>
      <c r="H35" s="589"/>
      <c r="I35" s="589">
        <f>'4.3.22'!E22</f>
        <v>4854.5</v>
      </c>
      <c r="J35" s="640"/>
      <c r="K35" s="640"/>
      <c r="L35" s="640">
        <f>'4.6.22'!E28</f>
        <v>2802.5</v>
      </c>
      <c r="M35" s="640"/>
      <c r="N35" s="640"/>
      <c r="O35" s="640"/>
      <c r="P35" s="640"/>
      <c r="Q35" s="702"/>
      <c r="R35" s="702"/>
      <c r="S35" s="702"/>
      <c r="T35" s="702">
        <f>'4.14.22'!E19+'4.14.22'!E30</f>
        <v>5662</v>
      </c>
      <c r="U35" s="702"/>
      <c r="V35" s="702"/>
      <c r="W35" s="702"/>
      <c r="X35" s="738">
        <f>'4.18.22'!E18</f>
        <v>4655</v>
      </c>
      <c r="Y35" s="738">
        <f>'4.19.22'!E28</f>
        <v>2736</v>
      </c>
      <c r="Z35" s="738"/>
      <c r="AA35" s="738"/>
      <c r="AB35" s="738"/>
      <c r="AC35" s="738"/>
      <c r="AD35" s="738"/>
      <c r="AE35" s="589"/>
      <c r="AF35" s="589"/>
      <c r="AG35" s="589">
        <f>'4.27.22'!E28</f>
        <v>2280</v>
      </c>
      <c r="AH35" s="589"/>
      <c r="AI35" s="589"/>
      <c r="AJ35" s="589"/>
      <c r="AK35" s="589">
        <f>'5.1.22'!E11</f>
        <v>3971</v>
      </c>
      <c r="AL35" s="640"/>
      <c r="AM35" s="640">
        <f>'5.3.22'!E19</f>
        <v>3657.5</v>
      </c>
      <c r="AN35" s="640"/>
      <c r="AO35" s="640">
        <f>'5.5.22'!E22</f>
        <v>3885.5</v>
      </c>
      <c r="AP35" s="640"/>
      <c r="AQ35" s="783"/>
      <c r="AR35" s="783"/>
      <c r="AS35" s="702"/>
      <c r="AT35" s="702"/>
      <c r="AU35" s="702">
        <f>'5.11.22'!E19</f>
        <v>3372.5</v>
      </c>
      <c r="AV35" s="702">
        <f>'5.12.22'!E22</f>
        <v>2850</v>
      </c>
      <c r="AW35" s="702"/>
      <c r="AX35" s="702"/>
      <c r="AY35" s="702"/>
      <c r="AZ35" s="738">
        <f>'5.16.22'!E19</f>
        <v>3676.5</v>
      </c>
      <c r="BA35" s="738"/>
      <c r="BB35" s="738"/>
      <c r="BC35" s="738"/>
      <c r="BD35" s="738">
        <f>'5.20.22'!E28</f>
        <v>2232.5</v>
      </c>
      <c r="BE35" s="738"/>
      <c r="BF35" s="738"/>
      <c r="BG35" s="589">
        <f>'5.23.22'!E28</f>
        <v>3011.5</v>
      </c>
      <c r="BH35" s="589">
        <f>'5.24.22'!E22</f>
        <v>3714.5</v>
      </c>
      <c r="BI35" s="589"/>
      <c r="BJ35" s="589"/>
      <c r="BK35" s="589"/>
      <c r="BL35" s="870"/>
      <c r="BM35" s="870"/>
      <c r="BN35" s="640"/>
      <c r="BO35" s="640"/>
      <c r="BP35" s="640"/>
      <c r="BQ35" s="640">
        <f>'6.02.22'!E18</f>
        <v>3638.5</v>
      </c>
      <c r="BR35" s="640"/>
      <c r="BS35" s="640"/>
      <c r="BT35" s="640"/>
      <c r="BU35" s="702"/>
      <c r="BV35" s="702">
        <f>'6.07.22'!E28</f>
        <v>2726.5</v>
      </c>
      <c r="BW35" s="702"/>
      <c r="BX35" s="772"/>
      <c r="BY35" s="772"/>
      <c r="BZ35" s="772"/>
      <c r="CA35" s="772"/>
      <c r="CB35" s="738"/>
      <c r="CC35" s="738">
        <f>'6.14.22'!E11</f>
        <v>722</v>
      </c>
      <c r="CD35" s="738"/>
      <c r="CE35" s="738"/>
      <c r="CF35" s="252"/>
      <c r="CG35" s="252"/>
      <c r="CH35" s="252"/>
      <c r="CI35" s="52">
        <f t="shared" si="0"/>
        <v>67725.5</v>
      </c>
      <c r="CJ35" s="52">
        <f>449000-CI35+350000</f>
        <v>731274.5</v>
      </c>
      <c r="CK35" s="776"/>
      <c r="CL35" s="196" t="s">
        <v>65</v>
      </c>
      <c r="CM35" s="474">
        <v>273330</v>
      </c>
      <c r="CN35" s="234">
        <f t="shared" si="2"/>
        <v>341055.5</v>
      </c>
      <c r="CO35" s="234"/>
      <c r="CP35" s="979">
        <v>33</v>
      </c>
      <c r="CQ35" s="981">
        <f t="shared" si="1"/>
        <v>3708.8717948717949</v>
      </c>
      <c r="CR35" s="977">
        <v>36161.5</v>
      </c>
      <c r="CS35" s="978" t="s">
        <v>12</v>
      </c>
    </row>
    <row r="36" spans="1:97" ht="10.15" customHeight="1">
      <c r="A36" s="195" t="s">
        <v>82</v>
      </c>
      <c r="B36" s="589"/>
      <c r="C36" s="589">
        <f>'3.28.22'!E22</f>
        <v>3410.5</v>
      </c>
      <c r="D36" s="589"/>
      <c r="E36" s="589">
        <f>'3.30.22'!E18</f>
        <v>3515</v>
      </c>
      <c r="F36" s="589"/>
      <c r="G36" s="589"/>
      <c r="H36" s="589"/>
      <c r="I36" s="589"/>
      <c r="J36" s="640">
        <f>'4.4.22'!E21+'4.4.22'!E28</f>
        <v>5795</v>
      </c>
      <c r="K36" s="640">
        <f>'4.5.22'!E29</f>
        <v>2061.5</v>
      </c>
      <c r="L36" s="640"/>
      <c r="M36" s="640"/>
      <c r="N36" s="640"/>
      <c r="O36" s="640"/>
      <c r="P36" s="640"/>
      <c r="Q36" s="702"/>
      <c r="R36" s="702">
        <f>'4.12.22'!E19</f>
        <v>3724</v>
      </c>
      <c r="S36" s="702"/>
      <c r="T36" s="702"/>
      <c r="U36" s="702"/>
      <c r="V36" s="702"/>
      <c r="W36" s="702"/>
      <c r="X36" s="738"/>
      <c r="Y36" s="738">
        <f>'4.19.22'!E19</f>
        <v>3515</v>
      </c>
      <c r="Z36" s="738"/>
      <c r="AA36" s="738"/>
      <c r="AB36" s="738"/>
      <c r="AC36" s="738"/>
      <c r="AD36" s="738"/>
      <c r="AE36" s="589"/>
      <c r="AF36" s="589">
        <f>'4.26.22'!E19</f>
        <v>3752.5</v>
      </c>
      <c r="AG36" s="589"/>
      <c r="AH36" s="589"/>
      <c r="AI36" s="589"/>
      <c r="AJ36" s="589"/>
      <c r="AK36" s="589"/>
      <c r="AL36" s="252"/>
      <c r="AM36" s="252"/>
      <c r="AN36" s="252"/>
      <c r="AO36" s="252"/>
      <c r="AP36" s="252"/>
      <c r="AQ36" s="772"/>
      <c r="AR36" s="772"/>
      <c r="AS36" s="252"/>
      <c r="AT36" s="252"/>
      <c r="AU36" s="252"/>
      <c r="AV36" s="252"/>
      <c r="AW36" s="252"/>
      <c r="AX36" s="252"/>
      <c r="AY36" s="252"/>
      <c r="AZ36" s="738"/>
      <c r="BA36" s="738">
        <f>'5.17.22'!E28</f>
        <v>2916.5</v>
      </c>
      <c r="BB36" s="738"/>
      <c r="BC36" s="738"/>
      <c r="BD36" s="738"/>
      <c r="BE36" s="738"/>
      <c r="BF36" s="738"/>
      <c r="BG36" s="589"/>
      <c r="BH36" s="589">
        <f>'5.24.22'!E29</f>
        <v>2926</v>
      </c>
      <c r="BI36" s="589"/>
      <c r="BJ36" s="589"/>
      <c r="BK36" s="589"/>
      <c r="BL36" s="870"/>
      <c r="BM36" s="870"/>
      <c r="BN36" s="640">
        <f>'5.30.22'!E28+'5.30.22'!E21</f>
        <v>5985</v>
      </c>
      <c r="BO36" s="640"/>
      <c r="BP36" s="640"/>
      <c r="BQ36" s="640"/>
      <c r="BR36" s="640"/>
      <c r="BS36" s="640"/>
      <c r="BT36" s="640"/>
      <c r="BU36" s="702">
        <f>'6.06.22'!E22</f>
        <v>3999.5</v>
      </c>
      <c r="BV36" s="702"/>
      <c r="BW36" s="702"/>
      <c r="BX36" s="772"/>
      <c r="BY36" s="772"/>
      <c r="BZ36" s="772"/>
      <c r="CA36" s="772"/>
      <c r="CB36" s="738"/>
      <c r="CC36" s="738">
        <f>'6.14.22'!E10</f>
        <v>532</v>
      </c>
      <c r="CD36" s="738"/>
      <c r="CE36" s="738"/>
      <c r="CF36" s="252"/>
      <c r="CG36" s="252"/>
      <c r="CH36" s="252"/>
      <c r="CI36" s="52">
        <f t="shared" si="0"/>
        <v>42132.5</v>
      </c>
      <c r="CJ36" s="52">
        <f>100000-CI36+350000</f>
        <v>407867.5</v>
      </c>
      <c r="CK36" s="776"/>
      <c r="CL36" s="195" t="s">
        <v>82</v>
      </c>
      <c r="CM36" s="474">
        <v>120530</v>
      </c>
      <c r="CN36" s="234">
        <f t="shared" si="2"/>
        <v>162662.5</v>
      </c>
      <c r="CO36" s="234"/>
      <c r="CP36" s="979">
        <v>34</v>
      </c>
      <c r="CQ36" s="981">
        <f t="shared" si="1"/>
        <v>3556.7692307692309</v>
      </c>
      <c r="CR36" s="977">
        <v>34678.5</v>
      </c>
      <c r="CS36" s="978" t="s">
        <v>234</v>
      </c>
    </row>
    <row r="37" spans="1:97" ht="10.15" customHeight="1">
      <c r="A37" s="195" t="s">
        <v>83</v>
      </c>
      <c r="B37" s="589"/>
      <c r="C37" s="589">
        <f>'3.28.22'!E19</f>
        <v>2280</v>
      </c>
      <c r="D37" s="589"/>
      <c r="E37" s="589"/>
      <c r="F37" s="589"/>
      <c r="G37" s="589">
        <f>'4.1.22'!E18</f>
        <v>2736</v>
      </c>
      <c r="H37" s="589">
        <f>'4.2.22'!E12</f>
        <v>2308.5</v>
      </c>
      <c r="I37" s="589"/>
      <c r="J37" s="640">
        <f>'4.4.22'!E29</f>
        <v>2688.5</v>
      </c>
      <c r="K37" s="640"/>
      <c r="L37" s="640"/>
      <c r="M37" s="640"/>
      <c r="N37" s="640">
        <f>'4.8.22'!E18</f>
        <v>2308.5</v>
      </c>
      <c r="O37" s="640"/>
      <c r="P37" s="640">
        <f>'4.10.22'!E19</f>
        <v>2983</v>
      </c>
      <c r="Q37" s="702">
        <f>'4.11.22'!E21</f>
        <v>2584</v>
      </c>
      <c r="R37" s="702"/>
      <c r="S37" s="702"/>
      <c r="T37" s="702"/>
      <c r="U37" s="702"/>
      <c r="V37" s="702"/>
      <c r="W37" s="702">
        <f>'4.17.22'!E30</f>
        <v>2033</v>
      </c>
      <c r="X37" s="252"/>
      <c r="Y37" s="252"/>
      <c r="Z37" s="252"/>
      <c r="AA37" s="252"/>
      <c r="AB37" s="252"/>
      <c r="AC37" s="252"/>
      <c r="AD37" s="252"/>
      <c r="AE37" s="589">
        <f>'4.25.22'!E28</f>
        <v>2422.5</v>
      </c>
      <c r="AF37" s="589"/>
      <c r="AG37" s="589"/>
      <c r="AH37" s="589"/>
      <c r="AI37" s="589">
        <f>'4.29.22'!E21</f>
        <v>2546</v>
      </c>
      <c r="AJ37" s="589"/>
      <c r="AK37" s="589">
        <f>'5.1.22'!E12</f>
        <v>2574.5</v>
      </c>
      <c r="AL37" s="640">
        <f>'5.2.22'!E29</f>
        <v>2280</v>
      </c>
      <c r="AM37" s="640"/>
      <c r="AN37" s="640"/>
      <c r="AO37" s="640"/>
      <c r="AP37" s="640"/>
      <c r="AQ37" s="783"/>
      <c r="AR37" s="783"/>
      <c r="AS37" s="252"/>
      <c r="AT37" s="252"/>
      <c r="AU37" s="252"/>
      <c r="AV37" s="252"/>
      <c r="AW37" s="252"/>
      <c r="AX37" s="252"/>
      <c r="AY37" s="252"/>
      <c r="AZ37" s="252"/>
      <c r="BA37" s="252"/>
      <c r="BB37" s="252"/>
      <c r="BC37" s="252"/>
      <c r="BD37" s="252"/>
      <c r="BE37" s="252"/>
      <c r="BF37" s="252"/>
      <c r="BG37" s="252"/>
      <c r="BH37" s="252"/>
      <c r="BI37" s="252"/>
      <c r="BJ37" s="252"/>
      <c r="BK37" s="252"/>
      <c r="BL37" s="870"/>
      <c r="BM37" s="870"/>
      <c r="BN37" s="252"/>
      <c r="BO37" s="252"/>
      <c r="BP37" s="252"/>
      <c r="BQ37" s="252"/>
      <c r="BR37" s="252"/>
      <c r="BS37" s="252"/>
      <c r="BT37" s="252"/>
      <c r="BU37" s="252"/>
      <c r="BV37" s="252"/>
      <c r="BW37" s="252"/>
      <c r="BX37" s="772"/>
      <c r="BY37" s="772"/>
      <c r="BZ37" s="772"/>
      <c r="CA37" s="772"/>
      <c r="CB37" s="738">
        <f>'6.13.22'!E11</f>
        <v>541.5</v>
      </c>
      <c r="CC37" s="738"/>
      <c r="CD37" s="738"/>
      <c r="CE37" s="738"/>
      <c r="CF37" s="252"/>
      <c r="CG37" s="252"/>
      <c r="CH37" s="252"/>
      <c r="CI37" s="52">
        <f t="shared" si="0"/>
        <v>30286</v>
      </c>
      <c r="CJ37" s="52">
        <f t="shared" si="3"/>
        <v>69714</v>
      </c>
      <c r="CK37" s="776"/>
      <c r="CL37" s="195" t="s">
        <v>83</v>
      </c>
      <c r="CM37" s="474">
        <v>21760</v>
      </c>
      <c r="CN37" s="234">
        <f t="shared" si="2"/>
        <v>52046</v>
      </c>
      <c r="CO37" s="234"/>
      <c r="CP37" s="979">
        <v>35</v>
      </c>
      <c r="CQ37" s="981">
        <f t="shared" si="1"/>
        <v>3334.9230769230771</v>
      </c>
      <c r="CR37" s="977">
        <v>32515.5</v>
      </c>
      <c r="CS37" s="978" t="s">
        <v>245</v>
      </c>
    </row>
    <row r="38" spans="1:97" ht="10.15" customHeight="1">
      <c r="A38" s="195" t="s">
        <v>159</v>
      </c>
      <c r="B38" s="252"/>
      <c r="C38" s="252"/>
      <c r="D38" s="252"/>
      <c r="E38" s="252"/>
      <c r="F38" s="252"/>
      <c r="G38" s="252"/>
      <c r="H38" s="252"/>
      <c r="I38" s="252"/>
      <c r="J38" s="640"/>
      <c r="K38" s="640"/>
      <c r="L38" s="640">
        <f>'4.6.22'!E18</f>
        <v>3078</v>
      </c>
      <c r="M38" s="640"/>
      <c r="N38" s="640"/>
      <c r="O38" s="640"/>
      <c r="P38" s="640">
        <f>'4.10.22'!E29</f>
        <v>2118.5</v>
      </c>
      <c r="Q38" s="252"/>
      <c r="R38" s="252"/>
      <c r="S38" s="252"/>
      <c r="T38" s="252"/>
      <c r="U38" s="252"/>
      <c r="V38" s="252"/>
      <c r="W38" s="252"/>
      <c r="X38" s="252"/>
      <c r="Y38" s="252"/>
      <c r="Z38" s="252"/>
      <c r="AA38" s="252"/>
      <c r="AB38" s="252"/>
      <c r="AC38" s="252"/>
      <c r="AD38" s="252"/>
      <c r="AE38" s="589"/>
      <c r="AF38" s="589"/>
      <c r="AG38" s="589"/>
      <c r="AH38" s="589">
        <f>'4.28.22'!E18</f>
        <v>2071</v>
      </c>
      <c r="AI38" s="589"/>
      <c r="AJ38" s="589"/>
      <c r="AK38" s="589"/>
      <c r="AL38" s="640"/>
      <c r="AM38" s="640"/>
      <c r="AN38" s="640"/>
      <c r="AO38" s="640">
        <f>'5.5.22'!E18+'5.5.22'!E29</f>
        <v>4227.5</v>
      </c>
      <c r="AP38" s="640"/>
      <c r="AQ38" s="783"/>
      <c r="AR38" s="783"/>
      <c r="AS38" s="702"/>
      <c r="AT38" s="702"/>
      <c r="AU38" s="702">
        <f>'5.11.22'!E21</f>
        <v>2736</v>
      </c>
      <c r="AV38" s="702"/>
      <c r="AW38" s="702"/>
      <c r="AX38" s="702"/>
      <c r="AY38" s="702">
        <f>'5.15.22'!E29</f>
        <v>2232.5</v>
      </c>
      <c r="AZ38" s="738"/>
      <c r="BA38" s="738"/>
      <c r="BB38" s="738"/>
      <c r="BC38" s="738"/>
      <c r="BD38" s="738"/>
      <c r="BE38" s="738"/>
      <c r="BF38" s="738">
        <f>'5.22.22'!E22</f>
        <v>3163.5</v>
      </c>
      <c r="BG38" s="252"/>
      <c r="BH38" s="252"/>
      <c r="BI38" s="252"/>
      <c r="BJ38" s="252"/>
      <c r="BK38" s="252"/>
      <c r="BL38" s="870"/>
      <c r="BM38" s="870"/>
      <c r="BN38" s="252"/>
      <c r="BO38" s="252"/>
      <c r="BP38" s="252"/>
      <c r="BQ38" s="252"/>
      <c r="BR38" s="252"/>
      <c r="BS38" s="252"/>
      <c r="BT38" s="252"/>
      <c r="BU38" s="252"/>
      <c r="BV38" s="252"/>
      <c r="BW38" s="252"/>
      <c r="BX38" s="772"/>
      <c r="BY38" s="772"/>
      <c r="BZ38" s="772"/>
      <c r="CA38" s="772"/>
      <c r="CB38" s="252"/>
      <c r="CC38" s="252"/>
      <c r="CD38" s="252"/>
      <c r="CE38" s="252"/>
      <c r="CF38" s="252"/>
      <c r="CG38" s="252"/>
      <c r="CH38" s="252"/>
      <c r="CI38" s="52">
        <f t="shared" si="0"/>
        <v>19627</v>
      </c>
      <c r="CJ38" s="52">
        <f t="shared" si="3"/>
        <v>80373</v>
      </c>
      <c r="CK38" s="776"/>
      <c r="CL38" s="195" t="s">
        <v>159</v>
      </c>
      <c r="CM38" s="474">
        <v>31040</v>
      </c>
      <c r="CN38" s="234">
        <f t="shared" si="2"/>
        <v>50667</v>
      </c>
      <c r="CO38" s="234"/>
      <c r="CP38" s="979">
        <v>36</v>
      </c>
      <c r="CQ38" s="981">
        <f t="shared" si="1"/>
        <v>3001.5384615384614</v>
      </c>
      <c r="CR38" s="977">
        <v>29265</v>
      </c>
      <c r="CS38" s="978" t="s">
        <v>69</v>
      </c>
    </row>
    <row r="39" spans="1:97" ht="10.15" customHeight="1">
      <c r="A39" s="195" t="s">
        <v>145</v>
      </c>
      <c r="B39" s="589"/>
      <c r="C39" s="589"/>
      <c r="D39" s="589"/>
      <c r="E39" s="589"/>
      <c r="F39" s="589"/>
      <c r="G39" s="589">
        <f>'4.1.22'!E22</f>
        <v>4066</v>
      </c>
      <c r="H39" s="589">
        <f>'4.2.22'!E19+'4.2.22'!E30</f>
        <v>5757</v>
      </c>
      <c r="I39" s="589"/>
      <c r="J39" s="252"/>
      <c r="K39" s="252"/>
      <c r="L39" s="252"/>
      <c r="M39" s="252"/>
      <c r="N39" s="252"/>
      <c r="O39" s="252"/>
      <c r="P39" s="252"/>
      <c r="Q39" s="702"/>
      <c r="R39" s="702"/>
      <c r="S39" s="702">
        <f>'4.13.22'!E28</f>
        <v>1729</v>
      </c>
      <c r="T39" s="702"/>
      <c r="U39" s="702"/>
      <c r="V39" s="702">
        <f>'4.16.22'!E29</f>
        <v>1947.5</v>
      </c>
      <c r="W39" s="702"/>
      <c r="X39" s="738"/>
      <c r="Y39" s="738">
        <f>'4.19.22'!E29</f>
        <v>2869</v>
      </c>
      <c r="Z39" s="738"/>
      <c r="AA39" s="738"/>
      <c r="AB39" s="738"/>
      <c r="AC39" s="738">
        <f>'4.23.22'!E11</f>
        <v>4218</v>
      </c>
      <c r="AD39" s="738"/>
      <c r="AE39" s="589"/>
      <c r="AF39" s="589"/>
      <c r="AG39" s="589"/>
      <c r="AH39" s="589">
        <f>'4.28.22'!E22</f>
        <v>3942.5</v>
      </c>
      <c r="AI39" s="589"/>
      <c r="AJ39" s="589"/>
      <c r="AK39" s="589"/>
      <c r="AL39" s="640"/>
      <c r="AM39" s="640"/>
      <c r="AN39" s="640">
        <f>'5.4.22'!E21</f>
        <v>4246.5</v>
      </c>
      <c r="AO39" s="640"/>
      <c r="AP39" s="640"/>
      <c r="AQ39" s="783"/>
      <c r="AR39" s="783"/>
      <c r="AS39" s="702"/>
      <c r="AT39" s="702"/>
      <c r="AU39" s="702"/>
      <c r="AV39" s="702"/>
      <c r="AW39" s="702">
        <f>'5.13.22'!E21</f>
        <v>3743</v>
      </c>
      <c r="AX39" s="702"/>
      <c r="AY39" s="702"/>
      <c r="AZ39" s="738"/>
      <c r="BA39" s="738"/>
      <c r="BB39" s="738">
        <f>'5.18.22'!E18</f>
        <v>5073</v>
      </c>
      <c r="BC39" s="738"/>
      <c r="BD39" s="738"/>
      <c r="BE39" s="738">
        <f>'5.21.22'!E9</f>
        <v>3800</v>
      </c>
      <c r="BF39" s="738"/>
      <c r="BG39" s="589"/>
      <c r="BH39" s="589"/>
      <c r="BI39" s="589">
        <f>'5.25.22'!E22</f>
        <v>3667</v>
      </c>
      <c r="BJ39" s="589"/>
      <c r="BK39" s="589"/>
      <c r="BL39" s="870"/>
      <c r="BM39" s="870"/>
      <c r="BN39" s="252"/>
      <c r="BO39" s="252"/>
      <c r="BP39" s="252"/>
      <c r="BQ39" s="252"/>
      <c r="BR39" s="252"/>
      <c r="BS39" s="252"/>
      <c r="BT39" s="252"/>
      <c r="BU39" s="702"/>
      <c r="BV39" s="702"/>
      <c r="BW39" s="702">
        <f>'6.08.22'!E28</f>
        <v>2527</v>
      </c>
      <c r="BX39" s="772"/>
      <c r="BY39" s="772"/>
      <c r="BZ39" s="772"/>
      <c r="CA39" s="772"/>
      <c r="CB39" s="252"/>
      <c r="CC39" s="252"/>
      <c r="CD39" s="252"/>
      <c r="CE39" s="252"/>
      <c r="CF39" s="252"/>
      <c r="CG39" s="252"/>
      <c r="CH39" s="252"/>
      <c r="CI39" s="52">
        <f t="shared" si="0"/>
        <v>47585.5</v>
      </c>
      <c r="CJ39" s="52">
        <f>100000-CI39+449000</f>
        <v>501414.5</v>
      </c>
      <c r="CK39" s="776"/>
      <c r="CL39" s="195" t="s">
        <v>145</v>
      </c>
      <c r="CM39" s="474">
        <v>120440</v>
      </c>
      <c r="CN39" s="234">
        <f t="shared" si="2"/>
        <v>168025.5</v>
      </c>
      <c r="CO39" s="234"/>
      <c r="CP39" s="979">
        <v>37</v>
      </c>
      <c r="CQ39" s="981">
        <f t="shared" si="1"/>
        <v>2870.4615384615386</v>
      </c>
      <c r="CR39" s="977">
        <v>27987</v>
      </c>
      <c r="CS39" s="978" t="s">
        <v>194</v>
      </c>
    </row>
    <row r="40" spans="1:97" ht="10.15" customHeight="1">
      <c r="A40" s="195" t="s">
        <v>84</v>
      </c>
      <c r="B40" s="252"/>
      <c r="C40" s="252"/>
      <c r="D40" s="252"/>
      <c r="E40" s="252"/>
      <c r="F40" s="252"/>
      <c r="G40" s="252"/>
      <c r="H40" s="252"/>
      <c r="I40" s="252"/>
      <c r="J40" s="252"/>
      <c r="K40" s="252"/>
      <c r="L40" s="252"/>
      <c r="M40" s="252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  <c r="AA40" s="252"/>
      <c r="AB40" s="252"/>
      <c r="AC40" s="252"/>
      <c r="AD40" s="252"/>
      <c r="AE40" s="758"/>
      <c r="AF40" s="758"/>
      <c r="AG40" s="758"/>
      <c r="AH40" s="758"/>
      <c r="AI40" s="758"/>
      <c r="AJ40" s="758"/>
      <c r="AK40" s="758"/>
      <c r="AL40" s="252"/>
      <c r="AM40" s="252"/>
      <c r="AN40" s="252"/>
      <c r="AO40" s="252"/>
      <c r="AP40" s="252"/>
      <c r="AQ40" s="772"/>
      <c r="AR40" s="772"/>
      <c r="AS40" s="252"/>
      <c r="AT40" s="252"/>
      <c r="AU40" s="252"/>
      <c r="AV40" s="252"/>
      <c r="AW40" s="252"/>
      <c r="AX40" s="252"/>
      <c r="AY40" s="252"/>
      <c r="AZ40" s="252"/>
      <c r="BA40" s="252"/>
      <c r="BB40" s="252"/>
      <c r="BC40" s="252"/>
      <c r="BD40" s="252"/>
      <c r="BE40" s="252"/>
      <c r="BF40" s="252"/>
      <c r="BG40" s="252"/>
      <c r="BH40" s="252"/>
      <c r="BI40" s="252"/>
      <c r="BJ40" s="252"/>
      <c r="BK40" s="252"/>
      <c r="BL40" s="870"/>
      <c r="BM40" s="870"/>
      <c r="BN40" s="252"/>
      <c r="BO40" s="252"/>
      <c r="BP40" s="252"/>
      <c r="BQ40" s="252"/>
      <c r="BR40" s="252"/>
      <c r="BS40" s="252"/>
      <c r="BT40" s="252"/>
      <c r="BU40" s="252"/>
      <c r="BV40" s="252"/>
      <c r="BW40" s="252"/>
      <c r="BX40" s="772"/>
      <c r="BY40" s="772"/>
      <c r="BZ40" s="772"/>
      <c r="CA40" s="772"/>
      <c r="CB40" s="252"/>
      <c r="CC40" s="252"/>
      <c r="CD40" s="252"/>
      <c r="CE40" s="252"/>
      <c r="CF40" s="252"/>
      <c r="CG40" s="252"/>
      <c r="CH40" s="252"/>
      <c r="CI40" s="52">
        <f t="shared" si="0"/>
        <v>0</v>
      </c>
      <c r="CJ40" s="52">
        <f>100000-CI40+350000</f>
        <v>450000</v>
      </c>
      <c r="CK40" s="776"/>
      <c r="CL40" s="195" t="s">
        <v>84</v>
      </c>
      <c r="CM40" s="474">
        <v>21920</v>
      </c>
      <c r="CN40" s="234">
        <f t="shared" si="2"/>
        <v>21920</v>
      </c>
      <c r="CO40" s="234"/>
      <c r="CP40" s="979">
        <v>38</v>
      </c>
      <c r="CQ40" s="981">
        <f t="shared" si="1"/>
        <v>2433.8461538461538</v>
      </c>
      <c r="CR40" s="977">
        <v>23730</v>
      </c>
      <c r="CS40" s="978" t="s">
        <v>186</v>
      </c>
    </row>
    <row r="41" spans="1:97" ht="10.15" customHeight="1">
      <c r="A41" s="195" t="s">
        <v>58</v>
      </c>
      <c r="B41" s="252"/>
      <c r="C41" s="252"/>
      <c r="D41" s="252"/>
      <c r="E41" s="252"/>
      <c r="F41" s="252"/>
      <c r="G41" s="252"/>
      <c r="H41" s="252"/>
      <c r="I41" s="252"/>
      <c r="J41" s="252"/>
      <c r="K41" s="252"/>
      <c r="L41" s="252"/>
      <c r="M41" s="252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  <c r="AA41" s="252"/>
      <c r="AB41" s="252"/>
      <c r="AC41" s="252"/>
      <c r="AD41" s="252"/>
      <c r="AE41" s="758"/>
      <c r="AF41" s="758"/>
      <c r="AG41" s="758"/>
      <c r="AH41" s="758"/>
      <c r="AI41" s="758"/>
      <c r="AJ41" s="758"/>
      <c r="AK41" s="758"/>
      <c r="AL41" s="252"/>
      <c r="AM41" s="252"/>
      <c r="AN41" s="252"/>
      <c r="AO41" s="252"/>
      <c r="AP41" s="252"/>
      <c r="AQ41" s="772"/>
      <c r="AR41" s="772"/>
      <c r="AS41" s="252"/>
      <c r="AT41" s="252"/>
      <c r="AU41" s="252"/>
      <c r="AV41" s="252"/>
      <c r="AW41" s="252"/>
      <c r="AX41" s="252"/>
      <c r="AY41" s="252"/>
      <c r="AZ41" s="252"/>
      <c r="BA41" s="252"/>
      <c r="BB41" s="252"/>
      <c r="BC41" s="252"/>
      <c r="BD41" s="252"/>
      <c r="BE41" s="252"/>
      <c r="BF41" s="252"/>
      <c r="BG41" s="252"/>
      <c r="BH41" s="252"/>
      <c r="BI41" s="252"/>
      <c r="BJ41" s="252"/>
      <c r="BK41" s="252"/>
      <c r="BL41" s="870"/>
      <c r="BM41" s="870"/>
      <c r="BN41" s="252"/>
      <c r="BO41" s="252"/>
      <c r="BP41" s="252"/>
      <c r="BQ41" s="252"/>
      <c r="BR41" s="252"/>
      <c r="BS41" s="252"/>
      <c r="BT41" s="252"/>
      <c r="BU41" s="252"/>
      <c r="BV41" s="252"/>
      <c r="BW41" s="252"/>
      <c r="BX41" s="772"/>
      <c r="BY41" s="772"/>
      <c r="BZ41" s="772"/>
      <c r="CA41" s="772"/>
      <c r="CB41" s="252"/>
      <c r="CC41" s="252"/>
      <c r="CD41" s="252"/>
      <c r="CE41" s="252"/>
      <c r="CF41" s="252"/>
      <c r="CG41" s="252"/>
      <c r="CH41" s="252"/>
      <c r="CI41" s="52">
        <f t="shared" si="0"/>
        <v>0</v>
      </c>
      <c r="CJ41" s="52">
        <f t="shared" si="3"/>
        <v>100000</v>
      </c>
      <c r="CK41" s="776"/>
      <c r="CL41" s="195" t="s">
        <v>58</v>
      </c>
      <c r="CM41" s="474">
        <v>5830</v>
      </c>
      <c r="CN41" s="234">
        <f t="shared" si="2"/>
        <v>5830</v>
      </c>
      <c r="CO41" s="234"/>
      <c r="CP41" s="979">
        <v>39</v>
      </c>
      <c r="CQ41" s="981">
        <f t="shared" si="1"/>
        <v>2248.2051282051284</v>
      </c>
      <c r="CR41" s="977">
        <v>21920</v>
      </c>
      <c r="CS41" s="978" t="s">
        <v>84</v>
      </c>
    </row>
    <row r="42" spans="1:97" ht="10.15" customHeight="1">
      <c r="A42" s="195" t="s">
        <v>45</v>
      </c>
      <c r="B42" s="589"/>
      <c r="C42" s="589"/>
      <c r="D42" s="589">
        <f>'3.29.22'!E22</f>
        <v>3952</v>
      </c>
      <c r="E42" s="589"/>
      <c r="F42" s="589">
        <f>'3.31.22'!E18</f>
        <v>4161</v>
      </c>
      <c r="G42" s="589"/>
      <c r="H42" s="589"/>
      <c r="I42" s="589"/>
      <c r="J42" s="640"/>
      <c r="K42" s="640">
        <f>'4.5.22'!E18</f>
        <v>4265.5</v>
      </c>
      <c r="L42" s="640"/>
      <c r="M42" s="640"/>
      <c r="N42" s="640"/>
      <c r="O42" s="640"/>
      <c r="P42" s="640">
        <f>'4.10.22'!E12</f>
        <v>4180</v>
      </c>
      <c r="Q42" s="702"/>
      <c r="R42" s="702"/>
      <c r="S42" s="702"/>
      <c r="T42" s="702"/>
      <c r="U42" s="702">
        <f>'4.15.22'!E19</f>
        <v>3695.5</v>
      </c>
      <c r="V42" s="702"/>
      <c r="W42" s="702">
        <f>'4.17.22'!E28</f>
        <v>2821.5</v>
      </c>
      <c r="X42" s="738"/>
      <c r="Y42" s="738"/>
      <c r="Z42" s="738"/>
      <c r="AA42" s="738">
        <f>'4.21.22'!E21</f>
        <v>3838</v>
      </c>
      <c r="AB42" s="738"/>
      <c r="AC42" s="738"/>
      <c r="AD42" s="738">
        <f>'4.24.22'!E12</f>
        <v>4009</v>
      </c>
      <c r="AE42" s="589"/>
      <c r="AF42" s="589">
        <f>'4.26.22'!E22</f>
        <v>4351</v>
      </c>
      <c r="AG42" s="589"/>
      <c r="AH42" s="589"/>
      <c r="AI42" s="589"/>
      <c r="AJ42" s="589"/>
      <c r="AK42" s="589"/>
      <c r="AL42" s="640"/>
      <c r="AM42" s="640">
        <f>'5.3.22'!E12+'5.3.22'!E21</f>
        <v>7562</v>
      </c>
      <c r="AN42" s="640"/>
      <c r="AO42" s="640"/>
      <c r="AP42" s="640">
        <f>'5.6.22'!E19</f>
        <v>3439</v>
      </c>
      <c r="AQ42" s="783"/>
      <c r="AR42" s="783"/>
      <c r="AS42" s="702"/>
      <c r="AT42" s="702"/>
      <c r="AU42" s="702"/>
      <c r="AV42" s="702">
        <f>'5.12.22'!E18</f>
        <v>3002</v>
      </c>
      <c r="AW42" s="702"/>
      <c r="AX42" s="702">
        <f>'5.14.22'!E9</f>
        <v>3619.5</v>
      </c>
      <c r="AY42" s="702"/>
      <c r="AZ42" s="738"/>
      <c r="BA42" s="738"/>
      <c r="BB42" s="738">
        <f>'5.18.22'!E22</f>
        <v>3933</v>
      </c>
      <c r="BC42" s="738"/>
      <c r="BD42" s="738">
        <f>'5.20.22'!E21</f>
        <v>3572</v>
      </c>
      <c r="BE42" s="738"/>
      <c r="BF42" s="738"/>
      <c r="BG42" s="589"/>
      <c r="BH42" s="589"/>
      <c r="BI42" s="589"/>
      <c r="BJ42" s="589"/>
      <c r="BK42" s="589">
        <f>'5.27.22'!E21+'5.27.22'!E28</f>
        <v>6954</v>
      </c>
      <c r="BL42" s="870"/>
      <c r="BM42" s="870"/>
      <c r="BN42" s="640"/>
      <c r="BO42" s="640"/>
      <c r="BP42" s="640">
        <f>'6.01.22'!E21+'6.01.22'!E28</f>
        <v>7875.5</v>
      </c>
      <c r="BQ42" s="640"/>
      <c r="BR42" s="640"/>
      <c r="BS42" s="640"/>
      <c r="BT42" s="640"/>
      <c r="BU42" s="702"/>
      <c r="BV42" s="702"/>
      <c r="BW42" s="702">
        <f>'6.08.22'!E18</f>
        <v>4398.5</v>
      </c>
      <c r="BX42" s="772"/>
      <c r="BY42" s="772"/>
      <c r="BZ42" s="772"/>
      <c r="CA42" s="772"/>
      <c r="CB42" s="738"/>
      <c r="CC42" s="738"/>
      <c r="CD42" s="738">
        <f>'6.15.22'!E10</f>
        <v>826.5</v>
      </c>
      <c r="CE42" s="738"/>
      <c r="CF42" s="252"/>
      <c r="CG42" s="252"/>
      <c r="CH42" s="252"/>
      <c r="CI42" s="52">
        <f t="shared" si="0"/>
        <v>80455.5</v>
      </c>
      <c r="CJ42" s="52">
        <f>100000-CI42+350000</f>
        <v>369544.5</v>
      </c>
      <c r="CK42" s="776"/>
      <c r="CL42" s="195" t="s">
        <v>45</v>
      </c>
      <c r="CM42" s="474">
        <v>147560</v>
      </c>
      <c r="CN42" s="234">
        <f t="shared" si="2"/>
        <v>228015.5</v>
      </c>
      <c r="CO42" s="234"/>
      <c r="CP42" s="979">
        <v>40</v>
      </c>
      <c r="CQ42" s="981">
        <f t="shared" si="1"/>
        <v>1915.0769230769231</v>
      </c>
      <c r="CR42" s="977">
        <v>18672</v>
      </c>
      <c r="CS42" s="978" t="s">
        <v>68</v>
      </c>
    </row>
    <row r="43" spans="1:97" ht="10.15" customHeight="1">
      <c r="A43" s="195" t="s">
        <v>172</v>
      </c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  <c r="AA43" s="252"/>
      <c r="AB43" s="252"/>
      <c r="AC43" s="252"/>
      <c r="AD43" s="252"/>
      <c r="AE43" s="758"/>
      <c r="AF43" s="758"/>
      <c r="AG43" s="758"/>
      <c r="AH43" s="758"/>
      <c r="AI43" s="758"/>
      <c r="AJ43" s="758"/>
      <c r="AK43" s="758"/>
      <c r="AL43" s="252"/>
      <c r="AM43" s="252"/>
      <c r="AN43" s="252"/>
      <c r="AO43" s="252"/>
      <c r="AP43" s="252"/>
      <c r="AQ43" s="772"/>
      <c r="AR43" s="772"/>
      <c r="AS43" s="252"/>
      <c r="AT43" s="252"/>
      <c r="AU43" s="252"/>
      <c r="AV43" s="252"/>
      <c r="AW43" s="252"/>
      <c r="AX43" s="252"/>
      <c r="AY43" s="252"/>
      <c r="AZ43" s="252"/>
      <c r="BA43" s="252"/>
      <c r="BB43" s="252"/>
      <c r="BC43" s="252"/>
      <c r="BD43" s="252"/>
      <c r="BE43" s="252"/>
      <c r="BF43" s="252"/>
      <c r="BG43" s="252"/>
      <c r="BH43" s="252"/>
      <c r="BI43" s="252"/>
      <c r="BJ43" s="252"/>
      <c r="BK43" s="252"/>
      <c r="BL43" s="870"/>
      <c r="BM43" s="870"/>
      <c r="BN43" s="640"/>
      <c r="BO43" s="640"/>
      <c r="BP43" s="640"/>
      <c r="BQ43" s="640"/>
      <c r="BR43" s="640">
        <f>'6.03.02'!E19</f>
        <v>1710</v>
      </c>
      <c r="BS43" s="640"/>
      <c r="BT43" s="640"/>
      <c r="BU43" s="252"/>
      <c r="BV43" s="252"/>
      <c r="BW43" s="252"/>
      <c r="BX43" s="772"/>
      <c r="BY43" s="772"/>
      <c r="BZ43" s="772"/>
      <c r="CA43" s="772"/>
      <c r="CB43" s="252"/>
      <c r="CC43" s="252"/>
      <c r="CD43" s="252"/>
      <c r="CE43" s="252"/>
      <c r="CF43" s="252"/>
      <c r="CG43" s="252"/>
      <c r="CH43" s="252"/>
      <c r="CI43" s="52">
        <f t="shared" si="0"/>
        <v>1710</v>
      </c>
      <c r="CJ43" s="52">
        <f t="shared" si="3"/>
        <v>98290</v>
      </c>
      <c r="CK43" s="776"/>
      <c r="CL43" s="195" t="s">
        <v>172</v>
      </c>
      <c r="CM43" s="474">
        <v>74260</v>
      </c>
      <c r="CN43" s="234">
        <f t="shared" si="2"/>
        <v>75970</v>
      </c>
      <c r="CO43" s="234"/>
      <c r="CP43" s="979">
        <v>41</v>
      </c>
      <c r="CQ43" s="981">
        <f t="shared" si="1"/>
        <v>1189.7435897435898</v>
      </c>
      <c r="CR43" s="977">
        <v>11600</v>
      </c>
      <c r="CS43" s="978" t="s">
        <v>129</v>
      </c>
    </row>
    <row r="44" spans="1:97" ht="10.15" customHeight="1">
      <c r="A44" s="195" t="s">
        <v>144</v>
      </c>
      <c r="B44" s="589"/>
      <c r="C44" s="589"/>
      <c r="D44" s="589">
        <f>'3.29.22'!E19</f>
        <v>3296.5</v>
      </c>
      <c r="E44" s="589">
        <f>'3.30.22'!E28</f>
        <v>1881</v>
      </c>
      <c r="F44" s="589"/>
      <c r="G44" s="589"/>
      <c r="H44" s="589"/>
      <c r="I44" s="589"/>
      <c r="J44" s="640"/>
      <c r="K44" s="640"/>
      <c r="L44" s="640"/>
      <c r="M44" s="640">
        <f>'4.7.22'!E22</f>
        <v>2992.5</v>
      </c>
      <c r="N44" s="640"/>
      <c r="O44" s="640"/>
      <c r="P44" s="640"/>
      <c r="Q44" s="252"/>
      <c r="R44" s="252"/>
      <c r="S44" s="252"/>
      <c r="T44" s="252"/>
      <c r="U44" s="252"/>
      <c r="V44" s="252"/>
      <c r="W44" s="252"/>
      <c r="X44" s="738"/>
      <c r="Y44" s="738"/>
      <c r="Z44" s="738"/>
      <c r="AA44" s="738">
        <f>'4.21.22'!E28</f>
        <v>1786</v>
      </c>
      <c r="AB44" s="738"/>
      <c r="AC44" s="738"/>
      <c r="AD44" s="738"/>
      <c r="AE44" s="589"/>
      <c r="AF44" s="589"/>
      <c r="AG44" s="589">
        <f>'4.27.22'!E21</f>
        <v>2954.5</v>
      </c>
      <c r="AH44" s="589"/>
      <c r="AI44" s="589"/>
      <c r="AJ44" s="589"/>
      <c r="AK44" s="589"/>
      <c r="AL44" s="252"/>
      <c r="AM44" s="252"/>
      <c r="AN44" s="252"/>
      <c r="AO44" s="252"/>
      <c r="AP44" s="252"/>
      <c r="AQ44" s="772"/>
      <c r="AR44" s="772"/>
      <c r="AS44" s="252"/>
      <c r="AT44" s="252"/>
      <c r="AU44" s="252"/>
      <c r="AV44" s="252"/>
      <c r="AW44" s="252"/>
      <c r="AX44" s="252"/>
      <c r="AY44" s="252"/>
      <c r="AZ44" s="738"/>
      <c r="BA44" s="738"/>
      <c r="BB44" s="738"/>
      <c r="BC44" s="738">
        <f>'5.19.22'!E22</f>
        <v>2859.5</v>
      </c>
      <c r="BD44" s="738"/>
      <c r="BE44" s="738"/>
      <c r="BF44" s="738"/>
      <c r="BG44" s="589"/>
      <c r="BH44" s="589"/>
      <c r="BI44" s="589">
        <f>'5.25.22'!E28</f>
        <v>1871.5</v>
      </c>
      <c r="BJ44" s="589"/>
      <c r="BK44" s="589"/>
      <c r="BL44" s="870"/>
      <c r="BM44" s="870"/>
      <c r="BN44" s="640"/>
      <c r="BO44" s="640"/>
      <c r="BP44" s="640"/>
      <c r="BQ44" s="640">
        <f>'6.02.22'!E28</f>
        <v>2745.5</v>
      </c>
      <c r="BR44" s="640"/>
      <c r="BS44" s="640"/>
      <c r="BT44" s="640"/>
      <c r="BU44" s="252"/>
      <c r="BV44" s="252"/>
      <c r="BW44" s="252"/>
      <c r="BX44" s="772"/>
      <c r="BY44" s="772"/>
      <c r="BZ44" s="772"/>
      <c r="CA44" s="772"/>
      <c r="CB44" s="252"/>
      <c r="CC44" s="252"/>
      <c r="CD44" s="252"/>
      <c r="CE44" s="252"/>
      <c r="CF44" s="252"/>
      <c r="CG44" s="252"/>
      <c r="CH44" s="252"/>
      <c r="CI44" s="52">
        <f t="shared" si="0"/>
        <v>20387</v>
      </c>
      <c r="CJ44" s="52">
        <f t="shared" si="3"/>
        <v>79613</v>
      </c>
      <c r="CK44" s="776"/>
      <c r="CL44" s="195" t="s">
        <v>144</v>
      </c>
      <c r="CM44" s="474">
        <v>50990</v>
      </c>
      <c r="CN44" s="234">
        <f t="shared" si="2"/>
        <v>71377</v>
      </c>
      <c r="CO44" s="234"/>
      <c r="CP44" s="979">
        <v>42</v>
      </c>
      <c r="CQ44" s="981">
        <f t="shared" si="1"/>
        <v>820.51282051282055</v>
      </c>
      <c r="CR44" s="977">
        <v>8000</v>
      </c>
      <c r="CS44" s="978" t="s">
        <v>80</v>
      </c>
    </row>
    <row r="45" spans="1:97" s="510" customFormat="1" ht="10.15" customHeight="1">
      <c r="A45" s="195" t="s">
        <v>240</v>
      </c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758"/>
      <c r="AF45" s="758"/>
      <c r="AG45" s="758"/>
      <c r="AH45" s="758"/>
      <c r="AI45" s="758"/>
      <c r="AJ45" s="758"/>
      <c r="AK45" s="758"/>
      <c r="AL45" s="252"/>
      <c r="AM45" s="252"/>
      <c r="AN45" s="252"/>
      <c r="AO45" s="252"/>
      <c r="AP45" s="252"/>
      <c r="AQ45" s="772"/>
      <c r="AR45" s="77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870"/>
      <c r="BM45" s="870"/>
      <c r="BN45" s="252"/>
      <c r="BO45" s="252"/>
      <c r="BP45" s="252"/>
      <c r="BQ45" s="252"/>
      <c r="BR45" s="252"/>
      <c r="BS45" s="252"/>
      <c r="BT45" s="252"/>
      <c r="BU45" s="252"/>
      <c r="BV45" s="252"/>
      <c r="BW45" s="252"/>
      <c r="BX45" s="772"/>
      <c r="BY45" s="772"/>
      <c r="BZ45" s="772"/>
      <c r="CA45" s="772"/>
      <c r="CB45" s="252"/>
      <c r="CC45" s="252"/>
      <c r="CD45" s="252"/>
      <c r="CE45" s="252"/>
      <c r="CF45" s="252"/>
      <c r="CG45" s="252"/>
      <c r="CH45" s="252"/>
      <c r="CI45" s="507">
        <f t="shared" si="0"/>
        <v>0</v>
      </c>
      <c r="CJ45" s="507">
        <f t="shared" ref="CJ45" si="10">100000-CI45</f>
        <v>100000</v>
      </c>
      <c r="CK45" s="776"/>
      <c r="CL45" s="195" t="s">
        <v>240</v>
      </c>
      <c r="CM45" s="474">
        <v>3570</v>
      </c>
      <c r="CN45" s="234">
        <f t="shared" si="2"/>
        <v>3570</v>
      </c>
      <c r="CO45" s="234"/>
      <c r="CP45" s="979">
        <v>43</v>
      </c>
      <c r="CQ45" s="981">
        <f t="shared" si="1"/>
        <v>783.58974358974353</v>
      </c>
      <c r="CR45" s="977">
        <v>7640</v>
      </c>
      <c r="CS45" s="978" t="s">
        <v>181</v>
      </c>
    </row>
    <row r="46" spans="1:97" s="516" customFormat="1" ht="10.15" customHeight="1">
      <c r="A46" s="195" t="s">
        <v>258</v>
      </c>
      <c r="B46" s="589"/>
      <c r="C46" s="589"/>
      <c r="D46" s="589"/>
      <c r="E46" s="589">
        <f>'3.30.22'!E30</f>
        <v>2099.5</v>
      </c>
      <c r="F46" s="589"/>
      <c r="G46" s="589"/>
      <c r="H46" s="589"/>
      <c r="I46" s="589"/>
      <c r="J46" s="640"/>
      <c r="K46" s="640"/>
      <c r="L46" s="640">
        <f>'4.6.22'!E30</f>
        <v>2850</v>
      </c>
      <c r="M46" s="640"/>
      <c r="N46" s="640"/>
      <c r="O46" s="640">
        <f>'4.9.22'!E30+'4.9.22'!E19</f>
        <v>6165.5</v>
      </c>
      <c r="P46" s="640"/>
      <c r="Q46" s="702">
        <f>'4.11.22'!E30</f>
        <v>2622</v>
      </c>
      <c r="R46" s="702"/>
      <c r="S46" s="702">
        <f>'4.13.22'!E29</f>
        <v>2375</v>
      </c>
      <c r="T46" s="702"/>
      <c r="U46" s="702"/>
      <c r="V46" s="702"/>
      <c r="W46" s="702"/>
      <c r="X46" s="738"/>
      <c r="Y46" s="738"/>
      <c r="Z46" s="738">
        <f>'4.20.22'!E29</f>
        <v>2745.5</v>
      </c>
      <c r="AA46" s="738"/>
      <c r="AB46" s="738"/>
      <c r="AC46" s="738"/>
      <c r="AD46" s="738"/>
      <c r="AE46" s="589">
        <f>'4.25.22'!E30</f>
        <v>2707.5</v>
      </c>
      <c r="AF46" s="589"/>
      <c r="AG46" s="589"/>
      <c r="AH46" s="589"/>
      <c r="AI46" s="589"/>
      <c r="AJ46" s="589">
        <f>'4.30.22'!E30</f>
        <v>2660</v>
      </c>
      <c r="AK46" s="589"/>
      <c r="AL46" s="640"/>
      <c r="AM46" s="640"/>
      <c r="AN46" s="640">
        <f>'5.4.22'!E30</f>
        <v>2441.5</v>
      </c>
      <c r="AO46" s="640">
        <f>'5.5.22'!E30</f>
        <v>1909.5</v>
      </c>
      <c r="AP46" s="640"/>
      <c r="AQ46" s="783"/>
      <c r="AR46" s="783"/>
      <c r="AS46" s="702"/>
      <c r="AT46" s="702"/>
      <c r="AU46" s="702">
        <f>'5.11.22'!E30</f>
        <v>1966.5</v>
      </c>
      <c r="AV46" s="702"/>
      <c r="AW46" s="702"/>
      <c r="AX46" s="702">
        <f>'5.14.22'!E30</f>
        <v>2527</v>
      </c>
      <c r="AY46" s="702"/>
      <c r="AZ46" s="738"/>
      <c r="BA46" s="738"/>
      <c r="BB46" s="738"/>
      <c r="BC46" s="738"/>
      <c r="BD46" s="738"/>
      <c r="BE46" s="738">
        <f>'5.21.22'!E30</f>
        <v>1976</v>
      </c>
      <c r="BF46" s="738"/>
      <c r="BG46" s="589"/>
      <c r="BH46" s="589"/>
      <c r="BI46" s="589"/>
      <c r="BJ46" s="589"/>
      <c r="BK46" s="589">
        <f>'5.27.22'!E30</f>
        <v>4037.5</v>
      </c>
      <c r="BL46" s="870"/>
      <c r="BM46" s="870"/>
      <c r="BN46" s="640"/>
      <c r="BO46" s="640"/>
      <c r="BP46" s="640"/>
      <c r="BQ46" s="640">
        <f>'6.02.22'!E30</f>
        <v>2185</v>
      </c>
      <c r="BR46" s="640"/>
      <c r="BS46" s="640"/>
      <c r="BT46" s="640">
        <f>'6.05.22'!E29</f>
        <v>2536.5</v>
      </c>
      <c r="BU46" s="252"/>
      <c r="BV46" s="252"/>
      <c r="BW46" s="252"/>
      <c r="BX46" s="772"/>
      <c r="BY46" s="772"/>
      <c r="BZ46" s="772"/>
      <c r="CA46" s="772"/>
      <c r="CB46" s="252"/>
      <c r="CC46" s="252"/>
      <c r="CD46" s="252"/>
      <c r="CE46" s="252"/>
      <c r="CF46" s="252"/>
      <c r="CG46" s="252"/>
      <c r="CH46" s="252"/>
      <c r="CI46" s="520">
        <f t="shared" si="0"/>
        <v>43804.5</v>
      </c>
      <c r="CJ46" s="520">
        <f t="shared" ref="CJ46" si="11">100000-CI46</f>
        <v>56195.5</v>
      </c>
      <c r="CK46" s="776"/>
      <c r="CL46" s="195" t="s">
        <v>258</v>
      </c>
      <c r="CM46" s="753">
        <v>0</v>
      </c>
      <c r="CN46" s="234">
        <f t="shared" si="2"/>
        <v>43804.5</v>
      </c>
      <c r="CO46" s="234"/>
      <c r="CP46" s="979">
        <v>44</v>
      </c>
      <c r="CQ46" s="981">
        <f t="shared" si="1"/>
        <v>693.33333333333337</v>
      </c>
      <c r="CR46" s="977">
        <v>6760</v>
      </c>
      <c r="CS46" s="978" t="s">
        <v>81</v>
      </c>
    </row>
    <row r="47" spans="1:97" ht="10.15" customHeight="1">
      <c r="A47" s="195" t="s">
        <v>70</v>
      </c>
      <c r="B47" s="589"/>
      <c r="C47" s="589"/>
      <c r="D47" s="589">
        <f>'3.29.22'!E28</f>
        <v>2479.5</v>
      </c>
      <c r="E47" s="589"/>
      <c r="F47" s="589">
        <f>'3.31.22'!E29</f>
        <v>3258.5</v>
      </c>
      <c r="G47" s="589"/>
      <c r="H47" s="589"/>
      <c r="I47" s="589">
        <f>'4.3.22'!E30</f>
        <v>4009</v>
      </c>
      <c r="J47" s="640"/>
      <c r="K47" s="640"/>
      <c r="L47" s="640"/>
      <c r="M47" s="640">
        <f>'4.7.22'!E19</f>
        <v>5025.5</v>
      </c>
      <c r="N47" s="640"/>
      <c r="O47" s="640"/>
      <c r="P47" s="640"/>
      <c r="Q47" s="702"/>
      <c r="R47" s="702">
        <f>'4.12.22'!E30</f>
        <v>3439</v>
      </c>
      <c r="S47" s="702"/>
      <c r="T47" s="702"/>
      <c r="U47" s="702"/>
      <c r="V47" s="702"/>
      <c r="W47" s="702"/>
      <c r="X47" s="738"/>
      <c r="Y47" s="738"/>
      <c r="Z47" s="738"/>
      <c r="AA47" s="738">
        <f>'4.21.22'!E29</f>
        <v>2793</v>
      </c>
      <c r="AB47" s="738">
        <f>'4.22.22'!E19</f>
        <v>4199</v>
      </c>
      <c r="AC47" s="738"/>
      <c r="AD47" s="738"/>
      <c r="AE47" s="589">
        <f>'4.25.22'!E18</f>
        <v>4408</v>
      </c>
      <c r="AF47" s="589"/>
      <c r="AG47" s="589"/>
      <c r="AH47" s="589"/>
      <c r="AI47" s="589"/>
      <c r="AJ47" s="589"/>
      <c r="AK47" s="589"/>
      <c r="AL47" s="252"/>
      <c r="AM47" s="252"/>
      <c r="AN47" s="252"/>
      <c r="AO47" s="252"/>
      <c r="AP47" s="252"/>
      <c r="AQ47" s="772"/>
      <c r="AR47" s="772"/>
      <c r="AS47" s="702"/>
      <c r="AT47" s="702"/>
      <c r="AU47" s="702">
        <f>'5.11.22'!E28</f>
        <v>3990</v>
      </c>
      <c r="AV47" s="702"/>
      <c r="AW47" s="702">
        <f>'5.13.22'!E28</f>
        <v>4028</v>
      </c>
      <c r="AX47" s="702"/>
      <c r="AY47" s="702">
        <f>'5.15.22'!E28</f>
        <v>4151.5</v>
      </c>
      <c r="AZ47" s="738"/>
      <c r="BA47" s="738"/>
      <c r="BB47" s="738"/>
      <c r="BC47" s="738">
        <f>'5.19.22'!E18</f>
        <v>4949.5</v>
      </c>
      <c r="BD47" s="738"/>
      <c r="BE47" s="738"/>
      <c r="BF47" s="738"/>
      <c r="BG47" s="589"/>
      <c r="BH47" s="589">
        <f>'5.24.22'!E18</f>
        <v>5253.5</v>
      </c>
      <c r="BI47" s="589"/>
      <c r="BJ47" s="589">
        <f>'5.26.22'!E28</f>
        <v>4113.5</v>
      </c>
      <c r="BK47" s="589"/>
      <c r="BL47" s="870"/>
      <c r="BM47" s="870"/>
      <c r="BN47" s="252"/>
      <c r="BO47" s="252"/>
      <c r="BP47" s="252"/>
      <c r="BQ47" s="252"/>
      <c r="BR47" s="252"/>
      <c r="BS47" s="252"/>
      <c r="BT47" s="252"/>
      <c r="BU47" s="252"/>
      <c r="BV47" s="252"/>
      <c r="BW47" s="252"/>
      <c r="BX47" s="772"/>
      <c r="BY47" s="772"/>
      <c r="BZ47" s="772"/>
      <c r="CA47" s="772"/>
      <c r="CB47" s="738"/>
      <c r="CC47" s="738"/>
      <c r="CD47" s="738"/>
      <c r="CE47" s="738">
        <f>'6.16.22'!E13</f>
        <v>2014</v>
      </c>
      <c r="CF47" s="252"/>
      <c r="CG47" s="252"/>
      <c r="CH47" s="252"/>
      <c r="CI47" s="52">
        <f t="shared" si="0"/>
        <v>58111.5</v>
      </c>
      <c r="CJ47" s="358">
        <f>449000-CI47+350000+350000</f>
        <v>1090888.5</v>
      </c>
      <c r="CK47" s="776"/>
      <c r="CL47" s="195" t="s">
        <v>70</v>
      </c>
      <c r="CM47" s="510">
        <v>440900</v>
      </c>
      <c r="CN47" s="234">
        <f t="shared" si="2"/>
        <v>499011.5</v>
      </c>
      <c r="CO47" s="234"/>
      <c r="CP47" s="979">
        <v>45</v>
      </c>
      <c r="CQ47" s="981">
        <f t="shared" si="1"/>
        <v>597.9487179487179</v>
      </c>
      <c r="CR47" s="977">
        <v>5830</v>
      </c>
      <c r="CS47" s="978" t="s">
        <v>58</v>
      </c>
    </row>
    <row r="48" spans="1:97" ht="10.15" customHeight="1">
      <c r="A48" s="195" t="s">
        <v>181</v>
      </c>
      <c r="B48" s="252"/>
      <c r="C48" s="252"/>
      <c r="D48" s="252"/>
      <c r="E48" s="252"/>
      <c r="F48" s="252"/>
      <c r="G48" s="252"/>
      <c r="H48" s="252"/>
      <c r="I48" s="252"/>
      <c r="J48" s="252"/>
      <c r="K48" s="252"/>
      <c r="L48" s="252"/>
      <c r="M48" s="252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  <c r="AA48" s="252"/>
      <c r="AB48" s="252"/>
      <c r="AC48" s="252"/>
      <c r="AD48" s="252"/>
      <c r="AE48" s="758"/>
      <c r="AF48" s="758"/>
      <c r="AG48" s="758"/>
      <c r="AH48" s="758"/>
      <c r="AI48" s="758"/>
      <c r="AJ48" s="758"/>
      <c r="AK48" s="758"/>
      <c r="AL48" s="252"/>
      <c r="AM48" s="252"/>
      <c r="AN48" s="252"/>
      <c r="AO48" s="252"/>
      <c r="AP48" s="252"/>
      <c r="AQ48" s="772"/>
      <c r="AR48" s="772"/>
      <c r="AS48" s="252"/>
      <c r="AT48" s="252"/>
      <c r="AU48" s="252"/>
      <c r="AV48" s="252"/>
      <c r="AW48" s="252"/>
      <c r="AX48" s="252"/>
      <c r="AY48" s="252"/>
      <c r="AZ48" s="252"/>
      <c r="BA48" s="252"/>
      <c r="BB48" s="252"/>
      <c r="BC48" s="252"/>
      <c r="BD48" s="252"/>
      <c r="BE48" s="252"/>
      <c r="BF48" s="252"/>
      <c r="BG48" s="252"/>
      <c r="BH48" s="252"/>
      <c r="BI48" s="252"/>
      <c r="BJ48" s="252"/>
      <c r="BK48" s="252"/>
      <c r="BL48" s="870"/>
      <c r="BM48" s="870"/>
      <c r="BN48" s="252"/>
      <c r="BO48" s="252"/>
      <c r="BP48" s="252"/>
      <c r="BQ48" s="252"/>
      <c r="BR48" s="252"/>
      <c r="BS48" s="252"/>
      <c r="BT48" s="252"/>
      <c r="BU48" s="252"/>
      <c r="BV48" s="252"/>
      <c r="BW48" s="252"/>
      <c r="BX48" s="772"/>
      <c r="BY48" s="772"/>
      <c r="BZ48" s="772"/>
      <c r="CA48" s="772"/>
      <c r="CB48" s="252"/>
      <c r="CC48" s="252"/>
      <c r="CD48" s="252"/>
      <c r="CE48" s="252"/>
      <c r="CF48" s="252"/>
      <c r="CG48" s="252"/>
      <c r="CH48" s="252"/>
      <c r="CI48" s="52">
        <f t="shared" si="0"/>
        <v>0</v>
      </c>
      <c r="CJ48" s="358">
        <f>100000-CI48</f>
        <v>100000</v>
      </c>
      <c r="CK48" s="776"/>
      <c r="CL48" s="195" t="s">
        <v>181</v>
      </c>
      <c r="CM48" s="516">
        <v>7640</v>
      </c>
      <c r="CN48" s="234">
        <f t="shared" si="2"/>
        <v>7640</v>
      </c>
      <c r="CO48" s="234"/>
      <c r="CP48" s="979">
        <v>46</v>
      </c>
      <c r="CQ48" s="981">
        <f t="shared" si="1"/>
        <v>366.15384615384613</v>
      </c>
      <c r="CR48" s="977">
        <v>3570</v>
      </c>
      <c r="CS48" s="978" t="s">
        <v>240</v>
      </c>
    </row>
    <row r="49" spans="1:105" s="516" customFormat="1" ht="10.15" customHeight="1">
      <c r="A49" s="195" t="s">
        <v>244</v>
      </c>
      <c r="B49" s="252"/>
      <c r="C49" s="252"/>
      <c r="D49" s="252"/>
      <c r="E49" s="252"/>
      <c r="F49" s="252"/>
      <c r="G49" s="252"/>
      <c r="H49" s="252"/>
      <c r="I49" s="252"/>
      <c r="J49" s="640"/>
      <c r="K49" s="640"/>
      <c r="L49" s="640">
        <f>'4.6.22'!E19</f>
        <v>4617</v>
      </c>
      <c r="M49" s="640"/>
      <c r="N49" s="640"/>
      <c r="O49" s="640"/>
      <c r="P49" s="640"/>
      <c r="Q49" s="702"/>
      <c r="R49" s="702"/>
      <c r="S49" s="702">
        <f>'4.13.22'!E21</f>
        <v>1444</v>
      </c>
      <c r="T49" s="702"/>
      <c r="U49" s="702">
        <f>'4.15.22'!E21</f>
        <v>3600.5</v>
      </c>
      <c r="V49" s="702"/>
      <c r="W49" s="702"/>
      <c r="X49" s="738"/>
      <c r="Y49" s="738"/>
      <c r="Z49" s="738"/>
      <c r="AA49" s="738">
        <f>'4.21.22'!E18</f>
        <v>3895</v>
      </c>
      <c r="AB49" s="738"/>
      <c r="AC49" s="738"/>
      <c r="AD49" s="738"/>
      <c r="AE49" s="589"/>
      <c r="AF49" s="589"/>
      <c r="AG49" s="589"/>
      <c r="AH49" s="589"/>
      <c r="AI49" s="589"/>
      <c r="AJ49" s="589">
        <f>'4.30.22'!E29</f>
        <v>2964</v>
      </c>
      <c r="AK49" s="589"/>
      <c r="AL49" s="640">
        <f>'5.2.22'!E12</f>
        <v>3762</v>
      </c>
      <c r="AM49" s="640"/>
      <c r="AN49" s="640"/>
      <c r="AO49" s="640">
        <f>'5.5.22'!E12+'5.5.22'!E19</f>
        <v>7533.5</v>
      </c>
      <c r="AP49" s="640"/>
      <c r="AQ49" s="783"/>
      <c r="AR49" s="783"/>
      <c r="AS49" s="702" t="s">
        <v>306</v>
      </c>
      <c r="AT49" s="702">
        <f>'5.10.22'!E19</f>
        <v>4455.5</v>
      </c>
      <c r="AU49" s="702"/>
      <c r="AV49" s="702"/>
      <c r="AW49" s="702">
        <f>'5.13.22'!E29</f>
        <v>2764.5</v>
      </c>
      <c r="AX49" s="702"/>
      <c r="AY49" s="702"/>
      <c r="AZ49" s="252"/>
      <c r="BA49" s="252"/>
      <c r="BB49" s="252">
        <f>'5.18.22'!E28</f>
        <v>3515</v>
      </c>
      <c r="BC49" s="781"/>
      <c r="BD49" s="252"/>
      <c r="BE49" s="252"/>
      <c r="BF49" s="252"/>
      <c r="BG49" s="589">
        <f>'5.23.22'!E21</f>
        <v>4607.5</v>
      </c>
      <c r="BH49" s="589"/>
      <c r="BI49" s="589"/>
      <c r="BJ49" s="589"/>
      <c r="BK49" s="589"/>
      <c r="BL49" s="870"/>
      <c r="BM49" s="870"/>
      <c r="BN49" s="640"/>
      <c r="BO49" s="640"/>
      <c r="BP49" s="640"/>
      <c r="BQ49" s="640">
        <f>'6.02.22'!E19</f>
        <v>4826</v>
      </c>
      <c r="BR49" s="640"/>
      <c r="BS49" s="640"/>
      <c r="BT49" s="640"/>
      <c r="BU49" s="702"/>
      <c r="BV49" s="702">
        <f>'6.07.22'!E19</f>
        <v>5101.5</v>
      </c>
      <c r="BW49" s="702"/>
      <c r="BX49" s="772"/>
      <c r="BY49" s="772"/>
      <c r="BZ49" s="772"/>
      <c r="CA49" s="772"/>
      <c r="CB49" s="738">
        <f>'6.13.22'!E9</f>
        <v>370.5</v>
      </c>
      <c r="CC49" s="738"/>
      <c r="CD49" s="738"/>
      <c r="CE49" s="738"/>
      <c r="CF49" s="252"/>
      <c r="CG49" s="252"/>
      <c r="CH49" s="252"/>
      <c r="CI49" s="520">
        <f t="shared" si="0"/>
        <v>53456.5</v>
      </c>
      <c r="CJ49" s="358">
        <f>100000-CI49</f>
        <v>46543.5</v>
      </c>
      <c r="CK49" s="776"/>
      <c r="CL49" s="195" t="s">
        <v>244</v>
      </c>
      <c r="CM49" s="474">
        <v>11130</v>
      </c>
      <c r="CN49" s="234">
        <f t="shared" si="2"/>
        <v>64586.5</v>
      </c>
      <c r="CO49" s="234"/>
      <c r="CP49" s="979">
        <v>47</v>
      </c>
      <c r="CQ49" s="981">
        <f t="shared" si="1"/>
        <v>284.5128205128205</v>
      </c>
      <c r="CR49" s="977">
        <v>2774</v>
      </c>
      <c r="CS49" s="978" t="s">
        <v>265</v>
      </c>
    </row>
    <row r="50" spans="1:105" s="521" customFormat="1" ht="10.15" customHeight="1">
      <c r="A50" s="515" t="s">
        <v>205</v>
      </c>
      <c r="B50" s="252"/>
      <c r="C50" s="252"/>
      <c r="D50" s="252"/>
      <c r="E50" s="252"/>
      <c r="F50" s="252"/>
      <c r="G50" s="252"/>
      <c r="H50" s="252"/>
      <c r="I50" s="252"/>
      <c r="J50" s="252"/>
      <c r="K50" s="252"/>
      <c r="L50" s="252"/>
      <c r="M50" s="252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738">
        <f>'4.18.22'!E22</f>
        <v>3078</v>
      </c>
      <c r="Y50" s="738"/>
      <c r="Z50" s="738"/>
      <c r="AA50" s="738"/>
      <c r="AB50" s="738"/>
      <c r="AC50" s="738"/>
      <c r="AD50" s="738"/>
      <c r="AE50" s="589">
        <f>'4.25.22'!E19</f>
        <v>2707.5</v>
      </c>
      <c r="AF50" s="589"/>
      <c r="AG50" s="589"/>
      <c r="AH50" s="589"/>
      <c r="AI50" s="589"/>
      <c r="AJ50" s="589"/>
      <c r="AK50" s="589"/>
      <c r="AL50" s="640"/>
      <c r="AM50" s="640">
        <f>'5.3.22'!E22</f>
        <v>2688.5</v>
      </c>
      <c r="AN50" s="640"/>
      <c r="AO50" s="640"/>
      <c r="AP50" s="640"/>
      <c r="AQ50" s="783"/>
      <c r="AR50" s="783"/>
      <c r="AS50" s="702"/>
      <c r="AT50" s="702"/>
      <c r="AU50" s="702"/>
      <c r="AV50" s="702">
        <f>'5.12.22'!E29</f>
        <v>1178</v>
      </c>
      <c r="AW50" s="702"/>
      <c r="AX50" s="702"/>
      <c r="AY50" s="702"/>
      <c r="AZ50" s="252"/>
      <c r="BA50" s="252"/>
      <c r="BB50" s="252"/>
      <c r="BC50" s="252">
        <f>'5.19.22'!E28</f>
        <v>1311</v>
      </c>
      <c r="BD50" s="252"/>
      <c r="BE50" s="252"/>
      <c r="BF50" s="252"/>
      <c r="BG50" s="589"/>
      <c r="BH50" s="589">
        <f>'5.24.22'!E28</f>
        <v>1586.5</v>
      </c>
      <c r="BI50" s="589"/>
      <c r="BJ50" s="589"/>
      <c r="BK50" s="589"/>
      <c r="BL50" s="870"/>
      <c r="BM50" s="870"/>
      <c r="BN50" s="640"/>
      <c r="BO50" s="640">
        <f>'5.31.22'!E22</f>
        <v>2384.5</v>
      </c>
      <c r="BP50" s="640"/>
      <c r="BQ50" s="640"/>
      <c r="BR50" s="640"/>
      <c r="BS50" s="640"/>
      <c r="BT50" s="640"/>
      <c r="BU50" s="252"/>
      <c r="BV50" s="252"/>
      <c r="BW50" s="252"/>
      <c r="BX50" s="772"/>
      <c r="BY50" s="772"/>
      <c r="BZ50" s="772"/>
      <c r="CA50" s="772"/>
      <c r="CB50" s="252"/>
      <c r="CC50" s="252"/>
      <c r="CD50" s="252"/>
      <c r="CE50" s="252"/>
      <c r="CF50" s="252"/>
      <c r="CG50" s="252"/>
      <c r="CH50" s="252"/>
      <c r="CI50" s="522">
        <f t="shared" si="0"/>
        <v>14934</v>
      </c>
      <c r="CJ50" s="522">
        <f t="shared" si="3"/>
        <v>85066</v>
      </c>
      <c r="CK50" s="777"/>
      <c r="CL50" s="515" t="s">
        <v>205</v>
      </c>
      <c r="CM50" s="474">
        <v>27290</v>
      </c>
      <c r="CN50" s="234">
        <f t="shared" si="2"/>
        <v>42224</v>
      </c>
      <c r="CO50" s="234"/>
      <c r="CP50" s="979">
        <v>48</v>
      </c>
      <c r="CQ50" s="981">
        <f t="shared" si="1"/>
        <v>51.282051282051285</v>
      </c>
      <c r="CR50" s="977">
        <v>500</v>
      </c>
      <c r="CS50" s="978" t="s">
        <v>79</v>
      </c>
    </row>
    <row r="51" spans="1:105" ht="13.9" customHeight="1" thickBot="1">
      <c r="A51" s="46" t="s">
        <v>24</v>
      </c>
      <c r="B51" s="530">
        <f t="shared" ref="B51:BN51" si="12">SUM(B3:B50)</f>
        <v>5349</v>
      </c>
      <c r="C51" s="530">
        <f t="shared" si="12"/>
        <v>18696</v>
      </c>
      <c r="D51" s="530">
        <f t="shared" si="12"/>
        <v>20045</v>
      </c>
      <c r="E51" s="530">
        <f t="shared" si="12"/>
        <v>19285</v>
      </c>
      <c r="F51" s="530">
        <f t="shared" si="12"/>
        <v>24310.5</v>
      </c>
      <c r="G51" s="530">
        <f t="shared" si="12"/>
        <v>18202</v>
      </c>
      <c r="H51" s="530">
        <f t="shared" si="12"/>
        <v>25963.5</v>
      </c>
      <c r="I51" s="530">
        <f t="shared" si="12"/>
        <v>25564.5</v>
      </c>
      <c r="J51" s="530">
        <f t="shared" si="12"/>
        <v>26201</v>
      </c>
      <c r="K51" s="530">
        <f t="shared" si="12"/>
        <v>22923.5</v>
      </c>
      <c r="L51" s="530">
        <f t="shared" si="12"/>
        <v>21403.5</v>
      </c>
      <c r="M51" s="530">
        <f t="shared" si="12"/>
        <v>23303.5</v>
      </c>
      <c r="N51" s="530">
        <f t="shared" si="12"/>
        <v>21289.5</v>
      </c>
      <c r="O51" s="530">
        <f t="shared" si="12"/>
        <v>33022</v>
      </c>
      <c r="P51" s="530">
        <f t="shared" si="12"/>
        <v>29431</v>
      </c>
      <c r="Q51" s="530">
        <f t="shared" si="12"/>
        <v>17499</v>
      </c>
      <c r="R51" s="530">
        <f t="shared" si="12"/>
        <v>27379</v>
      </c>
      <c r="S51" s="530">
        <f t="shared" si="12"/>
        <v>17869.5</v>
      </c>
      <c r="T51" s="530">
        <f t="shared" si="12"/>
        <v>23579</v>
      </c>
      <c r="U51" s="530">
        <f t="shared" si="12"/>
        <v>17755.5</v>
      </c>
      <c r="V51" s="530">
        <f t="shared" si="12"/>
        <v>24519.5</v>
      </c>
      <c r="W51" s="530">
        <f t="shared" si="12"/>
        <v>24833</v>
      </c>
      <c r="X51" s="530">
        <f t="shared" si="12"/>
        <v>16767.5</v>
      </c>
      <c r="Y51" s="530">
        <f t="shared" si="12"/>
        <v>20064</v>
      </c>
      <c r="Z51" s="530">
        <f t="shared" si="12"/>
        <v>16482.5</v>
      </c>
      <c r="AA51" s="530">
        <f t="shared" si="12"/>
        <v>25906.5</v>
      </c>
      <c r="AB51" s="530">
        <f t="shared" si="12"/>
        <v>21318</v>
      </c>
      <c r="AC51" s="530">
        <f t="shared" si="12"/>
        <v>22553</v>
      </c>
      <c r="AD51" s="530">
        <f t="shared" si="12"/>
        <v>27265</v>
      </c>
      <c r="AE51" s="530">
        <f>SUM(AE3:AE50)</f>
        <v>20672</v>
      </c>
      <c r="AF51" s="530">
        <f t="shared" si="12"/>
        <v>24966</v>
      </c>
      <c r="AG51" s="530">
        <f t="shared" si="12"/>
        <v>21185</v>
      </c>
      <c r="AH51" s="530">
        <f t="shared" si="12"/>
        <v>24643</v>
      </c>
      <c r="AI51" s="530">
        <f t="shared" si="12"/>
        <v>21289.5</v>
      </c>
      <c r="AJ51" s="530">
        <f t="shared" si="12"/>
        <v>26514.5</v>
      </c>
      <c r="AK51" s="530">
        <f t="shared" si="12"/>
        <v>25441</v>
      </c>
      <c r="AL51" s="530">
        <f t="shared" si="12"/>
        <v>28272</v>
      </c>
      <c r="AM51" s="530">
        <f t="shared" si="12"/>
        <v>27227</v>
      </c>
      <c r="AN51" s="530">
        <f t="shared" si="12"/>
        <v>23313</v>
      </c>
      <c r="AO51" s="530">
        <f t="shared" si="12"/>
        <v>22391.5</v>
      </c>
      <c r="AP51" s="530">
        <f t="shared" si="12"/>
        <v>21878.5</v>
      </c>
      <c r="AQ51" s="773">
        <f t="shared" si="12"/>
        <v>0</v>
      </c>
      <c r="AR51" s="773">
        <f t="shared" si="12"/>
        <v>0</v>
      </c>
      <c r="AS51" s="530">
        <f t="shared" si="12"/>
        <v>17879</v>
      </c>
      <c r="AT51" s="530">
        <f t="shared" si="12"/>
        <v>26305.5</v>
      </c>
      <c r="AU51" s="530">
        <f t="shared" si="12"/>
        <v>16995.5</v>
      </c>
      <c r="AV51" s="530">
        <f t="shared" si="12"/>
        <v>24405.5</v>
      </c>
      <c r="AW51" s="530">
        <f t="shared" si="12"/>
        <v>22705</v>
      </c>
      <c r="AX51" s="530">
        <f t="shared" si="12"/>
        <v>17622.5</v>
      </c>
      <c r="AY51" s="530">
        <f t="shared" si="12"/>
        <v>22572</v>
      </c>
      <c r="AZ51" s="530">
        <f t="shared" si="12"/>
        <v>22629</v>
      </c>
      <c r="BA51" s="530">
        <f t="shared" si="12"/>
        <v>22325</v>
      </c>
      <c r="BB51" s="530">
        <f t="shared" si="12"/>
        <v>24177.5</v>
      </c>
      <c r="BC51" s="530">
        <f>SUM(BC3:BC50)</f>
        <v>25574</v>
      </c>
      <c r="BD51" s="530">
        <f t="shared" si="12"/>
        <v>18762.5</v>
      </c>
      <c r="BE51" s="530">
        <f t="shared" si="12"/>
        <v>21764.5</v>
      </c>
      <c r="BF51" s="530">
        <f t="shared" si="12"/>
        <v>21413</v>
      </c>
      <c r="BG51" s="530">
        <f t="shared" si="12"/>
        <v>21251.5</v>
      </c>
      <c r="BH51" s="530">
        <f t="shared" si="12"/>
        <v>26239</v>
      </c>
      <c r="BI51" s="530">
        <f t="shared" si="12"/>
        <v>17575</v>
      </c>
      <c r="BJ51" s="530">
        <f t="shared" si="12"/>
        <v>30086.5</v>
      </c>
      <c r="BK51" s="530">
        <f t="shared" si="12"/>
        <v>21546</v>
      </c>
      <c r="BL51" s="871">
        <f t="shared" si="12"/>
        <v>0</v>
      </c>
      <c r="BM51" s="871">
        <f t="shared" si="12"/>
        <v>0</v>
      </c>
      <c r="BN51" s="530">
        <f t="shared" si="12"/>
        <v>29003.5</v>
      </c>
      <c r="BO51" s="530">
        <f t="shared" ref="BO51:CH51" si="13">SUM(BO3:BO50)</f>
        <v>28224.5</v>
      </c>
      <c r="BP51" s="530">
        <f t="shared" si="13"/>
        <v>25441</v>
      </c>
      <c r="BQ51" s="530">
        <f t="shared" si="13"/>
        <v>19978.5</v>
      </c>
      <c r="BR51" s="530">
        <f t="shared" si="13"/>
        <v>20947.5</v>
      </c>
      <c r="BS51" s="530">
        <f t="shared" si="13"/>
        <v>16349.5</v>
      </c>
      <c r="BT51" s="530">
        <f t="shared" si="13"/>
        <v>21764.5</v>
      </c>
      <c r="BU51" s="530">
        <f t="shared" si="13"/>
        <v>26077.5</v>
      </c>
      <c r="BV51" s="530">
        <f t="shared" si="13"/>
        <v>30362</v>
      </c>
      <c r="BW51" s="530">
        <f t="shared" si="13"/>
        <v>22429.5</v>
      </c>
      <c r="BX51" s="773">
        <f t="shared" si="13"/>
        <v>0</v>
      </c>
      <c r="BY51" s="773">
        <f t="shared" si="13"/>
        <v>0</v>
      </c>
      <c r="BZ51" s="773">
        <f t="shared" si="13"/>
        <v>0</v>
      </c>
      <c r="CA51" s="773">
        <f t="shared" si="13"/>
        <v>0</v>
      </c>
      <c r="CB51" s="530">
        <f t="shared" si="13"/>
        <v>1406</v>
      </c>
      <c r="CC51" s="530">
        <f t="shared" si="13"/>
        <v>2308.5</v>
      </c>
      <c r="CD51" s="530">
        <f t="shared" si="13"/>
        <v>2584</v>
      </c>
      <c r="CE51" s="530">
        <f t="shared" si="13"/>
        <v>8531</v>
      </c>
      <c r="CF51" s="530" t="e">
        <f t="shared" si="13"/>
        <v>#REF!</v>
      </c>
      <c r="CG51" s="530">
        <f t="shared" si="13"/>
        <v>0</v>
      </c>
      <c r="CH51" s="530">
        <f t="shared" si="13"/>
        <v>0</v>
      </c>
      <c r="CI51" s="55" t="e">
        <f>SUM(CI3:CI50)</f>
        <v>#REF!</v>
      </c>
      <c r="CJ51" s="55" t="e">
        <f>SUM(CJ3:CJ50)</f>
        <v>#REF!</v>
      </c>
      <c r="CK51" s="778"/>
      <c r="CL51" s="516"/>
      <c r="CM51" s="516">
        <f>SUM(CM3:CM50)</f>
        <v>3526350</v>
      </c>
      <c r="CN51" s="234" t="e">
        <f>SUM(CN3:CN50)</f>
        <v>#REF!</v>
      </c>
      <c r="CO51" s="234"/>
      <c r="CP51" s="980"/>
      <c r="CQ51" s="981">
        <f>SUM(CQ3:CQ50)</f>
        <v>526400.15384615399</v>
      </c>
      <c r="CR51" s="977">
        <f>SUM(CR3:CR50)</f>
        <v>5132401.5</v>
      </c>
      <c r="CS51" s="937"/>
    </row>
    <row r="52" spans="1:105" ht="12" customHeight="1" thickTop="1">
      <c r="A52" s="198" t="s">
        <v>85</v>
      </c>
      <c r="B52" s="241">
        <v>5349</v>
      </c>
      <c r="C52" s="241">
        <v>18696</v>
      </c>
      <c r="D52" s="241">
        <v>20045</v>
      </c>
      <c r="E52" s="241">
        <v>19285</v>
      </c>
      <c r="F52" s="241">
        <f>'3.31.22'!E37</f>
        <v>24310.5</v>
      </c>
      <c r="G52" s="241">
        <v>18202</v>
      </c>
      <c r="H52" s="241">
        <f>'4.2.22'!E37</f>
        <v>25963.5</v>
      </c>
      <c r="I52" s="241">
        <f>'4.3.22'!E37</f>
        <v>25564.5</v>
      </c>
      <c r="J52" s="241">
        <v>26201</v>
      </c>
      <c r="K52" s="241">
        <f>'4.5.22'!E37</f>
        <v>22923.5</v>
      </c>
      <c r="L52" s="241">
        <f>'4.6.22'!E37</f>
        <v>21403.5</v>
      </c>
      <c r="M52" s="241">
        <f>'4.7.22'!E37</f>
        <v>23303.5</v>
      </c>
      <c r="N52" s="241">
        <f>'4.8.22'!E38</f>
        <v>21289.5</v>
      </c>
      <c r="O52" s="241">
        <v>33022</v>
      </c>
      <c r="P52" s="241">
        <v>29431</v>
      </c>
      <c r="Q52" s="241">
        <v>17499</v>
      </c>
      <c r="R52" s="241">
        <v>27379</v>
      </c>
      <c r="S52" s="241">
        <f>'4.13.22'!E38</f>
        <v>17869.5</v>
      </c>
      <c r="T52" s="241">
        <v>23579</v>
      </c>
      <c r="U52" s="241">
        <f>'4.15.22'!E38</f>
        <v>17755.5</v>
      </c>
      <c r="V52" s="241">
        <f>'4.16.22'!E37</f>
        <v>24519.5</v>
      </c>
      <c r="W52" s="241">
        <v>24833</v>
      </c>
      <c r="X52" s="241">
        <f>'4.18.22'!E38</f>
        <v>16767.5</v>
      </c>
      <c r="Y52" s="241">
        <f>'4.19.22'!E38</f>
        <v>20064</v>
      </c>
      <c r="Z52" s="241">
        <f>'4.20.22'!E38</f>
        <v>16482.5</v>
      </c>
      <c r="AA52" s="241">
        <f>'4.21.22'!E38</f>
        <v>25906.5</v>
      </c>
      <c r="AB52" s="241">
        <v>21318</v>
      </c>
      <c r="AC52" s="241">
        <v>22553</v>
      </c>
      <c r="AD52" s="241">
        <v>27265</v>
      </c>
      <c r="AE52" s="241">
        <v>20672</v>
      </c>
      <c r="AF52" s="241">
        <v>24966</v>
      </c>
      <c r="AG52" s="241">
        <v>21185</v>
      </c>
      <c r="AH52" s="241">
        <v>24643</v>
      </c>
      <c r="AI52" s="241">
        <f>'4.29.22'!E38</f>
        <v>21289.5</v>
      </c>
      <c r="AJ52" s="241">
        <f>'4.30.22'!E37</f>
        <v>26514.5</v>
      </c>
      <c r="AK52" s="241">
        <v>25441</v>
      </c>
      <c r="AL52" s="241">
        <f>'5.2.22'!E38</f>
        <v>28272</v>
      </c>
      <c r="AM52" s="241">
        <v>27227</v>
      </c>
      <c r="AN52" s="241">
        <v>23313</v>
      </c>
      <c r="AO52" s="241">
        <f>'5.5.22'!E38</f>
        <v>22391.5</v>
      </c>
      <c r="AP52" s="241">
        <f>'5.6.22'!E38</f>
        <v>21878.5</v>
      </c>
      <c r="AQ52" s="241"/>
      <c r="AR52" s="241"/>
      <c r="AS52" s="241">
        <v>17879</v>
      </c>
      <c r="AT52" s="241">
        <f>'5.10.22'!E38</f>
        <v>26305.5</v>
      </c>
      <c r="AU52" s="241">
        <f>'5.11.22'!E38</f>
        <v>16995.5</v>
      </c>
      <c r="AV52" s="241">
        <f>'5.12.22'!E38</f>
        <v>24405.5</v>
      </c>
      <c r="AW52" s="241">
        <v>22705</v>
      </c>
      <c r="AX52" s="241">
        <v>17622.5</v>
      </c>
      <c r="AY52" s="241">
        <v>22572</v>
      </c>
      <c r="AZ52" s="241">
        <v>22629</v>
      </c>
      <c r="BA52" s="241">
        <v>22325</v>
      </c>
      <c r="BB52" s="241">
        <f>'5.18.22'!E38</f>
        <v>24177.5</v>
      </c>
      <c r="BC52" s="241">
        <v>25574</v>
      </c>
      <c r="BD52" s="241">
        <f>'5.20.22'!E38</f>
        <v>18762.5</v>
      </c>
      <c r="BE52" s="241">
        <f>'5.21.22'!E38</f>
        <v>21764.5</v>
      </c>
      <c r="BF52" s="241">
        <v>21413</v>
      </c>
      <c r="BG52" s="241">
        <f>'5.23.22'!E38</f>
        <v>21251.5</v>
      </c>
      <c r="BH52" s="241">
        <v>26239</v>
      </c>
      <c r="BI52" s="241">
        <v>17575</v>
      </c>
      <c r="BJ52" s="241">
        <f>'5.26.22'!E38</f>
        <v>30086.5</v>
      </c>
      <c r="BK52" s="241">
        <v>21546</v>
      </c>
      <c r="BL52" s="241"/>
      <c r="BM52" s="241"/>
      <c r="BN52" s="241">
        <f>'5.30.22'!E38</f>
        <v>29003.5</v>
      </c>
      <c r="BO52" s="241">
        <f>'5.31.22'!E38</f>
        <v>28224.5</v>
      </c>
      <c r="BP52" s="241">
        <v>25441</v>
      </c>
      <c r="BQ52" s="241">
        <f>'6.02.22'!E38</f>
        <v>19978.5</v>
      </c>
      <c r="BR52" s="241">
        <f>'6.03.02'!E38</f>
        <v>20947.5</v>
      </c>
      <c r="BS52" s="241">
        <f>'6.04.22'!E38</f>
        <v>16349.5</v>
      </c>
      <c r="BT52" s="241">
        <f>'6.05.22'!E38</f>
        <v>21764.5</v>
      </c>
      <c r="BU52" s="241">
        <f>'6.06.22'!E38</f>
        <v>26077.5</v>
      </c>
      <c r="BV52" s="241">
        <v>30362</v>
      </c>
      <c r="BW52" s="241">
        <f>'6.08.22'!E38</f>
        <v>22429.5</v>
      </c>
      <c r="BX52" s="241"/>
      <c r="BY52" s="241"/>
      <c r="BZ52" s="241"/>
      <c r="CA52" s="241"/>
      <c r="CB52" s="241">
        <v>1406</v>
      </c>
      <c r="CC52" s="241">
        <f>'6.14.22'!E38</f>
        <v>2308.5</v>
      </c>
      <c r="CD52" s="241">
        <f>'6.15.22'!E38</f>
        <v>2584</v>
      </c>
      <c r="CE52" s="241">
        <f>'6.16.22'!E40</f>
        <v>8531</v>
      </c>
      <c r="CF52" s="241">
        <v>2242</v>
      </c>
      <c r="CG52" s="241"/>
      <c r="CH52" s="241"/>
      <c r="CI52" s="197"/>
      <c r="CJ52" s="57"/>
      <c r="CK52" s="779"/>
      <c r="CL52" s="521"/>
      <c r="CM52" s="521"/>
    </row>
    <row r="53" spans="1:105" ht="12" customHeight="1">
      <c r="A53" s="198" t="s">
        <v>86</v>
      </c>
      <c r="B53" s="242">
        <f t="shared" ref="B53:BM53" si="14">B51-B52</f>
        <v>0</v>
      </c>
      <c r="C53" s="242">
        <f t="shared" si="14"/>
        <v>0</v>
      </c>
      <c r="D53" s="242">
        <f t="shared" si="14"/>
        <v>0</v>
      </c>
      <c r="E53" s="242">
        <f t="shared" si="14"/>
        <v>0</v>
      </c>
      <c r="F53" s="242">
        <f t="shared" si="14"/>
        <v>0</v>
      </c>
      <c r="G53" s="242">
        <f t="shared" si="14"/>
        <v>0</v>
      </c>
      <c r="H53" s="242">
        <f t="shared" si="14"/>
        <v>0</v>
      </c>
      <c r="I53" s="242">
        <f t="shared" si="14"/>
        <v>0</v>
      </c>
      <c r="J53" s="242">
        <f t="shared" si="14"/>
        <v>0</v>
      </c>
      <c r="K53" s="242">
        <f t="shared" si="14"/>
        <v>0</v>
      </c>
      <c r="L53" s="242">
        <f t="shared" si="14"/>
        <v>0</v>
      </c>
      <c r="M53" s="242">
        <f t="shared" si="14"/>
        <v>0</v>
      </c>
      <c r="N53" s="242">
        <f t="shared" si="14"/>
        <v>0</v>
      </c>
      <c r="O53" s="242">
        <f t="shared" si="14"/>
        <v>0</v>
      </c>
      <c r="P53" s="242">
        <f t="shared" si="14"/>
        <v>0</v>
      </c>
      <c r="Q53" s="242">
        <f t="shared" si="14"/>
        <v>0</v>
      </c>
      <c r="R53" s="242">
        <f t="shared" si="14"/>
        <v>0</v>
      </c>
      <c r="S53" s="242">
        <f t="shared" si="14"/>
        <v>0</v>
      </c>
      <c r="T53" s="242">
        <f t="shared" si="14"/>
        <v>0</v>
      </c>
      <c r="U53" s="242">
        <f t="shared" si="14"/>
        <v>0</v>
      </c>
      <c r="V53" s="242">
        <f t="shared" si="14"/>
        <v>0</v>
      </c>
      <c r="W53" s="242">
        <f t="shared" si="14"/>
        <v>0</v>
      </c>
      <c r="X53" s="242">
        <f t="shared" si="14"/>
        <v>0</v>
      </c>
      <c r="Y53" s="242">
        <f t="shared" si="14"/>
        <v>0</v>
      </c>
      <c r="Z53" s="242">
        <f t="shared" si="14"/>
        <v>0</v>
      </c>
      <c r="AA53" s="242">
        <f t="shared" si="14"/>
        <v>0</v>
      </c>
      <c r="AB53" s="242">
        <f t="shared" si="14"/>
        <v>0</v>
      </c>
      <c r="AC53" s="242">
        <f t="shared" si="14"/>
        <v>0</v>
      </c>
      <c r="AD53" s="242">
        <f t="shared" si="14"/>
        <v>0</v>
      </c>
      <c r="AE53" s="242">
        <f t="shared" si="14"/>
        <v>0</v>
      </c>
      <c r="AF53" s="242">
        <f t="shared" si="14"/>
        <v>0</v>
      </c>
      <c r="AG53" s="242">
        <f t="shared" si="14"/>
        <v>0</v>
      </c>
      <c r="AH53" s="242">
        <f t="shared" si="14"/>
        <v>0</v>
      </c>
      <c r="AI53" s="242">
        <f t="shared" si="14"/>
        <v>0</v>
      </c>
      <c r="AJ53" s="242">
        <f t="shared" si="14"/>
        <v>0</v>
      </c>
      <c r="AK53" s="242">
        <f t="shared" si="14"/>
        <v>0</v>
      </c>
      <c r="AL53" s="242">
        <f t="shared" si="14"/>
        <v>0</v>
      </c>
      <c r="AM53" s="242">
        <f t="shared" si="14"/>
        <v>0</v>
      </c>
      <c r="AN53" s="242">
        <f t="shared" si="14"/>
        <v>0</v>
      </c>
      <c r="AO53" s="242">
        <f t="shared" si="14"/>
        <v>0</v>
      </c>
      <c r="AP53" s="242">
        <f t="shared" si="14"/>
        <v>0</v>
      </c>
      <c r="AQ53" s="242">
        <f t="shared" si="14"/>
        <v>0</v>
      </c>
      <c r="AR53" s="242">
        <f t="shared" si="14"/>
        <v>0</v>
      </c>
      <c r="AS53" s="242">
        <f t="shared" si="14"/>
        <v>0</v>
      </c>
      <c r="AT53" s="242">
        <f t="shared" si="14"/>
        <v>0</v>
      </c>
      <c r="AU53" s="242">
        <f t="shared" si="14"/>
        <v>0</v>
      </c>
      <c r="AV53" s="242">
        <f t="shared" si="14"/>
        <v>0</v>
      </c>
      <c r="AW53" s="242">
        <f t="shared" si="14"/>
        <v>0</v>
      </c>
      <c r="AX53" s="242">
        <f t="shared" si="14"/>
        <v>0</v>
      </c>
      <c r="AY53" s="242">
        <f t="shared" si="14"/>
        <v>0</v>
      </c>
      <c r="AZ53" s="242">
        <f t="shared" si="14"/>
        <v>0</v>
      </c>
      <c r="BA53" s="242">
        <f t="shared" si="14"/>
        <v>0</v>
      </c>
      <c r="BB53" s="242">
        <f t="shared" si="14"/>
        <v>0</v>
      </c>
      <c r="BC53" s="242">
        <f t="shared" si="14"/>
        <v>0</v>
      </c>
      <c r="BD53" s="242">
        <f t="shared" si="14"/>
        <v>0</v>
      </c>
      <c r="BE53" s="242">
        <f t="shared" si="14"/>
        <v>0</v>
      </c>
      <c r="BF53" s="242">
        <f t="shared" si="14"/>
        <v>0</v>
      </c>
      <c r="BG53" s="242">
        <f t="shared" si="14"/>
        <v>0</v>
      </c>
      <c r="BH53" s="242">
        <f t="shared" si="14"/>
        <v>0</v>
      </c>
      <c r="BI53" s="242">
        <f t="shared" si="14"/>
        <v>0</v>
      </c>
      <c r="BJ53" s="242">
        <f t="shared" si="14"/>
        <v>0</v>
      </c>
      <c r="BK53" s="242">
        <f t="shared" si="14"/>
        <v>0</v>
      </c>
      <c r="BL53" s="242">
        <f t="shared" si="14"/>
        <v>0</v>
      </c>
      <c r="BM53" s="242">
        <f t="shared" si="14"/>
        <v>0</v>
      </c>
      <c r="BN53" s="242">
        <f t="shared" ref="BN53:BY53" si="15">BN51-BN52</f>
        <v>0</v>
      </c>
      <c r="BO53" s="242">
        <f t="shared" si="15"/>
        <v>0</v>
      </c>
      <c r="BP53" s="242">
        <f t="shared" si="15"/>
        <v>0</v>
      </c>
      <c r="BQ53" s="242">
        <f t="shared" si="15"/>
        <v>0</v>
      </c>
      <c r="BR53" s="242">
        <f t="shared" si="15"/>
        <v>0</v>
      </c>
      <c r="BS53" s="242">
        <f t="shared" si="15"/>
        <v>0</v>
      </c>
      <c r="BT53" s="242">
        <f t="shared" si="15"/>
        <v>0</v>
      </c>
      <c r="BU53" s="242">
        <f t="shared" si="15"/>
        <v>0</v>
      </c>
      <c r="BV53" s="242">
        <f t="shared" si="15"/>
        <v>0</v>
      </c>
      <c r="BW53" s="242">
        <f t="shared" si="15"/>
        <v>0</v>
      </c>
      <c r="BX53" s="242">
        <f t="shared" si="15"/>
        <v>0</v>
      </c>
      <c r="BY53" s="242">
        <f t="shared" si="15"/>
        <v>0</v>
      </c>
      <c r="BZ53" s="242">
        <f>BZ51-BZ52</f>
        <v>0</v>
      </c>
      <c r="CA53" s="242">
        <f t="shared" ref="CA53:CH53" si="16">CA51-CA52</f>
        <v>0</v>
      </c>
      <c r="CB53" s="242">
        <f t="shared" si="16"/>
        <v>0</v>
      </c>
      <c r="CC53" s="242">
        <f t="shared" si="16"/>
        <v>0</v>
      </c>
      <c r="CD53" s="242">
        <f t="shared" si="16"/>
        <v>0</v>
      </c>
      <c r="CE53" s="242">
        <f t="shared" si="16"/>
        <v>0</v>
      </c>
      <c r="CF53" s="242" t="e">
        <f t="shared" si="16"/>
        <v>#REF!</v>
      </c>
      <c r="CG53" s="242">
        <f t="shared" si="16"/>
        <v>0</v>
      </c>
      <c r="CH53" s="242">
        <f t="shared" si="16"/>
        <v>0</v>
      </c>
      <c r="CI53" s="233"/>
      <c r="CJ53" s="199"/>
      <c r="CK53" s="780"/>
      <c r="CM53" s="316"/>
      <c r="CN53" s="199"/>
      <c r="CO53" s="199"/>
      <c r="CP53" s="199"/>
      <c r="CQ53" s="198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</row>
    <row r="54" spans="1:105" ht="23.25">
      <c r="AQ54" s="659" t="s">
        <v>296</v>
      </c>
      <c r="BL54" s="974" t="s">
        <v>318</v>
      </c>
      <c r="BM54" s="974" t="s">
        <v>318</v>
      </c>
      <c r="BW54" s="659" t="s">
        <v>317</v>
      </c>
      <c r="BX54" s="659" t="s">
        <v>318</v>
      </c>
      <c r="BY54" s="974" t="s">
        <v>318</v>
      </c>
      <c r="BZ54" s="974" t="s">
        <v>318</v>
      </c>
      <c r="CA54" s="974" t="s">
        <v>318</v>
      </c>
      <c r="CB54" s="982" t="s">
        <v>319</v>
      </c>
      <c r="CC54" s="982" t="s">
        <v>319</v>
      </c>
      <c r="CD54" s="982" t="s">
        <v>319</v>
      </c>
      <c r="CE54" s="982" t="s">
        <v>320</v>
      </c>
      <c r="CF54" s="982" t="s">
        <v>319</v>
      </c>
    </row>
    <row r="55" spans="1:105">
      <c r="AQ55" s="659" t="s">
        <v>297</v>
      </c>
      <c r="CE55" s="974" t="s">
        <v>324</v>
      </c>
      <c r="CF55" s="974" t="s">
        <v>323</v>
      </c>
      <c r="CI55" s="234"/>
      <c r="CL55" s="199"/>
      <c r="CM55" s="199"/>
    </row>
    <row r="57" spans="1:105">
      <c r="A57" s="188"/>
    </row>
    <row r="58" spans="1:105">
      <c r="A58" s="188"/>
    </row>
  </sheetData>
  <sortState ref="CQ3:CS50">
    <sortCondition descending="1" ref="CR3:CR50"/>
  </sortState>
  <mergeCells count="3">
    <mergeCell ref="A1:A2"/>
    <mergeCell ref="CI1:CI2"/>
    <mergeCell ref="CJ1:CJ2"/>
  </mergeCells>
  <conditionalFormatting sqref="CJ20:CK22 CJ29:CK29 CJ32:CK32 CJ47:CK47 CJ40:CK42 CJ16:CK17 CJ26:CK26 CJ50:CK50 CJ5:CK7 CJ9:CK9 CJ34:CK37 CJ11:CK13">
    <cfRule type="cellIs" dxfId="1161" priority="68" operator="lessThan">
      <formula>20000</formula>
    </cfRule>
    <cfRule type="cellIs" dxfId="1160" priority="69" operator="lessThan">
      <formula>25000</formula>
    </cfRule>
    <cfRule type="cellIs" dxfId="1159" priority="70" operator="lessThan">
      <formula>50000</formula>
    </cfRule>
  </conditionalFormatting>
  <conditionalFormatting sqref="CJ18:CK18">
    <cfRule type="cellIs" dxfId="1158" priority="65" operator="lessThan">
      <formula>20000</formula>
    </cfRule>
    <cfRule type="cellIs" dxfId="1157" priority="66" operator="lessThan">
      <formula>25000</formula>
    </cfRule>
    <cfRule type="cellIs" dxfId="1156" priority="67" operator="lessThan">
      <formula>50000</formula>
    </cfRule>
  </conditionalFormatting>
  <conditionalFormatting sqref="CJ27:CK27">
    <cfRule type="cellIs" dxfId="1155" priority="62" operator="lessThan">
      <formula>20000</formula>
    </cfRule>
    <cfRule type="cellIs" dxfId="1154" priority="63" operator="lessThan">
      <formula>25000</formula>
    </cfRule>
    <cfRule type="cellIs" dxfId="1153" priority="64" operator="lessThan">
      <formula>50000</formula>
    </cfRule>
  </conditionalFormatting>
  <conditionalFormatting sqref="CJ30:CK30">
    <cfRule type="cellIs" dxfId="1152" priority="57" operator="lessThan">
      <formula>20000</formula>
    </cfRule>
    <cfRule type="cellIs" dxfId="1151" priority="58" operator="lessThan">
      <formula>25000</formula>
    </cfRule>
    <cfRule type="cellIs" dxfId="1150" priority="59" operator="lessThan">
      <formula>50000</formula>
    </cfRule>
  </conditionalFormatting>
  <conditionalFormatting sqref="CJ39:CK39">
    <cfRule type="cellIs" dxfId="1149" priority="54" operator="lessThan">
      <formula>20000</formula>
    </cfRule>
    <cfRule type="cellIs" dxfId="1148" priority="55" operator="lessThan">
      <formula>25000</formula>
    </cfRule>
    <cfRule type="cellIs" dxfId="1147" priority="56" operator="lessThan">
      <formula>50000</formula>
    </cfRule>
  </conditionalFormatting>
  <conditionalFormatting sqref="CJ44:CK44">
    <cfRule type="cellIs" dxfId="1146" priority="51" operator="lessThan">
      <formula>20000</formula>
    </cfRule>
    <cfRule type="cellIs" dxfId="1145" priority="52" operator="lessThan">
      <formula>25000</formula>
    </cfRule>
    <cfRule type="cellIs" dxfId="1144" priority="53" operator="lessThan">
      <formula>50000</formula>
    </cfRule>
  </conditionalFormatting>
  <conditionalFormatting sqref="CJ38:CK38">
    <cfRule type="cellIs" dxfId="1143" priority="48" operator="lessThan">
      <formula>20000</formula>
    </cfRule>
    <cfRule type="cellIs" dxfId="1142" priority="49" operator="lessThan">
      <formula>25000</formula>
    </cfRule>
    <cfRule type="cellIs" dxfId="1141" priority="50" operator="lessThan">
      <formula>50000</formula>
    </cfRule>
  </conditionalFormatting>
  <conditionalFormatting sqref="CJ4:CK4">
    <cfRule type="cellIs" dxfId="1140" priority="45" operator="lessThan">
      <formula>20000</formula>
    </cfRule>
    <cfRule type="cellIs" dxfId="1139" priority="46" operator="lessThan">
      <formula>25000</formula>
    </cfRule>
    <cfRule type="cellIs" dxfId="1138" priority="47" operator="lessThan">
      <formula>50000</formula>
    </cfRule>
  </conditionalFormatting>
  <conditionalFormatting sqref="CJ43:CK43">
    <cfRule type="cellIs" dxfId="1137" priority="42" operator="lessThan">
      <formula>20000</formula>
    </cfRule>
    <cfRule type="cellIs" dxfId="1136" priority="43" operator="lessThan">
      <formula>25000</formula>
    </cfRule>
    <cfRule type="cellIs" dxfId="1135" priority="44" operator="lessThan">
      <formula>50000</formula>
    </cfRule>
  </conditionalFormatting>
  <conditionalFormatting sqref="CJ28:CK28">
    <cfRule type="cellIs" dxfId="1134" priority="39" operator="lessThan">
      <formula>20000</formula>
    </cfRule>
    <cfRule type="cellIs" dxfId="1133" priority="40" operator="lessThan">
      <formula>25000</formula>
    </cfRule>
    <cfRule type="cellIs" dxfId="1132" priority="41" operator="lessThan">
      <formula>50000</formula>
    </cfRule>
  </conditionalFormatting>
  <conditionalFormatting sqref="CJ3:CK3">
    <cfRule type="cellIs" dxfId="1131" priority="36" operator="lessThan">
      <formula>20000</formula>
    </cfRule>
    <cfRule type="cellIs" dxfId="1130" priority="37" operator="lessThan">
      <formula>25000</formula>
    </cfRule>
    <cfRule type="cellIs" dxfId="1129" priority="38" operator="lessThan">
      <formula>50000</formula>
    </cfRule>
  </conditionalFormatting>
  <conditionalFormatting sqref="CJ14:CK14">
    <cfRule type="cellIs" dxfId="1128" priority="33" operator="lessThan">
      <formula>20000</formula>
    </cfRule>
    <cfRule type="cellIs" dxfId="1127" priority="34" operator="lessThan">
      <formula>25000</formula>
    </cfRule>
    <cfRule type="cellIs" dxfId="1126" priority="35" operator="lessThan">
      <formula>50000</formula>
    </cfRule>
  </conditionalFormatting>
  <conditionalFormatting sqref="CJ23:CK24">
    <cfRule type="cellIs" dxfId="1125" priority="30" operator="lessThan">
      <formula>20000</formula>
    </cfRule>
    <cfRule type="cellIs" dxfId="1124" priority="31" operator="lessThan">
      <formula>25000</formula>
    </cfRule>
    <cfRule type="cellIs" dxfId="1123" priority="32" operator="lessThan">
      <formula>50000</formula>
    </cfRule>
  </conditionalFormatting>
  <conditionalFormatting sqref="CJ48:CK49">
    <cfRule type="cellIs" dxfId="1122" priority="27" operator="lessThan">
      <formula>20000</formula>
    </cfRule>
    <cfRule type="cellIs" dxfId="1121" priority="28" operator="lessThan">
      <formula>25000</formula>
    </cfRule>
    <cfRule type="cellIs" dxfId="1120" priority="29" operator="lessThan">
      <formula>50000</formula>
    </cfRule>
  </conditionalFormatting>
  <conditionalFormatting sqref="CJ19:CK19">
    <cfRule type="cellIs" dxfId="1119" priority="24" operator="lessThan">
      <formula>20000</formula>
    </cfRule>
    <cfRule type="cellIs" dxfId="1118" priority="25" operator="lessThan">
      <formula>25000</formula>
    </cfRule>
    <cfRule type="cellIs" dxfId="1117" priority="26" operator="lessThan">
      <formula>50000</formula>
    </cfRule>
  </conditionalFormatting>
  <conditionalFormatting sqref="CJ8:CK8">
    <cfRule type="cellIs" dxfId="1116" priority="21" operator="lessThan">
      <formula>20000</formula>
    </cfRule>
    <cfRule type="cellIs" dxfId="1115" priority="22" operator="lessThan">
      <formula>25000</formula>
    </cfRule>
    <cfRule type="cellIs" dxfId="1114" priority="23" operator="lessThan">
      <formula>50000</formula>
    </cfRule>
  </conditionalFormatting>
  <conditionalFormatting sqref="CJ45:CK46">
    <cfRule type="cellIs" dxfId="1113" priority="18" operator="lessThan">
      <formula>20000</formula>
    </cfRule>
    <cfRule type="cellIs" dxfId="1112" priority="19" operator="lessThan">
      <formula>25000</formula>
    </cfRule>
    <cfRule type="cellIs" dxfId="1111" priority="20" operator="lessThan">
      <formula>50000</formula>
    </cfRule>
  </conditionalFormatting>
  <conditionalFormatting sqref="CJ31:CK31">
    <cfRule type="cellIs" dxfId="1110" priority="15" operator="lessThan">
      <formula>20000</formula>
    </cfRule>
    <cfRule type="cellIs" dxfId="1109" priority="16" operator="lessThan">
      <formula>25000</formula>
    </cfRule>
    <cfRule type="cellIs" dxfId="1108" priority="17" operator="lessThan">
      <formula>50000</formula>
    </cfRule>
  </conditionalFormatting>
  <conditionalFormatting sqref="CJ15:CK15">
    <cfRule type="cellIs" dxfId="1107" priority="12" operator="lessThan">
      <formula>20000</formula>
    </cfRule>
    <cfRule type="cellIs" dxfId="1106" priority="13" operator="lessThan">
      <formula>25000</formula>
    </cfRule>
    <cfRule type="cellIs" dxfId="1105" priority="14" operator="lessThan">
      <formula>50000</formula>
    </cfRule>
  </conditionalFormatting>
  <conditionalFormatting sqref="CJ33:CK33">
    <cfRule type="cellIs" dxfId="1104" priority="9" operator="lessThan">
      <formula>20000</formula>
    </cfRule>
    <cfRule type="cellIs" dxfId="1103" priority="10" operator="lessThan">
      <formula>25000</formula>
    </cfRule>
    <cfRule type="cellIs" dxfId="1102" priority="11" operator="lessThan">
      <formula>50000</formula>
    </cfRule>
  </conditionalFormatting>
  <conditionalFormatting sqref="CJ10:CK10">
    <cfRule type="cellIs" dxfId="1101" priority="6" operator="lessThan">
      <formula>20000</formula>
    </cfRule>
    <cfRule type="cellIs" dxfId="1100" priority="7" operator="lessThan">
      <formula>25000</formula>
    </cfRule>
    <cfRule type="cellIs" dxfId="1099" priority="8" operator="lessThan">
      <formula>50000</formula>
    </cfRule>
  </conditionalFormatting>
  <conditionalFormatting sqref="B53:CH53">
    <cfRule type="cellIs" dxfId="1098" priority="4" operator="lessThan">
      <formula>0</formula>
    </cfRule>
    <cfRule type="cellIs" dxfId="1097" priority="5" operator="greaterThan">
      <formula>0</formula>
    </cfRule>
  </conditionalFormatting>
  <conditionalFormatting sqref="CJ25:CK25">
    <cfRule type="cellIs" dxfId="1096" priority="1" operator="lessThan">
      <formula>20000</formula>
    </cfRule>
    <cfRule type="cellIs" dxfId="1095" priority="2" operator="lessThan">
      <formula>25000</formula>
    </cfRule>
    <cfRule type="cellIs" dxfId="1094" priority="3" operator="lessThan">
      <formula>50000</formula>
    </cfRule>
  </conditionalFormatting>
  <pageMargins left="0.7" right="0.7" top="0.75" bottom="0.75" header="0.3" footer="0.3"/>
  <pageSetup scale="130" orientation="portrait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61074-8AFA-4A12-8698-D40325316F90}">
  <sheetPr codeName="Sheet347"/>
  <dimension ref="A1:AM58"/>
  <sheetViews>
    <sheetView workbookViewId="0">
      <selection sqref="A1:A2"/>
    </sheetView>
  </sheetViews>
  <sheetFormatPr defaultColWidth="8.85546875" defaultRowHeight="15"/>
  <cols>
    <col min="1" max="1" width="21.85546875" style="974" bestFit="1" customWidth="1"/>
    <col min="2" max="9" width="8.5703125" style="974" bestFit="1" customWidth="1"/>
    <col min="10" max="13" width="6" style="974" customWidth="1"/>
    <col min="14" max="18" width="8" style="974" customWidth="1"/>
    <col min="19" max="20" width="8" style="974" hidden="1" customWidth="1"/>
    <col min="21" max="21" width="12.28515625" style="934" customWidth="1"/>
    <col min="22" max="22" width="18" style="934" customWidth="1"/>
    <col min="23" max="23" width="5.28515625" style="781" customWidth="1"/>
    <col min="24" max="24" width="18.28515625" style="934" customWidth="1"/>
    <col min="25" max="27" width="12.42578125" style="934" customWidth="1"/>
    <col min="28" max="28" width="3.42578125" style="934" customWidth="1"/>
    <col min="29" max="29" width="8.28515625" style="974" customWidth="1"/>
    <col min="30" max="30" width="10.7109375" style="934" customWidth="1"/>
    <col min="31" max="31" width="21.28515625" style="934" bestFit="1" customWidth="1"/>
    <col min="32" max="16384" width="8.85546875" style="934"/>
  </cols>
  <sheetData>
    <row r="1" spans="1:31">
      <c r="A1" s="1251" t="s">
        <v>77</v>
      </c>
      <c r="B1" s="250" t="s">
        <v>89</v>
      </c>
      <c r="C1" s="250" t="s">
        <v>90</v>
      </c>
      <c r="D1" s="250" t="s">
        <v>91</v>
      </c>
      <c r="E1" s="250" t="s">
        <v>92</v>
      </c>
      <c r="F1" s="250" t="s">
        <v>93</v>
      </c>
      <c r="G1" s="250" t="s">
        <v>87</v>
      </c>
      <c r="H1" s="250" t="s">
        <v>88</v>
      </c>
      <c r="I1" s="250" t="s">
        <v>89</v>
      </c>
      <c r="J1" s="250" t="s">
        <v>90</v>
      </c>
      <c r="K1" s="250" t="s">
        <v>91</v>
      </c>
      <c r="L1" s="250" t="s">
        <v>92</v>
      </c>
      <c r="M1" s="250" t="s">
        <v>93</v>
      </c>
      <c r="N1" s="250" t="s">
        <v>87</v>
      </c>
      <c r="O1" s="250" t="s">
        <v>88</v>
      </c>
      <c r="P1" s="250" t="s">
        <v>89</v>
      </c>
      <c r="Q1" s="250" t="s">
        <v>90</v>
      </c>
      <c r="R1" s="250" t="s">
        <v>91</v>
      </c>
      <c r="S1" s="250" t="s">
        <v>92</v>
      </c>
      <c r="T1" s="250" t="s">
        <v>93</v>
      </c>
      <c r="U1" s="1253" t="s">
        <v>31</v>
      </c>
      <c r="V1" s="1282" t="s">
        <v>190</v>
      </c>
      <c r="W1" s="774"/>
    </row>
    <row r="2" spans="1:31" ht="15.75" thickBot="1">
      <c r="A2" s="1280"/>
      <c r="B2" s="251">
        <v>44713</v>
      </c>
      <c r="C2" s="251">
        <v>44714</v>
      </c>
      <c r="D2" s="251">
        <v>44715</v>
      </c>
      <c r="E2" s="251">
        <v>44716</v>
      </c>
      <c r="F2" s="251">
        <v>44717</v>
      </c>
      <c r="G2" s="251">
        <v>44718</v>
      </c>
      <c r="H2" s="251">
        <v>44719</v>
      </c>
      <c r="I2" s="251">
        <v>44720</v>
      </c>
      <c r="J2" s="251">
        <v>44721</v>
      </c>
      <c r="K2" s="251">
        <v>44722</v>
      </c>
      <c r="L2" s="251">
        <v>44723</v>
      </c>
      <c r="M2" s="251">
        <v>44724</v>
      </c>
      <c r="N2" s="251">
        <v>44725</v>
      </c>
      <c r="O2" s="251">
        <v>44726</v>
      </c>
      <c r="P2" s="251">
        <v>44727</v>
      </c>
      <c r="Q2" s="251">
        <v>44728</v>
      </c>
      <c r="R2" s="251">
        <v>44729</v>
      </c>
      <c r="S2" s="251">
        <v>44730</v>
      </c>
      <c r="T2" s="251">
        <v>44731</v>
      </c>
      <c r="U2" s="1281"/>
      <c r="V2" s="1283"/>
      <c r="W2" s="774"/>
      <c r="Y2" s="974" t="s">
        <v>298</v>
      </c>
      <c r="Z2" s="974" t="s">
        <v>132</v>
      </c>
      <c r="AA2" s="974"/>
      <c r="AB2" s="937"/>
      <c r="AC2" s="756" t="s">
        <v>316</v>
      </c>
      <c r="AD2" s="937" t="s">
        <v>315</v>
      </c>
      <c r="AE2" s="937"/>
    </row>
    <row r="3" spans="1:31" ht="10.15" customHeight="1">
      <c r="A3" s="194" t="s">
        <v>185</v>
      </c>
      <c r="B3" s="638"/>
      <c r="C3" s="638"/>
      <c r="D3" s="638"/>
      <c r="E3" s="638"/>
      <c r="F3" s="638"/>
      <c r="G3" s="701"/>
      <c r="H3" s="701">
        <f>'6.07.22'!E21</f>
        <v>9319.5</v>
      </c>
      <c r="I3" s="701"/>
      <c r="J3" s="770">
        <v>0</v>
      </c>
      <c r="K3" s="770">
        <v>0</v>
      </c>
      <c r="L3" s="770">
        <v>0</v>
      </c>
      <c r="M3" s="770"/>
      <c r="N3" s="512"/>
      <c r="O3" s="512"/>
      <c r="P3" s="512"/>
      <c r="Q3" s="512"/>
      <c r="R3" s="512"/>
      <c r="S3" s="512"/>
      <c r="T3" s="512"/>
      <c r="U3" s="189">
        <f t="shared" ref="U3:U50" si="0">SUM(B3:T3)</f>
        <v>9319.5</v>
      </c>
      <c r="V3" s="189">
        <f>449000-U3+350000</f>
        <v>789680.5</v>
      </c>
      <c r="W3" s="775"/>
      <c r="X3" s="194" t="s">
        <v>185</v>
      </c>
      <c r="Y3" s="934">
        <v>291690</v>
      </c>
      <c r="Z3" s="234">
        <f>U3+Y3</f>
        <v>301009.5</v>
      </c>
      <c r="AA3" s="234"/>
      <c r="AB3" s="979">
        <v>1</v>
      </c>
      <c r="AC3" s="981">
        <f>AD3/9.75</f>
        <v>50974.102564102563</v>
      </c>
      <c r="AD3" s="977">
        <v>496997.5</v>
      </c>
      <c r="AE3" s="978" t="s">
        <v>70</v>
      </c>
    </row>
    <row r="4" spans="1:31" ht="10.15" customHeight="1">
      <c r="A4" s="194" t="s">
        <v>164</v>
      </c>
      <c r="B4" s="639"/>
      <c r="C4" s="639"/>
      <c r="D4" s="639"/>
      <c r="E4" s="639"/>
      <c r="F4" s="638">
        <f>'6.05.22'!E22</f>
        <v>4275</v>
      </c>
      <c r="G4" s="452"/>
      <c r="H4" s="452"/>
      <c r="I4" s="452"/>
      <c r="J4" s="771"/>
      <c r="K4" s="771"/>
      <c r="L4" s="771"/>
      <c r="M4" s="771"/>
      <c r="N4" s="452"/>
      <c r="O4" s="452"/>
      <c r="P4" s="452"/>
      <c r="Q4" s="452"/>
      <c r="R4" s="452"/>
      <c r="S4" s="452"/>
      <c r="T4" s="452"/>
      <c r="U4" s="189">
        <f t="shared" si="0"/>
        <v>4275</v>
      </c>
      <c r="V4" s="189">
        <f>449000-U4</f>
        <v>444725</v>
      </c>
      <c r="W4" s="775"/>
      <c r="X4" s="194" t="s">
        <v>164</v>
      </c>
      <c r="Y4" s="934">
        <v>241220</v>
      </c>
      <c r="Z4" s="234">
        <f t="shared" ref="Z4:Z50" si="1">U4+Y4</f>
        <v>245495</v>
      </c>
      <c r="AA4" s="234"/>
      <c r="AB4" s="979">
        <v>2</v>
      </c>
      <c r="AC4" s="981">
        <f t="shared" ref="AC4:AC50" si="2">AD4/9.75</f>
        <v>42618.666666666664</v>
      </c>
      <c r="AD4" s="977">
        <v>415532</v>
      </c>
      <c r="AE4" s="978" t="s">
        <v>185</v>
      </c>
    </row>
    <row r="5" spans="1:31" ht="10.15" customHeight="1">
      <c r="A5" s="195" t="s">
        <v>51</v>
      </c>
      <c r="B5" s="252"/>
      <c r="C5" s="252"/>
      <c r="D5" s="252"/>
      <c r="E5" s="252"/>
      <c r="F5" s="252"/>
      <c r="G5" s="702"/>
      <c r="H5" s="702"/>
      <c r="I5" s="702">
        <f>'6.08.22'!E21</f>
        <v>3885.5</v>
      </c>
      <c r="J5" s="772"/>
      <c r="K5" s="772"/>
      <c r="L5" s="772"/>
      <c r="M5" s="772"/>
      <c r="N5" s="252"/>
      <c r="O5" s="252"/>
      <c r="P5" s="252"/>
      <c r="Q5" s="252"/>
      <c r="R5" s="252"/>
      <c r="S5" s="252"/>
      <c r="T5" s="252"/>
      <c r="U5" s="961">
        <f t="shared" si="0"/>
        <v>3885.5</v>
      </c>
      <c r="V5" s="961">
        <f>100000-U5+350000</f>
        <v>446114.5</v>
      </c>
      <c r="W5" s="965"/>
      <c r="X5" s="195" t="s">
        <v>51</v>
      </c>
      <c r="Y5" s="934">
        <v>102300</v>
      </c>
      <c r="Z5" s="234">
        <f t="shared" si="1"/>
        <v>106185.5</v>
      </c>
      <c r="AA5" s="234"/>
      <c r="AB5" s="979">
        <v>3</v>
      </c>
      <c r="AC5" s="981">
        <f t="shared" si="2"/>
        <v>37149.794871794875</v>
      </c>
      <c r="AD5" s="977">
        <v>362210.5</v>
      </c>
      <c r="AE5" s="978" t="s">
        <v>53</v>
      </c>
    </row>
    <row r="6" spans="1:31" ht="10.15" customHeight="1">
      <c r="A6" s="195" t="s">
        <v>62</v>
      </c>
      <c r="B6" s="640"/>
      <c r="C6" s="640"/>
      <c r="D6" s="640"/>
      <c r="E6" s="640"/>
      <c r="F6" s="640"/>
      <c r="G6" s="702">
        <f>'6.06.22'!E28</f>
        <v>3230</v>
      </c>
      <c r="H6" s="702"/>
      <c r="I6" s="702"/>
      <c r="J6" s="772"/>
      <c r="K6" s="772"/>
      <c r="L6" s="772"/>
      <c r="M6" s="772"/>
      <c r="N6" s="252"/>
      <c r="O6" s="252"/>
      <c r="P6" s="252"/>
      <c r="Q6" s="252"/>
      <c r="R6" s="252"/>
      <c r="S6" s="252"/>
      <c r="T6" s="252"/>
      <c r="U6" s="961">
        <f t="shared" si="0"/>
        <v>3230</v>
      </c>
      <c r="V6" s="961">
        <f>100000-U6</f>
        <v>96770</v>
      </c>
      <c r="W6" s="965"/>
      <c r="X6" s="195" t="s">
        <v>62</v>
      </c>
      <c r="Y6" s="934">
        <v>37490</v>
      </c>
      <c r="Z6" s="234">
        <f t="shared" si="1"/>
        <v>40720</v>
      </c>
      <c r="AA6" s="234"/>
      <c r="AB6" s="979">
        <v>4</v>
      </c>
      <c r="AC6" s="981">
        <f t="shared" si="2"/>
        <v>34906</v>
      </c>
      <c r="AD6" s="977">
        <v>340333.5</v>
      </c>
      <c r="AE6" s="978" t="s">
        <v>65</v>
      </c>
    </row>
    <row r="7" spans="1:31" ht="10.15" customHeight="1">
      <c r="A7" s="195" t="s">
        <v>12</v>
      </c>
      <c r="B7" s="640"/>
      <c r="C7" s="640">
        <f>'6.02.22'!E21</f>
        <v>3040</v>
      </c>
      <c r="D7" s="640"/>
      <c r="E7" s="640"/>
      <c r="F7" s="640"/>
      <c r="G7" s="252"/>
      <c r="H7" s="252"/>
      <c r="I7" s="252"/>
      <c r="J7" s="772"/>
      <c r="K7" s="772"/>
      <c r="L7" s="772"/>
      <c r="M7" s="772"/>
      <c r="N7" s="252"/>
      <c r="O7" s="252"/>
      <c r="P7" s="252"/>
      <c r="Q7" s="252"/>
      <c r="R7" s="252"/>
      <c r="S7" s="252"/>
      <c r="T7" s="252"/>
      <c r="U7" s="961">
        <f t="shared" si="0"/>
        <v>3040</v>
      </c>
      <c r="V7" s="961">
        <f t="shared" ref="V7:V50" si="3">100000-U7</f>
        <v>96960</v>
      </c>
      <c r="W7" s="965"/>
      <c r="X7" s="195" t="s">
        <v>12</v>
      </c>
      <c r="Y7" s="934">
        <v>20230</v>
      </c>
      <c r="Z7" s="234">
        <f t="shared" si="1"/>
        <v>23270</v>
      </c>
      <c r="AA7" s="234"/>
      <c r="AB7" s="979">
        <v>5</v>
      </c>
      <c r="AC7" s="981">
        <f t="shared" si="2"/>
        <v>30042.153846153848</v>
      </c>
      <c r="AD7" s="977">
        <v>292911</v>
      </c>
      <c r="AE7" s="978" t="s">
        <v>235</v>
      </c>
    </row>
    <row r="8" spans="1:31" ht="10.15" customHeight="1">
      <c r="A8" s="195" t="s">
        <v>239</v>
      </c>
      <c r="B8" s="640">
        <f>'6.01.22'!E22</f>
        <v>3059</v>
      </c>
      <c r="C8" s="640"/>
      <c r="D8" s="640"/>
      <c r="E8" s="640"/>
      <c r="F8" s="640"/>
      <c r="G8" s="702">
        <f>'6.06.22'!E18</f>
        <v>2251.5</v>
      </c>
      <c r="H8" s="702"/>
      <c r="I8" s="702"/>
      <c r="J8" s="772"/>
      <c r="K8" s="772"/>
      <c r="L8" s="772"/>
      <c r="M8" s="772"/>
      <c r="N8" s="252"/>
      <c r="O8" s="252"/>
      <c r="P8" s="252"/>
      <c r="Q8" s="252"/>
      <c r="R8" s="252"/>
      <c r="S8" s="252"/>
      <c r="T8" s="252"/>
      <c r="U8" s="961">
        <f t="shared" si="0"/>
        <v>5310.5</v>
      </c>
      <c r="V8" s="961">
        <f t="shared" si="3"/>
        <v>94689.5</v>
      </c>
      <c r="W8" s="965"/>
      <c r="X8" s="195" t="s">
        <v>239</v>
      </c>
      <c r="Y8" s="934">
        <v>14400</v>
      </c>
      <c r="Z8" s="234">
        <f t="shared" si="1"/>
        <v>19710.5</v>
      </c>
      <c r="AA8" s="234"/>
      <c r="AB8" s="979">
        <v>6</v>
      </c>
      <c r="AC8" s="981">
        <f t="shared" si="2"/>
        <v>27730.820512820512</v>
      </c>
      <c r="AD8" s="977">
        <v>270375.5</v>
      </c>
      <c r="AE8" s="978" t="s">
        <v>164</v>
      </c>
    </row>
    <row r="9" spans="1:31" ht="10.15" customHeight="1">
      <c r="A9" s="195" t="s">
        <v>68</v>
      </c>
      <c r="B9" s="640">
        <f>'6.01.22'!E18</f>
        <v>2223</v>
      </c>
      <c r="C9" s="640"/>
      <c r="D9" s="640"/>
      <c r="E9" s="640"/>
      <c r="F9" s="640"/>
      <c r="G9" s="252"/>
      <c r="H9" s="252"/>
      <c r="I9" s="252"/>
      <c r="J9" s="772"/>
      <c r="K9" s="772"/>
      <c r="L9" s="772"/>
      <c r="M9" s="772"/>
      <c r="N9" s="738"/>
      <c r="O9" s="738"/>
      <c r="P9" s="738">
        <f>'6.15.22'!E11</f>
        <v>959.5</v>
      </c>
      <c r="Q9" s="738"/>
      <c r="R9" s="252"/>
      <c r="S9" s="252"/>
      <c r="T9" s="252"/>
      <c r="U9" s="961">
        <f t="shared" si="0"/>
        <v>3182.5</v>
      </c>
      <c r="V9" s="961">
        <f t="shared" si="3"/>
        <v>96817.5</v>
      </c>
      <c r="W9" s="965"/>
      <c r="X9" s="195" t="s">
        <v>68</v>
      </c>
      <c r="Y9" s="934">
        <v>4840</v>
      </c>
      <c r="Z9" s="234">
        <f t="shared" si="1"/>
        <v>8022.5</v>
      </c>
      <c r="AA9" s="234"/>
      <c r="AB9" s="979">
        <v>7</v>
      </c>
      <c r="AC9" s="981">
        <f t="shared" si="2"/>
        <v>23301.435897435898</v>
      </c>
      <c r="AD9" s="977">
        <v>227189</v>
      </c>
      <c r="AE9" s="978" t="s">
        <v>45</v>
      </c>
    </row>
    <row r="10" spans="1:31" ht="10.15" customHeight="1">
      <c r="A10" s="195" t="s">
        <v>245</v>
      </c>
      <c r="B10" s="252"/>
      <c r="C10" s="252"/>
      <c r="D10" s="252"/>
      <c r="E10" s="252"/>
      <c r="F10" s="252"/>
      <c r="G10" s="252"/>
      <c r="H10" s="252"/>
      <c r="I10" s="252"/>
      <c r="J10" s="772"/>
      <c r="K10" s="772"/>
      <c r="L10" s="772"/>
      <c r="M10" s="772"/>
      <c r="N10" s="252"/>
      <c r="O10" s="252"/>
      <c r="P10" s="252"/>
      <c r="Q10" s="252"/>
      <c r="R10" s="252"/>
      <c r="S10" s="252"/>
      <c r="T10" s="252"/>
      <c r="U10" s="961">
        <f t="shared" si="0"/>
        <v>0</v>
      </c>
      <c r="V10" s="961">
        <f t="shared" si="3"/>
        <v>100000</v>
      </c>
      <c r="W10" s="965"/>
      <c r="X10" s="195" t="s">
        <v>245</v>
      </c>
      <c r="Y10" s="934">
        <v>5070</v>
      </c>
      <c r="Z10" s="234">
        <f t="shared" si="1"/>
        <v>5070</v>
      </c>
      <c r="AA10" s="234"/>
      <c r="AB10" s="979">
        <v>8</v>
      </c>
      <c r="AC10" s="981">
        <f t="shared" si="2"/>
        <v>20109.692307692309</v>
      </c>
      <c r="AD10" s="977">
        <v>196069.5</v>
      </c>
      <c r="AE10" s="978" t="s">
        <v>143</v>
      </c>
    </row>
    <row r="11" spans="1:31" ht="10.15" customHeight="1">
      <c r="A11" s="195" t="s">
        <v>254</v>
      </c>
      <c r="B11" s="640"/>
      <c r="C11" s="640"/>
      <c r="D11" s="640">
        <f>'6.03.02'!E22</f>
        <v>3087.5</v>
      </c>
      <c r="E11" s="640">
        <f>'6.04.22'!E29</f>
        <v>2622</v>
      </c>
      <c r="F11" s="640"/>
      <c r="G11" s="702">
        <f>'6.06.22'!E19+'6.06.22'!E30</f>
        <v>5880.5</v>
      </c>
      <c r="H11" s="702"/>
      <c r="I11" s="702"/>
      <c r="J11" s="772"/>
      <c r="K11" s="772"/>
      <c r="L11" s="772"/>
      <c r="M11" s="772"/>
      <c r="N11" s="738"/>
      <c r="O11" s="738">
        <f>'6.14.22'!E9</f>
        <v>1054.5</v>
      </c>
      <c r="P11" s="738"/>
      <c r="Q11" s="738"/>
      <c r="R11" s="252"/>
      <c r="S11" s="252"/>
      <c r="T11" s="252"/>
      <c r="U11" s="961">
        <f t="shared" si="0"/>
        <v>12644.5</v>
      </c>
      <c r="V11" s="961">
        <f>100000-U11+350000</f>
        <v>437355.5</v>
      </c>
      <c r="W11" s="965"/>
      <c r="X11" s="195" t="s">
        <v>43</v>
      </c>
      <c r="Y11" s="934">
        <v>85110</v>
      </c>
      <c r="Z11" s="234">
        <f t="shared" si="1"/>
        <v>97754.5</v>
      </c>
      <c r="AA11" s="234"/>
      <c r="AB11" s="979">
        <v>9</v>
      </c>
      <c r="AC11" s="981">
        <f t="shared" si="2"/>
        <v>19786.25641025641</v>
      </c>
      <c r="AD11" s="977">
        <v>192916</v>
      </c>
      <c r="AE11" s="978" t="s">
        <v>242</v>
      </c>
    </row>
    <row r="12" spans="1:31" ht="10.15" customHeight="1">
      <c r="A12" s="195" t="s">
        <v>49</v>
      </c>
      <c r="B12" s="640">
        <f>'6.01.22'!E19</f>
        <v>4066</v>
      </c>
      <c r="C12" s="640"/>
      <c r="D12" s="640"/>
      <c r="E12" s="640"/>
      <c r="F12" s="640"/>
      <c r="G12" s="252"/>
      <c r="H12" s="252"/>
      <c r="I12" s="252"/>
      <c r="J12" s="772"/>
      <c r="K12" s="772"/>
      <c r="L12" s="772"/>
      <c r="M12" s="772"/>
      <c r="N12" s="738"/>
      <c r="O12" s="738"/>
      <c r="P12" s="738"/>
      <c r="Q12" s="738">
        <f>'6.16.22'!E12</f>
        <v>2204</v>
      </c>
      <c r="R12" s="252"/>
      <c r="S12" s="252"/>
      <c r="T12" s="252"/>
      <c r="U12" s="961">
        <f t="shared" si="0"/>
        <v>6270</v>
      </c>
      <c r="V12" s="961">
        <f t="shared" si="3"/>
        <v>93730</v>
      </c>
      <c r="W12" s="965"/>
      <c r="X12" s="195" t="s">
        <v>49</v>
      </c>
      <c r="Y12" s="934">
        <v>78320</v>
      </c>
      <c r="Z12" s="782">
        <f t="shared" si="1"/>
        <v>84590</v>
      </c>
      <c r="AA12" s="782"/>
      <c r="AB12" s="979">
        <v>10</v>
      </c>
      <c r="AC12" s="981">
        <f t="shared" si="2"/>
        <v>19243.23076923077</v>
      </c>
      <c r="AD12" s="977">
        <v>187621.5</v>
      </c>
      <c r="AE12" s="978" t="s">
        <v>63</v>
      </c>
    </row>
    <row r="13" spans="1:31" ht="10.15" customHeight="1">
      <c r="A13" s="195" t="s">
        <v>235</v>
      </c>
      <c r="B13" s="640">
        <f>'6.01.22'!E29</f>
        <v>5728.5</v>
      </c>
      <c r="C13" s="640"/>
      <c r="D13" s="640">
        <f>'6.03.02'!E30</f>
        <v>5500.5</v>
      </c>
      <c r="E13" s="640">
        <f>'6.04.22'!E30</f>
        <v>6669</v>
      </c>
      <c r="F13" s="640"/>
      <c r="G13" s="702">
        <f>'6.06.22'!E29</f>
        <v>6583.5</v>
      </c>
      <c r="H13" s="702">
        <f>'6.07.22'!E29</f>
        <v>5747.5</v>
      </c>
      <c r="I13" s="702"/>
      <c r="J13" s="772"/>
      <c r="K13" s="772"/>
      <c r="L13" s="772"/>
      <c r="M13" s="772"/>
      <c r="N13" s="252"/>
      <c r="O13" s="252"/>
      <c r="P13" s="252"/>
      <c r="Q13" s="252"/>
      <c r="R13" s="252"/>
      <c r="S13" s="252"/>
      <c r="T13" s="252"/>
      <c r="U13" s="961">
        <f t="shared" si="0"/>
        <v>30229</v>
      </c>
      <c r="V13" s="961">
        <f>100000-U13+350000</f>
        <v>419771</v>
      </c>
      <c r="W13" s="965"/>
      <c r="X13" s="195" t="s">
        <v>235</v>
      </c>
      <c r="Y13" s="934">
        <v>148720</v>
      </c>
      <c r="Z13" s="234">
        <f t="shared" si="1"/>
        <v>178949</v>
      </c>
      <c r="AA13" s="234"/>
      <c r="AB13" s="979">
        <v>11</v>
      </c>
      <c r="AC13" s="981">
        <f t="shared" si="2"/>
        <v>17233.384615384617</v>
      </c>
      <c r="AD13" s="977">
        <v>168025.5</v>
      </c>
      <c r="AE13" s="978" t="s">
        <v>145</v>
      </c>
    </row>
    <row r="14" spans="1:31" ht="10.15" customHeight="1">
      <c r="A14" s="195" t="s">
        <v>188</v>
      </c>
      <c r="B14" s="640"/>
      <c r="C14" s="640"/>
      <c r="D14" s="640"/>
      <c r="E14" s="640"/>
      <c r="F14" s="640"/>
      <c r="G14" s="252"/>
      <c r="H14" s="252"/>
      <c r="I14" s="252"/>
      <c r="J14" s="772"/>
      <c r="K14" s="772"/>
      <c r="L14" s="772"/>
      <c r="M14" s="772"/>
      <c r="N14" s="252"/>
      <c r="O14" s="252"/>
      <c r="P14" s="252"/>
      <c r="Q14" s="252"/>
      <c r="R14" s="252"/>
      <c r="S14" s="252"/>
      <c r="T14" s="252"/>
      <c r="U14" s="961">
        <f t="shared" si="0"/>
        <v>0</v>
      </c>
      <c r="V14" s="961">
        <f t="shared" si="3"/>
        <v>100000</v>
      </c>
      <c r="W14" s="965"/>
      <c r="X14" s="195" t="s">
        <v>188</v>
      </c>
      <c r="Y14" s="934">
        <v>24320</v>
      </c>
      <c r="Z14" s="234">
        <f t="shared" si="1"/>
        <v>24320</v>
      </c>
      <c r="AA14" s="234"/>
      <c r="AB14" s="979">
        <v>12</v>
      </c>
      <c r="AC14" s="981">
        <f t="shared" si="2"/>
        <v>16628.76923076923</v>
      </c>
      <c r="AD14" s="977">
        <v>162130.5</v>
      </c>
      <c r="AE14" s="978" t="s">
        <v>82</v>
      </c>
    </row>
    <row r="15" spans="1:31" ht="10.15" customHeight="1">
      <c r="A15" s="195" t="s">
        <v>243</v>
      </c>
      <c r="B15" s="640"/>
      <c r="C15" s="640"/>
      <c r="D15" s="640"/>
      <c r="E15" s="640"/>
      <c r="F15" s="640">
        <f>'6.05.22'!E9</f>
        <v>7676</v>
      </c>
      <c r="G15" s="252"/>
      <c r="H15" s="252"/>
      <c r="I15" s="252"/>
      <c r="J15" s="772"/>
      <c r="K15" s="772"/>
      <c r="L15" s="772"/>
      <c r="M15" s="772"/>
      <c r="N15" s="738"/>
      <c r="O15" s="738"/>
      <c r="P15" s="738"/>
      <c r="Q15" s="738">
        <f>'6.16.22'!E11</f>
        <v>1130.5</v>
      </c>
      <c r="R15" s="252"/>
      <c r="S15" s="252"/>
      <c r="T15" s="252"/>
      <c r="U15" s="961">
        <f t="shared" si="0"/>
        <v>8806.5</v>
      </c>
      <c r="V15" s="961">
        <f t="shared" si="3"/>
        <v>91193.5</v>
      </c>
      <c r="W15" s="965"/>
      <c r="X15" s="195" t="s">
        <v>243</v>
      </c>
      <c r="Y15" s="934">
        <v>11620</v>
      </c>
      <c r="Z15" s="234">
        <f t="shared" si="1"/>
        <v>20426.5</v>
      </c>
      <c r="AA15" s="234"/>
      <c r="AB15" s="979">
        <v>13</v>
      </c>
      <c r="AC15" s="981">
        <f t="shared" si="2"/>
        <v>13230.25641025641</v>
      </c>
      <c r="AD15" s="977">
        <v>128995</v>
      </c>
      <c r="AE15" s="978" t="s">
        <v>51</v>
      </c>
    </row>
    <row r="16" spans="1:31" ht="10.15" customHeight="1">
      <c r="A16" s="195" t="s">
        <v>63</v>
      </c>
      <c r="B16" s="640"/>
      <c r="C16" s="640"/>
      <c r="D16" s="640">
        <f>'6.03.02'!E21+'6.03.02'!E28</f>
        <v>4465</v>
      </c>
      <c r="E16" s="640"/>
      <c r="F16" s="640">
        <f>'6.05.22'!E30</f>
        <v>2365.5</v>
      </c>
      <c r="G16" s="252"/>
      <c r="H16" s="252"/>
      <c r="I16" s="252"/>
      <c r="J16" s="772"/>
      <c r="K16" s="772"/>
      <c r="L16" s="772"/>
      <c r="M16" s="772"/>
      <c r="N16" s="738">
        <f>'6.13.22'!E10</f>
        <v>494</v>
      </c>
      <c r="O16" s="738"/>
      <c r="P16" s="738"/>
      <c r="Q16" s="738"/>
      <c r="R16" s="252"/>
      <c r="S16" s="252"/>
      <c r="T16" s="252"/>
      <c r="U16" s="961">
        <f t="shared" si="0"/>
        <v>7324.5</v>
      </c>
      <c r="V16" s="961">
        <f>449000-U16+350000</f>
        <v>791675.5</v>
      </c>
      <c r="W16" s="965"/>
      <c r="X16" s="195" t="s">
        <v>63</v>
      </c>
      <c r="Y16" s="934">
        <v>164470</v>
      </c>
      <c r="Z16" s="234">
        <f t="shared" si="1"/>
        <v>171794.5</v>
      </c>
      <c r="AA16" s="234"/>
      <c r="AB16" s="979">
        <v>14</v>
      </c>
      <c r="AC16" s="981">
        <f t="shared" si="2"/>
        <v>12856.615384615385</v>
      </c>
      <c r="AD16" s="977">
        <v>125352</v>
      </c>
      <c r="AE16" s="978" t="s">
        <v>43</v>
      </c>
    </row>
    <row r="17" spans="1:31" ht="10.15" customHeight="1">
      <c r="A17" s="195" t="s">
        <v>78</v>
      </c>
      <c r="B17" s="640"/>
      <c r="C17" s="640"/>
      <c r="D17" s="640"/>
      <c r="E17" s="640">
        <f>'6.04.22'!E9</f>
        <v>3021</v>
      </c>
      <c r="F17" s="640"/>
      <c r="G17" s="702"/>
      <c r="H17" s="702"/>
      <c r="I17" s="702">
        <f>'6.08.22'!E19</f>
        <v>1339.5</v>
      </c>
      <c r="J17" s="772"/>
      <c r="K17" s="772"/>
      <c r="L17" s="772"/>
      <c r="M17" s="772"/>
      <c r="N17" s="252"/>
      <c r="O17" s="252"/>
      <c r="P17" s="252"/>
      <c r="Q17" s="252"/>
      <c r="R17" s="252"/>
      <c r="S17" s="252"/>
      <c r="T17" s="252"/>
      <c r="U17" s="961">
        <f t="shared" si="0"/>
        <v>4360.5</v>
      </c>
      <c r="V17" s="961">
        <f t="shared" si="3"/>
        <v>95639.5</v>
      </c>
      <c r="W17" s="965"/>
      <c r="X17" s="195" t="s">
        <v>78</v>
      </c>
      <c r="Y17" s="934">
        <v>19180</v>
      </c>
      <c r="Z17" s="234">
        <f t="shared" si="1"/>
        <v>23540.5</v>
      </c>
      <c r="AA17" s="234"/>
      <c r="AB17" s="979">
        <v>15</v>
      </c>
      <c r="AC17" s="981">
        <f t="shared" si="2"/>
        <v>12786.717948717949</v>
      </c>
      <c r="AD17" s="977">
        <v>124670.5</v>
      </c>
      <c r="AE17" s="978" t="s">
        <v>246</v>
      </c>
    </row>
    <row r="18" spans="1:31" ht="10.15" customHeight="1">
      <c r="A18" s="195" t="s">
        <v>129</v>
      </c>
      <c r="B18" s="252"/>
      <c r="C18" s="252"/>
      <c r="D18" s="252"/>
      <c r="E18" s="252"/>
      <c r="F18" s="252"/>
      <c r="G18" s="252"/>
      <c r="H18" s="252"/>
      <c r="I18" s="252"/>
      <c r="J18" s="772"/>
      <c r="K18" s="772"/>
      <c r="L18" s="772"/>
      <c r="M18" s="772"/>
      <c r="N18" s="252"/>
      <c r="O18" s="252"/>
      <c r="P18" s="252"/>
      <c r="Q18" s="252"/>
      <c r="R18" s="252"/>
      <c r="S18" s="252"/>
      <c r="T18" s="252"/>
      <c r="U18" s="961">
        <f t="shared" si="0"/>
        <v>0</v>
      </c>
      <c r="V18" s="961">
        <f t="shared" si="3"/>
        <v>100000</v>
      </c>
      <c r="W18" s="965"/>
      <c r="X18" s="195" t="s">
        <v>129</v>
      </c>
      <c r="Y18" s="934">
        <v>11600</v>
      </c>
      <c r="Z18" s="234">
        <f t="shared" si="1"/>
        <v>11600</v>
      </c>
      <c r="AA18" s="234"/>
      <c r="AB18" s="979">
        <v>16</v>
      </c>
      <c r="AC18" s="981">
        <f t="shared" si="2"/>
        <v>12548.51282051282</v>
      </c>
      <c r="AD18" s="977">
        <v>122348</v>
      </c>
      <c r="AE18" s="978" t="s">
        <v>44</v>
      </c>
    </row>
    <row r="19" spans="1:31" ht="10.15" customHeight="1">
      <c r="A19" s="195" t="s">
        <v>238</v>
      </c>
      <c r="B19" s="640">
        <f>'6.01.22'!E30</f>
        <v>2489</v>
      </c>
      <c r="C19" s="640"/>
      <c r="D19" s="640"/>
      <c r="E19" s="640"/>
      <c r="F19" s="640"/>
      <c r="G19" s="252"/>
      <c r="H19" s="252"/>
      <c r="I19" s="252"/>
      <c r="J19" s="772"/>
      <c r="K19" s="772"/>
      <c r="L19" s="772"/>
      <c r="M19" s="772"/>
      <c r="N19" s="252"/>
      <c r="O19" s="252"/>
      <c r="P19" s="252"/>
      <c r="Q19" s="252"/>
      <c r="R19" s="252"/>
      <c r="S19" s="252"/>
      <c r="T19" s="252"/>
      <c r="U19" s="961">
        <f t="shared" si="0"/>
        <v>2489</v>
      </c>
      <c r="V19" s="961">
        <f t="shared" si="3"/>
        <v>97511</v>
      </c>
      <c r="W19" s="965"/>
      <c r="X19" s="195" t="s">
        <v>238</v>
      </c>
      <c r="Y19" s="934">
        <v>12970</v>
      </c>
      <c r="Z19" s="234">
        <f t="shared" si="1"/>
        <v>15459</v>
      </c>
      <c r="AA19" s="234"/>
      <c r="AB19" s="979">
        <v>17</v>
      </c>
      <c r="AC19" s="981">
        <f t="shared" si="2"/>
        <v>11302.461538461539</v>
      </c>
      <c r="AD19" s="977">
        <v>110199</v>
      </c>
      <c r="AE19" s="978" t="s">
        <v>66</v>
      </c>
    </row>
    <row r="20" spans="1:31" ht="10.15" customHeight="1">
      <c r="A20" s="195" t="s">
        <v>79</v>
      </c>
      <c r="B20" s="252"/>
      <c r="C20" s="252"/>
      <c r="D20" s="252"/>
      <c r="E20" s="252"/>
      <c r="F20" s="252"/>
      <c r="G20" s="252"/>
      <c r="H20" s="252"/>
      <c r="I20" s="252"/>
      <c r="J20" s="772"/>
      <c r="K20" s="772"/>
      <c r="L20" s="772"/>
      <c r="M20" s="772"/>
      <c r="N20" s="252"/>
      <c r="O20" s="252"/>
      <c r="P20" s="252"/>
      <c r="Q20" s="252"/>
      <c r="R20" s="252"/>
      <c r="S20" s="252"/>
      <c r="T20" s="252"/>
      <c r="U20" s="961">
        <f t="shared" si="0"/>
        <v>0</v>
      </c>
      <c r="V20" s="961">
        <f t="shared" si="3"/>
        <v>100000</v>
      </c>
      <c r="W20" s="965"/>
      <c r="X20" s="195" t="s">
        <v>79</v>
      </c>
      <c r="Y20" s="934">
        <v>500</v>
      </c>
      <c r="Z20" s="234">
        <f t="shared" si="1"/>
        <v>500</v>
      </c>
      <c r="AA20" s="234"/>
      <c r="AB20" s="979">
        <v>18</v>
      </c>
      <c r="AC20" s="981">
        <f t="shared" si="2"/>
        <v>10388.820512820514</v>
      </c>
      <c r="AD20" s="977">
        <v>101291</v>
      </c>
      <c r="AE20" s="978" t="s">
        <v>49</v>
      </c>
    </row>
    <row r="21" spans="1:31" ht="10.15" customHeight="1">
      <c r="A21" s="195" t="s">
        <v>53</v>
      </c>
      <c r="B21" s="252"/>
      <c r="C21" s="252"/>
      <c r="D21" s="252"/>
      <c r="E21" s="252"/>
      <c r="F21" s="252"/>
      <c r="G21" s="702"/>
      <c r="H21" s="702">
        <f>'6.07.22'!E18+'6.07.22'!E30</f>
        <v>4256</v>
      </c>
      <c r="I21" s="702"/>
      <c r="J21" s="772"/>
      <c r="K21" s="772"/>
      <c r="L21" s="772"/>
      <c r="M21" s="772"/>
      <c r="N21" s="252"/>
      <c r="O21" s="252"/>
      <c r="P21" s="252"/>
      <c r="Q21" s="252"/>
      <c r="R21" s="252"/>
      <c r="S21" s="252"/>
      <c r="T21" s="252"/>
      <c r="U21" s="961">
        <f t="shared" si="0"/>
        <v>4256</v>
      </c>
      <c r="V21" s="358">
        <f>350000-U21+700000</f>
        <v>1045744</v>
      </c>
      <c r="W21" s="965"/>
      <c r="X21" s="195" t="s">
        <v>53</v>
      </c>
      <c r="Y21" s="934">
        <v>332960</v>
      </c>
      <c r="Z21" s="234">
        <f t="shared" si="1"/>
        <v>337216</v>
      </c>
      <c r="AA21" s="234"/>
      <c r="AB21" s="979">
        <v>19</v>
      </c>
      <c r="AC21" s="981">
        <f t="shared" si="2"/>
        <v>9866.6666666666661</v>
      </c>
      <c r="AD21" s="977">
        <v>96200</v>
      </c>
      <c r="AE21" s="978" t="s">
        <v>76</v>
      </c>
    </row>
    <row r="22" spans="1:31" ht="10.15" customHeight="1">
      <c r="A22" s="195" t="s">
        <v>80</v>
      </c>
      <c r="B22" s="252"/>
      <c r="C22" s="252"/>
      <c r="D22" s="252"/>
      <c r="E22" s="252"/>
      <c r="F22" s="252"/>
      <c r="G22" s="252"/>
      <c r="H22" s="252"/>
      <c r="I22" s="252"/>
      <c r="J22" s="772"/>
      <c r="K22" s="772"/>
      <c r="L22" s="772"/>
      <c r="M22" s="772"/>
      <c r="N22" s="252"/>
      <c r="O22" s="252"/>
      <c r="P22" s="252"/>
      <c r="Q22" s="252"/>
      <c r="R22" s="252"/>
      <c r="S22" s="252"/>
      <c r="T22" s="252"/>
      <c r="U22" s="961">
        <f t="shared" si="0"/>
        <v>0</v>
      </c>
      <c r="V22" s="961">
        <f t="shared" si="3"/>
        <v>100000</v>
      </c>
      <c r="W22" s="965"/>
      <c r="X22" s="195" t="s">
        <v>80</v>
      </c>
      <c r="Y22" s="934">
        <v>8000</v>
      </c>
      <c r="Z22" s="234">
        <f t="shared" si="1"/>
        <v>8000</v>
      </c>
      <c r="AA22" s="234"/>
      <c r="AB22" s="979">
        <v>20</v>
      </c>
      <c r="AC22" s="981">
        <f t="shared" si="2"/>
        <v>7791.7948717948721</v>
      </c>
      <c r="AD22" s="977">
        <v>75970</v>
      </c>
      <c r="AE22" s="978" t="s">
        <v>172</v>
      </c>
    </row>
    <row r="23" spans="1:31" ht="9.6" customHeight="1">
      <c r="A23" s="515" t="s">
        <v>267</v>
      </c>
      <c r="B23" s="640"/>
      <c r="C23" s="640"/>
      <c r="D23" s="640"/>
      <c r="E23" s="640"/>
      <c r="F23" s="640"/>
      <c r="G23" s="702"/>
      <c r="H23" s="702"/>
      <c r="I23" s="702">
        <f>'6.08.22'!E29</f>
        <v>1634</v>
      </c>
      <c r="J23" s="772"/>
      <c r="K23" s="772"/>
      <c r="L23" s="772"/>
      <c r="M23" s="772"/>
      <c r="N23" s="738"/>
      <c r="O23" s="738"/>
      <c r="P23" s="738"/>
      <c r="Q23" s="738">
        <f>'6.16.22'!E9</f>
        <v>883.5</v>
      </c>
      <c r="R23" s="252"/>
      <c r="S23" s="252"/>
      <c r="T23" s="252"/>
      <c r="U23" s="961">
        <f t="shared" si="0"/>
        <v>2517.5</v>
      </c>
      <c r="V23" s="961">
        <f t="shared" si="3"/>
        <v>97482.5</v>
      </c>
      <c r="W23" s="965"/>
      <c r="X23" s="195" t="s">
        <v>194</v>
      </c>
      <c r="Y23" s="934">
        <v>0</v>
      </c>
      <c r="Z23" s="234">
        <f t="shared" si="1"/>
        <v>2517.5</v>
      </c>
      <c r="AA23" s="234"/>
      <c r="AB23" s="979">
        <v>21</v>
      </c>
      <c r="AC23" s="981">
        <f t="shared" si="2"/>
        <v>7320.7179487179483</v>
      </c>
      <c r="AD23" s="977">
        <v>71377</v>
      </c>
      <c r="AE23" s="978" t="s">
        <v>144</v>
      </c>
    </row>
    <row r="24" spans="1:31" ht="9.6" customHeight="1">
      <c r="A24" s="195" t="s">
        <v>234</v>
      </c>
      <c r="B24" s="252"/>
      <c r="C24" s="252"/>
      <c r="D24" s="252"/>
      <c r="E24" s="252"/>
      <c r="F24" s="252"/>
      <c r="G24" s="252"/>
      <c r="H24" s="252"/>
      <c r="I24" s="252"/>
      <c r="J24" s="772"/>
      <c r="K24" s="772"/>
      <c r="L24" s="772"/>
      <c r="M24" s="772"/>
      <c r="N24" s="252"/>
      <c r="O24" s="252"/>
      <c r="P24" s="252"/>
      <c r="Q24" s="252"/>
      <c r="R24" s="252"/>
      <c r="S24" s="252"/>
      <c r="T24" s="252"/>
      <c r="U24" s="961">
        <f t="shared" si="0"/>
        <v>0</v>
      </c>
      <c r="V24" s="961">
        <f t="shared" si="3"/>
        <v>100000</v>
      </c>
      <c r="W24" s="965"/>
      <c r="X24" s="195" t="s">
        <v>234</v>
      </c>
      <c r="Y24" s="934">
        <v>18120</v>
      </c>
      <c r="Z24" s="234">
        <f t="shared" si="1"/>
        <v>18120</v>
      </c>
      <c r="AA24" s="234"/>
      <c r="AB24" s="979">
        <v>22</v>
      </c>
      <c r="AC24" s="981">
        <f t="shared" si="2"/>
        <v>7128.5641025641025</v>
      </c>
      <c r="AD24" s="977">
        <v>69503.5</v>
      </c>
      <c r="AE24" s="978" t="s">
        <v>243</v>
      </c>
    </row>
    <row r="25" spans="1:31" ht="9.6" customHeight="1">
      <c r="A25" s="195" t="s">
        <v>265</v>
      </c>
      <c r="B25" s="252"/>
      <c r="C25" s="252"/>
      <c r="D25" s="252"/>
      <c r="E25" s="252"/>
      <c r="F25" s="252"/>
      <c r="G25" s="252"/>
      <c r="H25" s="252"/>
      <c r="I25" s="252"/>
      <c r="J25" s="772"/>
      <c r="K25" s="772"/>
      <c r="L25" s="772"/>
      <c r="M25" s="772"/>
      <c r="N25" s="252"/>
      <c r="O25" s="252"/>
      <c r="P25" s="252"/>
      <c r="Q25" s="252"/>
      <c r="R25" s="252"/>
      <c r="S25" s="252"/>
      <c r="T25" s="252"/>
      <c r="U25" s="961">
        <f t="shared" si="0"/>
        <v>0</v>
      </c>
      <c r="V25" s="961">
        <f t="shared" si="3"/>
        <v>100000</v>
      </c>
      <c r="W25" s="965"/>
      <c r="X25" s="195" t="s">
        <v>265</v>
      </c>
      <c r="Y25" s="934">
        <v>0</v>
      </c>
      <c r="Z25" s="234">
        <f t="shared" si="1"/>
        <v>0</v>
      </c>
      <c r="AA25" s="234"/>
      <c r="AB25" s="979">
        <v>23</v>
      </c>
      <c r="AC25" s="981">
        <f t="shared" si="2"/>
        <v>6958.2051282051279</v>
      </c>
      <c r="AD25" s="977">
        <v>67842.5</v>
      </c>
      <c r="AE25" s="978" t="s">
        <v>62</v>
      </c>
    </row>
    <row r="26" spans="1:31" ht="10.15" customHeight="1">
      <c r="A26" s="195" t="s">
        <v>69</v>
      </c>
      <c r="B26" s="252"/>
      <c r="C26" s="252"/>
      <c r="D26" s="252"/>
      <c r="E26" s="252"/>
      <c r="F26" s="252"/>
      <c r="G26" s="252"/>
      <c r="H26" s="252"/>
      <c r="I26" s="252"/>
      <c r="J26" s="772"/>
      <c r="K26" s="772"/>
      <c r="L26" s="772"/>
      <c r="M26" s="772"/>
      <c r="N26" s="252"/>
      <c r="O26" s="252"/>
      <c r="P26" s="252"/>
      <c r="Q26" s="252"/>
      <c r="R26" s="252"/>
      <c r="S26" s="252"/>
      <c r="T26" s="252"/>
      <c r="U26" s="961">
        <f t="shared" si="0"/>
        <v>0</v>
      </c>
      <c r="V26" s="961">
        <f t="shared" si="3"/>
        <v>100000</v>
      </c>
      <c r="W26" s="965"/>
      <c r="X26" s="195" t="s">
        <v>69</v>
      </c>
      <c r="Y26" s="934">
        <v>13780</v>
      </c>
      <c r="Z26" s="234">
        <f t="shared" si="1"/>
        <v>13780</v>
      </c>
      <c r="AA26" s="234"/>
      <c r="AB26" s="979">
        <v>24</v>
      </c>
      <c r="AC26" s="981">
        <f t="shared" si="2"/>
        <v>6586.2564102564102</v>
      </c>
      <c r="AD26" s="977">
        <v>64216</v>
      </c>
      <c r="AE26" s="978" t="s">
        <v>244</v>
      </c>
    </row>
    <row r="27" spans="1:31" ht="10.15" customHeight="1">
      <c r="A27" s="195" t="s">
        <v>76</v>
      </c>
      <c r="B27" s="252"/>
      <c r="C27" s="252"/>
      <c r="D27" s="252"/>
      <c r="E27" s="252"/>
      <c r="F27" s="252"/>
      <c r="G27" s="252"/>
      <c r="H27" s="252"/>
      <c r="I27" s="252"/>
      <c r="J27" s="772"/>
      <c r="K27" s="772"/>
      <c r="L27" s="772"/>
      <c r="M27" s="772"/>
      <c r="N27" s="252"/>
      <c r="O27" s="252"/>
      <c r="P27" s="252"/>
      <c r="Q27" s="252"/>
      <c r="R27" s="252"/>
      <c r="S27" s="252"/>
      <c r="T27" s="252"/>
      <c r="U27" s="961">
        <f t="shared" si="0"/>
        <v>0</v>
      </c>
      <c r="V27" s="961">
        <f>449000-U27+350000</f>
        <v>799000</v>
      </c>
      <c r="W27" s="965"/>
      <c r="X27" s="195" t="s">
        <v>76</v>
      </c>
      <c r="Y27" s="934">
        <v>96200</v>
      </c>
      <c r="Z27" s="234">
        <f t="shared" si="1"/>
        <v>96200</v>
      </c>
      <c r="AA27" s="234"/>
      <c r="AB27" s="979">
        <v>25</v>
      </c>
      <c r="AC27" s="981">
        <f t="shared" si="2"/>
        <v>5663.8974358974356</v>
      </c>
      <c r="AD27" s="977">
        <v>55223</v>
      </c>
      <c r="AE27" s="978" t="s">
        <v>78</v>
      </c>
    </row>
    <row r="28" spans="1:31" ht="10.15" customHeight="1">
      <c r="A28" s="195" t="s">
        <v>186</v>
      </c>
      <c r="B28" s="252"/>
      <c r="C28" s="252"/>
      <c r="D28" s="252"/>
      <c r="E28" s="252"/>
      <c r="F28" s="252"/>
      <c r="G28" s="252"/>
      <c r="H28" s="252"/>
      <c r="I28" s="252"/>
      <c r="J28" s="772"/>
      <c r="K28" s="772"/>
      <c r="L28" s="772"/>
      <c r="M28" s="772"/>
      <c r="N28" s="252"/>
      <c r="O28" s="252"/>
      <c r="P28" s="252"/>
      <c r="Q28" s="252"/>
      <c r="R28" s="252"/>
      <c r="S28" s="252"/>
      <c r="T28" s="252"/>
      <c r="U28" s="961">
        <f t="shared" si="0"/>
        <v>0</v>
      </c>
      <c r="V28" s="961">
        <f t="shared" ref="V28" si="4">100000-U28</f>
        <v>100000</v>
      </c>
      <c r="W28" s="965"/>
      <c r="X28" s="195" t="s">
        <v>186</v>
      </c>
      <c r="Y28" s="934">
        <v>23730</v>
      </c>
      <c r="Z28" s="234">
        <f t="shared" si="1"/>
        <v>23730</v>
      </c>
      <c r="AA28" s="234"/>
      <c r="AB28" s="979">
        <v>26</v>
      </c>
      <c r="AC28" s="981">
        <f t="shared" si="2"/>
        <v>5326.8205128205127</v>
      </c>
      <c r="AD28" s="977">
        <v>51936.5</v>
      </c>
      <c r="AE28" s="978" t="s">
        <v>188</v>
      </c>
    </row>
    <row r="29" spans="1:31" ht="10.15" customHeight="1">
      <c r="A29" s="195" t="s">
        <v>44</v>
      </c>
      <c r="B29" s="640"/>
      <c r="C29" s="640">
        <f>'6.02.22'!E22</f>
        <v>3543.5</v>
      </c>
      <c r="D29" s="640"/>
      <c r="E29" s="640"/>
      <c r="F29" s="640"/>
      <c r="G29" s="702"/>
      <c r="H29" s="702"/>
      <c r="I29" s="702">
        <f>'6.08.22'!E22</f>
        <v>3562.5</v>
      </c>
      <c r="J29" s="772"/>
      <c r="K29" s="772"/>
      <c r="L29" s="772"/>
      <c r="M29" s="772"/>
      <c r="N29" s="252"/>
      <c r="O29" s="252"/>
      <c r="P29" s="252"/>
      <c r="Q29" s="252"/>
      <c r="R29" s="252"/>
      <c r="S29" s="252"/>
      <c r="T29" s="252"/>
      <c r="U29" s="961">
        <f t="shared" si="0"/>
        <v>7106</v>
      </c>
      <c r="V29" s="961">
        <f t="shared" si="3"/>
        <v>92894</v>
      </c>
      <c r="W29" s="965"/>
      <c r="X29" s="195" t="s">
        <v>44</v>
      </c>
      <c r="Y29" s="934">
        <v>74050</v>
      </c>
      <c r="Z29" s="234">
        <f t="shared" si="1"/>
        <v>81156</v>
      </c>
      <c r="AA29" s="234"/>
      <c r="AB29" s="979">
        <v>27</v>
      </c>
      <c r="AC29" s="981">
        <f t="shared" si="2"/>
        <v>5282.5128205128203</v>
      </c>
      <c r="AD29" s="977">
        <v>51504.5</v>
      </c>
      <c r="AE29" s="978" t="s">
        <v>83</v>
      </c>
    </row>
    <row r="30" spans="1:31" ht="10.15" customHeight="1">
      <c r="A30" s="195" t="s">
        <v>143</v>
      </c>
      <c r="B30" s="640"/>
      <c r="C30" s="640"/>
      <c r="D30" s="640"/>
      <c r="E30" s="640"/>
      <c r="F30" s="640"/>
      <c r="G30" s="702">
        <f>'6.06.22'!E21</f>
        <v>4132.5</v>
      </c>
      <c r="H30" s="702"/>
      <c r="I30" s="702"/>
      <c r="J30" s="772"/>
      <c r="K30" s="772"/>
      <c r="L30" s="772"/>
      <c r="M30" s="772"/>
      <c r="N30" s="738"/>
      <c r="O30" s="738"/>
      <c r="P30" s="738"/>
      <c r="Q30" s="738"/>
      <c r="R30" s="738" t="e">
        <f>#REF!</f>
        <v>#REF!</v>
      </c>
      <c r="S30" s="252"/>
      <c r="T30" s="252"/>
      <c r="U30" s="961" t="e">
        <f t="shared" si="0"/>
        <v>#REF!</v>
      </c>
      <c r="V30" s="961" t="e">
        <f>100000-U30+350000+350000</f>
        <v>#REF!</v>
      </c>
      <c r="W30" s="965"/>
      <c r="X30" s="195" t="s">
        <v>143</v>
      </c>
      <c r="Y30" s="934">
        <v>156540</v>
      </c>
      <c r="Z30" s="234" t="e">
        <f t="shared" si="1"/>
        <v>#REF!</v>
      </c>
      <c r="AA30" s="234"/>
      <c r="AB30" s="979">
        <v>28</v>
      </c>
      <c r="AC30" s="981">
        <f t="shared" si="2"/>
        <v>5196.6153846153848</v>
      </c>
      <c r="AD30" s="977">
        <v>50667</v>
      </c>
      <c r="AE30" s="978" t="s">
        <v>159</v>
      </c>
    </row>
    <row r="31" spans="1:31" ht="10.15" customHeight="1">
      <c r="A31" s="515" t="s">
        <v>242</v>
      </c>
      <c r="B31" s="640"/>
      <c r="C31" s="640"/>
      <c r="D31" s="640"/>
      <c r="E31" s="640"/>
      <c r="F31" s="640"/>
      <c r="G31" s="252"/>
      <c r="H31" s="252"/>
      <c r="I31" s="252">
        <f>'6.08.22'!E30</f>
        <v>5082.5</v>
      </c>
      <c r="J31" s="772"/>
      <c r="K31" s="772"/>
      <c r="L31" s="772"/>
      <c r="M31" s="772"/>
      <c r="N31" s="252"/>
      <c r="O31" s="252"/>
      <c r="P31" s="252"/>
      <c r="Q31" s="252"/>
      <c r="R31" s="252"/>
      <c r="S31" s="252"/>
      <c r="T31" s="252"/>
      <c r="U31" s="961">
        <f t="shared" si="0"/>
        <v>5082.5</v>
      </c>
      <c r="V31" s="961">
        <f>100000-U31+350000+350000</f>
        <v>794917.5</v>
      </c>
      <c r="W31" s="965"/>
      <c r="X31" s="515" t="s">
        <v>242</v>
      </c>
      <c r="Y31" s="934">
        <v>96320</v>
      </c>
      <c r="Z31" s="234">
        <f t="shared" si="1"/>
        <v>101402.5</v>
      </c>
      <c r="AA31" s="234"/>
      <c r="AB31" s="979">
        <v>29</v>
      </c>
      <c r="AC31" s="981">
        <f t="shared" si="2"/>
        <v>4492.7692307692305</v>
      </c>
      <c r="AD31" s="977">
        <v>43804.5</v>
      </c>
      <c r="AE31" s="978" t="s">
        <v>258</v>
      </c>
    </row>
    <row r="32" spans="1:31" ht="10.15" customHeight="1">
      <c r="A32" s="195" t="s">
        <v>81</v>
      </c>
      <c r="B32" s="252"/>
      <c r="C32" s="252"/>
      <c r="D32" s="252"/>
      <c r="E32" s="252"/>
      <c r="F32" s="252"/>
      <c r="G32" s="252"/>
      <c r="H32" s="252"/>
      <c r="I32" s="252"/>
      <c r="J32" s="772"/>
      <c r="K32" s="772"/>
      <c r="L32" s="772"/>
      <c r="M32" s="772"/>
      <c r="N32" s="252"/>
      <c r="O32" s="252"/>
      <c r="P32" s="252"/>
      <c r="Q32" s="252"/>
      <c r="R32" s="252"/>
      <c r="S32" s="252"/>
      <c r="T32" s="252"/>
      <c r="U32" s="961">
        <f t="shared" si="0"/>
        <v>0</v>
      </c>
      <c r="V32" s="961">
        <f t="shared" si="3"/>
        <v>100000</v>
      </c>
      <c r="W32" s="965"/>
      <c r="X32" s="195" t="s">
        <v>81</v>
      </c>
      <c r="Y32" s="934">
        <v>6760</v>
      </c>
      <c r="Z32" s="234">
        <f t="shared" si="1"/>
        <v>6760</v>
      </c>
      <c r="AA32" s="234"/>
      <c r="AB32" s="979">
        <v>30</v>
      </c>
      <c r="AC32" s="981">
        <f t="shared" si="2"/>
        <v>4330.666666666667</v>
      </c>
      <c r="AD32" s="977">
        <v>42224</v>
      </c>
      <c r="AE32" s="978" t="s">
        <v>205</v>
      </c>
    </row>
    <row r="33" spans="1:31" ht="10.15" customHeight="1">
      <c r="A33" s="195" t="s">
        <v>246</v>
      </c>
      <c r="B33" s="640"/>
      <c r="C33" s="640"/>
      <c r="D33" s="640">
        <f>'6.03.02'!E18+'6.03.02'!E29</f>
        <v>6184.5</v>
      </c>
      <c r="E33" s="640">
        <f>'6.04.22'!E22</f>
        <v>4037.5</v>
      </c>
      <c r="F33" s="640">
        <f>'6.05.22'!E21</f>
        <v>4911.5</v>
      </c>
      <c r="G33" s="702"/>
      <c r="H33" s="702">
        <f>'6.07.22'!E22</f>
        <v>3211</v>
      </c>
      <c r="I33" s="702"/>
      <c r="J33" s="772"/>
      <c r="K33" s="772"/>
      <c r="L33" s="772"/>
      <c r="M33" s="772"/>
      <c r="N33" s="738"/>
      <c r="O33" s="738"/>
      <c r="P33" s="738">
        <f>'6.15.22'!E9</f>
        <v>798</v>
      </c>
      <c r="Q33" s="738">
        <f>'6.16.22'!E10</f>
        <v>2299</v>
      </c>
      <c r="R33" s="252"/>
      <c r="S33" s="252"/>
      <c r="T33" s="252"/>
      <c r="U33" s="961">
        <f t="shared" si="0"/>
        <v>21441.5</v>
      </c>
      <c r="V33" s="961">
        <f>100000-U33+350000</f>
        <v>428558.5</v>
      </c>
      <c r="W33" s="965"/>
      <c r="X33" s="195" t="s">
        <v>246</v>
      </c>
      <c r="Y33" s="934">
        <v>6490</v>
      </c>
      <c r="Z33" s="782">
        <f t="shared" si="1"/>
        <v>27931.5</v>
      </c>
      <c r="AA33" s="782"/>
      <c r="AB33" s="979">
        <v>31</v>
      </c>
      <c r="AC33" s="981">
        <f t="shared" si="2"/>
        <v>4291.8461538461543</v>
      </c>
      <c r="AD33" s="977">
        <v>41845.5</v>
      </c>
      <c r="AE33" s="978" t="s">
        <v>239</v>
      </c>
    </row>
    <row r="34" spans="1:31" ht="10.15" customHeight="1">
      <c r="A34" s="195" t="s">
        <v>66</v>
      </c>
      <c r="B34" s="640"/>
      <c r="C34" s="640"/>
      <c r="D34" s="640"/>
      <c r="E34" s="640"/>
      <c r="F34" s="640"/>
      <c r="G34" s="252"/>
      <c r="H34" s="252"/>
      <c r="I34" s="252"/>
      <c r="J34" s="772"/>
      <c r="K34" s="772"/>
      <c r="L34" s="772"/>
      <c r="M34" s="772"/>
      <c r="N34" s="738"/>
      <c r="O34" s="738"/>
      <c r="P34" s="738"/>
      <c r="Q34" s="738"/>
      <c r="R34" s="738" t="e">
        <f>#REF!</f>
        <v>#REF!</v>
      </c>
      <c r="S34" s="252"/>
      <c r="T34" s="252"/>
      <c r="U34" s="961" t="e">
        <f t="shared" si="0"/>
        <v>#REF!</v>
      </c>
      <c r="V34" s="961" t="e">
        <f>100000-U34+350000</f>
        <v>#REF!</v>
      </c>
      <c r="W34" s="965"/>
      <c r="X34" s="195" t="s">
        <v>66</v>
      </c>
      <c r="Y34" s="934">
        <v>61160</v>
      </c>
      <c r="Z34" s="782" t="e">
        <f t="shared" si="1"/>
        <v>#REF!</v>
      </c>
      <c r="AA34" s="782"/>
      <c r="AB34" s="979">
        <v>32</v>
      </c>
      <c r="AC34" s="981">
        <f t="shared" si="2"/>
        <v>3904.5128205128203</v>
      </c>
      <c r="AD34" s="977">
        <v>38069</v>
      </c>
      <c r="AE34" s="978" t="s">
        <v>238</v>
      </c>
    </row>
    <row r="35" spans="1:31" ht="10.15" customHeight="1">
      <c r="A35" s="196" t="s">
        <v>65</v>
      </c>
      <c r="B35" s="640"/>
      <c r="C35" s="640">
        <f>'6.02.22'!E18</f>
        <v>3638.5</v>
      </c>
      <c r="D35" s="640"/>
      <c r="E35" s="640"/>
      <c r="F35" s="640"/>
      <c r="G35" s="702"/>
      <c r="H35" s="702">
        <f>'6.07.22'!E28</f>
        <v>2726.5</v>
      </c>
      <c r="I35" s="702"/>
      <c r="J35" s="772"/>
      <c r="K35" s="772"/>
      <c r="L35" s="772"/>
      <c r="M35" s="772"/>
      <c r="N35" s="738"/>
      <c r="O35" s="738">
        <f>'6.14.22'!E11</f>
        <v>722</v>
      </c>
      <c r="P35" s="738"/>
      <c r="Q35" s="738"/>
      <c r="R35" s="252"/>
      <c r="S35" s="252"/>
      <c r="T35" s="252"/>
      <c r="U35" s="961">
        <f t="shared" si="0"/>
        <v>7087</v>
      </c>
      <c r="V35" s="961">
        <f>449000-U35+350000</f>
        <v>791913</v>
      </c>
      <c r="W35" s="965"/>
      <c r="X35" s="196" t="s">
        <v>65</v>
      </c>
      <c r="Y35" s="934">
        <v>273330</v>
      </c>
      <c r="Z35" s="234">
        <f t="shared" si="1"/>
        <v>280417</v>
      </c>
      <c r="AA35" s="234"/>
      <c r="AB35" s="979">
        <v>33</v>
      </c>
      <c r="AC35" s="981">
        <f t="shared" si="2"/>
        <v>3708.8717948717949</v>
      </c>
      <c r="AD35" s="977">
        <v>36161.5</v>
      </c>
      <c r="AE35" s="978" t="s">
        <v>12</v>
      </c>
    </row>
    <row r="36" spans="1:31" ht="10.15" customHeight="1">
      <c r="A36" s="195" t="s">
        <v>82</v>
      </c>
      <c r="B36" s="640"/>
      <c r="C36" s="640"/>
      <c r="D36" s="640"/>
      <c r="E36" s="640"/>
      <c r="F36" s="640"/>
      <c r="G36" s="702">
        <f>'6.06.22'!E22</f>
        <v>3999.5</v>
      </c>
      <c r="H36" s="702"/>
      <c r="I36" s="702"/>
      <c r="J36" s="772"/>
      <c r="K36" s="772"/>
      <c r="L36" s="772"/>
      <c r="M36" s="772"/>
      <c r="N36" s="738"/>
      <c r="O36" s="738">
        <f>'6.14.22'!E10</f>
        <v>532</v>
      </c>
      <c r="P36" s="738"/>
      <c r="Q36" s="738"/>
      <c r="R36" s="252"/>
      <c r="S36" s="252"/>
      <c r="T36" s="252"/>
      <c r="U36" s="961">
        <f t="shared" si="0"/>
        <v>4531.5</v>
      </c>
      <c r="V36" s="961">
        <f>100000-U36+350000</f>
        <v>445468.5</v>
      </c>
      <c r="W36" s="965"/>
      <c r="X36" s="195" t="s">
        <v>82</v>
      </c>
      <c r="Y36" s="934">
        <v>120530</v>
      </c>
      <c r="Z36" s="234">
        <f t="shared" si="1"/>
        <v>125061.5</v>
      </c>
      <c r="AA36" s="234"/>
      <c r="AB36" s="979">
        <v>34</v>
      </c>
      <c r="AC36" s="981">
        <f t="shared" si="2"/>
        <v>3556.7692307692309</v>
      </c>
      <c r="AD36" s="977">
        <v>34678.5</v>
      </c>
      <c r="AE36" s="978" t="s">
        <v>234</v>
      </c>
    </row>
    <row r="37" spans="1:31" ht="10.15" customHeight="1">
      <c r="A37" s="195" t="s">
        <v>83</v>
      </c>
      <c r="B37" s="252"/>
      <c r="C37" s="252"/>
      <c r="D37" s="252"/>
      <c r="E37" s="252"/>
      <c r="F37" s="252"/>
      <c r="G37" s="252"/>
      <c r="H37" s="252"/>
      <c r="I37" s="252"/>
      <c r="J37" s="772"/>
      <c r="K37" s="772"/>
      <c r="L37" s="772"/>
      <c r="M37" s="772"/>
      <c r="N37" s="738">
        <f>'6.13.22'!E11</f>
        <v>541.5</v>
      </c>
      <c r="O37" s="738"/>
      <c r="P37" s="738"/>
      <c r="Q37" s="738"/>
      <c r="R37" s="252"/>
      <c r="S37" s="252"/>
      <c r="T37" s="252"/>
      <c r="U37" s="961">
        <f t="shared" si="0"/>
        <v>541.5</v>
      </c>
      <c r="V37" s="961">
        <f t="shared" si="3"/>
        <v>99458.5</v>
      </c>
      <c r="W37" s="965"/>
      <c r="X37" s="195" t="s">
        <v>83</v>
      </c>
      <c r="Y37" s="934">
        <v>21760</v>
      </c>
      <c r="Z37" s="234">
        <f t="shared" si="1"/>
        <v>22301.5</v>
      </c>
      <c r="AA37" s="234"/>
      <c r="AB37" s="979">
        <v>35</v>
      </c>
      <c r="AC37" s="981">
        <f t="shared" si="2"/>
        <v>3334.9230769230771</v>
      </c>
      <c r="AD37" s="977">
        <v>32515.5</v>
      </c>
      <c r="AE37" s="978" t="s">
        <v>245</v>
      </c>
    </row>
    <row r="38" spans="1:31" ht="10.15" customHeight="1">
      <c r="A38" s="195" t="s">
        <v>159</v>
      </c>
      <c r="B38" s="252"/>
      <c r="C38" s="252"/>
      <c r="D38" s="252"/>
      <c r="E38" s="252"/>
      <c r="F38" s="252"/>
      <c r="G38" s="252"/>
      <c r="H38" s="252"/>
      <c r="I38" s="252"/>
      <c r="J38" s="772"/>
      <c r="K38" s="772"/>
      <c r="L38" s="772"/>
      <c r="M38" s="772"/>
      <c r="N38" s="252"/>
      <c r="O38" s="252"/>
      <c r="P38" s="252"/>
      <c r="Q38" s="252"/>
      <c r="R38" s="252"/>
      <c r="S38" s="252"/>
      <c r="T38" s="252"/>
      <c r="U38" s="961">
        <f t="shared" si="0"/>
        <v>0</v>
      </c>
      <c r="V38" s="961">
        <f t="shared" si="3"/>
        <v>100000</v>
      </c>
      <c r="W38" s="965"/>
      <c r="X38" s="195" t="s">
        <v>159</v>
      </c>
      <c r="Y38" s="934">
        <v>31040</v>
      </c>
      <c r="Z38" s="234">
        <f t="shared" si="1"/>
        <v>31040</v>
      </c>
      <c r="AA38" s="234"/>
      <c r="AB38" s="979">
        <v>36</v>
      </c>
      <c r="AC38" s="981">
        <f t="shared" si="2"/>
        <v>3001.5384615384614</v>
      </c>
      <c r="AD38" s="977">
        <v>29265</v>
      </c>
      <c r="AE38" s="978" t="s">
        <v>69</v>
      </c>
    </row>
    <row r="39" spans="1:31" ht="10.15" customHeight="1">
      <c r="A39" s="195" t="s">
        <v>145</v>
      </c>
      <c r="B39" s="252"/>
      <c r="C39" s="252"/>
      <c r="D39" s="252"/>
      <c r="E39" s="252"/>
      <c r="F39" s="252"/>
      <c r="G39" s="702"/>
      <c r="H39" s="702"/>
      <c r="I39" s="702">
        <f>'6.08.22'!E28</f>
        <v>2527</v>
      </c>
      <c r="J39" s="772"/>
      <c r="K39" s="772"/>
      <c r="L39" s="772"/>
      <c r="M39" s="772"/>
      <c r="N39" s="252"/>
      <c r="O39" s="252"/>
      <c r="P39" s="252"/>
      <c r="Q39" s="252"/>
      <c r="R39" s="252"/>
      <c r="S39" s="252"/>
      <c r="T39" s="252"/>
      <c r="U39" s="961">
        <f t="shared" si="0"/>
        <v>2527</v>
      </c>
      <c r="V39" s="961">
        <f>100000-U39+449000</f>
        <v>546473</v>
      </c>
      <c r="W39" s="965"/>
      <c r="X39" s="195" t="s">
        <v>145</v>
      </c>
      <c r="Y39" s="934">
        <v>120440</v>
      </c>
      <c r="Z39" s="234">
        <f t="shared" si="1"/>
        <v>122967</v>
      </c>
      <c r="AA39" s="234"/>
      <c r="AB39" s="979">
        <v>37</v>
      </c>
      <c r="AC39" s="981">
        <f t="shared" si="2"/>
        <v>2779.8461538461538</v>
      </c>
      <c r="AD39" s="977">
        <v>27103.5</v>
      </c>
      <c r="AE39" s="978" t="s">
        <v>194</v>
      </c>
    </row>
    <row r="40" spans="1:31" ht="10.15" customHeight="1">
      <c r="A40" s="195" t="s">
        <v>84</v>
      </c>
      <c r="B40" s="252"/>
      <c r="C40" s="252"/>
      <c r="D40" s="252"/>
      <c r="E40" s="252"/>
      <c r="F40" s="252"/>
      <c r="G40" s="252"/>
      <c r="H40" s="252"/>
      <c r="I40" s="252"/>
      <c r="J40" s="772"/>
      <c r="K40" s="772"/>
      <c r="L40" s="772"/>
      <c r="M40" s="772"/>
      <c r="N40" s="252"/>
      <c r="O40" s="252"/>
      <c r="P40" s="252"/>
      <c r="Q40" s="252"/>
      <c r="R40" s="252"/>
      <c r="S40" s="252"/>
      <c r="T40" s="252"/>
      <c r="U40" s="961">
        <f t="shared" si="0"/>
        <v>0</v>
      </c>
      <c r="V40" s="961">
        <f>100000-U40+350000</f>
        <v>450000</v>
      </c>
      <c r="W40" s="965"/>
      <c r="X40" s="195" t="s">
        <v>84</v>
      </c>
      <c r="Y40" s="934">
        <v>21920</v>
      </c>
      <c r="Z40" s="234">
        <f t="shared" si="1"/>
        <v>21920</v>
      </c>
      <c r="AA40" s="234"/>
      <c r="AB40" s="979">
        <v>38</v>
      </c>
      <c r="AC40" s="981">
        <f t="shared" si="2"/>
        <v>2433.8461538461538</v>
      </c>
      <c r="AD40" s="977">
        <v>23730</v>
      </c>
      <c r="AE40" s="978" t="s">
        <v>186</v>
      </c>
    </row>
    <row r="41" spans="1:31" ht="10.15" customHeight="1">
      <c r="A41" s="195" t="s">
        <v>58</v>
      </c>
      <c r="B41" s="252"/>
      <c r="C41" s="252"/>
      <c r="D41" s="252"/>
      <c r="E41" s="252"/>
      <c r="F41" s="252"/>
      <c r="G41" s="252"/>
      <c r="H41" s="252"/>
      <c r="I41" s="252"/>
      <c r="J41" s="772"/>
      <c r="K41" s="772"/>
      <c r="L41" s="772"/>
      <c r="M41" s="772"/>
      <c r="N41" s="252"/>
      <c r="O41" s="252"/>
      <c r="P41" s="252"/>
      <c r="Q41" s="252"/>
      <c r="R41" s="252"/>
      <c r="S41" s="252"/>
      <c r="T41" s="252"/>
      <c r="U41" s="961">
        <f t="shared" si="0"/>
        <v>0</v>
      </c>
      <c r="V41" s="961">
        <f t="shared" si="3"/>
        <v>100000</v>
      </c>
      <c r="W41" s="965"/>
      <c r="X41" s="195" t="s">
        <v>58</v>
      </c>
      <c r="Y41" s="934">
        <v>5830</v>
      </c>
      <c r="Z41" s="234">
        <f t="shared" si="1"/>
        <v>5830</v>
      </c>
      <c r="AA41" s="234"/>
      <c r="AB41" s="979">
        <v>39</v>
      </c>
      <c r="AC41" s="981">
        <f t="shared" si="2"/>
        <v>2248.2051282051284</v>
      </c>
      <c r="AD41" s="977">
        <v>21920</v>
      </c>
      <c r="AE41" s="978" t="s">
        <v>84</v>
      </c>
    </row>
    <row r="42" spans="1:31" ht="10.15" customHeight="1">
      <c r="A42" s="195" t="s">
        <v>45</v>
      </c>
      <c r="B42" s="640">
        <f>'6.01.22'!E21+'6.01.22'!E28</f>
        <v>7875.5</v>
      </c>
      <c r="C42" s="640"/>
      <c r="D42" s="640"/>
      <c r="E42" s="640"/>
      <c r="F42" s="640"/>
      <c r="G42" s="702"/>
      <c r="H42" s="702"/>
      <c r="I42" s="702">
        <f>'6.08.22'!E18</f>
        <v>4398.5</v>
      </c>
      <c r="J42" s="772"/>
      <c r="K42" s="772"/>
      <c r="L42" s="772"/>
      <c r="M42" s="772"/>
      <c r="N42" s="738"/>
      <c r="O42" s="738"/>
      <c r="P42" s="738">
        <f>'6.15.22'!E10</f>
        <v>826.5</v>
      </c>
      <c r="Q42" s="738"/>
      <c r="R42" s="252"/>
      <c r="S42" s="252"/>
      <c r="T42" s="252"/>
      <c r="U42" s="961">
        <f t="shared" si="0"/>
        <v>13100.5</v>
      </c>
      <c r="V42" s="961">
        <f>100000-U42+350000</f>
        <v>436899.5</v>
      </c>
      <c r="W42" s="965"/>
      <c r="X42" s="195" t="s">
        <v>45</v>
      </c>
      <c r="Y42" s="934">
        <v>147560</v>
      </c>
      <c r="Z42" s="234">
        <f t="shared" si="1"/>
        <v>160660.5</v>
      </c>
      <c r="AA42" s="234"/>
      <c r="AB42" s="979">
        <v>40</v>
      </c>
      <c r="AC42" s="981">
        <f t="shared" si="2"/>
        <v>1816.6666666666667</v>
      </c>
      <c r="AD42" s="977">
        <v>17712.5</v>
      </c>
      <c r="AE42" s="978" t="s">
        <v>68</v>
      </c>
    </row>
    <row r="43" spans="1:31" ht="10.15" customHeight="1">
      <c r="A43" s="195" t="s">
        <v>172</v>
      </c>
      <c r="B43" s="640"/>
      <c r="C43" s="640"/>
      <c r="D43" s="640">
        <f>'6.03.02'!E19</f>
        <v>1710</v>
      </c>
      <c r="E43" s="640"/>
      <c r="F43" s="640"/>
      <c r="G43" s="252"/>
      <c r="H43" s="252"/>
      <c r="I43" s="252"/>
      <c r="J43" s="772"/>
      <c r="K43" s="772"/>
      <c r="L43" s="772"/>
      <c r="M43" s="772"/>
      <c r="N43" s="252"/>
      <c r="O43" s="252"/>
      <c r="P43" s="252"/>
      <c r="Q43" s="252"/>
      <c r="R43" s="252"/>
      <c r="S43" s="252"/>
      <c r="T43" s="252"/>
      <c r="U43" s="961">
        <f t="shared" si="0"/>
        <v>1710</v>
      </c>
      <c r="V43" s="961">
        <f t="shared" si="3"/>
        <v>98290</v>
      </c>
      <c r="W43" s="965"/>
      <c r="X43" s="195" t="s">
        <v>172</v>
      </c>
      <c r="Y43" s="934">
        <v>74260</v>
      </c>
      <c r="Z43" s="234">
        <f t="shared" si="1"/>
        <v>75970</v>
      </c>
      <c r="AA43" s="234"/>
      <c r="AB43" s="979">
        <v>41</v>
      </c>
      <c r="AC43" s="981">
        <f t="shared" si="2"/>
        <v>1189.7435897435898</v>
      </c>
      <c r="AD43" s="977">
        <v>11600</v>
      </c>
      <c r="AE43" s="978" t="s">
        <v>129</v>
      </c>
    </row>
    <row r="44" spans="1:31" ht="10.15" customHeight="1">
      <c r="A44" s="195" t="s">
        <v>144</v>
      </c>
      <c r="B44" s="640"/>
      <c r="C44" s="640">
        <f>'6.02.22'!E28</f>
        <v>2745.5</v>
      </c>
      <c r="D44" s="640"/>
      <c r="E44" s="640"/>
      <c r="F44" s="640"/>
      <c r="G44" s="252"/>
      <c r="H44" s="252"/>
      <c r="I44" s="252"/>
      <c r="J44" s="772"/>
      <c r="K44" s="772"/>
      <c r="L44" s="772"/>
      <c r="M44" s="772"/>
      <c r="N44" s="252"/>
      <c r="O44" s="252"/>
      <c r="P44" s="252"/>
      <c r="Q44" s="252"/>
      <c r="R44" s="252"/>
      <c r="S44" s="252"/>
      <c r="T44" s="252"/>
      <c r="U44" s="961">
        <f t="shared" si="0"/>
        <v>2745.5</v>
      </c>
      <c r="V44" s="961">
        <f t="shared" si="3"/>
        <v>97254.5</v>
      </c>
      <c r="W44" s="965"/>
      <c r="X44" s="195" t="s">
        <v>144</v>
      </c>
      <c r="Y44" s="934">
        <v>50990</v>
      </c>
      <c r="Z44" s="234">
        <f t="shared" si="1"/>
        <v>53735.5</v>
      </c>
      <c r="AA44" s="234"/>
      <c r="AB44" s="979">
        <v>42</v>
      </c>
      <c r="AC44" s="981">
        <f t="shared" si="2"/>
        <v>820.51282051282055</v>
      </c>
      <c r="AD44" s="977">
        <v>8000</v>
      </c>
      <c r="AE44" s="978" t="s">
        <v>80</v>
      </c>
    </row>
    <row r="45" spans="1:31" ht="10.15" customHeight="1">
      <c r="A45" s="195" t="s">
        <v>240</v>
      </c>
      <c r="B45" s="252"/>
      <c r="C45" s="252"/>
      <c r="D45" s="252"/>
      <c r="E45" s="252"/>
      <c r="F45" s="252"/>
      <c r="G45" s="252"/>
      <c r="H45" s="252"/>
      <c r="I45" s="252"/>
      <c r="J45" s="772"/>
      <c r="K45" s="772"/>
      <c r="L45" s="772"/>
      <c r="M45" s="772"/>
      <c r="N45" s="252"/>
      <c r="O45" s="252"/>
      <c r="P45" s="252"/>
      <c r="Q45" s="252"/>
      <c r="R45" s="252"/>
      <c r="S45" s="252"/>
      <c r="T45" s="252"/>
      <c r="U45" s="961">
        <f t="shared" si="0"/>
        <v>0</v>
      </c>
      <c r="V45" s="961">
        <f t="shared" si="3"/>
        <v>100000</v>
      </c>
      <c r="W45" s="965"/>
      <c r="X45" s="195" t="s">
        <v>240</v>
      </c>
      <c r="Y45" s="934">
        <v>3570</v>
      </c>
      <c r="Z45" s="234">
        <f t="shared" si="1"/>
        <v>3570</v>
      </c>
      <c r="AA45" s="234"/>
      <c r="AB45" s="979">
        <v>43</v>
      </c>
      <c r="AC45" s="981">
        <f t="shared" si="2"/>
        <v>783.58974358974353</v>
      </c>
      <c r="AD45" s="977">
        <v>7640</v>
      </c>
      <c r="AE45" s="978" t="s">
        <v>181</v>
      </c>
    </row>
    <row r="46" spans="1:31" ht="10.15" customHeight="1">
      <c r="A46" s="195" t="s">
        <v>258</v>
      </c>
      <c r="B46" s="640"/>
      <c r="C46" s="640">
        <f>'6.02.22'!E30</f>
        <v>2185</v>
      </c>
      <c r="D46" s="640"/>
      <c r="E46" s="640"/>
      <c r="F46" s="640">
        <f>'6.05.22'!E29</f>
        <v>2536.5</v>
      </c>
      <c r="G46" s="252"/>
      <c r="H46" s="252"/>
      <c r="I46" s="252"/>
      <c r="J46" s="772"/>
      <c r="K46" s="772"/>
      <c r="L46" s="772"/>
      <c r="M46" s="772"/>
      <c r="N46" s="252"/>
      <c r="O46" s="252"/>
      <c r="P46" s="252"/>
      <c r="Q46" s="252"/>
      <c r="R46" s="252"/>
      <c r="S46" s="252"/>
      <c r="T46" s="252"/>
      <c r="U46" s="961">
        <f t="shared" si="0"/>
        <v>4721.5</v>
      </c>
      <c r="V46" s="961">
        <f t="shared" si="3"/>
        <v>95278.5</v>
      </c>
      <c r="W46" s="965"/>
      <c r="X46" s="195" t="s">
        <v>258</v>
      </c>
      <c r="Y46" s="934">
        <v>0</v>
      </c>
      <c r="Z46" s="234">
        <f t="shared" si="1"/>
        <v>4721.5</v>
      </c>
      <c r="AA46" s="234"/>
      <c r="AB46" s="979">
        <v>44</v>
      </c>
      <c r="AC46" s="981">
        <f t="shared" si="2"/>
        <v>693.33333333333337</v>
      </c>
      <c r="AD46" s="977">
        <v>6760</v>
      </c>
      <c r="AE46" s="978" t="s">
        <v>81</v>
      </c>
    </row>
    <row r="47" spans="1:31" ht="10.15" customHeight="1">
      <c r="A47" s="195" t="s">
        <v>70</v>
      </c>
      <c r="B47" s="252"/>
      <c r="C47" s="252"/>
      <c r="D47" s="252"/>
      <c r="E47" s="252"/>
      <c r="F47" s="252"/>
      <c r="G47" s="252"/>
      <c r="H47" s="252"/>
      <c r="I47" s="252"/>
      <c r="J47" s="772"/>
      <c r="K47" s="772"/>
      <c r="L47" s="772"/>
      <c r="M47" s="772"/>
      <c r="N47" s="738"/>
      <c r="O47" s="738"/>
      <c r="P47" s="738"/>
      <c r="Q47" s="738">
        <f>'6.16.22'!E13</f>
        <v>2014</v>
      </c>
      <c r="R47" s="252"/>
      <c r="S47" s="252"/>
      <c r="T47" s="252"/>
      <c r="U47" s="961">
        <f t="shared" si="0"/>
        <v>2014</v>
      </c>
      <c r="V47" s="358">
        <f>449000-U47+350000+350000</f>
        <v>1146986</v>
      </c>
      <c r="W47" s="965"/>
      <c r="X47" s="195" t="s">
        <v>70</v>
      </c>
      <c r="Y47" s="934">
        <v>440900</v>
      </c>
      <c r="Z47" s="234">
        <f t="shared" si="1"/>
        <v>442914</v>
      </c>
      <c r="AA47" s="234"/>
      <c r="AB47" s="979">
        <v>45</v>
      </c>
      <c r="AC47" s="981">
        <f t="shared" si="2"/>
        <v>597.9487179487179</v>
      </c>
      <c r="AD47" s="977">
        <v>5830</v>
      </c>
      <c r="AE47" s="978" t="s">
        <v>58</v>
      </c>
    </row>
    <row r="48" spans="1:31" ht="10.15" customHeight="1">
      <c r="A48" s="195" t="s">
        <v>181</v>
      </c>
      <c r="B48" s="252"/>
      <c r="C48" s="252"/>
      <c r="D48" s="252"/>
      <c r="E48" s="252"/>
      <c r="F48" s="252"/>
      <c r="G48" s="252"/>
      <c r="H48" s="252"/>
      <c r="I48" s="252"/>
      <c r="J48" s="772"/>
      <c r="K48" s="772"/>
      <c r="L48" s="772"/>
      <c r="M48" s="772"/>
      <c r="N48" s="252"/>
      <c r="O48" s="252"/>
      <c r="P48" s="252"/>
      <c r="Q48" s="252"/>
      <c r="R48" s="252"/>
      <c r="S48" s="252"/>
      <c r="T48" s="252"/>
      <c r="U48" s="961">
        <f t="shared" si="0"/>
        <v>0</v>
      </c>
      <c r="V48" s="358">
        <f>100000-U48</f>
        <v>100000</v>
      </c>
      <c r="W48" s="965"/>
      <c r="X48" s="195" t="s">
        <v>181</v>
      </c>
      <c r="Y48" s="934">
        <v>7640</v>
      </c>
      <c r="Z48" s="234">
        <f t="shared" si="1"/>
        <v>7640</v>
      </c>
      <c r="AA48" s="234"/>
      <c r="AB48" s="979">
        <v>46</v>
      </c>
      <c r="AC48" s="981">
        <f t="shared" si="2"/>
        <v>366.15384615384613</v>
      </c>
      <c r="AD48" s="977">
        <v>3570</v>
      </c>
      <c r="AE48" s="978" t="s">
        <v>240</v>
      </c>
    </row>
    <row r="49" spans="1:39" ht="10.15" customHeight="1">
      <c r="A49" s="195" t="s">
        <v>244</v>
      </c>
      <c r="B49" s="640"/>
      <c r="C49" s="640">
        <f>'6.02.22'!E19</f>
        <v>4826</v>
      </c>
      <c r="D49" s="640"/>
      <c r="E49" s="640"/>
      <c r="F49" s="640"/>
      <c r="G49" s="702"/>
      <c r="H49" s="702">
        <f>'6.07.22'!E19</f>
        <v>5101.5</v>
      </c>
      <c r="I49" s="702"/>
      <c r="J49" s="772"/>
      <c r="K49" s="772"/>
      <c r="L49" s="772"/>
      <c r="M49" s="772"/>
      <c r="N49" s="738">
        <f>'6.13.22'!E9</f>
        <v>370.5</v>
      </c>
      <c r="O49" s="738"/>
      <c r="P49" s="738"/>
      <c r="Q49" s="738"/>
      <c r="R49" s="252"/>
      <c r="S49" s="252"/>
      <c r="T49" s="252"/>
      <c r="U49" s="961">
        <f t="shared" si="0"/>
        <v>10298</v>
      </c>
      <c r="V49" s="358">
        <f>100000-U49</f>
        <v>89702</v>
      </c>
      <c r="W49" s="965"/>
      <c r="X49" s="195" t="s">
        <v>244</v>
      </c>
      <c r="Y49" s="934">
        <v>11130</v>
      </c>
      <c r="Z49" s="234">
        <f t="shared" si="1"/>
        <v>21428</v>
      </c>
      <c r="AA49" s="234"/>
      <c r="AB49" s="979">
        <v>47</v>
      </c>
      <c r="AC49" s="981">
        <f t="shared" si="2"/>
        <v>284.5128205128205</v>
      </c>
      <c r="AD49" s="977">
        <v>2774</v>
      </c>
      <c r="AE49" s="978" t="s">
        <v>265</v>
      </c>
    </row>
    <row r="50" spans="1:39" s="521" customFormat="1" ht="10.15" customHeight="1">
      <c r="A50" s="515" t="s">
        <v>205</v>
      </c>
      <c r="B50" s="640"/>
      <c r="C50" s="640"/>
      <c r="D50" s="640"/>
      <c r="E50" s="640"/>
      <c r="F50" s="640"/>
      <c r="G50" s="252"/>
      <c r="H50" s="252"/>
      <c r="I50" s="252"/>
      <c r="J50" s="772"/>
      <c r="K50" s="772"/>
      <c r="L50" s="772"/>
      <c r="M50" s="772"/>
      <c r="N50" s="252"/>
      <c r="O50" s="252"/>
      <c r="P50" s="252"/>
      <c r="Q50" s="252"/>
      <c r="R50" s="252"/>
      <c r="S50" s="252"/>
      <c r="T50" s="252"/>
      <c r="U50" s="522">
        <f t="shared" si="0"/>
        <v>0</v>
      </c>
      <c r="V50" s="522">
        <f t="shared" si="3"/>
        <v>100000</v>
      </c>
      <c r="W50" s="777"/>
      <c r="X50" s="515" t="s">
        <v>205</v>
      </c>
      <c r="Y50" s="934">
        <v>27290</v>
      </c>
      <c r="Z50" s="234">
        <f t="shared" si="1"/>
        <v>27290</v>
      </c>
      <c r="AA50" s="234"/>
      <c r="AB50" s="979">
        <v>48</v>
      </c>
      <c r="AC50" s="981">
        <f t="shared" si="2"/>
        <v>51.282051282051285</v>
      </c>
      <c r="AD50" s="977">
        <v>500</v>
      </c>
      <c r="AE50" s="978" t="s">
        <v>79</v>
      </c>
    </row>
    <row r="51" spans="1:39" ht="13.9" customHeight="1" thickBot="1">
      <c r="A51" s="46" t="s">
        <v>24</v>
      </c>
      <c r="B51" s="530">
        <f t="shared" ref="B51:T51" si="5">SUM(B3:B50)</f>
        <v>25441</v>
      </c>
      <c r="C51" s="530">
        <f t="shared" si="5"/>
        <v>19978.5</v>
      </c>
      <c r="D51" s="530">
        <f t="shared" si="5"/>
        <v>20947.5</v>
      </c>
      <c r="E51" s="530">
        <f t="shared" si="5"/>
        <v>16349.5</v>
      </c>
      <c r="F51" s="530">
        <f t="shared" si="5"/>
        <v>21764.5</v>
      </c>
      <c r="G51" s="530">
        <f t="shared" si="5"/>
        <v>26077.5</v>
      </c>
      <c r="H51" s="530">
        <f t="shared" si="5"/>
        <v>30362</v>
      </c>
      <c r="I51" s="530">
        <f t="shared" si="5"/>
        <v>22429.5</v>
      </c>
      <c r="J51" s="773">
        <f t="shared" si="5"/>
        <v>0</v>
      </c>
      <c r="K51" s="773">
        <f t="shared" si="5"/>
        <v>0</v>
      </c>
      <c r="L51" s="773">
        <f t="shared" si="5"/>
        <v>0</v>
      </c>
      <c r="M51" s="773">
        <f t="shared" si="5"/>
        <v>0</v>
      </c>
      <c r="N51" s="530">
        <f t="shared" si="5"/>
        <v>1406</v>
      </c>
      <c r="O51" s="530">
        <f t="shared" si="5"/>
        <v>2308.5</v>
      </c>
      <c r="P51" s="530">
        <f t="shared" si="5"/>
        <v>2584</v>
      </c>
      <c r="Q51" s="530">
        <f t="shared" si="5"/>
        <v>8531</v>
      </c>
      <c r="R51" s="530" t="e">
        <f t="shared" si="5"/>
        <v>#REF!</v>
      </c>
      <c r="S51" s="530">
        <f t="shared" si="5"/>
        <v>0</v>
      </c>
      <c r="T51" s="530">
        <f t="shared" si="5"/>
        <v>0</v>
      </c>
      <c r="U51" s="55" t="e">
        <f>SUM(U3:U50)</f>
        <v>#REF!</v>
      </c>
      <c r="V51" s="55" t="e">
        <f>SUM(V3:V50)</f>
        <v>#REF!</v>
      </c>
      <c r="W51" s="778"/>
      <c r="Y51" s="934">
        <f>SUM(Y3:Y50)</f>
        <v>3526350</v>
      </c>
      <c r="Z51" s="234" t="e">
        <f>SUM(Z3:Z50)</f>
        <v>#REF!</v>
      </c>
      <c r="AA51" s="234"/>
      <c r="AB51" s="980"/>
      <c r="AC51" s="981">
        <f>SUM(AC3:AC50)</f>
        <v>524647.282051282</v>
      </c>
      <c r="AD51" s="977">
        <f>SUM(AD3:AD50)</f>
        <v>5115311</v>
      </c>
      <c r="AE51" s="937"/>
    </row>
    <row r="52" spans="1:39" ht="12" customHeight="1" thickTop="1">
      <c r="A52" s="198" t="s">
        <v>85</v>
      </c>
      <c r="B52" s="241">
        <v>25441</v>
      </c>
      <c r="C52" s="241">
        <f>'6.02.22'!E38</f>
        <v>19978.5</v>
      </c>
      <c r="D52" s="241">
        <f>'6.03.02'!E38</f>
        <v>20947.5</v>
      </c>
      <c r="E52" s="241">
        <f>'6.04.22'!E38</f>
        <v>16349.5</v>
      </c>
      <c r="F52" s="241">
        <f>'6.05.22'!E38</f>
        <v>21764.5</v>
      </c>
      <c r="G52" s="241">
        <f>'6.06.22'!E38</f>
        <v>26077.5</v>
      </c>
      <c r="H52" s="241">
        <v>30362</v>
      </c>
      <c r="I52" s="241">
        <f>'6.08.22'!E38</f>
        <v>22429.5</v>
      </c>
      <c r="J52" s="241"/>
      <c r="K52" s="241"/>
      <c r="L52" s="241"/>
      <c r="M52" s="241"/>
      <c r="N52" s="241">
        <v>1406</v>
      </c>
      <c r="O52" s="241">
        <f>'6.14.22'!E38</f>
        <v>2308.5</v>
      </c>
      <c r="P52" s="241">
        <f>'6.15.22'!E38</f>
        <v>2584</v>
      </c>
      <c r="Q52" s="241">
        <f>'6.16.22'!E40</f>
        <v>8531</v>
      </c>
      <c r="R52" s="241">
        <v>2242</v>
      </c>
      <c r="S52" s="241"/>
      <c r="T52" s="241"/>
      <c r="U52" s="197"/>
      <c r="V52" s="57"/>
      <c r="W52" s="779"/>
      <c r="X52" s="521"/>
      <c r="Y52" s="521"/>
    </row>
    <row r="53" spans="1:39" ht="12" customHeight="1">
      <c r="A53" s="198" t="s">
        <v>86</v>
      </c>
      <c r="B53" s="242">
        <f t="shared" ref="B53:K53" si="6">B51-B52</f>
        <v>0</v>
      </c>
      <c r="C53" s="242">
        <f t="shared" si="6"/>
        <v>0</v>
      </c>
      <c r="D53" s="242">
        <f t="shared" si="6"/>
        <v>0</v>
      </c>
      <c r="E53" s="242">
        <f t="shared" si="6"/>
        <v>0</v>
      </c>
      <c r="F53" s="242">
        <f t="shared" si="6"/>
        <v>0</v>
      </c>
      <c r="G53" s="242">
        <f t="shared" si="6"/>
        <v>0</v>
      </c>
      <c r="H53" s="242">
        <f t="shared" si="6"/>
        <v>0</v>
      </c>
      <c r="I53" s="242">
        <f t="shared" si="6"/>
        <v>0</v>
      </c>
      <c r="J53" s="242">
        <f t="shared" si="6"/>
        <v>0</v>
      </c>
      <c r="K53" s="242">
        <f t="shared" si="6"/>
        <v>0</v>
      </c>
      <c r="L53" s="242">
        <f>L51-L52</f>
        <v>0</v>
      </c>
      <c r="M53" s="242">
        <f t="shared" ref="M53:T53" si="7">M51-M52</f>
        <v>0</v>
      </c>
      <c r="N53" s="242">
        <f t="shared" si="7"/>
        <v>0</v>
      </c>
      <c r="O53" s="242">
        <f t="shared" si="7"/>
        <v>0</v>
      </c>
      <c r="P53" s="242">
        <f t="shared" si="7"/>
        <v>0</v>
      </c>
      <c r="Q53" s="242">
        <f t="shared" si="7"/>
        <v>0</v>
      </c>
      <c r="R53" s="242" t="e">
        <f t="shared" si="7"/>
        <v>#REF!</v>
      </c>
      <c r="S53" s="242">
        <f t="shared" si="7"/>
        <v>0</v>
      </c>
      <c r="T53" s="242">
        <f t="shared" si="7"/>
        <v>0</v>
      </c>
      <c r="U53" s="233"/>
      <c r="V53" s="199"/>
      <c r="W53" s="780"/>
      <c r="Y53" s="316"/>
      <c r="Z53" s="199"/>
      <c r="AA53" s="199"/>
      <c r="AB53" s="199"/>
      <c r="AC53" s="198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</row>
    <row r="54" spans="1:39" ht="23.25">
      <c r="I54" s="974" t="s">
        <v>317</v>
      </c>
      <c r="J54" s="974" t="s">
        <v>318</v>
      </c>
      <c r="K54" s="974" t="s">
        <v>318</v>
      </c>
      <c r="L54" s="974" t="s">
        <v>318</v>
      </c>
      <c r="M54" s="974" t="s">
        <v>318</v>
      </c>
      <c r="N54" s="982" t="s">
        <v>319</v>
      </c>
      <c r="O54" s="982" t="s">
        <v>319</v>
      </c>
      <c r="P54" s="982" t="s">
        <v>319</v>
      </c>
      <c r="Q54" s="982" t="s">
        <v>320</v>
      </c>
      <c r="R54" s="982" t="s">
        <v>319</v>
      </c>
    </row>
    <row r="55" spans="1:39">
      <c r="Q55" s="974" t="s">
        <v>324</v>
      </c>
      <c r="R55" s="974" t="s">
        <v>323</v>
      </c>
      <c r="U55" s="234"/>
      <c r="X55" s="199"/>
      <c r="Y55" s="199"/>
    </row>
    <row r="57" spans="1:39">
      <c r="A57" s="188"/>
    </row>
    <row r="58" spans="1:39">
      <c r="A58" s="188"/>
    </row>
  </sheetData>
  <mergeCells count="3">
    <mergeCell ref="A1:A2"/>
    <mergeCell ref="U1:U2"/>
    <mergeCell ref="V1:V2"/>
  </mergeCells>
  <conditionalFormatting sqref="V20:W22 V29:W29 V32:W32 V47:W47 V40:W42 V16:W17 V26:W26 V50:W50 V5:W7 V9:W9 V34:W37 V11:W13">
    <cfRule type="cellIs" dxfId="1093" priority="66" operator="lessThan">
      <formula>20000</formula>
    </cfRule>
    <cfRule type="cellIs" dxfId="1092" priority="67" operator="lessThan">
      <formula>25000</formula>
    </cfRule>
    <cfRule type="cellIs" dxfId="1091" priority="68" operator="lessThan">
      <formula>50000</formula>
    </cfRule>
  </conditionalFormatting>
  <conditionalFormatting sqref="V18:W18">
    <cfRule type="cellIs" dxfId="1090" priority="63" operator="lessThan">
      <formula>20000</formula>
    </cfRule>
    <cfRule type="cellIs" dxfId="1089" priority="64" operator="lessThan">
      <formula>25000</formula>
    </cfRule>
    <cfRule type="cellIs" dxfId="1088" priority="65" operator="lessThan">
      <formula>50000</formula>
    </cfRule>
  </conditionalFormatting>
  <conditionalFormatting sqref="V27:W27">
    <cfRule type="cellIs" dxfId="1087" priority="60" operator="lessThan">
      <formula>20000</formula>
    </cfRule>
    <cfRule type="cellIs" dxfId="1086" priority="61" operator="lessThan">
      <formula>25000</formula>
    </cfRule>
    <cfRule type="cellIs" dxfId="1085" priority="62" operator="lessThan">
      <formula>50000</formula>
    </cfRule>
  </conditionalFormatting>
  <conditionalFormatting sqref="V30:W30">
    <cfRule type="cellIs" dxfId="1084" priority="57" operator="lessThan">
      <formula>20000</formula>
    </cfRule>
    <cfRule type="cellIs" dxfId="1083" priority="58" operator="lessThan">
      <formula>25000</formula>
    </cfRule>
    <cfRule type="cellIs" dxfId="1082" priority="59" operator="lessThan">
      <formula>50000</formula>
    </cfRule>
  </conditionalFormatting>
  <conditionalFormatting sqref="V39:W39">
    <cfRule type="cellIs" dxfId="1081" priority="54" operator="lessThan">
      <formula>20000</formula>
    </cfRule>
    <cfRule type="cellIs" dxfId="1080" priority="55" operator="lessThan">
      <formula>25000</formula>
    </cfRule>
    <cfRule type="cellIs" dxfId="1079" priority="56" operator="lessThan">
      <formula>50000</formula>
    </cfRule>
  </conditionalFormatting>
  <conditionalFormatting sqref="V44:W44">
    <cfRule type="cellIs" dxfId="1078" priority="51" operator="lessThan">
      <formula>20000</formula>
    </cfRule>
    <cfRule type="cellIs" dxfId="1077" priority="52" operator="lessThan">
      <formula>25000</formula>
    </cfRule>
    <cfRule type="cellIs" dxfId="1076" priority="53" operator="lessThan">
      <formula>50000</formula>
    </cfRule>
  </conditionalFormatting>
  <conditionalFormatting sqref="V38:W38">
    <cfRule type="cellIs" dxfId="1075" priority="48" operator="lessThan">
      <formula>20000</formula>
    </cfRule>
    <cfRule type="cellIs" dxfId="1074" priority="49" operator="lessThan">
      <formula>25000</formula>
    </cfRule>
    <cfRule type="cellIs" dxfId="1073" priority="50" operator="lessThan">
      <formula>50000</formula>
    </cfRule>
  </conditionalFormatting>
  <conditionalFormatting sqref="V4:W4">
    <cfRule type="cellIs" dxfId="1072" priority="45" operator="lessThan">
      <formula>20000</formula>
    </cfRule>
    <cfRule type="cellIs" dxfId="1071" priority="46" operator="lessThan">
      <formula>25000</formula>
    </cfRule>
    <cfRule type="cellIs" dxfId="1070" priority="47" operator="lessThan">
      <formula>50000</formula>
    </cfRule>
  </conditionalFormatting>
  <conditionalFormatting sqref="V43:W43">
    <cfRule type="cellIs" dxfId="1069" priority="42" operator="lessThan">
      <formula>20000</formula>
    </cfRule>
    <cfRule type="cellIs" dxfId="1068" priority="43" operator="lessThan">
      <formula>25000</formula>
    </cfRule>
    <cfRule type="cellIs" dxfId="1067" priority="44" operator="lessThan">
      <formula>50000</formula>
    </cfRule>
  </conditionalFormatting>
  <conditionalFormatting sqref="V28:W28">
    <cfRule type="cellIs" dxfId="1066" priority="39" operator="lessThan">
      <formula>20000</formula>
    </cfRule>
    <cfRule type="cellIs" dxfId="1065" priority="40" operator="lessThan">
      <formula>25000</formula>
    </cfRule>
    <cfRule type="cellIs" dxfId="1064" priority="41" operator="lessThan">
      <formula>50000</formula>
    </cfRule>
  </conditionalFormatting>
  <conditionalFormatting sqref="V3:W3">
    <cfRule type="cellIs" dxfId="1063" priority="36" operator="lessThan">
      <formula>20000</formula>
    </cfRule>
    <cfRule type="cellIs" dxfId="1062" priority="37" operator="lessThan">
      <formula>25000</formula>
    </cfRule>
    <cfRule type="cellIs" dxfId="1061" priority="38" operator="lessThan">
      <formula>50000</formula>
    </cfRule>
  </conditionalFormatting>
  <conditionalFormatting sqref="V14:W14">
    <cfRule type="cellIs" dxfId="1060" priority="33" operator="lessThan">
      <formula>20000</formula>
    </cfRule>
    <cfRule type="cellIs" dxfId="1059" priority="34" operator="lessThan">
      <formula>25000</formula>
    </cfRule>
    <cfRule type="cellIs" dxfId="1058" priority="35" operator="lessThan">
      <formula>50000</formula>
    </cfRule>
  </conditionalFormatting>
  <conditionalFormatting sqref="V23:W24">
    <cfRule type="cellIs" dxfId="1057" priority="30" operator="lessThan">
      <formula>20000</formula>
    </cfRule>
    <cfRule type="cellIs" dxfId="1056" priority="31" operator="lessThan">
      <formula>25000</formula>
    </cfRule>
    <cfRule type="cellIs" dxfId="1055" priority="32" operator="lessThan">
      <formula>50000</formula>
    </cfRule>
  </conditionalFormatting>
  <conditionalFormatting sqref="V48:W49">
    <cfRule type="cellIs" dxfId="1054" priority="27" operator="lessThan">
      <formula>20000</formula>
    </cfRule>
    <cfRule type="cellIs" dxfId="1053" priority="28" operator="lessThan">
      <formula>25000</formula>
    </cfRule>
    <cfRule type="cellIs" dxfId="1052" priority="29" operator="lessThan">
      <formula>50000</formula>
    </cfRule>
  </conditionalFormatting>
  <conditionalFormatting sqref="V19:W19">
    <cfRule type="cellIs" dxfId="1051" priority="24" operator="lessThan">
      <formula>20000</formula>
    </cfRule>
    <cfRule type="cellIs" dxfId="1050" priority="25" operator="lessThan">
      <formula>25000</formula>
    </cfRule>
    <cfRule type="cellIs" dxfId="1049" priority="26" operator="lessThan">
      <formula>50000</formula>
    </cfRule>
  </conditionalFormatting>
  <conditionalFormatting sqref="V8:W8">
    <cfRule type="cellIs" dxfId="1048" priority="21" operator="lessThan">
      <formula>20000</formula>
    </cfRule>
    <cfRule type="cellIs" dxfId="1047" priority="22" operator="lessThan">
      <formula>25000</formula>
    </cfRule>
    <cfRule type="cellIs" dxfId="1046" priority="23" operator="lessThan">
      <formula>50000</formula>
    </cfRule>
  </conditionalFormatting>
  <conditionalFormatting sqref="V45:W46">
    <cfRule type="cellIs" dxfId="1045" priority="18" operator="lessThan">
      <formula>20000</formula>
    </cfRule>
    <cfRule type="cellIs" dxfId="1044" priority="19" operator="lessThan">
      <formula>25000</formula>
    </cfRule>
    <cfRule type="cellIs" dxfId="1043" priority="20" operator="lessThan">
      <formula>50000</formula>
    </cfRule>
  </conditionalFormatting>
  <conditionalFormatting sqref="V31:W31">
    <cfRule type="cellIs" dxfId="1042" priority="15" operator="lessThan">
      <formula>20000</formula>
    </cfRule>
    <cfRule type="cellIs" dxfId="1041" priority="16" operator="lessThan">
      <formula>25000</formula>
    </cfRule>
    <cfRule type="cellIs" dxfId="1040" priority="17" operator="lessThan">
      <formula>50000</formula>
    </cfRule>
  </conditionalFormatting>
  <conditionalFormatting sqref="V15:W15">
    <cfRule type="cellIs" dxfId="1039" priority="12" operator="lessThan">
      <formula>20000</formula>
    </cfRule>
    <cfRule type="cellIs" dxfId="1038" priority="13" operator="lessThan">
      <formula>25000</formula>
    </cfRule>
    <cfRule type="cellIs" dxfId="1037" priority="14" operator="lessThan">
      <formula>50000</formula>
    </cfRule>
  </conditionalFormatting>
  <conditionalFormatting sqref="V33:W33">
    <cfRule type="cellIs" dxfId="1036" priority="9" operator="lessThan">
      <formula>20000</formula>
    </cfRule>
    <cfRule type="cellIs" dxfId="1035" priority="10" operator="lessThan">
      <formula>25000</formula>
    </cfRule>
    <cfRule type="cellIs" dxfId="1034" priority="11" operator="lessThan">
      <formula>50000</formula>
    </cfRule>
  </conditionalFormatting>
  <conditionalFormatting sqref="V10:W10">
    <cfRule type="cellIs" dxfId="1033" priority="6" operator="lessThan">
      <formula>20000</formula>
    </cfRule>
    <cfRule type="cellIs" dxfId="1032" priority="7" operator="lessThan">
      <formula>25000</formula>
    </cfRule>
    <cfRule type="cellIs" dxfId="1031" priority="8" operator="lessThan">
      <formula>50000</formula>
    </cfRule>
  </conditionalFormatting>
  <conditionalFormatting sqref="B53:T53">
    <cfRule type="cellIs" dxfId="1030" priority="4" operator="lessThan">
      <formula>0</formula>
    </cfRule>
    <cfRule type="cellIs" dxfId="1029" priority="5" operator="greaterThan">
      <formula>0</formula>
    </cfRule>
  </conditionalFormatting>
  <conditionalFormatting sqref="V25:W25">
    <cfRule type="cellIs" dxfId="1028" priority="1" operator="lessThan">
      <formula>20000</formula>
    </cfRule>
    <cfRule type="cellIs" dxfId="1027" priority="2" operator="lessThan">
      <formula>25000</formula>
    </cfRule>
    <cfRule type="cellIs" dxfId="1026" priority="3" operator="lessThan">
      <formula>50000</formula>
    </cfRule>
  </conditionalFormatting>
  <pageMargins left="0.7" right="0.7" top="0.75" bottom="0.75" header="0.3" footer="0.3"/>
  <pageSetup scale="130" orientation="portrait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01F92-1BB3-4A27-B87C-DE6B50675999}">
  <sheetPr codeName="Sheet348">
    <pageSetUpPr fitToPage="1"/>
  </sheetPr>
  <dimension ref="A1:BD58"/>
  <sheetViews>
    <sheetView workbookViewId="0">
      <selection sqref="A1:A2"/>
    </sheetView>
  </sheetViews>
  <sheetFormatPr defaultColWidth="8.85546875" defaultRowHeight="15"/>
  <cols>
    <col min="1" max="1" width="21.85546875" style="830" bestFit="1" customWidth="1"/>
    <col min="2" max="2" width="8.7109375" style="830" customWidth="1"/>
    <col min="3" max="3" width="8.5703125" style="830" customWidth="1"/>
    <col min="4" max="7" width="8.5703125" style="830" bestFit="1" customWidth="1"/>
    <col min="8" max="9" width="8" style="830" customWidth="1"/>
    <col min="10" max="26" width="8.5703125" style="830" bestFit="1" customWidth="1"/>
    <col min="27" max="30" width="8" style="830" customWidth="1"/>
    <col min="31" max="39" width="8" style="830" hidden="1" customWidth="1"/>
    <col min="40" max="40" width="12.28515625" style="865" customWidth="1"/>
    <col min="41" max="41" width="18" style="865" customWidth="1"/>
    <col min="42" max="42" width="5.28515625" style="781" customWidth="1"/>
    <col min="43" max="43" width="18.28515625" style="865" customWidth="1"/>
    <col min="44" max="45" width="12.42578125" style="865" customWidth="1"/>
    <col min="46" max="16384" width="8.85546875" style="865"/>
  </cols>
  <sheetData>
    <row r="1" spans="1:45">
      <c r="A1" s="1251" t="s">
        <v>77</v>
      </c>
      <c r="B1" s="250" t="s">
        <v>93</v>
      </c>
      <c r="C1" s="250" t="s">
        <v>87</v>
      </c>
      <c r="D1" s="250" t="s">
        <v>88</v>
      </c>
      <c r="E1" s="250" t="s">
        <v>89</v>
      </c>
      <c r="F1" s="250" t="s">
        <v>90</v>
      </c>
      <c r="G1" s="250" t="s">
        <v>91</v>
      </c>
      <c r="H1" s="250" t="s">
        <v>92</v>
      </c>
      <c r="I1" s="250" t="s">
        <v>93</v>
      </c>
      <c r="J1" s="250" t="s">
        <v>87</v>
      </c>
      <c r="K1" s="250" t="s">
        <v>88</v>
      </c>
      <c r="L1" s="250" t="s">
        <v>89</v>
      </c>
      <c r="M1" s="250" t="s">
        <v>90</v>
      </c>
      <c r="N1" s="250" t="s">
        <v>91</v>
      </c>
      <c r="O1" s="250" t="s">
        <v>92</v>
      </c>
      <c r="P1" s="250" t="s">
        <v>93</v>
      </c>
      <c r="Q1" s="250" t="s">
        <v>87</v>
      </c>
      <c r="R1" s="250" t="s">
        <v>88</v>
      </c>
      <c r="S1" s="250" t="s">
        <v>89</v>
      </c>
      <c r="T1" s="250" t="s">
        <v>90</v>
      </c>
      <c r="U1" s="250" t="s">
        <v>91</v>
      </c>
      <c r="V1" s="250" t="s">
        <v>92</v>
      </c>
      <c r="W1" s="250" t="s">
        <v>93</v>
      </c>
      <c r="X1" s="250" t="s">
        <v>87</v>
      </c>
      <c r="Y1" s="250" t="s">
        <v>88</v>
      </c>
      <c r="Z1" s="250" t="s">
        <v>89</v>
      </c>
      <c r="AA1" s="250" t="s">
        <v>90</v>
      </c>
      <c r="AB1" s="250" t="s">
        <v>91</v>
      </c>
      <c r="AC1" s="250" t="s">
        <v>92</v>
      </c>
      <c r="AD1" s="250" t="s">
        <v>93</v>
      </c>
      <c r="AE1" s="250" t="s">
        <v>92</v>
      </c>
      <c r="AF1" s="250" t="s">
        <v>93</v>
      </c>
      <c r="AG1" s="250" t="s">
        <v>87</v>
      </c>
      <c r="AH1" s="250" t="s">
        <v>88</v>
      </c>
      <c r="AI1" s="250" t="s">
        <v>89</v>
      </c>
      <c r="AJ1" s="250" t="s">
        <v>90</v>
      </c>
      <c r="AK1" s="250" t="s">
        <v>91</v>
      </c>
      <c r="AL1" s="250" t="s">
        <v>92</v>
      </c>
      <c r="AM1" s="250" t="s">
        <v>93</v>
      </c>
      <c r="AN1" s="1253" t="s">
        <v>31</v>
      </c>
      <c r="AO1" s="1282" t="s">
        <v>190</v>
      </c>
      <c r="AP1" s="774"/>
    </row>
    <row r="2" spans="1:45" ht="15.75" thickBot="1">
      <c r="A2" s="1280"/>
      <c r="B2" s="251">
        <v>44682</v>
      </c>
      <c r="C2" s="251">
        <v>44683</v>
      </c>
      <c r="D2" s="251">
        <v>44684</v>
      </c>
      <c r="E2" s="251">
        <v>44685</v>
      </c>
      <c r="F2" s="251">
        <v>44686</v>
      </c>
      <c r="G2" s="251">
        <v>44687</v>
      </c>
      <c r="H2" s="251">
        <v>44688</v>
      </c>
      <c r="I2" s="251">
        <v>44689</v>
      </c>
      <c r="J2" s="251">
        <v>44690</v>
      </c>
      <c r="K2" s="251">
        <v>44691</v>
      </c>
      <c r="L2" s="251">
        <v>44692</v>
      </c>
      <c r="M2" s="251">
        <v>44693</v>
      </c>
      <c r="N2" s="251">
        <v>44694</v>
      </c>
      <c r="O2" s="251">
        <v>44695</v>
      </c>
      <c r="P2" s="251">
        <v>44696</v>
      </c>
      <c r="Q2" s="251">
        <v>44697</v>
      </c>
      <c r="R2" s="251">
        <v>44698</v>
      </c>
      <c r="S2" s="251">
        <v>44699</v>
      </c>
      <c r="T2" s="251">
        <v>44700</v>
      </c>
      <c r="U2" s="251">
        <v>44701</v>
      </c>
      <c r="V2" s="251">
        <v>44702</v>
      </c>
      <c r="W2" s="251">
        <v>44703</v>
      </c>
      <c r="X2" s="251">
        <v>44704</v>
      </c>
      <c r="Y2" s="251">
        <v>44705</v>
      </c>
      <c r="Z2" s="251">
        <v>44706</v>
      </c>
      <c r="AA2" s="251">
        <v>44707</v>
      </c>
      <c r="AB2" s="251">
        <v>44708</v>
      </c>
      <c r="AC2" s="251">
        <v>44709</v>
      </c>
      <c r="AD2" s="251">
        <v>44710</v>
      </c>
      <c r="AE2" s="251">
        <v>44716</v>
      </c>
      <c r="AF2" s="251">
        <v>44717</v>
      </c>
      <c r="AG2" s="251">
        <v>44718</v>
      </c>
      <c r="AH2" s="251">
        <v>44719</v>
      </c>
      <c r="AI2" s="251">
        <v>44720</v>
      </c>
      <c r="AJ2" s="251">
        <v>44721</v>
      </c>
      <c r="AK2" s="251">
        <v>44722</v>
      </c>
      <c r="AL2" s="251">
        <v>44723</v>
      </c>
      <c r="AM2" s="251">
        <v>44724</v>
      </c>
      <c r="AN2" s="1281"/>
      <c r="AO2" s="1283"/>
      <c r="AP2" s="774"/>
      <c r="AR2" s="830" t="s">
        <v>298</v>
      </c>
      <c r="AS2" s="830" t="s">
        <v>132</v>
      </c>
    </row>
    <row r="3" spans="1:45" ht="10.15" customHeight="1">
      <c r="A3" s="194" t="s">
        <v>185</v>
      </c>
      <c r="B3" s="591"/>
      <c r="C3" s="512"/>
      <c r="D3" s="512"/>
      <c r="E3" s="512"/>
      <c r="F3" s="512"/>
      <c r="G3" s="512"/>
      <c r="H3" s="770"/>
      <c r="I3" s="770"/>
      <c r="J3" s="701"/>
      <c r="K3" s="701">
        <f>'5.10.22'!E18</f>
        <v>7543</v>
      </c>
      <c r="L3" s="701"/>
      <c r="M3" s="701">
        <f>'5.12.22'!E19</f>
        <v>8084.5</v>
      </c>
      <c r="N3" s="701"/>
      <c r="O3" s="701"/>
      <c r="P3" s="701"/>
      <c r="Q3" s="736"/>
      <c r="R3" s="736">
        <f>'5.17.22'!E22</f>
        <v>8360</v>
      </c>
      <c r="S3" s="736"/>
      <c r="T3" s="736"/>
      <c r="U3" s="736"/>
      <c r="V3" s="736">
        <f>'5.21.22'!E21</f>
        <v>8521.5</v>
      </c>
      <c r="W3" s="736"/>
      <c r="X3" s="512"/>
      <c r="Y3" s="512"/>
      <c r="Z3" s="512"/>
      <c r="AA3" s="512">
        <f>'5.26.22'!E21</f>
        <v>8512</v>
      </c>
      <c r="AB3" s="512"/>
      <c r="AC3" s="868"/>
      <c r="AD3" s="868"/>
      <c r="AE3" s="512">
        <v>0</v>
      </c>
      <c r="AF3" s="512">
        <v>0</v>
      </c>
      <c r="AG3" s="512">
        <v>0</v>
      </c>
      <c r="AH3" s="512">
        <v>0</v>
      </c>
      <c r="AI3" s="512">
        <v>0</v>
      </c>
      <c r="AJ3" s="512">
        <v>0</v>
      </c>
      <c r="AK3" s="512">
        <v>0</v>
      </c>
      <c r="AL3" s="512">
        <v>0</v>
      </c>
      <c r="AM3" s="512">
        <v>0</v>
      </c>
      <c r="AN3" s="189">
        <f t="shared" ref="AN3:AN50" si="0">SUM(B3:AM3)</f>
        <v>41021</v>
      </c>
      <c r="AO3" s="189">
        <f>449000-AN3+350000</f>
        <v>757979</v>
      </c>
      <c r="AP3" s="775"/>
      <c r="AQ3" s="194" t="s">
        <v>185</v>
      </c>
      <c r="AR3" s="865">
        <v>291690</v>
      </c>
      <c r="AS3" s="234">
        <f>AN3+AR3</f>
        <v>332711</v>
      </c>
    </row>
    <row r="4" spans="1:45" ht="10.15" customHeight="1">
      <c r="A4" s="194" t="s">
        <v>164</v>
      </c>
      <c r="B4" s="591">
        <f>'5.1.22'!E21+'5.1.22'!E28</f>
        <v>6821</v>
      </c>
      <c r="C4" s="452"/>
      <c r="D4" s="452"/>
      <c r="E4" s="452"/>
      <c r="F4" s="452"/>
      <c r="G4" s="452"/>
      <c r="H4" s="771"/>
      <c r="I4" s="771"/>
      <c r="J4" s="700"/>
      <c r="K4" s="700"/>
      <c r="L4" s="700"/>
      <c r="M4" s="700"/>
      <c r="N4" s="700"/>
      <c r="O4" s="700"/>
      <c r="P4" s="701">
        <f>'5.15.22'!E22</f>
        <v>4094.5</v>
      </c>
      <c r="Q4" s="737"/>
      <c r="R4" s="737"/>
      <c r="S4" s="737"/>
      <c r="T4" s="737"/>
      <c r="U4" s="737"/>
      <c r="V4" s="737"/>
      <c r="W4" s="736">
        <f>'5.22.22'!E29</f>
        <v>3182.5</v>
      </c>
      <c r="X4" s="452"/>
      <c r="Y4" s="452"/>
      <c r="Z4" s="452"/>
      <c r="AA4" s="452"/>
      <c r="AB4" s="452"/>
      <c r="AC4" s="869"/>
      <c r="AD4" s="869"/>
      <c r="AE4" s="452"/>
      <c r="AF4" s="452"/>
      <c r="AG4" s="452"/>
      <c r="AH4" s="452"/>
      <c r="AI4" s="452"/>
      <c r="AJ4" s="452"/>
      <c r="AK4" s="452"/>
      <c r="AL4" s="452"/>
      <c r="AM4" s="452"/>
      <c r="AN4" s="189">
        <f t="shared" si="0"/>
        <v>14098</v>
      </c>
      <c r="AO4" s="189">
        <f>449000-AN4</f>
        <v>434902</v>
      </c>
      <c r="AP4" s="775"/>
      <c r="AQ4" s="194" t="s">
        <v>164</v>
      </c>
      <c r="AR4" s="865">
        <v>241220</v>
      </c>
      <c r="AS4" s="234">
        <f t="shared" ref="AS4:AS50" si="1">AN4+AR4</f>
        <v>255318</v>
      </c>
    </row>
    <row r="5" spans="1:45" ht="10.15" customHeight="1">
      <c r="A5" s="195" t="s">
        <v>51</v>
      </c>
      <c r="B5" s="589"/>
      <c r="C5" s="640"/>
      <c r="D5" s="640"/>
      <c r="E5" s="640"/>
      <c r="F5" s="640"/>
      <c r="G5" s="640">
        <f>'5.6.22'!E18</f>
        <v>3781</v>
      </c>
      <c r="H5" s="783"/>
      <c r="I5" s="783"/>
      <c r="J5" s="702"/>
      <c r="K5" s="702"/>
      <c r="L5" s="702"/>
      <c r="M5" s="702"/>
      <c r="N5" s="702">
        <f>'5.13.22'!E18</f>
        <v>3515</v>
      </c>
      <c r="O5" s="702"/>
      <c r="P5" s="702"/>
      <c r="Q5" s="738"/>
      <c r="R5" s="738"/>
      <c r="S5" s="738"/>
      <c r="T5" s="738">
        <f>'5.19.22'!E19</f>
        <v>3904.5</v>
      </c>
      <c r="U5" s="738"/>
      <c r="V5" s="738"/>
      <c r="W5" s="738"/>
      <c r="X5" s="252"/>
      <c r="Y5" s="252">
        <f>'5.24.22'!E19</f>
        <v>4123</v>
      </c>
      <c r="Z5" s="252"/>
      <c r="AA5" s="252"/>
      <c r="AB5" s="252"/>
      <c r="AC5" s="870"/>
      <c r="AD5" s="870"/>
      <c r="AE5" s="252"/>
      <c r="AF5" s="252"/>
      <c r="AG5" s="252"/>
      <c r="AH5" s="252"/>
      <c r="AI5" s="252"/>
      <c r="AJ5" s="252"/>
      <c r="AK5" s="252"/>
      <c r="AL5" s="252"/>
      <c r="AM5" s="252"/>
      <c r="AN5" s="856">
        <f t="shared" si="0"/>
        <v>15323.5</v>
      </c>
      <c r="AO5" s="856">
        <f>100000-AN5+350000</f>
        <v>434676.5</v>
      </c>
      <c r="AP5" s="860"/>
      <c r="AQ5" s="195" t="s">
        <v>51</v>
      </c>
      <c r="AR5" s="865">
        <v>102300</v>
      </c>
      <c r="AS5" s="234">
        <f t="shared" si="1"/>
        <v>117623.5</v>
      </c>
    </row>
    <row r="6" spans="1:45" ht="10.15" customHeight="1">
      <c r="A6" s="195" t="s">
        <v>62</v>
      </c>
      <c r="B6" s="589"/>
      <c r="C6" s="640">
        <f>'5.2.22'!E19</f>
        <v>3543.5</v>
      </c>
      <c r="D6" s="640"/>
      <c r="E6" s="640"/>
      <c r="F6" s="640"/>
      <c r="G6" s="640"/>
      <c r="H6" s="783"/>
      <c r="I6" s="783"/>
      <c r="J6" s="702">
        <f>'5.9.22'!E22</f>
        <v>3040</v>
      </c>
      <c r="K6" s="702"/>
      <c r="L6" s="702"/>
      <c r="M6" s="702"/>
      <c r="N6" s="702"/>
      <c r="O6" s="702"/>
      <c r="P6" s="702"/>
      <c r="Q6" s="738">
        <f>'5.16.22'!E18</f>
        <v>3477</v>
      </c>
      <c r="R6" s="738"/>
      <c r="S6" s="738"/>
      <c r="T6" s="738"/>
      <c r="U6" s="738"/>
      <c r="V6" s="738"/>
      <c r="W6" s="738"/>
      <c r="X6" s="252"/>
      <c r="Y6" s="252"/>
      <c r="Z6" s="252"/>
      <c r="AA6" s="252"/>
      <c r="AB6" s="252"/>
      <c r="AC6" s="870"/>
      <c r="AD6" s="870"/>
      <c r="AE6" s="252"/>
      <c r="AF6" s="252"/>
      <c r="AG6" s="252"/>
      <c r="AH6" s="252"/>
      <c r="AI6" s="252"/>
      <c r="AJ6" s="252"/>
      <c r="AK6" s="252"/>
      <c r="AL6" s="252"/>
      <c r="AM6" s="252"/>
      <c r="AN6" s="856">
        <f t="shared" si="0"/>
        <v>10060.5</v>
      </c>
      <c r="AO6" s="856">
        <f>100000-AN6</f>
        <v>89939.5</v>
      </c>
      <c r="AP6" s="860"/>
      <c r="AQ6" s="195" t="s">
        <v>62</v>
      </c>
      <c r="AR6" s="865">
        <v>37490</v>
      </c>
      <c r="AS6" s="234">
        <f t="shared" si="1"/>
        <v>47550.5</v>
      </c>
    </row>
    <row r="7" spans="1:45" ht="10.15" customHeight="1">
      <c r="A7" s="195" t="s">
        <v>12</v>
      </c>
      <c r="B7" s="589"/>
      <c r="C7" s="252"/>
      <c r="D7" s="252"/>
      <c r="E7" s="252"/>
      <c r="F7" s="252"/>
      <c r="G7" s="252"/>
      <c r="H7" s="772"/>
      <c r="I7" s="772"/>
      <c r="J7" s="252"/>
      <c r="K7" s="252"/>
      <c r="L7" s="252"/>
      <c r="M7" s="252"/>
      <c r="N7" s="252"/>
      <c r="O7" s="252"/>
      <c r="P7" s="252"/>
      <c r="Q7" s="738"/>
      <c r="R7" s="738"/>
      <c r="S7" s="738"/>
      <c r="T7" s="738"/>
      <c r="U7" s="738"/>
      <c r="V7" s="738">
        <f>'5.21.22'!E29</f>
        <v>1662.5</v>
      </c>
      <c r="W7" s="738"/>
      <c r="X7" s="252">
        <f>'5.23.22'!E22</f>
        <v>2612.5</v>
      </c>
      <c r="Y7" s="252"/>
      <c r="Z7" s="252"/>
      <c r="AA7" s="252"/>
      <c r="AB7" s="252"/>
      <c r="AC7" s="870"/>
      <c r="AD7" s="870"/>
      <c r="AE7" s="252"/>
      <c r="AF7" s="252"/>
      <c r="AG7" s="252"/>
      <c r="AH7" s="252"/>
      <c r="AI7" s="252"/>
      <c r="AJ7" s="252"/>
      <c r="AK7" s="252"/>
      <c r="AL7" s="252"/>
      <c r="AM7" s="252"/>
      <c r="AN7" s="856">
        <f t="shared" si="0"/>
        <v>4275</v>
      </c>
      <c r="AO7" s="856">
        <f t="shared" ref="AO7:AO50" si="2">100000-AN7</f>
        <v>95725</v>
      </c>
      <c r="AP7" s="860"/>
      <c r="AQ7" s="195" t="s">
        <v>12</v>
      </c>
      <c r="AR7" s="865">
        <v>20230</v>
      </c>
      <c r="AS7" s="234">
        <f t="shared" si="1"/>
        <v>24505</v>
      </c>
    </row>
    <row r="8" spans="1:45" ht="10.15" customHeight="1">
      <c r="A8" s="195" t="s">
        <v>239</v>
      </c>
      <c r="B8" s="589"/>
      <c r="C8" s="640"/>
      <c r="D8" s="640"/>
      <c r="E8" s="640"/>
      <c r="F8" s="640">
        <f>'5.5.22'!E28</f>
        <v>1653</v>
      </c>
      <c r="G8" s="640"/>
      <c r="H8" s="783"/>
      <c r="I8" s="783"/>
      <c r="J8" s="702">
        <f>'5.9.22'!E28</f>
        <v>1776.5</v>
      </c>
      <c r="K8" s="702"/>
      <c r="L8" s="702"/>
      <c r="M8" s="702"/>
      <c r="N8" s="702"/>
      <c r="O8" s="702"/>
      <c r="P8" s="702"/>
      <c r="Q8" s="738">
        <f>'5.16.22'!E28</f>
        <v>1995</v>
      </c>
      <c r="R8" s="738"/>
      <c r="S8" s="738"/>
      <c r="T8" s="738"/>
      <c r="U8" s="738">
        <f>'5.20.22'!E29</f>
        <v>1510.5</v>
      </c>
      <c r="V8" s="738"/>
      <c r="W8" s="738"/>
      <c r="X8" s="252"/>
      <c r="Y8" s="252"/>
      <c r="Z8" s="252"/>
      <c r="AA8" s="252"/>
      <c r="AB8" s="252"/>
      <c r="AC8" s="870"/>
      <c r="AD8" s="870"/>
      <c r="AE8" s="252"/>
      <c r="AF8" s="252"/>
      <c r="AG8" s="252"/>
      <c r="AH8" s="252"/>
      <c r="AI8" s="252"/>
      <c r="AJ8" s="252"/>
      <c r="AK8" s="252"/>
      <c r="AL8" s="252"/>
      <c r="AM8" s="252"/>
      <c r="AN8" s="856">
        <f t="shared" si="0"/>
        <v>6935</v>
      </c>
      <c r="AO8" s="856">
        <f t="shared" si="2"/>
        <v>93065</v>
      </c>
      <c r="AP8" s="860"/>
      <c r="AQ8" s="195" t="s">
        <v>239</v>
      </c>
      <c r="AR8" s="865">
        <v>14400</v>
      </c>
      <c r="AS8" s="234">
        <f t="shared" si="1"/>
        <v>21335</v>
      </c>
    </row>
    <row r="9" spans="1:45" ht="10.15" customHeight="1">
      <c r="A9" s="195" t="s">
        <v>68</v>
      </c>
      <c r="B9" s="589"/>
      <c r="C9" s="252"/>
      <c r="D9" s="252"/>
      <c r="E9" s="252"/>
      <c r="F9" s="252"/>
      <c r="G9" s="252"/>
      <c r="H9" s="772"/>
      <c r="I9" s="772"/>
      <c r="J9" s="252"/>
      <c r="K9" s="252"/>
      <c r="L9" s="252"/>
      <c r="M9" s="252"/>
      <c r="N9" s="252"/>
      <c r="O9" s="252"/>
      <c r="P9" s="252"/>
      <c r="Q9" s="738"/>
      <c r="R9" s="738"/>
      <c r="S9" s="738">
        <f>'5.18.22'!E19</f>
        <v>2166</v>
      </c>
      <c r="T9" s="738"/>
      <c r="U9" s="738"/>
      <c r="V9" s="738"/>
      <c r="W9" s="738"/>
      <c r="X9" s="252"/>
      <c r="Y9" s="252"/>
      <c r="Z9" s="252"/>
      <c r="AA9" s="252"/>
      <c r="AB9" s="252">
        <f>'5.27.22'!E18</f>
        <v>2365.5</v>
      </c>
      <c r="AC9" s="870"/>
      <c r="AD9" s="870"/>
      <c r="AE9" s="252"/>
      <c r="AF9" s="252"/>
      <c r="AG9" s="252"/>
      <c r="AH9" s="252"/>
      <c r="AI9" s="252"/>
      <c r="AJ9" s="252"/>
      <c r="AK9" s="252"/>
      <c r="AL9" s="252"/>
      <c r="AM9" s="252"/>
      <c r="AN9" s="856">
        <f t="shared" si="0"/>
        <v>4531.5</v>
      </c>
      <c r="AO9" s="856">
        <f t="shared" si="2"/>
        <v>95468.5</v>
      </c>
      <c r="AP9" s="860"/>
      <c r="AQ9" s="195" t="s">
        <v>68</v>
      </c>
      <c r="AR9" s="865">
        <v>4840</v>
      </c>
      <c r="AS9" s="234">
        <f t="shared" si="1"/>
        <v>9371.5</v>
      </c>
    </row>
    <row r="10" spans="1:45" ht="10.15" customHeight="1">
      <c r="A10" s="195" t="s">
        <v>245</v>
      </c>
      <c r="B10" s="758"/>
      <c r="C10" s="640"/>
      <c r="D10" s="640">
        <f>'5.3.22'!E18</f>
        <v>7068</v>
      </c>
      <c r="E10" s="640"/>
      <c r="F10" s="640"/>
      <c r="G10" s="640"/>
      <c r="H10" s="783"/>
      <c r="I10" s="783"/>
      <c r="J10" s="702">
        <f>'5.9.22'!E19</f>
        <v>3885.5</v>
      </c>
      <c r="K10" s="702"/>
      <c r="L10" s="702"/>
      <c r="M10" s="702"/>
      <c r="N10" s="702"/>
      <c r="O10" s="702"/>
      <c r="P10" s="702"/>
      <c r="Q10" s="738">
        <f>'5.16.22'!E21</f>
        <v>3809.5</v>
      </c>
      <c r="R10" s="738"/>
      <c r="S10" s="738"/>
      <c r="T10" s="738"/>
      <c r="U10" s="738"/>
      <c r="V10" s="738"/>
      <c r="W10" s="738"/>
      <c r="X10" s="252">
        <f>'5.23.22'!E19</f>
        <v>2973.5</v>
      </c>
      <c r="Y10" s="252"/>
      <c r="Z10" s="252"/>
      <c r="AA10" s="252"/>
      <c r="AB10" s="252"/>
      <c r="AC10" s="870"/>
      <c r="AD10" s="870"/>
      <c r="AE10" s="252"/>
      <c r="AF10" s="252"/>
      <c r="AG10" s="252"/>
      <c r="AH10" s="252"/>
      <c r="AI10" s="252"/>
      <c r="AJ10" s="252"/>
      <c r="AK10" s="252"/>
      <c r="AL10" s="252"/>
      <c r="AM10" s="252"/>
      <c r="AN10" s="856">
        <f t="shared" si="0"/>
        <v>17736.5</v>
      </c>
      <c r="AO10" s="856">
        <f t="shared" si="2"/>
        <v>82263.5</v>
      </c>
      <c r="AP10" s="860"/>
      <c r="AQ10" s="195" t="s">
        <v>245</v>
      </c>
      <c r="AR10" s="865">
        <v>5070</v>
      </c>
      <c r="AS10" s="234">
        <f t="shared" si="1"/>
        <v>22806.5</v>
      </c>
    </row>
    <row r="11" spans="1:45" ht="10.15" customHeight="1">
      <c r="A11" s="195" t="s">
        <v>254</v>
      </c>
      <c r="B11" s="758"/>
      <c r="C11" s="252"/>
      <c r="D11" s="252"/>
      <c r="E11" s="252"/>
      <c r="F11" s="252"/>
      <c r="G11" s="252"/>
      <c r="H11" s="772"/>
      <c r="I11" s="772"/>
      <c r="J11" s="702"/>
      <c r="K11" s="702">
        <f>'5.10.22'!E28</f>
        <v>2080.5</v>
      </c>
      <c r="L11" s="702"/>
      <c r="M11" s="702"/>
      <c r="N11" s="702"/>
      <c r="O11" s="702">
        <f>'5.14.22'!E28</f>
        <v>2090</v>
      </c>
      <c r="P11" s="702">
        <f>'5.15.22'!E9</f>
        <v>3173</v>
      </c>
      <c r="Q11" s="252"/>
      <c r="R11" s="252"/>
      <c r="S11" s="252"/>
      <c r="T11" s="252"/>
      <c r="U11" s="252"/>
      <c r="V11" s="252"/>
      <c r="W11" s="252"/>
      <c r="X11" s="252"/>
      <c r="Y11" s="252"/>
      <c r="Z11" s="252"/>
      <c r="AA11" s="252"/>
      <c r="AB11" s="252"/>
      <c r="AC11" s="870"/>
      <c r="AD11" s="870"/>
      <c r="AE11" s="252"/>
      <c r="AF11" s="252"/>
      <c r="AG11" s="252"/>
      <c r="AH11" s="252"/>
      <c r="AI11" s="252"/>
      <c r="AJ11" s="252"/>
      <c r="AK11" s="252"/>
      <c r="AL11" s="252"/>
      <c r="AM11" s="252"/>
      <c r="AN11" s="856">
        <f t="shared" si="0"/>
        <v>7343.5</v>
      </c>
      <c r="AO11" s="856">
        <f>100000-AN11+350000</f>
        <v>442656.5</v>
      </c>
      <c r="AP11" s="860"/>
      <c r="AQ11" s="195" t="s">
        <v>43</v>
      </c>
      <c r="AR11" s="865">
        <v>85110</v>
      </c>
      <c r="AS11" s="234">
        <f t="shared" si="1"/>
        <v>92453.5</v>
      </c>
    </row>
    <row r="12" spans="1:45" ht="10.15" customHeight="1">
      <c r="A12" s="195" t="s">
        <v>49</v>
      </c>
      <c r="B12" s="758"/>
      <c r="C12" s="640"/>
      <c r="D12" s="640"/>
      <c r="E12" s="640"/>
      <c r="F12" s="640"/>
      <c r="G12" s="640">
        <f>'5.6.22'!E22+'5.6.22'!E29</f>
        <v>3961.5</v>
      </c>
      <c r="H12" s="783"/>
      <c r="I12" s="783"/>
      <c r="J12" s="252"/>
      <c r="K12" s="252"/>
      <c r="L12" s="252"/>
      <c r="M12" s="252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  <c r="AA12" s="252"/>
      <c r="AB12" s="252"/>
      <c r="AC12" s="870"/>
      <c r="AD12" s="870"/>
      <c r="AE12" s="252"/>
      <c r="AF12" s="252"/>
      <c r="AG12" s="252"/>
      <c r="AH12" s="252"/>
      <c r="AI12" s="252"/>
      <c r="AJ12" s="252"/>
      <c r="AK12" s="252"/>
      <c r="AL12" s="252"/>
      <c r="AM12" s="252"/>
      <c r="AN12" s="856">
        <f t="shared" si="0"/>
        <v>3961.5</v>
      </c>
      <c r="AO12" s="856">
        <f t="shared" si="2"/>
        <v>96038.5</v>
      </c>
      <c r="AP12" s="860"/>
      <c r="AQ12" s="195" t="s">
        <v>49</v>
      </c>
      <c r="AR12" s="865">
        <v>78320</v>
      </c>
      <c r="AS12" s="782">
        <f t="shared" si="1"/>
        <v>82281.5</v>
      </c>
    </row>
    <row r="13" spans="1:45" ht="10.15" customHeight="1">
      <c r="A13" s="195" t="s">
        <v>235</v>
      </c>
      <c r="B13" s="589">
        <f>'5.1.22'!E30</f>
        <v>4892.5</v>
      </c>
      <c r="C13" s="640"/>
      <c r="D13" s="640"/>
      <c r="E13" s="640"/>
      <c r="F13" s="640"/>
      <c r="G13" s="640">
        <f>'5.6.22'!E30</f>
        <v>3515</v>
      </c>
      <c r="H13" s="783"/>
      <c r="I13" s="783"/>
      <c r="J13" s="702"/>
      <c r="K13" s="702"/>
      <c r="L13" s="702"/>
      <c r="M13" s="702">
        <f>'5.12.22'!E30</f>
        <v>4883</v>
      </c>
      <c r="N13" s="702"/>
      <c r="O13" s="702"/>
      <c r="P13" s="702">
        <f>'5.15.22'!E30</f>
        <v>4930.5</v>
      </c>
      <c r="Q13" s="738"/>
      <c r="R13" s="738">
        <f>'5.17.22'!E30</f>
        <v>4332</v>
      </c>
      <c r="S13" s="738"/>
      <c r="T13" s="738"/>
      <c r="U13" s="738">
        <f>'5.20.22'!E30</f>
        <v>4256</v>
      </c>
      <c r="V13" s="738"/>
      <c r="W13" s="738">
        <f>'5.22.22'!E30</f>
        <v>4892.5</v>
      </c>
      <c r="X13" s="252">
        <f>'5.23.22'!E30</f>
        <v>4522</v>
      </c>
      <c r="Y13" s="252">
        <f>'5.24.22'!E30</f>
        <v>4550.5</v>
      </c>
      <c r="Z13" s="252"/>
      <c r="AA13" s="252"/>
      <c r="AB13" s="252"/>
      <c r="AC13" s="870"/>
      <c r="AD13" s="870"/>
      <c r="AE13" s="252"/>
      <c r="AF13" s="252"/>
      <c r="AG13" s="252"/>
      <c r="AH13" s="252"/>
      <c r="AI13" s="252"/>
      <c r="AJ13" s="252"/>
      <c r="AK13" s="252"/>
      <c r="AL13" s="252"/>
      <c r="AM13" s="252"/>
      <c r="AN13" s="856">
        <f t="shared" si="0"/>
        <v>40774</v>
      </c>
      <c r="AO13" s="856">
        <f>100000-AN13+350000</f>
        <v>409226</v>
      </c>
      <c r="AP13" s="860"/>
      <c r="AQ13" s="195" t="s">
        <v>235</v>
      </c>
      <c r="AR13" s="865">
        <v>148720</v>
      </c>
      <c r="AS13" s="234">
        <f t="shared" si="1"/>
        <v>189494</v>
      </c>
    </row>
    <row r="14" spans="1:45" ht="10.15" customHeight="1">
      <c r="A14" s="195" t="s">
        <v>188</v>
      </c>
      <c r="B14" s="589"/>
      <c r="C14" s="640">
        <f>'5.2.22'!E22</f>
        <v>3097</v>
      </c>
      <c r="D14" s="640"/>
      <c r="E14" s="640">
        <f>'5.4.22'!E28</f>
        <v>1862</v>
      </c>
      <c r="F14" s="640"/>
      <c r="G14" s="640"/>
      <c r="H14" s="783"/>
      <c r="I14" s="783"/>
      <c r="J14" s="702"/>
      <c r="K14" s="702">
        <f>'5.10.22'!E22</f>
        <v>2422.5</v>
      </c>
      <c r="L14" s="702"/>
      <c r="M14" s="702"/>
      <c r="N14" s="702"/>
      <c r="O14" s="702"/>
      <c r="P14" s="702"/>
      <c r="Q14" s="738"/>
      <c r="R14" s="738"/>
      <c r="S14" s="738">
        <f>'5.18.22'!E21</f>
        <v>2527</v>
      </c>
      <c r="T14" s="738"/>
      <c r="U14" s="738"/>
      <c r="V14" s="738"/>
      <c r="W14" s="738"/>
      <c r="X14" s="252"/>
      <c r="Y14" s="252"/>
      <c r="Z14" s="252">
        <f>'5.25.22'!E21</f>
        <v>2403.5</v>
      </c>
      <c r="AA14" s="252"/>
      <c r="AB14" s="252"/>
      <c r="AC14" s="870"/>
      <c r="AD14" s="870"/>
      <c r="AE14" s="252"/>
      <c r="AF14" s="252"/>
      <c r="AG14" s="252"/>
      <c r="AH14" s="252"/>
      <c r="AI14" s="252"/>
      <c r="AJ14" s="252"/>
      <c r="AK14" s="252"/>
      <c r="AL14" s="252"/>
      <c r="AM14" s="252"/>
      <c r="AN14" s="856">
        <f t="shared" si="0"/>
        <v>12312</v>
      </c>
      <c r="AO14" s="856">
        <f t="shared" si="2"/>
        <v>87688</v>
      </c>
      <c r="AP14" s="860"/>
      <c r="AQ14" s="195" t="s">
        <v>188</v>
      </c>
      <c r="AR14" s="865">
        <v>24320</v>
      </c>
      <c r="AS14" s="234">
        <f t="shared" si="1"/>
        <v>36632</v>
      </c>
    </row>
    <row r="15" spans="1:45" ht="10.15" customHeight="1">
      <c r="A15" s="195" t="s">
        <v>243</v>
      </c>
      <c r="B15" s="589"/>
      <c r="C15" s="640">
        <f>'5.2.22'!E28</f>
        <v>5168</v>
      </c>
      <c r="D15" s="640"/>
      <c r="E15" s="640"/>
      <c r="F15" s="640"/>
      <c r="G15" s="640">
        <f>'5.6.22'!E28</f>
        <v>4845</v>
      </c>
      <c r="H15" s="783"/>
      <c r="I15" s="783"/>
      <c r="J15" s="252"/>
      <c r="K15" s="252"/>
      <c r="L15" s="252"/>
      <c r="M15" s="252"/>
      <c r="N15" s="252"/>
      <c r="O15" s="252"/>
      <c r="P15" s="252"/>
      <c r="Q15" s="738"/>
      <c r="R15" s="738"/>
      <c r="S15" s="738"/>
      <c r="T15" s="738">
        <f>'5.19.22'!E21</f>
        <v>6327</v>
      </c>
      <c r="U15" s="738"/>
      <c r="V15" s="738"/>
      <c r="W15" s="738"/>
      <c r="X15" s="252"/>
      <c r="Y15" s="252"/>
      <c r="Z15" s="252"/>
      <c r="AA15" s="252">
        <f>'5.26.22'!E18</f>
        <v>5557.5</v>
      </c>
      <c r="AB15" s="252">
        <f>'5.27.22'!E29</f>
        <v>4550.5</v>
      </c>
      <c r="AC15" s="870"/>
      <c r="AD15" s="870"/>
      <c r="AE15" s="252"/>
      <c r="AF15" s="252"/>
      <c r="AG15" s="252"/>
      <c r="AH15" s="252"/>
      <c r="AI15" s="252"/>
      <c r="AJ15" s="252"/>
      <c r="AK15" s="252"/>
      <c r="AL15" s="252"/>
      <c r="AM15" s="252"/>
      <c r="AN15" s="856">
        <f t="shared" si="0"/>
        <v>26448</v>
      </c>
      <c r="AO15" s="856">
        <f t="shared" si="2"/>
        <v>73552</v>
      </c>
      <c r="AP15" s="860"/>
      <c r="AQ15" s="195" t="s">
        <v>243</v>
      </c>
      <c r="AR15" s="865">
        <v>11620</v>
      </c>
      <c r="AS15" s="234">
        <f t="shared" si="1"/>
        <v>38068</v>
      </c>
    </row>
    <row r="16" spans="1:45" ht="10.15" customHeight="1">
      <c r="A16" s="195" t="s">
        <v>63</v>
      </c>
      <c r="B16" s="589"/>
      <c r="C16" s="252"/>
      <c r="D16" s="252"/>
      <c r="E16" s="252"/>
      <c r="F16" s="252"/>
      <c r="G16" s="252"/>
      <c r="H16" s="772"/>
      <c r="I16" s="772"/>
      <c r="J16" s="252"/>
      <c r="K16" s="252"/>
      <c r="L16" s="252"/>
      <c r="M16" s="252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  <c r="AA16" s="252"/>
      <c r="AB16" s="252"/>
      <c r="AC16" s="870"/>
      <c r="AD16" s="870"/>
      <c r="AE16" s="252"/>
      <c r="AF16" s="252"/>
      <c r="AG16" s="252"/>
      <c r="AH16" s="252"/>
      <c r="AI16" s="252"/>
      <c r="AJ16" s="252"/>
      <c r="AK16" s="252"/>
      <c r="AL16" s="252"/>
      <c r="AM16" s="252"/>
      <c r="AN16" s="856">
        <f t="shared" si="0"/>
        <v>0</v>
      </c>
      <c r="AO16" s="856">
        <f>449000-AN16+350000</f>
        <v>799000</v>
      </c>
      <c r="AP16" s="860"/>
      <c r="AQ16" s="195" t="s">
        <v>63</v>
      </c>
      <c r="AR16" s="865">
        <v>164470</v>
      </c>
      <c r="AS16" s="234">
        <f t="shared" si="1"/>
        <v>164470</v>
      </c>
    </row>
    <row r="17" spans="1:45" ht="10.15" customHeight="1">
      <c r="A17" s="195" t="s">
        <v>78</v>
      </c>
      <c r="B17" s="589"/>
      <c r="C17" s="640">
        <f>'5.2.22'!E21</f>
        <v>2897.5</v>
      </c>
      <c r="D17" s="640">
        <f>'5.3.22'!E28</f>
        <v>1767</v>
      </c>
      <c r="E17" s="640">
        <f>'5.4.22'!E18</f>
        <v>2232.5</v>
      </c>
      <c r="F17" s="640"/>
      <c r="G17" s="640"/>
      <c r="H17" s="783"/>
      <c r="I17" s="783"/>
      <c r="J17" s="702">
        <f>'5.9.22'!E21</f>
        <v>2080.5</v>
      </c>
      <c r="K17" s="702"/>
      <c r="L17" s="702"/>
      <c r="M17" s="702"/>
      <c r="N17" s="702"/>
      <c r="O17" s="702"/>
      <c r="P17" s="702"/>
      <c r="Q17" s="738">
        <f>'5.16.22'!E22</f>
        <v>2441.5</v>
      </c>
      <c r="R17" s="738"/>
      <c r="S17" s="738"/>
      <c r="T17" s="738"/>
      <c r="U17" s="738"/>
      <c r="V17" s="738"/>
      <c r="W17" s="738"/>
      <c r="X17" s="252"/>
      <c r="Y17" s="252"/>
      <c r="Z17" s="252">
        <f>'5.25.22'!E19</f>
        <v>2014</v>
      </c>
      <c r="AA17" s="252"/>
      <c r="AB17" s="252"/>
      <c r="AC17" s="870"/>
      <c r="AD17" s="870"/>
      <c r="AE17" s="252"/>
      <c r="AF17" s="252"/>
      <c r="AG17" s="252"/>
      <c r="AH17" s="252"/>
      <c r="AI17" s="252"/>
      <c r="AJ17" s="252"/>
      <c r="AK17" s="252"/>
      <c r="AL17" s="252"/>
      <c r="AM17" s="252"/>
      <c r="AN17" s="856">
        <f t="shared" si="0"/>
        <v>13433</v>
      </c>
      <c r="AO17" s="856">
        <f t="shared" si="2"/>
        <v>86567</v>
      </c>
      <c r="AP17" s="860"/>
      <c r="AQ17" s="195" t="s">
        <v>78</v>
      </c>
      <c r="AR17" s="865">
        <v>19180</v>
      </c>
      <c r="AS17" s="234">
        <f t="shared" si="1"/>
        <v>32613</v>
      </c>
    </row>
    <row r="18" spans="1:45" ht="10.15" customHeight="1">
      <c r="A18" s="195" t="s">
        <v>129</v>
      </c>
      <c r="B18" s="758"/>
      <c r="C18" s="252"/>
      <c r="D18" s="252"/>
      <c r="E18" s="252"/>
      <c r="F18" s="252"/>
      <c r="G18" s="252"/>
      <c r="H18" s="772"/>
      <c r="I18" s="77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  <c r="AA18" s="252"/>
      <c r="AB18" s="252"/>
      <c r="AC18" s="870"/>
      <c r="AD18" s="870"/>
      <c r="AE18" s="252"/>
      <c r="AF18" s="252"/>
      <c r="AG18" s="252"/>
      <c r="AH18" s="252"/>
      <c r="AI18" s="252"/>
      <c r="AJ18" s="252"/>
      <c r="AK18" s="252"/>
      <c r="AL18" s="252"/>
      <c r="AM18" s="252"/>
      <c r="AN18" s="856">
        <f t="shared" si="0"/>
        <v>0</v>
      </c>
      <c r="AO18" s="856">
        <f t="shared" si="2"/>
        <v>100000</v>
      </c>
      <c r="AP18" s="860"/>
      <c r="AQ18" s="195" t="s">
        <v>129</v>
      </c>
      <c r="AR18" s="865">
        <v>11600</v>
      </c>
      <c r="AS18" s="234">
        <f t="shared" si="1"/>
        <v>11600</v>
      </c>
    </row>
    <row r="19" spans="1:45" ht="10.15" customHeight="1">
      <c r="A19" s="195" t="s">
        <v>238</v>
      </c>
      <c r="B19" s="589"/>
      <c r="C19" s="640"/>
      <c r="D19" s="640"/>
      <c r="E19" s="640">
        <f>'5.4.22'!E29</f>
        <v>2698</v>
      </c>
      <c r="F19" s="640"/>
      <c r="G19" s="640"/>
      <c r="H19" s="783"/>
      <c r="I19" s="783"/>
      <c r="J19" s="252"/>
      <c r="K19" s="252"/>
      <c r="L19" s="252"/>
      <c r="M19" s="252"/>
      <c r="N19" s="252"/>
      <c r="O19" s="252"/>
      <c r="P19" s="252"/>
      <c r="Q19" s="738"/>
      <c r="R19" s="738">
        <f>'5.17.22'!E19</f>
        <v>3914</v>
      </c>
      <c r="S19" s="738"/>
      <c r="T19" s="738"/>
      <c r="U19" s="738"/>
      <c r="V19" s="738"/>
      <c r="W19" s="738"/>
      <c r="X19" s="252"/>
      <c r="Y19" s="252"/>
      <c r="Z19" s="252"/>
      <c r="AA19" s="252"/>
      <c r="AB19" s="252"/>
      <c r="AC19" s="870"/>
      <c r="AD19" s="870"/>
      <c r="AE19" s="252"/>
      <c r="AF19" s="252"/>
      <c r="AG19" s="252"/>
      <c r="AH19" s="252"/>
      <c r="AI19" s="252"/>
      <c r="AJ19" s="252"/>
      <c r="AK19" s="252"/>
      <c r="AL19" s="252"/>
      <c r="AM19" s="252"/>
      <c r="AN19" s="856">
        <f t="shared" si="0"/>
        <v>6612</v>
      </c>
      <c r="AO19" s="856">
        <f t="shared" si="2"/>
        <v>93388</v>
      </c>
      <c r="AP19" s="860"/>
      <c r="AQ19" s="195" t="s">
        <v>238</v>
      </c>
      <c r="AR19" s="865">
        <v>12970</v>
      </c>
      <c r="AS19" s="234">
        <f t="shared" si="1"/>
        <v>19582</v>
      </c>
    </row>
    <row r="20" spans="1:45" ht="10.15" customHeight="1">
      <c r="A20" s="195" t="s">
        <v>79</v>
      </c>
      <c r="B20" s="758"/>
      <c r="C20" s="252"/>
      <c r="D20" s="252"/>
      <c r="E20" s="252"/>
      <c r="F20" s="252"/>
      <c r="G20" s="252"/>
      <c r="H20" s="772"/>
      <c r="I20" s="772"/>
      <c r="J20" s="252"/>
      <c r="K20" s="252"/>
      <c r="L20" s="252"/>
      <c r="M20" s="252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  <c r="AA20" s="252"/>
      <c r="AB20" s="252"/>
      <c r="AC20" s="870"/>
      <c r="AD20" s="870"/>
      <c r="AE20" s="252"/>
      <c r="AF20" s="252"/>
      <c r="AG20" s="252"/>
      <c r="AH20" s="252"/>
      <c r="AI20" s="252"/>
      <c r="AJ20" s="252"/>
      <c r="AK20" s="252"/>
      <c r="AL20" s="252"/>
      <c r="AM20" s="252"/>
      <c r="AN20" s="856">
        <f t="shared" si="0"/>
        <v>0</v>
      </c>
      <c r="AO20" s="856">
        <f t="shared" si="2"/>
        <v>100000</v>
      </c>
      <c r="AP20" s="860"/>
      <c r="AQ20" s="195" t="s">
        <v>79</v>
      </c>
      <c r="AR20" s="865">
        <v>500</v>
      </c>
      <c r="AS20" s="234">
        <f t="shared" si="1"/>
        <v>500</v>
      </c>
    </row>
    <row r="21" spans="1:45" ht="10.15" customHeight="1">
      <c r="A21" s="195" t="s">
        <v>53</v>
      </c>
      <c r="B21" s="758"/>
      <c r="C21" s="252"/>
      <c r="D21" s="252"/>
      <c r="E21" s="252"/>
      <c r="F21" s="252"/>
      <c r="G21" s="252"/>
      <c r="H21" s="772"/>
      <c r="I21" s="772"/>
      <c r="J21" s="702">
        <f>'5.9.22'!E18+'5.9.22'!E29</f>
        <v>3296.5</v>
      </c>
      <c r="K21" s="702"/>
      <c r="L21" s="702">
        <f>'5.11.22'!E18+'5.11.22'!E29</f>
        <v>3192</v>
      </c>
      <c r="M21" s="702"/>
      <c r="N21" s="702"/>
      <c r="O21" s="702"/>
      <c r="P21" s="702"/>
      <c r="Q21" s="252"/>
      <c r="R21" s="252"/>
      <c r="S21" s="252"/>
      <c r="T21" s="252"/>
      <c r="U21" s="252"/>
      <c r="V21" s="252"/>
      <c r="W21" s="252"/>
      <c r="X21" s="252">
        <f>'5.23.22'!E18+'5.23.22'!E29</f>
        <v>3524.5</v>
      </c>
      <c r="Y21" s="252"/>
      <c r="Z21" s="252">
        <f>'5.25.22'!E18+'5.25.22'!E29</f>
        <v>2612.5</v>
      </c>
      <c r="AA21" s="252"/>
      <c r="AB21" s="252"/>
      <c r="AC21" s="870"/>
      <c r="AD21" s="870"/>
      <c r="AE21" s="252"/>
      <c r="AF21" s="252"/>
      <c r="AG21" s="252"/>
      <c r="AH21" s="252"/>
      <c r="AI21" s="252"/>
      <c r="AJ21" s="252"/>
      <c r="AK21" s="252"/>
      <c r="AL21" s="252"/>
      <c r="AM21" s="252"/>
      <c r="AN21" s="856">
        <f t="shared" si="0"/>
        <v>12625.5</v>
      </c>
      <c r="AO21" s="358">
        <f>350000-AN21+700000</f>
        <v>1037374.5</v>
      </c>
      <c r="AP21" s="860"/>
      <c r="AQ21" s="195" t="s">
        <v>53</v>
      </c>
      <c r="AR21" s="865">
        <v>332960</v>
      </c>
      <c r="AS21" s="234">
        <f t="shared" si="1"/>
        <v>345585.5</v>
      </c>
    </row>
    <row r="22" spans="1:45" ht="10.15" customHeight="1">
      <c r="A22" s="195" t="s">
        <v>80</v>
      </c>
      <c r="B22" s="758"/>
      <c r="C22" s="252"/>
      <c r="D22" s="252"/>
      <c r="E22" s="252"/>
      <c r="F22" s="252"/>
      <c r="G22" s="252"/>
      <c r="H22" s="772"/>
      <c r="I22" s="772"/>
      <c r="J22" s="252"/>
      <c r="K22" s="252"/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  <c r="AA22" s="252"/>
      <c r="AB22" s="252"/>
      <c r="AC22" s="870"/>
      <c r="AD22" s="870"/>
      <c r="AE22" s="252"/>
      <c r="AF22" s="252"/>
      <c r="AG22" s="252"/>
      <c r="AH22" s="252"/>
      <c r="AI22" s="252"/>
      <c r="AJ22" s="252"/>
      <c r="AK22" s="252"/>
      <c r="AL22" s="252"/>
      <c r="AM22" s="252"/>
      <c r="AN22" s="856">
        <f t="shared" si="0"/>
        <v>0</v>
      </c>
      <c r="AO22" s="856">
        <f t="shared" si="2"/>
        <v>100000</v>
      </c>
      <c r="AP22" s="860"/>
      <c r="AQ22" s="195" t="s">
        <v>80</v>
      </c>
      <c r="AR22" s="865">
        <v>8000</v>
      </c>
      <c r="AS22" s="234">
        <f t="shared" si="1"/>
        <v>8000</v>
      </c>
    </row>
    <row r="23" spans="1:45" ht="9.6" customHeight="1">
      <c r="A23" s="515" t="s">
        <v>267</v>
      </c>
      <c r="B23" s="589"/>
      <c r="C23" s="252"/>
      <c r="D23" s="252"/>
      <c r="E23" s="252"/>
      <c r="F23" s="252"/>
      <c r="G23" s="252"/>
      <c r="H23" s="772"/>
      <c r="I23" s="772"/>
      <c r="J23" s="702"/>
      <c r="K23" s="702"/>
      <c r="L23" s="702"/>
      <c r="M23" s="702">
        <f>'5.12.22'!E21+'5.12.22'!E28</f>
        <v>4408</v>
      </c>
      <c r="N23" s="702"/>
      <c r="O23" s="702"/>
      <c r="P23" s="702"/>
      <c r="Q23" s="738"/>
      <c r="R23" s="738">
        <f>'5.17.22'!E21</f>
        <v>2802.5</v>
      </c>
      <c r="S23" s="738"/>
      <c r="T23" s="738"/>
      <c r="U23" s="738"/>
      <c r="V23" s="738"/>
      <c r="W23" s="738"/>
      <c r="X23" s="252"/>
      <c r="Y23" s="252"/>
      <c r="Z23" s="252"/>
      <c r="AA23" s="252">
        <f>'5.26.22'!E19+'5.26.22'!E30</f>
        <v>4265.5</v>
      </c>
      <c r="AB23" s="252"/>
      <c r="AC23" s="870"/>
      <c r="AD23" s="870"/>
      <c r="AE23" s="252"/>
      <c r="AF23" s="252"/>
      <c r="AG23" s="252"/>
      <c r="AH23" s="252"/>
      <c r="AI23" s="252"/>
      <c r="AJ23" s="252"/>
      <c r="AK23" s="252"/>
      <c r="AL23" s="252"/>
      <c r="AM23" s="252"/>
      <c r="AN23" s="856">
        <f t="shared" si="0"/>
        <v>11476</v>
      </c>
      <c r="AO23" s="856">
        <f t="shared" si="2"/>
        <v>88524</v>
      </c>
      <c r="AP23" s="860"/>
      <c r="AQ23" s="195" t="s">
        <v>194</v>
      </c>
      <c r="AR23" s="865">
        <v>0</v>
      </c>
      <c r="AS23" s="234">
        <f t="shared" si="1"/>
        <v>11476</v>
      </c>
    </row>
    <row r="24" spans="1:45" ht="9.6" customHeight="1">
      <c r="A24" s="195" t="s">
        <v>234</v>
      </c>
      <c r="B24" s="589"/>
      <c r="C24" s="252"/>
      <c r="D24" s="252"/>
      <c r="E24" s="252"/>
      <c r="F24" s="252"/>
      <c r="G24" s="252"/>
      <c r="H24" s="772"/>
      <c r="I24" s="772"/>
      <c r="J24" s="252"/>
      <c r="K24" s="252"/>
      <c r="L24" s="252"/>
      <c r="M24" s="252"/>
      <c r="N24" s="252"/>
      <c r="O24" s="252"/>
      <c r="P24" s="252"/>
      <c r="Q24" s="738"/>
      <c r="R24" s="738"/>
      <c r="S24" s="738">
        <f>'5.18.22'!E29</f>
        <v>2603</v>
      </c>
      <c r="T24" s="738">
        <f>'5.19.22'!E30</f>
        <v>2327.5</v>
      </c>
      <c r="U24" s="738"/>
      <c r="V24" s="738"/>
      <c r="W24" s="738"/>
      <c r="X24" s="252"/>
      <c r="Y24" s="252"/>
      <c r="Z24" s="252"/>
      <c r="AA24" s="252"/>
      <c r="AB24" s="252"/>
      <c r="AC24" s="870"/>
      <c r="AD24" s="870"/>
      <c r="AE24" s="252"/>
      <c r="AF24" s="252"/>
      <c r="AG24" s="252"/>
      <c r="AH24" s="252"/>
      <c r="AI24" s="252"/>
      <c r="AJ24" s="252"/>
      <c r="AK24" s="252"/>
      <c r="AL24" s="252"/>
      <c r="AM24" s="252"/>
      <c r="AN24" s="856">
        <f t="shared" si="0"/>
        <v>4930.5</v>
      </c>
      <c r="AO24" s="856">
        <f t="shared" si="2"/>
        <v>95069.5</v>
      </c>
      <c r="AP24" s="860"/>
      <c r="AQ24" s="195" t="s">
        <v>234</v>
      </c>
      <c r="AR24" s="865">
        <v>18120</v>
      </c>
      <c r="AS24" s="234">
        <f t="shared" si="1"/>
        <v>23050.5</v>
      </c>
    </row>
    <row r="25" spans="1:45" ht="9.6" customHeight="1">
      <c r="A25" s="195" t="s">
        <v>265</v>
      </c>
      <c r="B25" s="758"/>
      <c r="C25" s="252"/>
      <c r="D25" s="252"/>
      <c r="E25" s="252"/>
      <c r="F25" s="252"/>
      <c r="G25" s="252"/>
      <c r="H25" s="772"/>
      <c r="I25" s="772"/>
      <c r="J25" s="252"/>
      <c r="K25" s="252"/>
      <c r="L25" s="252"/>
      <c r="M25" s="252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  <c r="AA25" s="252"/>
      <c r="AB25" s="252"/>
      <c r="AC25" s="870"/>
      <c r="AD25" s="870"/>
      <c r="AE25" s="252"/>
      <c r="AF25" s="252"/>
      <c r="AG25" s="252"/>
      <c r="AH25" s="252"/>
      <c r="AI25" s="252"/>
      <c r="AJ25" s="252"/>
      <c r="AK25" s="252"/>
      <c r="AL25" s="252"/>
      <c r="AM25" s="252"/>
      <c r="AN25" s="856">
        <f t="shared" si="0"/>
        <v>0</v>
      </c>
      <c r="AO25" s="856">
        <f t="shared" si="2"/>
        <v>100000</v>
      </c>
      <c r="AP25" s="860"/>
      <c r="AQ25" s="195"/>
      <c r="AR25" s="865">
        <v>0</v>
      </c>
      <c r="AS25" s="234">
        <f t="shared" si="1"/>
        <v>0</v>
      </c>
    </row>
    <row r="26" spans="1:45" ht="10.15" customHeight="1">
      <c r="A26" s="195" t="s">
        <v>69</v>
      </c>
      <c r="B26" s="589"/>
      <c r="C26" s="640"/>
      <c r="D26" s="640"/>
      <c r="E26" s="640">
        <f>'5.4.22'!E22</f>
        <v>3249</v>
      </c>
      <c r="F26" s="640"/>
      <c r="G26" s="640">
        <f>'5.6.22'!E21</f>
        <v>2337</v>
      </c>
      <c r="H26" s="783"/>
      <c r="I26" s="783"/>
      <c r="J26" s="702"/>
      <c r="K26" s="702"/>
      <c r="L26" s="702">
        <f>'5.11.22'!E22</f>
        <v>1738.5</v>
      </c>
      <c r="M26" s="702"/>
      <c r="N26" s="702">
        <f>'5.13.22'!E22</f>
        <v>2327.5</v>
      </c>
      <c r="O26" s="702"/>
      <c r="P26" s="702"/>
      <c r="Q26" s="252"/>
      <c r="R26" s="252"/>
      <c r="S26" s="252"/>
      <c r="T26" s="252"/>
      <c r="U26" s="252"/>
      <c r="V26" s="252"/>
      <c r="W26" s="252"/>
      <c r="X26" s="252"/>
      <c r="Y26" s="252"/>
      <c r="Z26" s="252"/>
      <c r="AA26" s="252"/>
      <c r="AB26" s="252"/>
      <c r="AC26" s="870"/>
      <c r="AD26" s="870"/>
      <c r="AE26" s="252"/>
      <c r="AF26" s="252"/>
      <c r="AG26" s="252"/>
      <c r="AH26" s="252"/>
      <c r="AI26" s="252"/>
      <c r="AJ26" s="252"/>
      <c r="AK26" s="252"/>
      <c r="AL26" s="252"/>
      <c r="AM26" s="252"/>
      <c r="AN26" s="856">
        <f t="shared" si="0"/>
        <v>9652</v>
      </c>
      <c r="AO26" s="856">
        <f t="shared" si="2"/>
        <v>90348</v>
      </c>
      <c r="AP26" s="860"/>
      <c r="AQ26" s="195" t="s">
        <v>69</v>
      </c>
      <c r="AR26" s="865">
        <v>13780</v>
      </c>
      <c r="AS26" s="234">
        <f t="shared" si="1"/>
        <v>23432</v>
      </c>
    </row>
    <row r="27" spans="1:45" ht="10.15" customHeight="1">
      <c r="A27" s="195" t="s">
        <v>76</v>
      </c>
      <c r="B27" s="758"/>
      <c r="C27" s="252"/>
      <c r="D27" s="252"/>
      <c r="E27" s="252"/>
      <c r="F27" s="252"/>
      <c r="G27" s="252"/>
      <c r="H27" s="772"/>
      <c r="I27" s="772"/>
      <c r="J27" s="252"/>
      <c r="K27" s="252"/>
      <c r="L27" s="252"/>
      <c r="M27" s="252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  <c r="AA27" s="252"/>
      <c r="AB27" s="252"/>
      <c r="AC27" s="870"/>
      <c r="AD27" s="870"/>
      <c r="AE27" s="252"/>
      <c r="AF27" s="252"/>
      <c r="AG27" s="252"/>
      <c r="AH27" s="252"/>
      <c r="AI27" s="252"/>
      <c r="AJ27" s="252"/>
      <c r="AK27" s="252"/>
      <c r="AL27" s="252"/>
      <c r="AM27" s="252"/>
      <c r="AN27" s="856">
        <f t="shared" si="0"/>
        <v>0</v>
      </c>
      <c r="AO27" s="856">
        <f>449000-AN27+350000</f>
        <v>799000</v>
      </c>
      <c r="AP27" s="860"/>
      <c r="AQ27" s="195" t="s">
        <v>76</v>
      </c>
      <c r="AR27" s="865">
        <v>96200</v>
      </c>
      <c r="AS27" s="234">
        <f t="shared" si="1"/>
        <v>96200</v>
      </c>
    </row>
    <row r="28" spans="1:45" ht="10.15" customHeight="1">
      <c r="A28" s="195" t="s">
        <v>186</v>
      </c>
      <c r="B28" s="758"/>
      <c r="C28" s="252"/>
      <c r="D28" s="252"/>
      <c r="E28" s="252"/>
      <c r="F28" s="252"/>
      <c r="G28" s="252"/>
      <c r="H28" s="772"/>
      <c r="I28" s="772"/>
      <c r="J28" s="252"/>
      <c r="K28" s="252"/>
      <c r="L28" s="252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  <c r="AA28" s="252"/>
      <c r="AB28" s="252"/>
      <c r="AC28" s="870"/>
      <c r="AD28" s="870"/>
      <c r="AE28" s="252"/>
      <c r="AF28" s="252"/>
      <c r="AG28" s="252"/>
      <c r="AH28" s="252"/>
      <c r="AI28" s="252"/>
      <c r="AJ28" s="252"/>
      <c r="AK28" s="252"/>
      <c r="AL28" s="252"/>
      <c r="AM28" s="252"/>
      <c r="AN28" s="856">
        <f t="shared" si="0"/>
        <v>0</v>
      </c>
      <c r="AO28" s="856">
        <f t="shared" ref="AO28" si="3">100000-AN28</f>
        <v>100000</v>
      </c>
      <c r="AP28" s="860"/>
      <c r="AQ28" s="195" t="s">
        <v>186</v>
      </c>
      <c r="AR28" s="865">
        <v>23730</v>
      </c>
      <c r="AS28" s="234">
        <f t="shared" si="1"/>
        <v>23730</v>
      </c>
    </row>
    <row r="29" spans="1:45" ht="10.15" customHeight="1">
      <c r="A29" s="195" t="s">
        <v>44</v>
      </c>
      <c r="B29" s="758"/>
      <c r="C29" s="640">
        <f>'5.2.22'!E18</f>
        <v>3439</v>
      </c>
      <c r="D29" s="640"/>
      <c r="E29" s="640"/>
      <c r="F29" s="640">
        <f>'5.5.22'!E21</f>
        <v>3182.5</v>
      </c>
      <c r="G29" s="640"/>
      <c r="H29" s="783"/>
      <c r="I29" s="783"/>
      <c r="J29" s="702"/>
      <c r="K29" s="702">
        <f>'5.10.22'!E29</f>
        <v>2099.5</v>
      </c>
      <c r="L29" s="702"/>
      <c r="M29" s="702"/>
      <c r="N29" s="702"/>
      <c r="O29" s="702">
        <f>'5.14.22'!E29</f>
        <v>1843</v>
      </c>
      <c r="P29" s="702"/>
      <c r="Q29" s="738">
        <f>'5.16.22'!E29</f>
        <v>2584</v>
      </c>
      <c r="R29" s="738"/>
      <c r="S29" s="738"/>
      <c r="T29" s="738"/>
      <c r="U29" s="738"/>
      <c r="V29" s="738"/>
      <c r="W29" s="738">
        <f>'5.22.22'!E21+'5.22.22'!E28</f>
        <v>6859</v>
      </c>
      <c r="X29" s="252"/>
      <c r="Y29" s="252"/>
      <c r="Z29" s="252"/>
      <c r="AA29" s="252"/>
      <c r="AB29" s="252"/>
      <c r="AC29" s="870"/>
      <c r="AD29" s="870"/>
      <c r="AE29" s="252"/>
      <c r="AF29" s="252"/>
      <c r="AG29" s="252"/>
      <c r="AH29" s="252"/>
      <c r="AI29" s="252"/>
      <c r="AJ29" s="252"/>
      <c r="AK29" s="252"/>
      <c r="AL29" s="252"/>
      <c r="AM29" s="252"/>
      <c r="AN29" s="856">
        <f t="shared" si="0"/>
        <v>20007</v>
      </c>
      <c r="AO29" s="856">
        <f t="shared" si="2"/>
        <v>79993</v>
      </c>
      <c r="AP29" s="860"/>
      <c r="AQ29" s="195" t="s">
        <v>44</v>
      </c>
      <c r="AR29" s="865">
        <v>74050</v>
      </c>
      <c r="AS29" s="234">
        <f t="shared" si="1"/>
        <v>94057</v>
      </c>
    </row>
    <row r="30" spans="1:45" ht="10.15" customHeight="1">
      <c r="A30" s="195" t="s">
        <v>143</v>
      </c>
      <c r="B30" s="589"/>
      <c r="C30" s="252"/>
      <c r="D30" s="252"/>
      <c r="E30" s="252"/>
      <c r="F30" s="252"/>
      <c r="G30" s="252"/>
      <c r="H30" s="772"/>
      <c r="I30" s="772"/>
      <c r="J30" s="702"/>
      <c r="K30" s="702"/>
      <c r="L30" s="702"/>
      <c r="M30" s="702"/>
      <c r="N30" s="702">
        <f>'5.13.22'!E19</f>
        <v>3173</v>
      </c>
      <c r="O30" s="702">
        <f>'5.14.22'!E22</f>
        <v>3657.5</v>
      </c>
      <c r="P30" s="702"/>
      <c r="Q30" s="738"/>
      <c r="R30" s="738"/>
      <c r="S30" s="738"/>
      <c r="T30" s="738"/>
      <c r="U30" s="738">
        <f>'5.20.22'!E19</f>
        <v>3439</v>
      </c>
      <c r="V30" s="738"/>
      <c r="W30" s="738"/>
      <c r="X30" s="252"/>
      <c r="Y30" s="252"/>
      <c r="Z30" s="252"/>
      <c r="AA30" s="252"/>
      <c r="AB30" s="252"/>
      <c r="AC30" s="870"/>
      <c r="AD30" s="870"/>
      <c r="AE30" s="252"/>
      <c r="AF30" s="252"/>
      <c r="AG30" s="252"/>
      <c r="AH30" s="252"/>
      <c r="AI30" s="252"/>
      <c r="AJ30" s="252"/>
      <c r="AK30" s="252"/>
      <c r="AL30" s="252"/>
      <c r="AM30" s="252"/>
      <c r="AN30" s="856">
        <f t="shared" si="0"/>
        <v>10269.5</v>
      </c>
      <c r="AO30" s="856">
        <f>100000-AN30+350000+350000</f>
        <v>789730.5</v>
      </c>
      <c r="AP30" s="860"/>
      <c r="AQ30" s="195" t="s">
        <v>143</v>
      </c>
      <c r="AR30" s="865">
        <v>156540</v>
      </c>
      <c r="AS30" s="234">
        <f t="shared" si="1"/>
        <v>166809.5</v>
      </c>
    </row>
    <row r="31" spans="1:45" ht="10.15" customHeight="1">
      <c r="A31" s="515" t="s">
        <v>242</v>
      </c>
      <c r="B31" s="589"/>
      <c r="C31" s="640">
        <f>'5.2.22'!E30</f>
        <v>4085</v>
      </c>
      <c r="D31" s="640">
        <f>'5.3.22'!E30</f>
        <v>4484</v>
      </c>
      <c r="E31" s="640"/>
      <c r="F31" s="640"/>
      <c r="G31" s="640"/>
      <c r="H31" s="783"/>
      <c r="I31" s="783"/>
      <c r="J31" s="702">
        <f>'5.9.22'!E30</f>
        <v>3800</v>
      </c>
      <c r="K31" s="702">
        <f>'5.10.22'!E30</f>
        <v>3885.5</v>
      </c>
      <c r="L31" s="702"/>
      <c r="M31" s="702"/>
      <c r="N31" s="702">
        <f>'5.13.22'!E30</f>
        <v>3154</v>
      </c>
      <c r="O31" s="702"/>
      <c r="P31" s="702"/>
      <c r="Q31" s="738">
        <f>'5.16.22'!E30</f>
        <v>4645.5</v>
      </c>
      <c r="R31" s="738"/>
      <c r="S31" s="738">
        <f>'5.18.22'!E30</f>
        <v>4360.5</v>
      </c>
      <c r="T31" s="738">
        <f>'5.19.22'!E29</f>
        <v>3895</v>
      </c>
      <c r="U31" s="738"/>
      <c r="V31" s="738"/>
      <c r="W31" s="738"/>
      <c r="X31" s="252"/>
      <c r="Y31" s="252"/>
      <c r="Z31" s="252">
        <f>'5.25.22'!E30</f>
        <v>5006.5</v>
      </c>
      <c r="AA31" s="252">
        <f>'5.26.22'!E29</f>
        <v>4237</v>
      </c>
      <c r="AB31" s="252"/>
      <c r="AC31" s="870"/>
      <c r="AD31" s="870"/>
      <c r="AE31" s="252"/>
      <c r="AF31" s="252"/>
      <c r="AG31" s="252"/>
      <c r="AH31" s="252"/>
      <c r="AI31" s="252"/>
      <c r="AJ31" s="252"/>
      <c r="AK31" s="252"/>
      <c r="AL31" s="252"/>
      <c r="AM31" s="252"/>
      <c r="AN31" s="856">
        <f t="shared" si="0"/>
        <v>41553</v>
      </c>
      <c r="AO31" s="856">
        <f>100000-AN31+350000+350000</f>
        <v>758447</v>
      </c>
      <c r="AP31" s="860"/>
      <c r="AQ31" s="515" t="s">
        <v>242</v>
      </c>
      <c r="AR31" s="865">
        <v>96320</v>
      </c>
      <c r="AS31" s="234">
        <f t="shared" si="1"/>
        <v>137873</v>
      </c>
    </row>
    <row r="32" spans="1:45" ht="10.15" customHeight="1">
      <c r="A32" s="195" t="s">
        <v>81</v>
      </c>
      <c r="B32" s="758"/>
      <c r="C32" s="252"/>
      <c r="D32" s="252"/>
      <c r="E32" s="252"/>
      <c r="F32" s="252"/>
      <c r="G32" s="252"/>
      <c r="H32" s="772"/>
      <c r="I32" s="77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  <c r="AA32" s="252"/>
      <c r="AB32" s="252"/>
      <c r="AC32" s="870"/>
      <c r="AD32" s="870"/>
      <c r="AE32" s="252"/>
      <c r="AF32" s="252"/>
      <c r="AG32" s="252"/>
      <c r="AH32" s="252"/>
      <c r="AI32" s="252"/>
      <c r="AJ32" s="252"/>
      <c r="AK32" s="252"/>
      <c r="AL32" s="252"/>
      <c r="AM32" s="252"/>
      <c r="AN32" s="856">
        <f t="shared" si="0"/>
        <v>0</v>
      </c>
      <c r="AO32" s="856">
        <f t="shared" si="2"/>
        <v>100000</v>
      </c>
      <c r="AP32" s="860"/>
      <c r="AQ32" s="195" t="s">
        <v>81</v>
      </c>
      <c r="AR32" s="865">
        <v>6760</v>
      </c>
      <c r="AS32" s="234">
        <f t="shared" si="1"/>
        <v>6760</v>
      </c>
    </row>
    <row r="33" spans="1:45" ht="10.15" customHeight="1">
      <c r="A33" s="195" t="s">
        <v>246</v>
      </c>
      <c r="B33" s="589">
        <f>'5.1.22'!E22</f>
        <v>4617</v>
      </c>
      <c r="C33" s="640"/>
      <c r="D33" s="640"/>
      <c r="E33" s="640">
        <f>'5.4.22'!E19</f>
        <v>3714.5</v>
      </c>
      <c r="F33" s="640"/>
      <c r="G33" s="640"/>
      <c r="H33" s="783"/>
      <c r="I33" s="783"/>
      <c r="J33" s="702"/>
      <c r="K33" s="702">
        <f>'5.10.22'!E21</f>
        <v>3819</v>
      </c>
      <c r="L33" s="702"/>
      <c r="M33" s="702"/>
      <c r="N33" s="702"/>
      <c r="O33" s="702">
        <f>'5.14.22'!E21</f>
        <v>3885.5</v>
      </c>
      <c r="P33" s="702">
        <f>'5.15.22'!E21</f>
        <v>3990</v>
      </c>
      <c r="Q33" s="738"/>
      <c r="R33" s="738"/>
      <c r="S33" s="738"/>
      <c r="T33" s="738"/>
      <c r="U33" s="738">
        <f>'5.20.22'!E18</f>
        <v>3752.5</v>
      </c>
      <c r="V33" s="738">
        <f>'5.21.22'!E22</f>
        <v>3572</v>
      </c>
      <c r="W33" s="738">
        <f>'5.22.22'!E9</f>
        <v>3315.5</v>
      </c>
      <c r="X33" s="252"/>
      <c r="Y33" s="252">
        <f>'5.24.22'!E21</f>
        <v>4085</v>
      </c>
      <c r="Z33" s="252"/>
      <c r="AA33" s="252"/>
      <c r="AB33" s="252"/>
      <c r="AC33" s="870"/>
      <c r="AD33" s="870"/>
      <c r="AE33" s="252"/>
      <c r="AF33" s="252"/>
      <c r="AG33" s="252"/>
      <c r="AH33" s="252"/>
      <c r="AI33" s="252"/>
      <c r="AJ33" s="252"/>
      <c r="AK33" s="252"/>
      <c r="AL33" s="252"/>
      <c r="AM33" s="252"/>
      <c r="AN33" s="856">
        <f t="shared" si="0"/>
        <v>34751</v>
      </c>
      <c r="AO33" s="856">
        <f t="shared" si="2"/>
        <v>65249</v>
      </c>
      <c r="AP33" s="860"/>
      <c r="AQ33" s="195" t="s">
        <v>246</v>
      </c>
      <c r="AR33" s="865">
        <v>6490</v>
      </c>
      <c r="AS33" s="782">
        <f t="shared" si="1"/>
        <v>41241</v>
      </c>
    </row>
    <row r="34" spans="1:45" ht="10.15" customHeight="1">
      <c r="A34" s="195" t="s">
        <v>66</v>
      </c>
      <c r="B34" s="589">
        <f>'5.1.22'!E29</f>
        <v>2565</v>
      </c>
      <c r="C34" s="640"/>
      <c r="D34" s="640"/>
      <c r="E34" s="640">
        <f>'5.4.22'!E12</f>
        <v>2869</v>
      </c>
      <c r="F34" s="640"/>
      <c r="G34" s="640"/>
      <c r="H34" s="783"/>
      <c r="I34" s="783"/>
      <c r="J34" s="252"/>
      <c r="K34" s="252"/>
      <c r="L34" s="252"/>
      <c r="M34" s="252"/>
      <c r="N34" s="252"/>
      <c r="O34" s="252"/>
      <c r="P34" s="252"/>
      <c r="Q34" s="738"/>
      <c r="R34" s="738"/>
      <c r="S34" s="738"/>
      <c r="T34" s="738"/>
      <c r="U34" s="738"/>
      <c r="V34" s="738">
        <f>'5.21.22'!E28</f>
        <v>2232.5</v>
      </c>
      <c r="W34" s="738"/>
      <c r="X34" s="252"/>
      <c r="Y34" s="252"/>
      <c r="Z34" s="252"/>
      <c r="AA34" s="252">
        <f>'5.26.22'!E22</f>
        <v>3401</v>
      </c>
      <c r="AB34" s="252">
        <f>'5.27.22'!E19</f>
        <v>3638.5</v>
      </c>
      <c r="AC34" s="870"/>
      <c r="AD34" s="870"/>
      <c r="AE34" s="252"/>
      <c r="AF34" s="252"/>
      <c r="AG34" s="252"/>
      <c r="AH34" s="252"/>
      <c r="AI34" s="252"/>
      <c r="AJ34" s="252"/>
      <c r="AK34" s="252"/>
      <c r="AL34" s="252"/>
      <c r="AM34" s="252"/>
      <c r="AN34" s="856">
        <f t="shared" si="0"/>
        <v>14706</v>
      </c>
      <c r="AO34" s="856">
        <f t="shared" si="2"/>
        <v>85294</v>
      </c>
      <c r="AP34" s="860"/>
      <c r="AQ34" s="195" t="s">
        <v>66</v>
      </c>
      <c r="AR34" s="865">
        <v>61160</v>
      </c>
      <c r="AS34" s="782">
        <f t="shared" si="1"/>
        <v>75866</v>
      </c>
    </row>
    <row r="35" spans="1:45" ht="10.15" customHeight="1">
      <c r="A35" s="196" t="s">
        <v>65</v>
      </c>
      <c r="B35" s="589">
        <f>'5.1.22'!E11</f>
        <v>3971</v>
      </c>
      <c r="C35" s="640"/>
      <c r="D35" s="640">
        <f>'5.3.22'!E19</f>
        <v>3657.5</v>
      </c>
      <c r="E35" s="640"/>
      <c r="F35" s="640">
        <f>'5.5.22'!E22</f>
        <v>3885.5</v>
      </c>
      <c r="G35" s="640"/>
      <c r="H35" s="783"/>
      <c r="I35" s="783"/>
      <c r="J35" s="702"/>
      <c r="K35" s="702"/>
      <c r="L35" s="702">
        <f>'5.11.22'!E19</f>
        <v>3372.5</v>
      </c>
      <c r="M35" s="702">
        <f>'5.12.22'!E22</f>
        <v>2850</v>
      </c>
      <c r="N35" s="702"/>
      <c r="O35" s="702"/>
      <c r="P35" s="702"/>
      <c r="Q35" s="738">
        <f>'5.16.22'!E19</f>
        <v>3676.5</v>
      </c>
      <c r="R35" s="738"/>
      <c r="S35" s="738"/>
      <c r="T35" s="738"/>
      <c r="U35" s="738">
        <f>'5.20.22'!E28</f>
        <v>2232.5</v>
      </c>
      <c r="V35" s="738"/>
      <c r="W35" s="738"/>
      <c r="X35" s="252">
        <f>'5.23.22'!E28</f>
        <v>3011.5</v>
      </c>
      <c r="Y35" s="252">
        <f>'5.24.22'!E22</f>
        <v>3714.5</v>
      </c>
      <c r="Z35" s="252"/>
      <c r="AA35" s="252"/>
      <c r="AB35" s="252"/>
      <c r="AC35" s="870"/>
      <c r="AD35" s="870"/>
      <c r="AE35" s="252"/>
      <c r="AF35" s="252"/>
      <c r="AG35" s="252"/>
      <c r="AH35" s="252"/>
      <c r="AI35" s="252"/>
      <c r="AJ35" s="252"/>
      <c r="AK35" s="252"/>
      <c r="AL35" s="252"/>
      <c r="AM35" s="252"/>
      <c r="AN35" s="856">
        <f t="shared" si="0"/>
        <v>30371.5</v>
      </c>
      <c r="AO35" s="856">
        <f>449000-AN35+350000</f>
        <v>768628.5</v>
      </c>
      <c r="AP35" s="860"/>
      <c r="AQ35" s="196" t="s">
        <v>65</v>
      </c>
      <c r="AR35" s="865">
        <v>273330</v>
      </c>
      <c r="AS35" s="234">
        <f t="shared" si="1"/>
        <v>303701.5</v>
      </c>
    </row>
    <row r="36" spans="1:45" ht="10.15" customHeight="1">
      <c r="A36" s="195" t="s">
        <v>82</v>
      </c>
      <c r="B36" s="589"/>
      <c r="C36" s="252"/>
      <c r="D36" s="252"/>
      <c r="E36" s="252"/>
      <c r="F36" s="252"/>
      <c r="G36" s="252"/>
      <c r="H36" s="772"/>
      <c r="I36" s="772"/>
      <c r="J36" s="252"/>
      <c r="K36" s="252"/>
      <c r="L36" s="252"/>
      <c r="M36" s="252"/>
      <c r="N36" s="252"/>
      <c r="O36" s="252"/>
      <c r="P36" s="252"/>
      <c r="Q36" s="738"/>
      <c r="R36" s="738">
        <f>'5.17.22'!E28</f>
        <v>2916.5</v>
      </c>
      <c r="S36" s="738"/>
      <c r="T36" s="738"/>
      <c r="U36" s="738"/>
      <c r="V36" s="738"/>
      <c r="W36" s="738"/>
      <c r="X36" s="252"/>
      <c r="Y36" s="252">
        <f>'5.24.22'!E29</f>
        <v>2926</v>
      </c>
      <c r="Z36" s="252"/>
      <c r="AA36" s="252"/>
      <c r="AB36" s="252"/>
      <c r="AC36" s="870"/>
      <c r="AD36" s="870"/>
      <c r="AE36" s="252"/>
      <c r="AF36" s="252"/>
      <c r="AG36" s="252"/>
      <c r="AH36" s="252"/>
      <c r="AI36" s="252"/>
      <c r="AJ36" s="252"/>
      <c r="AK36" s="252"/>
      <c r="AL36" s="252"/>
      <c r="AM36" s="252"/>
      <c r="AN36" s="856">
        <f t="shared" si="0"/>
        <v>5842.5</v>
      </c>
      <c r="AO36" s="856">
        <f>100000-AN36+350000</f>
        <v>444157.5</v>
      </c>
      <c r="AP36" s="860"/>
      <c r="AQ36" s="195" t="s">
        <v>82</v>
      </c>
      <c r="AR36" s="865">
        <v>120530</v>
      </c>
      <c r="AS36" s="234">
        <f t="shared" si="1"/>
        <v>126372.5</v>
      </c>
    </row>
    <row r="37" spans="1:45" ht="10.15" customHeight="1">
      <c r="A37" s="195" t="s">
        <v>83</v>
      </c>
      <c r="B37" s="589">
        <f>'5.1.22'!E12</f>
        <v>2574.5</v>
      </c>
      <c r="C37" s="640">
        <f>'5.2.22'!E29</f>
        <v>2280</v>
      </c>
      <c r="D37" s="640"/>
      <c r="E37" s="640"/>
      <c r="F37" s="640"/>
      <c r="G37" s="640"/>
      <c r="H37" s="783"/>
      <c r="I37" s="783"/>
      <c r="J37" s="252"/>
      <c r="K37" s="252"/>
      <c r="L37" s="252"/>
      <c r="M37" s="252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  <c r="AA37" s="252"/>
      <c r="AB37" s="252"/>
      <c r="AC37" s="870"/>
      <c r="AD37" s="870"/>
      <c r="AE37" s="252"/>
      <c r="AF37" s="252"/>
      <c r="AG37" s="252"/>
      <c r="AH37" s="252"/>
      <c r="AI37" s="252"/>
      <c r="AJ37" s="252"/>
      <c r="AK37" s="252"/>
      <c r="AL37" s="252"/>
      <c r="AM37" s="252"/>
      <c r="AN37" s="856">
        <f t="shared" si="0"/>
        <v>4854.5</v>
      </c>
      <c r="AO37" s="856">
        <f t="shared" si="2"/>
        <v>95145.5</v>
      </c>
      <c r="AP37" s="860"/>
      <c r="AQ37" s="195" t="s">
        <v>83</v>
      </c>
      <c r="AR37" s="865">
        <v>21760</v>
      </c>
      <c r="AS37" s="234">
        <f t="shared" si="1"/>
        <v>26614.5</v>
      </c>
    </row>
    <row r="38" spans="1:45" ht="10.15" customHeight="1">
      <c r="A38" s="195" t="s">
        <v>159</v>
      </c>
      <c r="B38" s="589"/>
      <c r="C38" s="640"/>
      <c r="D38" s="640"/>
      <c r="E38" s="640"/>
      <c r="F38" s="640">
        <f>'5.5.22'!E18+'5.5.22'!E29</f>
        <v>4227.5</v>
      </c>
      <c r="G38" s="640"/>
      <c r="H38" s="783"/>
      <c r="I38" s="783"/>
      <c r="J38" s="702"/>
      <c r="K38" s="702"/>
      <c r="L38" s="702">
        <f>'5.11.22'!E21</f>
        <v>2736</v>
      </c>
      <c r="M38" s="702"/>
      <c r="N38" s="702"/>
      <c r="O38" s="702"/>
      <c r="P38" s="702">
        <f>'5.15.22'!E29</f>
        <v>2232.5</v>
      </c>
      <c r="Q38" s="738"/>
      <c r="R38" s="738"/>
      <c r="S38" s="738"/>
      <c r="T38" s="738"/>
      <c r="U38" s="738"/>
      <c r="V38" s="738"/>
      <c r="W38" s="738">
        <f>'5.22.22'!E22</f>
        <v>3163.5</v>
      </c>
      <c r="X38" s="252"/>
      <c r="Y38" s="252"/>
      <c r="Z38" s="252"/>
      <c r="AA38" s="252"/>
      <c r="AB38" s="252"/>
      <c r="AC38" s="870"/>
      <c r="AD38" s="870"/>
      <c r="AE38" s="252"/>
      <c r="AF38" s="252"/>
      <c r="AG38" s="252"/>
      <c r="AH38" s="252"/>
      <c r="AI38" s="252"/>
      <c r="AJ38" s="252"/>
      <c r="AK38" s="252"/>
      <c r="AL38" s="252"/>
      <c r="AM38" s="252"/>
      <c r="AN38" s="856">
        <f t="shared" si="0"/>
        <v>12359.5</v>
      </c>
      <c r="AO38" s="856">
        <f t="shared" si="2"/>
        <v>87640.5</v>
      </c>
      <c r="AP38" s="860"/>
      <c r="AQ38" s="195" t="s">
        <v>159</v>
      </c>
      <c r="AR38" s="865">
        <v>31040</v>
      </c>
      <c r="AS38" s="234">
        <f t="shared" si="1"/>
        <v>43399.5</v>
      </c>
    </row>
    <row r="39" spans="1:45" ht="10.15" customHeight="1">
      <c r="A39" s="195" t="s">
        <v>145</v>
      </c>
      <c r="B39" s="589"/>
      <c r="C39" s="640"/>
      <c r="D39" s="640"/>
      <c r="E39" s="640">
        <f>'5.4.22'!E21</f>
        <v>4246.5</v>
      </c>
      <c r="F39" s="640"/>
      <c r="G39" s="640"/>
      <c r="H39" s="783"/>
      <c r="I39" s="783"/>
      <c r="J39" s="702"/>
      <c r="K39" s="702"/>
      <c r="L39" s="702"/>
      <c r="M39" s="702"/>
      <c r="N39" s="702">
        <f>'5.13.22'!E21</f>
        <v>3743</v>
      </c>
      <c r="O39" s="702"/>
      <c r="P39" s="702"/>
      <c r="Q39" s="738"/>
      <c r="R39" s="738"/>
      <c r="S39" s="738">
        <f>'5.18.22'!E18</f>
        <v>5073</v>
      </c>
      <c r="T39" s="738"/>
      <c r="U39" s="738"/>
      <c r="V39" s="738">
        <f>'5.21.22'!E9</f>
        <v>3800</v>
      </c>
      <c r="W39" s="738"/>
      <c r="X39" s="252"/>
      <c r="Y39" s="252"/>
      <c r="Z39" s="252">
        <f>'5.25.22'!E22</f>
        <v>3667</v>
      </c>
      <c r="AA39" s="252"/>
      <c r="AB39" s="252"/>
      <c r="AC39" s="870"/>
      <c r="AD39" s="870"/>
      <c r="AE39" s="252"/>
      <c r="AF39" s="252"/>
      <c r="AG39" s="252"/>
      <c r="AH39" s="252"/>
      <c r="AI39" s="252"/>
      <c r="AJ39" s="252"/>
      <c r="AK39" s="252"/>
      <c r="AL39" s="252"/>
      <c r="AM39" s="252"/>
      <c r="AN39" s="856">
        <f t="shared" si="0"/>
        <v>20529.5</v>
      </c>
      <c r="AO39" s="856">
        <f>100000-AN39+449000</f>
        <v>528470.5</v>
      </c>
      <c r="AP39" s="860"/>
      <c r="AQ39" s="195" t="s">
        <v>145</v>
      </c>
      <c r="AR39" s="865">
        <v>120440</v>
      </c>
      <c r="AS39" s="234">
        <f t="shared" si="1"/>
        <v>140969.5</v>
      </c>
    </row>
    <row r="40" spans="1:45" ht="10.15" customHeight="1">
      <c r="A40" s="195" t="s">
        <v>84</v>
      </c>
      <c r="B40" s="758"/>
      <c r="C40" s="252"/>
      <c r="D40" s="252"/>
      <c r="E40" s="252"/>
      <c r="F40" s="252"/>
      <c r="G40" s="252"/>
      <c r="H40" s="772"/>
      <c r="I40" s="772"/>
      <c r="J40" s="252"/>
      <c r="K40" s="252"/>
      <c r="L40" s="252"/>
      <c r="M40" s="252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  <c r="AA40" s="252"/>
      <c r="AB40" s="252"/>
      <c r="AC40" s="870"/>
      <c r="AD40" s="870"/>
      <c r="AE40" s="252"/>
      <c r="AF40" s="252"/>
      <c r="AG40" s="252"/>
      <c r="AH40" s="252"/>
      <c r="AI40" s="252"/>
      <c r="AJ40" s="252"/>
      <c r="AK40" s="252"/>
      <c r="AL40" s="252"/>
      <c r="AM40" s="252"/>
      <c r="AN40" s="856">
        <f t="shared" si="0"/>
        <v>0</v>
      </c>
      <c r="AO40" s="856">
        <f>100000-AN40+350000</f>
        <v>450000</v>
      </c>
      <c r="AP40" s="860"/>
      <c r="AQ40" s="195" t="s">
        <v>84</v>
      </c>
      <c r="AR40" s="865">
        <v>21920</v>
      </c>
      <c r="AS40" s="234">
        <f t="shared" si="1"/>
        <v>21920</v>
      </c>
    </row>
    <row r="41" spans="1:45" ht="10.15" customHeight="1">
      <c r="A41" s="195" t="s">
        <v>58</v>
      </c>
      <c r="B41" s="758"/>
      <c r="C41" s="252"/>
      <c r="D41" s="252"/>
      <c r="E41" s="252"/>
      <c r="F41" s="252"/>
      <c r="G41" s="252"/>
      <c r="H41" s="772"/>
      <c r="I41" s="772"/>
      <c r="J41" s="252"/>
      <c r="K41" s="252"/>
      <c r="L41" s="252"/>
      <c r="M41" s="252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  <c r="AA41" s="252"/>
      <c r="AB41" s="252"/>
      <c r="AC41" s="870"/>
      <c r="AD41" s="870"/>
      <c r="AE41" s="252"/>
      <c r="AF41" s="252"/>
      <c r="AG41" s="252"/>
      <c r="AH41" s="252"/>
      <c r="AI41" s="252"/>
      <c r="AJ41" s="252"/>
      <c r="AK41" s="252"/>
      <c r="AL41" s="252"/>
      <c r="AM41" s="252"/>
      <c r="AN41" s="856">
        <f t="shared" si="0"/>
        <v>0</v>
      </c>
      <c r="AO41" s="856">
        <f t="shared" si="2"/>
        <v>100000</v>
      </c>
      <c r="AP41" s="860"/>
      <c r="AQ41" s="195" t="s">
        <v>58</v>
      </c>
      <c r="AR41" s="865">
        <v>5830</v>
      </c>
      <c r="AS41" s="234">
        <f t="shared" si="1"/>
        <v>5830</v>
      </c>
    </row>
    <row r="42" spans="1:45" ht="10.15" customHeight="1">
      <c r="A42" s="195" t="s">
        <v>45</v>
      </c>
      <c r="B42" s="589"/>
      <c r="C42" s="640"/>
      <c r="D42" s="640">
        <f>'5.3.22'!E12+'5.3.22'!E21</f>
        <v>7562</v>
      </c>
      <c r="E42" s="640"/>
      <c r="F42" s="640"/>
      <c r="G42" s="640">
        <f>'5.6.22'!E19</f>
        <v>3439</v>
      </c>
      <c r="H42" s="783"/>
      <c r="I42" s="783"/>
      <c r="J42" s="702"/>
      <c r="K42" s="702"/>
      <c r="L42" s="702"/>
      <c r="M42" s="702">
        <f>'5.12.22'!E18</f>
        <v>3002</v>
      </c>
      <c r="N42" s="702"/>
      <c r="O42" s="702">
        <f>'5.14.22'!E9</f>
        <v>3619.5</v>
      </c>
      <c r="P42" s="702"/>
      <c r="Q42" s="738"/>
      <c r="R42" s="738"/>
      <c r="S42" s="738">
        <f>'5.18.22'!E22</f>
        <v>3933</v>
      </c>
      <c r="T42" s="738"/>
      <c r="U42" s="738">
        <f>'5.20.22'!E21</f>
        <v>3572</v>
      </c>
      <c r="V42" s="738"/>
      <c r="W42" s="738"/>
      <c r="X42" s="252"/>
      <c r="Y42" s="252"/>
      <c r="Z42" s="252"/>
      <c r="AA42" s="252"/>
      <c r="AB42" s="252">
        <f>'5.27.22'!E21+'5.27.22'!E28</f>
        <v>6954</v>
      </c>
      <c r="AC42" s="870"/>
      <c r="AD42" s="870"/>
      <c r="AE42" s="252"/>
      <c r="AF42" s="252"/>
      <c r="AG42" s="252"/>
      <c r="AH42" s="252"/>
      <c r="AI42" s="252"/>
      <c r="AJ42" s="252"/>
      <c r="AK42" s="252"/>
      <c r="AL42" s="252"/>
      <c r="AM42" s="252"/>
      <c r="AN42" s="856">
        <f t="shared" si="0"/>
        <v>32081.5</v>
      </c>
      <c r="AO42" s="856">
        <f>100000-AN42+350000</f>
        <v>417918.5</v>
      </c>
      <c r="AP42" s="860"/>
      <c r="AQ42" s="195" t="s">
        <v>45</v>
      </c>
      <c r="AR42" s="865">
        <v>147560</v>
      </c>
      <c r="AS42" s="234">
        <f t="shared" si="1"/>
        <v>179641.5</v>
      </c>
    </row>
    <row r="43" spans="1:45" ht="10.15" customHeight="1">
      <c r="A43" s="195" t="s">
        <v>172</v>
      </c>
      <c r="B43" s="758"/>
      <c r="C43" s="252"/>
      <c r="D43" s="252"/>
      <c r="E43" s="252"/>
      <c r="F43" s="252"/>
      <c r="G43" s="252"/>
      <c r="H43" s="772"/>
      <c r="I43" s="772"/>
      <c r="J43" s="252"/>
      <c r="K43" s="252"/>
      <c r="L43" s="252"/>
      <c r="M43" s="252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  <c r="AA43" s="252"/>
      <c r="AB43" s="252"/>
      <c r="AC43" s="870"/>
      <c r="AD43" s="870"/>
      <c r="AE43" s="252"/>
      <c r="AF43" s="252"/>
      <c r="AG43" s="252"/>
      <c r="AH43" s="252"/>
      <c r="AI43" s="252"/>
      <c r="AJ43" s="252"/>
      <c r="AK43" s="252"/>
      <c r="AL43" s="252"/>
      <c r="AM43" s="252"/>
      <c r="AN43" s="856">
        <f t="shared" si="0"/>
        <v>0</v>
      </c>
      <c r="AO43" s="856">
        <f t="shared" si="2"/>
        <v>100000</v>
      </c>
      <c r="AP43" s="860"/>
      <c r="AQ43" s="195" t="s">
        <v>172</v>
      </c>
      <c r="AR43" s="865">
        <v>74260</v>
      </c>
      <c r="AS43" s="234">
        <f t="shared" si="1"/>
        <v>74260</v>
      </c>
    </row>
    <row r="44" spans="1:45" ht="10.15" customHeight="1">
      <c r="A44" s="195" t="s">
        <v>144</v>
      </c>
      <c r="B44" s="589"/>
      <c r="C44" s="252"/>
      <c r="D44" s="252"/>
      <c r="E44" s="252"/>
      <c r="F44" s="252"/>
      <c r="G44" s="252"/>
      <c r="H44" s="772"/>
      <c r="I44" s="772"/>
      <c r="J44" s="252"/>
      <c r="K44" s="252"/>
      <c r="L44" s="252"/>
      <c r="M44" s="252"/>
      <c r="N44" s="252"/>
      <c r="O44" s="252"/>
      <c r="P44" s="252"/>
      <c r="Q44" s="738"/>
      <c r="R44" s="738"/>
      <c r="S44" s="738"/>
      <c r="T44" s="738">
        <f>'5.19.22'!E22</f>
        <v>2859.5</v>
      </c>
      <c r="U44" s="738"/>
      <c r="V44" s="738"/>
      <c r="W44" s="738"/>
      <c r="X44" s="252"/>
      <c r="Y44" s="252"/>
      <c r="Z44" s="252">
        <f>'5.25.22'!E28</f>
        <v>1871.5</v>
      </c>
      <c r="AA44" s="252"/>
      <c r="AB44" s="252"/>
      <c r="AC44" s="870"/>
      <c r="AD44" s="870"/>
      <c r="AE44" s="252"/>
      <c r="AF44" s="252"/>
      <c r="AG44" s="252"/>
      <c r="AH44" s="252"/>
      <c r="AI44" s="252"/>
      <c r="AJ44" s="252"/>
      <c r="AK44" s="252"/>
      <c r="AL44" s="252"/>
      <c r="AM44" s="252"/>
      <c r="AN44" s="856">
        <f t="shared" si="0"/>
        <v>4731</v>
      </c>
      <c r="AO44" s="856">
        <f t="shared" si="2"/>
        <v>95269</v>
      </c>
      <c r="AP44" s="860"/>
      <c r="AQ44" s="195" t="s">
        <v>144</v>
      </c>
      <c r="AR44" s="865">
        <v>50990</v>
      </c>
      <c r="AS44" s="234">
        <f t="shared" si="1"/>
        <v>55721</v>
      </c>
    </row>
    <row r="45" spans="1:45" ht="10.15" customHeight="1">
      <c r="A45" s="195" t="s">
        <v>240</v>
      </c>
      <c r="B45" s="758"/>
      <c r="C45" s="252"/>
      <c r="D45" s="252"/>
      <c r="E45" s="252"/>
      <c r="F45" s="252"/>
      <c r="G45" s="252"/>
      <c r="H45" s="772"/>
      <c r="I45" s="77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870"/>
      <c r="AD45" s="870"/>
      <c r="AE45" s="252"/>
      <c r="AF45" s="252"/>
      <c r="AG45" s="252"/>
      <c r="AH45" s="252"/>
      <c r="AI45" s="252"/>
      <c r="AJ45" s="252"/>
      <c r="AK45" s="252"/>
      <c r="AL45" s="252"/>
      <c r="AM45" s="252"/>
      <c r="AN45" s="856">
        <f t="shared" si="0"/>
        <v>0</v>
      </c>
      <c r="AO45" s="856">
        <f t="shared" si="2"/>
        <v>100000</v>
      </c>
      <c r="AP45" s="860"/>
      <c r="AQ45" s="195" t="s">
        <v>240</v>
      </c>
      <c r="AR45" s="865">
        <v>3570</v>
      </c>
      <c r="AS45" s="234">
        <f t="shared" si="1"/>
        <v>3570</v>
      </c>
    </row>
    <row r="46" spans="1:45" ht="10.15" customHeight="1">
      <c r="A46" s="195" t="s">
        <v>258</v>
      </c>
      <c r="B46" s="589"/>
      <c r="C46" s="640"/>
      <c r="D46" s="640"/>
      <c r="E46" s="640">
        <f>'5.4.22'!E30</f>
        <v>2441.5</v>
      </c>
      <c r="F46" s="640">
        <f>'5.5.22'!E30</f>
        <v>1909.5</v>
      </c>
      <c r="G46" s="640"/>
      <c r="H46" s="783"/>
      <c r="I46" s="783"/>
      <c r="J46" s="702"/>
      <c r="K46" s="702"/>
      <c r="L46" s="702">
        <f>'5.11.22'!E30</f>
        <v>1966.5</v>
      </c>
      <c r="M46" s="702"/>
      <c r="N46" s="702"/>
      <c r="O46" s="702">
        <f>'5.14.22'!E30</f>
        <v>2527</v>
      </c>
      <c r="P46" s="702"/>
      <c r="Q46" s="738"/>
      <c r="R46" s="738"/>
      <c r="S46" s="738"/>
      <c r="T46" s="738"/>
      <c r="U46" s="738"/>
      <c r="V46" s="738">
        <f>'5.21.22'!E30</f>
        <v>1976</v>
      </c>
      <c r="W46" s="738"/>
      <c r="X46" s="252"/>
      <c r="Y46" s="252"/>
      <c r="Z46" s="252"/>
      <c r="AA46" s="252"/>
      <c r="AB46" s="252">
        <f>'5.27.22'!E30</f>
        <v>4037.5</v>
      </c>
      <c r="AC46" s="870"/>
      <c r="AD46" s="870"/>
      <c r="AE46" s="252"/>
      <c r="AF46" s="252"/>
      <c r="AG46" s="252"/>
      <c r="AH46" s="252"/>
      <c r="AI46" s="252"/>
      <c r="AJ46" s="252"/>
      <c r="AK46" s="252"/>
      <c r="AL46" s="252"/>
      <c r="AM46" s="252"/>
      <c r="AN46" s="856">
        <f t="shared" si="0"/>
        <v>14858</v>
      </c>
      <c r="AO46" s="856">
        <f t="shared" si="2"/>
        <v>85142</v>
      </c>
      <c r="AP46" s="860"/>
      <c r="AQ46" s="195"/>
      <c r="AR46" s="865">
        <v>0</v>
      </c>
      <c r="AS46" s="234">
        <f t="shared" si="1"/>
        <v>14858</v>
      </c>
    </row>
    <row r="47" spans="1:45" ht="10.15" customHeight="1">
      <c r="A47" s="195" t="s">
        <v>70</v>
      </c>
      <c r="B47" s="589"/>
      <c r="C47" s="252"/>
      <c r="D47" s="252"/>
      <c r="E47" s="252"/>
      <c r="F47" s="252"/>
      <c r="G47" s="252"/>
      <c r="H47" s="772"/>
      <c r="I47" s="772"/>
      <c r="J47" s="702"/>
      <c r="K47" s="702"/>
      <c r="L47" s="702">
        <f>'5.11.22'!E28</f>
        <v>3990</v>
      </c>
      <c r="M47" s="702"/>
      <c r="N47" s="702">
        <f>'5.13.22'!E28</f>
        <v>4028</v>
      </c>
      <c r="O47" s="702"/>
      <c r="P47" s="702">
        <f>'5.15.22'!E28</f>
        <v>4151.5</v>
      </c>
      <c r="Q47" s="738"/>
      <c r="R47" s="738"/>
      <c r="S47" s="738"/>
      <c r="T47" s="738">
        <f>'5.19.22'!E18</f>
        <v>4949.5</v>
      </c>
      <c r="U47" s="738"/>
      <c r="V47" s="738"/>
      <c r="W47" s="738"/>
      <c r="X47" s="252"/>
      <c r="Y47" s="252">
        <f>'5.24.22'!E18</f>
        <v>5253.5</v>
      </c>
      <c r="Z47" s="252"/>
      <c r="AA47" s="252">
        <f>'5.26.22'!E28</f>
        <v>4113.5</v>
      </c>
      <c r="AB47" s="252"/>
      <c r="AC47" s="870"/>
      <c r="AD47" s="870"/>
      <c r="AE47" s="252"/>
      <c r="AF47" s="252"/>
      <c r="AG47" s="252"/>
      <c r="AH47" s="252"/>
      <c r="AI47" s="252"/>
      <c r="AJ47" s="252"/>
      <c r="AK47" s="252"/>
      <c r="AL47" s="252"/>
      <c r="AM47" s="252"/>
      <c r="AN47" s="856">
        <f t="shared" si="0"/>
        <v>26486</v>
      </c>
      <c r="AO47" s="358">
        <f>449000-AN47+350000+350000</f>
        <v>1122514</v>
      </c>
      <c r="AP47" s="860"/>
      <c r="AQ47" s="195" t="s">
        <v>70</v>
      </c>
      <c r="AR47" s="865">
        <v>440900</v>
      </c>
      <c r="AS47" s="234">
        <f t="shared" si="1"/>
        <v>467386</v>
      </c>
    </row>
    <row r="48" spans="1:45" ht="10.15" customHeight="1">
      <c r="A48" s="195" t="s">
        <v>181</v>
      </c>
      <c r="B48" s="758"/>
      <c r="C48" s="252"/>
      <c r="D48" s="252"/>
      <c r="E48" s="252"/>
      <c r="F48" s="252"/>
      <c r="G48" s="252"/>
      <c r="H48" s="772"/>
      <c r="I48" s="772"/>
      <c r="J48" s="252"/>
      <c r="K48" s="252"/>
      <c r="L48" s="252"/>
      <c r="M48" s="252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  <c r="AA48" s="252"/>
      <c r="AB48" s="252"/>
      <c r="AC48" s="870"/>
      <c r="AD48" s="870"/>
      <c r="AE48" s="252"/>
      <c r="AF48" s="252"/>
      <c r="AG48" s="252"/>
      <c r="AH48" s="252"/>
      <c r="AI48" s="252"/>
      <c r="AJ48" s="252"/>
      <c r="AK48" s="252"/>
      <c r="AL48" s="252"/>
      <c r="AM48" s="252"/>
      <c r="AN48" s="856">
        <f t="shared" si="0"/>
        <v>0</v>
      </c>
      <c r="AO48" s="358">
        <f>100000-AN48</f>
        <v>100000</v>
      </c>
      <c r="AP48" s="860"/>
      <c r="AQ48" s="195" t="s">
        <v>181</v>
      </c>
      <c r="AR48" s="865">
        <v>7640</v>
      </c>
      <c r="AS48" s="234">
        <f t="shared" si="1"/>
        <v>7640</v>
      </c>
    </row>
    <row r="49" spans="1:56" ht="10.15" customHeight="1">
      <c r="A49" s="195" t="s">
        <v>244</v>
      </c>
      <c r="B49" s="589"/>
      <c r="C49" s="640">
        <f>'5.2.22'!E12</f>
        <v>3762</v>
      </c>
      <c r="D49" s="640"/>
      <c r="E49" s="640"/>
      <c r="F49" s="640">
        <f>'5.5.22'!E12+'5.5.22'!E19</f>
        <v>7533.5</v>
      </c>
      <c r="G49" s="640"/>
      <c r="H49" s="783"/>
      <c r="I49" s="783"/>
      <c r="J49" s="702" t="s">
        <v>306</v>
      </c>
      <c r="K49" s="702">
        <f>'5.10.22'!E19</f>
        <v>4455.5</v>
      </c>
      <c r="L49" s="702"/>
      <c r="M49" s="702"/>
      <c r="N49" s="702">
        <f>'5.13.22'!E29</f>
        <v>2764.5</v>
      </c>
      <c r="O49" s="702"/>
      <c r="P49" s="702"/>
      <c r="Q49" s="738"/>
      <c r="R49" s="738"/>
      <c r="S49" s="738">
        <f>'5.18.22'!E28</f>
        <v>3515</v>
      </c>
      <c r="T49" s="878"/>
      <c r="U49" s="738"/>
      <c r="V49" s="738"/>
      <c r="W49" s="738"/>
      <c r="X49" s="252">
        <f>'5.23.22'!E21</f>
        <v>4607.5</v>
      </c>
      <c r="Y49" s="252"/>
      <c r="Z49" s="252"/>
      <c r="AA49" s="252"/>
      <c r="AB49" s="252"/>
      <c r="AC49" s="870"/>
      <c r="AD49" s="870"/>
      <c r="AE49" s="252"/>
      <c r="AF49" s="252"/>
      <c r="AG49" s="252"/>
      <c r="AH49" s="252"/>
      <c r="AI49" s="252"/>
      <c r="AJ49" s="252"/>
      <c r="AK49" s="252"/>
      <c r="AL49" s="252"/>
      <c r="AM49" s="252"/>
      <c r="AN49" s="856">
        <f t="shared" si="0"/>
        <v>26638</v>
      </c>
      <c r="AO49" s="358">
        <f>100000-AN49</f>
        <v>73362</v>
      </c>
      <c r="AP49" s="860"/>
      <c r="AQ49" s="195" t="s">
        <v>244</v>
      </c>
      <c r="AR49" s="865">
        <v>11130</v>
      </c>
      <c r="AS49" s="234">
        <f t="shared" si="1"/>
        <v>37768</v>
      </c>
    </row>
    <row r="50" spans="1:56" s="521" customFormat="1" ht="10.15" customHeight="1">
      <c r="A50" s="515" t="s">
        <v>205</v>
      </c>
      <c r="B50" s="589"/>
      <c r="C50" s="640"/>
      <c r="D50" s="640">
        <f>'5.3.22'!E22</f>
        <v>2688.5</v>
      </c>
      <c r="E50" s="640"/>
      <c r="F50" s="640"/>
      <c r="G50" s="640"/>
      <c r="H50" s="783"/>
      <c r="I50" s="783"/>
      <c r="J50" s="702"/>
      <c r="K50" s="702"/>
      <c r="L50" s="702"/>
      <c r="M50" s="702">
        <f>'5.12.22'!E29</f>
        <v>1178</v>
      </c>
      <c r="N50" s="702"/>
      <c r="O50" s="702"/>
      <c r="P50" s="702"/>
      <c r="Q50" s="738"/>
      <c r="R50" s="738"/>
      <c r="S50" s="738"/>
      <c r="T50" s="738">
        <f>'5.19.22'!E28</f>
        <v>1311</v>
      </c>
      <c r="U50" s="738"/>
      <c r="V50" s="738"/>
      <c r="W50" s="738"/>
      <c r="X50" s="252"/>
      <c r="Y50" s="252">
        <f>'5.24.22'!E28</f>
        <v>1586.5</v>
      </c>
      <c r="Z50" s="252"/>
      <c r="AA50" s="252"/>
      <c r="AB50" s="252"/>
      <c r="AC50" s="870"/>
      <c r="AD50" s="870"/>
      <c r="AE50" s="252"/>
      <c r="AF50" s="252"/>
      <c r="AG50" s="252"/>
      <c r="AH50" s="252"/>
      <c r="AI50" s="252"/>
      <c r="AJ50" s="252"/>
      <c r="AK50" s="252"/>
      <c r="AL50" s="252"/>
      <c r="AM50" s="252"/>
      <c r="AN50" s="522">
        <f t="shared" si="0"/>
        <v>6764</v>
      </c>
      <c r="AO50" s="522">
        <f t="shared" si="2"/>
        <v>93236</v>
      </c>
      <c r="AP50" s="777"/>
      <c r="AQ50" s="515" t="s">
        <v>205</v>
      </c>
      <c r="AR50" s="865">
        <v>27290</v>
      </c>
      <c r="AS50" s="234">
        <f t="shared" si="1"/>
        <v>34054</v>
      </c>
    </row>
    <row r="51" spans="1:56" ht="13.9" customHeight="1" thickBot="1">
      <c r="A51" s="46" t="s">
        <v>24</v>
      </c>
      <c r="B51" s="530">
        <f t="shared" ref="B51:AD51" si="4">SUM(B3:B50)</f>
        <v>25441</v>
      </c>
      <c r="C51" s="530">
        <f t="shared" si="4"/>
        <v>28272</v>
      </c>
      <c r="D51" s="530">
        <f t="shared" si="4"/>
        <v>27227</v>
      </c>
      <c r="E51" s="530">
        <f t="shared" si="4"/>
        <v>23313</v>
      </c>
      <c r="F51" s="530">
        <f t="shared" si="4"/>
        <v>22391.5</v>
      </c>
      <c r="G51" s="530">
        <f t="shared" si="4"/>
        <v>21878.5</v>
      </c>
      <c r="H51" s="773">
        <f t="shared" si="4"/>
        <v>0</v>
      </c>
      <c r="I51" s="773">
        <f t="shared" si="4"/>
        <v>0</v>
      </c>
      <c r="J51" s="530">
        <f t="shared" si="4"/>
        <v>17879</v>
      </c>
      <c r="K51" s="530">
        <f t="shared" si="4"/>
        <v>26305.5</v>
      </c>
      <c r="L51" s="530">
        <f t="shared" si="4"/>
        <v>16995.5</v>
      </c>
      <c r="M51" s="530">
        <f t="shared" si="4"/>
        <v>24405.5</v>
      </c>
      <c r="N51" s="530">
        <f t="shared" si="4"/>
        <v>22705</v>
      </c>
      <c r="O51" s="530">
        <f t="shared" si="4"/>
        <v>17622.5</v>
      </c>
      <c r="P51" s="530">
        <f t="shared" si="4"/>
        <v>22572</v>
      </c>
      <c r="Q51" s="530">
        <f t="shared" si="4"/>
        <v>22629</v>
      </c>
      <c r="R51" s="530">
        <f t="shared" si="4"/>
        <v>22325</v>
      </c>
      <c r="S51" s="530">
        <f t="shared" si="4"/>
        <v>24177.5</v>
      </c>
      <c r="T51" s="530">
        <f>SUM(T3:T50)</f>
        <v>25574</v>
      </c>
      <c r="U51" s="530">
        <f t="shared" si="4"/>
        <v>18762.5</v>
      </c>
      <c r="V51" s="530">
        <f t="shared" si="4"/>
        <v>21764.5</v>
      </c>
      <c r="W51" s="530">
        <f t="shared" si="4"/>
        <v>21413</v>
      </c>
      <c r="X51" s="530">
        <f t="shared" si="4"/>
        <v>21251.5</v>
      </c>
      <c r="Y51" s="530">
        <f t="shared" si="4"/>
        <v>26239</v>
      </c>
      <c r="Z51" s="530">
        <f t="shared" si="4"/>
        <v>17575</v>
      </c>
      <c r="AA51" s="530">
        <f t="shared" si="4"/>
        <v>30086.5</v>
      </c>
      <c r="AB51" s="530">
        <f t="shared" si="4"/>
        <v>21546</v>
      </c>
      <c r="AC51" s="871">
        <f t="shared" si="4"/>
        <v>0</v>
      </c>
      <c r="AD51" s="871">
        <f t="shared" si="4"/>
        <v>0</v>
      </c>
      <c r="AE51" s="530"/>
      <c r="AF51" s="530"/>
      <c r="AG51" s="530"/>
      <c r="AH51" s="530"/>
      <c r="AI51" s="530"/>
      <c r="AJ51" s="530"/>
      <c r="AK51" s="530"/>
      <c r="AL51" s="530"/>
      <c r="AM51" s="530"/>
      <c r="AN51" s="55">
        <f>SUM(AN3:AN50)</f>
        <v>570351.5</v>
      </c>
      <c r="AO51" s="55">
        <f>SUM(AO3:AO50)</f>
        <v>13322648.5</v>
      </c>
      <c r="AP51" s="778"/>
      <c r="AR51" s="865">
        <f>SUM(AR3:AR50)</f>
        <v>3526350</v>
      </c>
      <c r="AS51" s="234">
        <f>SUM(AS3:AS50)</f>
        <v>4096701.5</v>
      </c>
      <c r="AT51" s="316"/>
    </row>
    <row r="52" spans="1:56" ht="12" customHeight="1" thickTop="1">
      <c r="A52" s="198" t="s">
        <v>85</v>
      </c>
      <c r="B52" s="241">
        <v>25441</v>
      </c>
      <c r="C52" s="241">
        <f>'5.2.22'!E38</f>
        <v>28272</v>
      </c>
      <c r="D52" s="241">
        <v>27227</v>
      </c>
      <c r="E52" s="241">
        <v>23313</v>
      </c>
      <c r="F52" s="241">
        <f>'5.5.22'!E38</f>
        <v>22391.5</v>
      </c>
      <c r="G52" s="241">
        <f>'5.6.22'!E38</f>
        <v>21878.5</v>
      </c>
      <c r="H52" s="241"/>
      <c r="I52" s="241"/>
      <c r="J52" s="241">
        <v>17879</v>
      </c>
      <c r="K52" s="241">
        <f>'5.10.22'!E38</f>
        <v>26305.5</v>
      </c>
      <c r="L52" s="241">
        <f>'5.11.22'!E38</f>
        <v>16995.5</v>
      </c>
      <c r="M52" s="241">
        <f>'5.12.22'!E38</f>
        <v>24405.5</v>
      </c>
      <c r="N52" s="241">
        <v>22705</v>
      </c>
      <c r="O52" s="241">
        <v>17622.5</v>
      </c>
      <c r="P52" s="241">
        <v>22572</v>
      </c>
      <c r="Q52" s="241">
        <v>22629</v>
      </c>
      <c r="R52" s="241">
        <v>22325</v>
      </c>
      <c r="S52" s="241">
        <f>'5.18.22'!E38</f>
        <v>24177.5</v>
      </c>
      <c r="T52" s="241">
        <v>25574</v>
      </c>
      <c r="U52" s="241">
        <f>'5.20.22'!E38</f>
        <v>18762.5</v>
      </c>
      <c r="V52" s="241">
        <f>'5.21.22'!E38</f>
        <v>21764.5</v>
      </c>
      <c r="W52" s="241">
        <v>21413</v>
      </c>
      <c r="X52" s="241">
        <f>'5.23.22'!E38</f>
        <v>21251.5</v>
      </c>
      <c r="Y52" s="241">
        <v>26239</v>
      </c>
      <c r="Z52" s="241">
        <v>17575</v>
      </c>
      <c r="AA52" s="241">
        <f>'5.26.22'!E38</f>
        <v>30086.5</v>
      </c>
      <c r="AB52" s="241">
        <v>21546</v>
      </c>
      <c r="AC52" s="241"/>
      <c r="AD52" s="241"/>
      <c r="AE52" s="241"/>
      <c r="AF52" s="241"/>
      <c r="AG52" s="241"/>
      <c r="AH52" s="241"/>
      <c r="AI52" s="241"/>
      <c r="AJ52" s="241"/>
      <c r="AK52" s="241"/>
      <c r="AL52" s="241"/>
      <c r="AM52" s="241"/>
      <c r="AN52" s="197"/>
      <c r="AO52" s="57"/>
      <c r="AP52" s="779"/>
      <c r="AQ52" s="521"/>
      <c r="AR52" s="521"/>
    </row>
    <row r="53" spans="1:56" ht="12" customHeight="1">
      <c r="A53" s="198" t="s">
        <v>86</v>
      </c>
      <c r="B53" s="242">
        <f t="shared" ref="B53:AD53" si="5">B51-B52</f>
        <v>0</v>
      </c>
      <c r="C53" s="242">
        <f t="shared" si="5"/>
        <v>0</v>
      </c>
      <c r="D53" s="242">
        <f t="shared" si="5"/>
        <v>0</v>
      </c>
      <c r="E53" s="242">
        <f t="shared" si="5"/>
        <v>0</v>
      </c>
      <c r="F53" s="242">
        <f t="shared" si="5"/>
        <v>0</v>
      </c>
      <c r="G53" s="242">
        <f t="shared" si="5"/>
        <v>0</v>
      </c>
      <c r="H53" s="242">
        <f t="shared" si="5"/>
        <v>0</v>
      </c>
      <c r="I53" s="242">
        <f t="shared" si="5"/>
        <v>0</v>
      </c>
      <c r="J53" s="242">
        <f t="shared" si="5"/>
        <v>0</v>
      </c>
      <c r="K53" s="242">
        <f t="shared" si="5"/>
        <v>0</v>
      </c>
      <c r="L53" s="242">
        <f t="shared" si="5"/>
        <v>0</v>
      </c>
      <c r="M53" s="242">
        <f t="shared" si="5"/>
        <v>0</v>
      </c>
      <c r="N53" s="242">
        <f t="shared" si="5"/>
        <v>0</v>
      </c>
      <c r="O53" s="242">
        <f t="shared" si="5"/>
        <v>0</v>
      </c>
      <c r="P53" s="242">
        <f t="shared" si="5"/>
        <v>0</v>
      </c>
      <c r="Q53" s="242">
        <f t="shared" si="5"/>
        <v>0</v>
      </c>
      <c r="R53" s="242">
        <f t="shared" si="5"/>
        <v>0</v>
      </c>
      <c r="S53" s="242">
        <f t="shared" si="5"/>
        <v>0</v>
      </c>
      <c r="T53" s="242">
        <f t="shared" si="5"/>
        <v>0</v>
      </c>
      <c r="U53" s="242">
        <f t="shared" si="5"/>
        <v>0</v>
      </c>
      <c r="V53" s="242">
        <f t="shared" si="5"/>
        <v>0</v>
      </c>
      <c r="W53" s="242">
        <f t="shared" si="5"/>
        <v>0</v>
      </c>
      <c r="X53" s="242">
        <f t="shared" si="5"/>
        <v>0</v>
      </c>
      <c r="Y53" s="242">
        <f t="shared" si="5"/>
        <v>0</v>
      </c>
      <c r="Z53" s="242">
        <f t="shared" si="5"/>
        <v>0</v>
      </c>
      <c r="AA53" s="242">
        <f t="shared" si="5"/>
        <v>0</v>
      </c>
      <c r="AB53" s="242">
        <f t="shared" si="5"/>
        <v>0</v>
      </c>
      <c r="AC53" s="242">
        <f t="shared" si="5"/>
        <v>0</v>
      </c>
      <c r="AD53" s="242">
        <f t="shared" si="5"/>
        <v>0</v>
      </c>
      <c r="AE53" s="242">
        <f t="shared" ref="AE53:AM53" si="6">AE51-AE52</f>
        <v>0</v>
      </c>
      <c r="AF53" s="242">
        <f t="shared" si="6"/>
        <v>0</v>
      </c>
      <c r="AG53" s="242">
        <f t="shared" si="6"/>
        <v>0</v>
      </c>
      <c r="AH53" s="242">
        <f t="shared" si="6"/>
        <v>0</v>
      </c>
      <c r="AI53" s="242">
        <f t="shared" si="6"/>
        <v>0</v>
      </c>
      <c r="AJ53" s="242">
        <f t="shared" si="6"/>
        <v>0</v>
      </c>
      <c r="AK53" s="242">
        <f t="shared" si="6"/>
        <v>0</v>
      </c>
      <c r="AL53" s="242">
        <f t="shared" si="6"/>
        <v>0</v>
      </c>
      <c r="AM53" s="242">
        <f t="shared" si="6"/>
        <v>0</v>
      </c>
      <c r="AN53" s="233"/>
      <c r="AO53" s="199"/>
      <c r="AP53" s="780"/>
      <c r="AR53" s="316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</row>
    <row r="54" spans="1:56">
      <c r="H54" s="830" t="s">
        <v>296</v>
      </c>
    </row>
    <row r="55" spans="1:56">
      <c r="H55" s="830" t="s">
        <v>297</v>
      </c>
      <c r="AN55" s="234"/>
      <c r="AQ55" s="199"/>
      <c r="AR55" s="199"/>
    </row>
    <row r="57" spans="1:56">
      <c r="A57" s="188"/>
    </row>
    <row r="58" spans="1:56">
      <c r="A58" s="188"/>
    </row>
  </sheetData>
  <mergeCells count="3">
    <mergeCell ref="A1:A2"/>
    <mergeCell ref="AN1:AN2"/>
    <mergeCell ref="AO1:AO2"/>
  </mergeCells>
  <conditionalFormatting sqref="AO20:AP22 AO29:AP29 AO32:AP32 AO47:AP47 AO40:AP42 AO16:AP17 AO26:AP26 AO50:AP50 AO5:AP7 AO9:AP9 AO34:AP37 AO11:AP13">
    <cfRule type="cellIs" dxfId="1025" priority="66" operator="lessThan">
      <formula>20000</formula>
    </cfRule>
    <cfRule type="cellIs" dxfId="1024" priority="67" operator="lessThan">
      <formula>25000</formula>
    </cfRule>
    <cfRule type="cellIs" dxfId="1023" priority="68" operator="lessThan">
      <formula>50000</formula>
    </cfRule>
  </conditionalFormatting>
  <conditionalFormatting sqref="AO18:AP18">
    <cfRule type="cellIs" dxfId="1022" priority="63" operator="lessThan">
      <formula>20000</formula>
    </cfRule>
    <cfRule type="cellIs" dxfId="1021" priority="64" operator="lessThan">
      <formula>25000</formula>
    </cfRule>
    <cfRule type="cellIs" dxfId="1020" priority="65" operator="lessThan">
      <formula>50000</formula>
    </cfRule>
  </conditionalFormatting>
  <conditionalFormatting sqref="AO27:AP27">
    <cfRule type="cellIs" dxfId="1019" priority="60" operator="lessThan">
      <formula>20000</formula>
    </cfRule>
    <cfRule type="cellIs" dxfId="1018" priority="61" operator="lessThan">
      <formula>25000</formula>
    </cfRule>
    <cfRule type="cellIs" dxfId="1017" priority="62" operator="lessThan">
      <formula>50000</formula>
    </cfRule>
  </conditionalFormatting>
  <conditionalFormatting sqref="AO30:AP30">
    <cfRule type="cellIs" dxfId="1016" priority="57" operator="lessThan">
      <formula>20000</formula>
    </cfRule>
    <cfRule type="cellIs" dxfId="1015" priority="58" operator="lessThan">
      <formula>25000</formula>
    </cfRule>
    <cfRule type="cellIs" dxfId="1014" priority="59" operator="lessThan">
      <formula>50000</formula>
    </cfRule>
  </conditionalFormatting>
  <conditionalFormatting sqref="AO39:AP39">
    <cfRule type="cellIs" dxfId="1013" priority="54" operator="lessThan">
      <formula>20000</formula>
    </cfRule>
    <cfRule type="cellIs" dxfId="1012" priority="55" operator="lessThan">
      <formula>25000</formula>
    </cfRule>
    <cfRule type="cellIs" dxfId="1011" priority="56" operator="lessThan">
      <formula>50000</formula>
    </cfRule>
  </conditionalFormatting>
  <conditionalFormatting sqref="AO44:AP44">
    <cfRule type="cellIs" dxfId="1010" priority="51" operator="lessThan">
      <formula>20000</formula>
    </cfRule>
    <cfRule type="cellIs" dxfId="1009" priority="52" operator="lessThan">
      <formula>25000</formula>
    </cfRule>
    <cfRule type="cellIs" dxfId="1008" priority="53" operator="lessThan">
      <formula>50000</formula>
    </cfRule>
  </conditionalFormatting>
  <conditionalFormatting sqref="AO38:AP38">
    <cfRule type="cellIs" dxfId="1007" priority="48" operator="lessThan">
      <formula>20000</formula>
    </cfRule>
    <cfRule type="cellIs" dxfId="1006" priority="49" operator="lessThan">
      <formula>25000</formula>
    </cfRule>
    <cfRule type="cellIs" dxfId="1005" priority="50" operator="lessThan">
      <formula>50000</formula>
    </cfRule>
  </conditionalFormatting>
  <conditionalFormatting sqref="AO4:AP4">
    <cfRule type="cellIs" dxfId="1004" priority="45" operator="lessThan">
      <formula>20000</formula>
    </cfRule>
    <cfRule type="cellIs" dxfId="1003" priority="46" operator="lessThan">
      <formula>25000</formula>
    </cfRule>
    <cfRule type="cellIs" dxfId="1002" priority="47" operator="lessThan">
      <formula>50000</formula>
    </cfRule>
  </conditionalFormatting>
  <conditionalFormatting sqref="AO43:AP43">
    <cfRule type="cellIs" dxfId="1001" priority="42" operator="lessThan">
      <formula>20000</formula>
    </cfRule>
    <cfRule type="cellIs" dxfId="1000" priority="43" operator="lessThan">
      <formula>25000</formula>
    </cfRule>
    <cfRule type="cellIs" dxfId="999" priority="44" operator="lessThan">
      <formula>50000</formula>
    </cfRule>
  </conditionalFormatting>
  <conditionalFormatting sqref="AO28:AP28">
    <cfRule type="cellIs" dxfId="998" priority="39" operator="lessThan">
      <formula>20000</formula>
    </cfRule>
    <cfRule type="cellIs" dxfId="997" priority="40" operator="lessThan">
      <formula>25000</formula>
    </cfRule>
    <cfRule type="cellIs" dxfId="996" priority="41" operator="lessThan">
      <formula>50000</formula>
    </cfRule>
  </conditionalFormatting>
  <conditionalFormatting sqref="AO3:AP3">
    <cfRule type="cellIs" dxfId="995" priority="36" operator="lessThan">
      <formula>20000</formula>
    </cfRule>
    <cfRule type="cellIs" dxfId="994" priority="37" operator="lessThan">
      <formula>25000</formula>
    </cfRule>
    <cfRule type="cellIs" dxfId="993" priority="38" operator="lessThan">
      <formula>50000</formula>
    </cfRule>
  </conditionalFormatting>
  <conditionalFormatting sqref="AO14:AP14">
    <cfRule type="cellIs" dxfId="992" priority="33" operator="lessThan">
      <formula>20000</formula>
    </cfRule>
    <cfRule type="cellIs" dxfId="991" priority="34" operator="lessThan">
      <formula>25000</formula>
    </cfRule>
    <cfRule type="cellIs" dxfId="990" priority="35" operator="lessThan">
      <formula>50000</formula>
    </cfRule>
  </conditionalFormatting>
  <conditionalFormatting sqref="AO23:AP24">
    <cfRule type="cellIs" dxfId="989" priority="30" operator="lessThan">
      <formula>20000</formula>
    </cfRule>
    <cfRule type="cellIs" dxfId="988" priority="31" operator="lessThan">
      <formula>25000</formula>
    </cfRule>
    <cfRule type="cellIs" dxfId="987" priority="32" operator="lessThan">
      <formula>50000</formula>
    </cfRule>
  </conditionalFormatting>
  <conditionalFormatting sqref="AO48:AP49">
    <cfRule type="cellIs" dxfId="986" priority="27" operator="lessThan">
      <formula>20000</formula>
    </cfRule>
    <cfRule type="cellIs" dxfId="985" priority="28" operator="lessThan">
      <formula>25000</formula>
    </cfRule>
    <cfRule type="cellIs" dxfId="984" priority="29" operator="lessThan">
      <formula>50000</formula>
    </cfRule>
  </conditionalFormatting>
  <conditionalFormatting sqref="AO19:AP19">
    <cfRule type="cellIs" dxfId="983" priority="24" operator="lessThan">
      <formula>20000</formula>
    </cfRule>
    <cfRule type="cellIs" dxfId="982" priority="25" operator="lessThan">
      <formula>25000</formula>
    </cfRule>
    <cfRule type="cellIs" dxfId="981" priority="26" operator="lessThan">
      <formula>50000</formula>
    </cfRule>
  </conditionalFormatting>
  <conditionalFormatting sqref="AO8:AP8">
    <cfRule type="cellIs" dxfId="980" priority="21" operator="lessThan">
      <formula>20000</formula>
    </cfRule>
    <cfRule type="cellIs" dxfId="979" priority="22" operator="lessThan">
      <formula>25000</formula>
    </cfRule>
    <cfRule type="cellIs" dxfId="978" priority="23" operator="lessThan">
      <formula>50000</formula>
    </cfRule>
  </conditionalFormatting>
  <conditionalFormatting sqref="AO45:AP46">
    <cfRule type="cellIs" dxfId="977" priority="18" operator="lessThan">
      <formula>20000</formula>
    </cfRule>
    <cfRule type="cellIs" dxfId="976" priority="19" operator="lessThan">
      <formula>25000</formula>
    </cfRule>
    <cfRule type="cellIs" dxfId="975" priority="20" operator="lessThan">
      <formula>50000</formula>
    </cfRule>
  </conditionalFormatting>
  <conditionalFormatting sqref="AO31:AP31">
    <cfRule type="cellIs" dxfId="974" priority="15" operator="lessThan">
      <formula>20000</formula>
    </cfRule>
    <cfRule type="cellIs" dxfId="973" priority="16" operator="lessThan">
      <formula>25000</formula>
    </cfRule>
    <cfRule type="cellIs" dxfId="972" priority="17" operator="lessThan">
      <formula>50000</formula>
    </cfRule>
  </conditionalFormatting>
  <conditionalFormatting sqref="AO15:AP15">
    <cfRule type="cellIs" dxfId="971" priority="12" operator="lessThan">
      <formula>20000</formula>
    </cfRule>
    <cfRule type="cellIs" dxfId="970" priority="13" operator="lessThan">
      <formula>25000</formula>
    </cfRule>
    <cfRule type="cellIs" dxfId="969" priority="14" operator="lessThan">
      <formula>50000</formula>
    </cfRule>
  </conditionalFormatting>
  <conditionalFormatting sqref="AO33:AP33">
    <cfRule type="cellIs" dxfId="968" priority="9" operator="lessThan">
      <formula>20000</formula>
    </cfRule>
    <cfRule type="cellIs" dxfId="967" priority="10" operator="lessThan">
      <formula>25000</formula>
    </cfRule>
    <cfRule type="cellIs" dxfId="966" priority="11" operator="lessThan">
      <formula>50000</formula>
    </cfRule>
  </conditionalFormatting>
  <conditionalFormatting sqref="AO10:AP10">
    <cfRule type="cellIs" dxfId="965" priority="6" operator="lessThan">
      <formula>20000</formula>
    </cfRule>
    <cfRule type="cellIs" dxfId="964" priority="7" operator="lessThan">
      <formula>25000</formula>
    </cfRule>
    <cfRule type="cellIs" dxfId="963" priority="8" operator="lessThan">
      <formula>50000</formula>
    </cfRule>
  </conditionalFormatting>
  <conditionalFormatting sqref="B53:AM53">
    <cfRule type="cellIs" dxfId="962" priority="4" operator="lessThan">
      <formula>0</formula>
    </cfRule>
    <cfRule type="cellIs" dxfId="961" priority="5" operator="greaterThan">
      <formula>0</formula>
    </cfRule>
  </conditionalFormatting>
  <conditionalFormatting sqref="AO25:AP25">
    <cfRule type="cellIs" dxfId="960" priority="1" operator="lessThan">
      <formula>20000</formula>
    </cfRule>
    <cfRule type="cellIs" dxfId="959" priority="2" operator="lessThan">
      <formula>25000</formula>
    </cfRule>
    <cfRule type="cellIs" dxfId="958" priority="3" operator="lessThan">
      <formula>50000</formula>
    </cfRule>
  </conditionalFormatting>
  <pageMargins left="0.7" right="0.7" top="0.75" bottom="0.75" header="0.3" footer="0.3"/>
  <pageSetup paperSize="17" scale="98" fitToWidth="2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64AAA-A727-4A92-A1CF-79FA26204390}">
  <sheetPr codeName="Sheet349">
    <pageSetUpPr fitToPage="1"/>
  </sheetPr>
  <dimension ref="A1:CM58"/>
  <sheetViews>
    <sheetView workbookViewId="0">
      <selection sqref="A1:A2"/>
    </sheetView>
  </sheetViews>
  <sheetFormatPr defaultColWidth="8.85546875" defaultRowHeight="15"/>
  <cols>
    <col min="1" max="1" width="21.85546875" style="659" bestFit="1" customWidth="1"/>
    <col min="2" max="3" width="8.28515625" style="659" customWidth="1"/>
    <col min="4" max="6" width="8.5703125" style="659" customWidth="1"/>
    <col min="7" max="7" width="8.42578125" style="659" customWidth="1"/>
    <col min="8" max="8" width="8.5703125" style="659" customWidth="1"/>
    <col min="9" max="14" width="8.28515625" style="659" customWidth="1"/>
    <col min="15" max="16" width="8.42578125" style="659" customWidth="1"/>
    <col min="17" max="17" width="8.5703125" style="659" customWidth="1"/>
    <col min="18" max="20" width="8.42578125" style="659" customWidth="1"/>
    <col min="21" max="22" width="8.28515625" style="659" customWidth="1"/>
    <col min="23" max="25" width="8.42578125" style="659" customWidth="1"/>
    <col min="26" max="29" width="8.5703125" style="659" bestFit="1" customWidth="1"/>
    <col min="30" max="30" width="8.28515625" style="659" customWidth="1"/>
    <col min="31" max="31" width="8.5703125" style="659" bestFit="1" customWidth="1"/>
    <col min="32" max="75" width="8" style="659" hidden="1" customWidth="1"/>
    <col min="76" max="76" width="12.28515625" style="658" customWidth="1"/>
    <col min="77" max="77" width="18" style="658" customWidth="1"/>
    <col min="78" max="78" width="8.85546875" style="658"/>
    <col min="79" max="79" width="9.5703125" style="658" bestFit="1" customWidth="1"/>
    <col min="80" max="16384" width="8.85546875" style="658"/>
  </cols>
  <sheetData>
    <row r="1" spans="1:77">
      <c r="A1" s="1251" t="s">
        <v>77</v>
      </c>
      <c r="B1" s="250" t="s">
        <v>91</v>
      </c>
      <c r="C1" s="250" t="s">
        <v>92</v>
      </c>
      <c r="D1" s="250" t="s">
        <v>93</v>
      </c>
      <c r="E1" s="250" t="s">
        <v>87</v>
      </c>
      <c r="F1" s="250" t="s">
        <v>88</v>
      </c>
      <c r="G1" s="250" t="s">
        <v>89</v>
      </c>
      <c r="H1" s="250" t="s">
        <v>90</v>
      </c>
      <c r="I1" s="250" t="s">
        <v>91</v>
      </c>
      <c r="J1" s="250" t="s">
        <v>92</v>
      </c>
      <c r="K1" s="250" t="s">
        <v>93</v>
      </c>
      <c r="L1" s="250" t="s">
        <v>87</v>
      </c>
      <c r="M1" s="250" t="s">
        <v>88</v>
      </c>
      <c r="N1" s="250" t="s">
        <v>89</v>
      </c>
      <c r="O1" s="250" t="s">
        <v>90</v>
      </c>
      <c r="P1" s="250" t="s">
        <v>91</v>
      </c>
      <c r="Q1" s="250" t="s">
        <v>92</v>
      </c>
      <c r="R1" s="250" t="s">
        <v>93</v>
      </c>
      <c r="S1" s="250" t="s">
        <v>87</v>
      </c>
      <c r="T1" s="250" t="s">
        <v>88</v>
      </c>
      <c r="U1" s="250" t="s">
        <v>89</v>
      </c>
      <c r="V1" s="250" t="s">
        <v>90</v>
      </c>
      <c r="W1" s="250" t="s">
        <v>91</v>
      </c>
      <c r="X1" s="250" t="s">
        <v>92</v>
      </c>
      <c r="Y1" s="250" t="s">
        <v>93</v>
      </c>
      <c r="Z1" s="250" t="s">
        <v>87</v>
      </c>
      <c r="AA1" s="250" t="s">
        <v>88</v>
      </c>
      <c r="AB1" s="250" t="s">
        <v>89</v>
      </c>
      <c r="AC1" s="250" t="s">
        <v>90</v>
      </c>
      <c r="AD1" s="250" t="s">
        <v>91</v>
      </c>
      <c r="AE1" s="250" t="s">
        <v>92</v>
      </c>
      <c r="AF1" s="250" t="s">
        <v>93</v>
      </c>
      <c r="AG1" s="250" t="s">
        <v>87</v>
      </c>
      <c r="AH1" s="250" t="s">
        <v>88</v>
      </c>
      <c r="AI1" s="250" t="s">
        <v>89</v>
      </c>
      <c r="AJ1" s="250" t="s">
        <v>90</v>
      </c>
      <c r="AK1" s="250" t="s">
        <v>91</v>
      </c>
      <c r="AL1" s="250" t="s">
        <v>92</v>
      </c>
      <c r="AM1" s="250" t="s">
        <v>93</v>
      </c>
      <c r="AN1" s="250" t="s">
        <v>87</v>
      </c>
      <c r="AO1" s="250" t="s">
        <v>88</v>
      </c>
      <c r="AP1" s="250" t="s">
        <v>89</v>
      </c>
      <c r="AQ1" s="250" t="s">
        <v>90</v>
      </c>
      <c r="AR1" s="250" t="s">
        <v>91</v>
      </c>
      <c r="AS1" s="250" t="s">
        <v>92</v>
      </c>
      <c r="AT1" s="250" t="s">
        <v>93</v>
      </c>
      <c r="AU1" s="250" t="s">
        <v>87</v>
      </c>
      <c r="AV1" s="250" t="s">
        <v>88</v>
      </c>
      <c r="AW1" s="250" t="s">
        <v>89</v>
      </c>
      <c r="AX1" s="250" t="s">
        <v>90</v>
      </c>
      <c r="AY1" s="250" t="s">
        <v>91</v>
      </c>
      <c r="AZ1" s="250" t="s">
        <v>92</v>
      </c>
      <c r="BA1" s="250" t="s">
        <v>93</v>
      </c>
      <c r="BB1" s="250" t="s">
        <v>87</v>
      </c>
      <c r="BC1" s="250" t="s">
        <v>88</v>
      </c>
      <c r="BD1" s="250" t="s">
        <v>89</v>
      </c>
      <c r="BE1" s="250" t="s">
        <v>90</v>
      </c>
      <c r="BF1" s="250" t="s">
        <v>91</v>
      </c>
      <c r="BG1" s="250" t="s">
        <v>92</v>
      </c>
      <c r="BH1" s="250" t="s">
        <v>93</v>
      </c>
      <c r="BI1" s="250" t="s">
        <v>87</v>
      </c>
      <c r="BJ1" s="250" t="s">
        <v>88</v>
      </c>
      <c r="BK1" s="250" t="s">
        <v>89</v>
      </c>
      <c r="BL1" s="250" t="s">
        <v>90</v>
      </c>
      <c r="BM1" s="250" t="s">
        <v>91</v>
      </c>
      <c r="BN1" s="250" t="s">
        <v>92</v>
      </c>
      <c r="BO1" s="250" t="s">
        <v>93</v>
      </c>
      <c r="BP1" s="250" t="s">
        <v>87</v>
      </c>
      <c r="BQ1" s="250" t="s">
        <v>88</v>
      </c>
      <c r="BR1" s="250" t="s">
        <v>89</v>
      </c>
      <c r="BS1" s="250" t="s">
        <v>90</v>
      </c>
      <c r="BT1" s="250" t="s">
        <v>91</v>
      </c>
      <c r="BU1" s="250" t="s">
        <v>92</v>
      </c>
      <c r="BV1" s="250" t="s">
        <v>93</v>
      </c>
      <c r="BW1" s="250" t="s">
        <v>87</v>
      </c>
      <c r="BX1" s="1253" t="s">
        <v>31</v>
      </c>
      <c r="BY1" s="1282" t="s">
        <v>190</v>
      </c>
    </row>
    <row r="2" spans="1:77" ht="15.75" thickBot="1">
      <c r="A2" s="1280"/>
      <c r="B2" s="251">
        <v>44652</v>
      </c>
      <c r="C2" s="251">
        <v>44653</v>
      </c>
      <c r="D2" s="251">
        <v>44654</v>
      </c>
      <c r="E2" s="251">
        <v>44655</v>
      </c>
      <c r="F2" s="251">
        <v>44656</v>
      </c>
      <c r="G2" s="251">
        <v>44657</v>
      </c>
      <c r="H2" s="251">
        <v>44658</v>
      </c>
      <c r="I2" s="251">
        <v>44659</v>
      </c>
      <c r="J2" s="251">
        <v>44660</v>
      </c>
      <c r="K2" s="251">
        <v>44661</v>
      </c>
      <c r="L2" s="251">
        <v>44662</v>
      </c>
      <c r="M2" s="251">
        <v>44663</v>
      </c>
      <c r="N2" s="251">
        <v>44664</v>
      </c>
      <c r="O2" s="251">
        <v>44665</v>
      </c>
      <c r="P2" s="251">
        <v>44666</v>
      </c>
      <c r="Q2" s="251">
        <v>44667</v>
      </c>
      <c r="R2" s="251">
        <v>44668</v>
      </c>
      <c r="S2" s="251">
        <v>44669</v>
      </c>
      <c r="T2" s="251">
        <v>44670</v>
      </c>
      <c r="U2" s="251">
        <v>44671</v>
      </c>
      <c r="V2" s="251">
        <v>44672</v>
      </c>
      <c r="W2" s="251">
        <v>44673</v>
      </c>
      <c r="X2" s="251">
        <v>44674</v>
      </c>
      <c r="Y2" s="251">
        <v>44675</v>
      </c>
      <c r="Z2" s="251">
        <v>44676</v>
      </c>
      <c r="AA2" s="251">
        <v>44677</v>
      </c>
      <c r="AB2" s="251">
        <v>44678</v>
      </c>
      <c r="AC2" s="251">
        <v>44679</v>
      </c>
      <c r="AD2" s="251">
        <v>44680</v>
      </c>
      <c r="AE2" s="251">
        <v>44681</v>
      </c>
      <c r="AF2" s="251">
        <v>44682</v>
      </c>
      <c r="AG2" s="251">
        <v>44683</v>
      </c>
      <c r="AH2" s="251">
        <v>44684</v>
      </c>
      <c r="AI2" s="251">
        <v>44685</v>
      </c>
      <c r="AJ2" s="251">
        <v>44686</v>
      </c>
      <c r="AK2" s="251">
        <v>44687</v>
      </c>
      <c r="AL2" s="251">
        <v>44688</v>
      </c>
      <c r="AM2" s="251">
        <v>44689</v>
      </c>
      <c r="AN2" s="251">
        <v>44690</v>
      </c>
      <c r="AO2" s="251">
        <v>44691</v>
      </c>
      <c r="AP2" s="251">
        <v>44692</v>
      </c>
      <c r="AQ2" s="251">
        <v>44693</v>
      </c>
      <c r="AR2" s="251">
        <v>44694</v>
      </c>
      <c r="AS2" s="251">
        <v>44695</v>
      </c>
      <c r="AT2" s="251">
        <v>44696</v>
      </c>
      <c r="AU2" s="251">
        <v>44697</v>
      </c>
      <c r="AV2" s="251">
        <v>44698</v>
      </c>
      <c r="AW2" s="251">
        <v>44699</v>
      </c>
      <c r="AX2" s="251">
        <v>44700</v>
      </c>
      <c r="AY2" s="251">
        <v>44701</v>
      </c>
      <c r="AZ2" s="251">
        <v>44702</v>
      </c>
      <c r="BA2" s="251">
        <v>44703</v>
      </c>
      <c r="BB2" s="251">
        <v>44704</v>
      </c>
      <c r="BC2" s="251">
        <v>44705</v>
      </c>
      <c r="BD2" s="251">
        <v>44706</v>
      </c>
      <c r="BE2" s="251">
        <v>44707</v>
      </c>
      <c r="BF2" s="251">
        <v>44708</v>
      </c>
      <c r="BG2" s="251">
        <v>44709</v>
      </c>
      <c r="BH2" s="251">
        <v>44710</v>
      </c>
      <c r="BI2" s="251">
        <v>44711</v>
      </c>
      <c r="BJ2" s="251">
        <v>44712</v>
      </c>
      <c r="BK2" s="251">
        <v>44713</v>
      </c>
      <c r="BL2" s="251">
        <v>44714</v>
      </c>
      <c r="BM2" s="251">
        <v>44715</v>
      </c>
      <c r="BN2" s="251">
        <v>44716</v>
      </c>
      <c r="BO2" s="251">
        <v>44717</v>
      </c>
      <c r="BP2" s="251">
        <v>44718</v>
      </c>
      <c r="BQ2" s="251">
        <v>44719</v>
      </c>
      <c r="BR2" s="251">
        <v>44720</v>
      </c>
      <c r="BS2" s="251">
        <v>44721</v>
      </c>
      <c r="BT2" s="251">
        <v>44722</v>
      </c>
      <c r="BU2" s="251">
        <v>44723</v>
      </c>
      <c r="BV2" s="251">
        <v>44724</v>
      </c>
      <c r="BW2" s="251">
        <v>44725</v>
      </c>
      <c r="BX2" s="1281"/>
      <c r="BY2" s="1283"/>
    </row>
    <row r="3" spans="1:77" ht="10.15" customHeight="1">
      <c r="A3" s="194" t="s">
        <v>185</v>
      </c>
      <c r="B3" s="512"/>
      <c r="C3" s="512"/>
      <c r="D3" s="512"/>
      <c r="E3" s="638"/>
      <c r="F3" s="638"/>
      <c r="G3" s="638"/>
      <c r="H3" s="638"/>
      <c r="I3" s="638"/>
      <c r="J3" s="638">
        <f>'4.9.22'!E18+'4.9.22'!E29</f>
        <v>11827.5</v>
      </c>
      <c r="K3" s="638">
        <v>0</v>
      </c>
      <c r="L3" s="700"/>
      <c r="M3" s="701">
        <f>'4.12.22'!E18</f>
        <v>7438.5</v>
      </c>
      <c r="N3" s="700"/>
      <c r="O3" s="701">
        <f>'4.14.22'!E18</f>
        <v>7410</v>
      </c>
      <c r="P3" s="701"/>
      <c r="Q3" s="701">
        <f>'4.16.22'!E22</f>
        <v>8322</v>
      </c>
      <c r="R3" s="701"/>
      <c r="S3" s="736"/>
      <c r="T3" s="736"/>
      <c r="U3" s="736"/>
      <c r="V3" s="736">
        <f>'4.21.22'!E19</f>
        <v>7410</v>
      </c>
      <c r="W3" s="736"/>
      <c r="X3" s="736"/>
      <c r="Y3" s="736"/>
      <c r="Z3" s="512"/>
      <c r="AA3" s="512"/>
      <c r="AB3" s="512"/>
      <c r="AC3" s="512">
        <f>'4.28.22'!E21</f>
        <v>7419.5</v>
      </c>
      <c r="AD3" s="512"/>
      <c r="AE3" s="512">
        <f>'4.30.22'!E12+'4.30.22'!E21</f>
        <v>14392.5</v>
      </c>
      <c r="AF3" s="512">
        <v>0</v>
      </c>
      <c r="AG3" s="512">
        <v>0</v>
      </c>
      <c r="AH3" s="512">
        <v>0</v>
      </c>
      <c r="AI3" s="512">
        <v>0</v>
      </c>
      <c r="AJ3" s="512">
        <v>0</v>
      </c>
      <c r="AK3" s="512">
        <v>0</v>
      </c>
      <c r="AL3" s="523">
        <v>0</v>
      </c>
      <c r="AM3" s="523">
        <v>0</v>
      </c>
      <c r="AN3" s="523">
        <v>0</v>
      </c>
      <c r="AO3" s="523">
        <v>0</v>
      </c>
      <c r="AP3" s="523">
        <v>0</v>
      </c>
      <c r="AQ3" s="523">
        <v>0</v>
      </c>
      <c r="AR3" s="523">
        <v>0</v>
      </c>
      <c r="AS3" s="523">
        <v>0</v>
      </c>
      <c r="AT3" s="523">
        <v>0</v>
      </c>
      <c r="AU3" s="523">
        <v>0</v>
      </c>
      <c r="AV3" s="523">
        <v>0</v>
      </c>
      <c r="AW3" s="523">
        <v>0</v>
      </c>
      <c r="AX3" s="523">
        <v>0</v>
      </c>
      <c r="AY3" s="523">
        <v>0</v>
      </c>
      <c r="AZ3" s="523">
        <v>0</v>
      </c>
      <c r="BA3" s="523">
        <v>0</v>
      </c>
      <c r="BB3" s="523">
        <v>0</v>
      </c>
      <c r="BC3" s="523">
        <v>0</v>
      </c>
      <c r="BD3" s="523">
        <v>0</v>
      </c>
      <c r="BE3" s="523">
        <v>0</v>
      </c>
      <c r="BF3" s="523">
        <v>0</v>
      </c>
      <c r="BG3" s="523">
        <v>0</v>
      </c>
      <c r="BH3" s="523">
        <v>0</v>
      </c>
      <c r="BI3" s="523">
        <v>0</v>
      </c>
      <c r="BJ3" s="523">
        <v>0</v>
      </c>
      <c r="BK3" s="523"/>
      <c r="BL3" s="523"/>
      <c r="BM3" s="523"/>
      <c r="BN3" s="523"/>
      <c r="BO3" s="523"/>
      <c r="BP3" s="523"/>
      <c r="BQ3" s="523"/>
      <c r="BR3" s="523"/>
      <c r="BS3" s="523"/>
      <c r="BT3" s="523"/>
      <c r="BU3" s="523"/>
      <c r="BV3" s="523"/>
      <c r="BW3" s="523">
        <v>0</v>
      </c>
      <c r="BX3" s="189">
        <f t="shared" ref="BX3:BX50" si="0">SUM(B3:BW3)</f>
        <v>64220</v>
      </c>
      <c r="BY3" s="189">
        <f>449000-BX3+350000</f>
        <v>734780</v>
      </c>
    </row>
    <row r="4" spans="1:77" ht="10.15" customHeight="1">
      <c r="A4" s="194" t="s">
        <v>164</v>
      </c>
      <c r="B4" s="590"/>
      <c r="C4" s="590"/>
      <c r="D4" s="591">
        <f>'4.3.22'!E18</f>
        <v>4322.5</v>
      </c>
      <c r="E4" s="639"/>
      <c r="F4" s="639"/>
      <c r="G4" s="639"/>
      <c r="H4" s="639"/>
      <c r="I4" s="639"/>
      <c r="J4" s="639"/>
      <c r="K4" s="638">
        <f>'4.10.22'!E28</f>
        <v>3125.5</v>
      </c>
      <c r="L4" s="452"/>
      <c r="M4" s="452"/>
      <c r="N4" s="452"/>
      <c r="O4" s="452"/>
      <c r="P4" s="452"/>
      <c r="Q4" s="452"/>
      <c r="R4" s="452"/>
      <c r="S4" s="737"/>
      <c r="T4" s="737"/>
      <c r="U4" s="737"/>
      <c r="V4" s="737"/>
      <c r="W4" s="737"/>
      <c r="X4" s="737"/>
      <c r="Y4" s="737">
        <f>'4.24.22'!E28</f>
        <v>3334.5</v>
      </c>
      <c r="Z4" s="452"/>
      <c r="AA4" s="452"/>
      <c r="AB4" s="452"/>
      <c r="AC4" s="452"/>
      <c r="AD4" s="452"/>
      <c r="AE4" s="452"/>
      <c r="AF4" s="452"/>
      <c r="AG4" s="452"/>
      <c r="AH4" s="452"/>
      <c r="AI4" s="452"/>
      <c r="AJ4" s="452"/>
      <c r="AK4" s="452"/>
      <c r="AL4" s="452"/>
      <c r="AM4" s="452"/>
      <c r="AN4" s="452"/>
      <c r="AO4" s="452"/>
      <c r="AP4" s="452"/>
      <c r="AQ4" s="452"/>
      <c r="AR4" s="452"/>
      <c r="AS4" s="452"/>
      <c r="AT4" s="452"/>
      <c r="AU4" s="452"/>
      <c r="AV4" s="452"/>
      <c r="AW4" s="452"/>
      <c r="AX4" s="452"/>
      <c r="AY4" s="452"/>
      <c r="AZ4" s="452"/>
      <c r="BA4" s="452"/>
      <c r="BB4" s="452"/>
      <c r="BC4" s="452"/>
      <c r="BD4" s="452"/>
      <c r="BE4" s="452"/>
      <c r="BF4" s="452"/>
      <c r="BG4" s="452"/>
      <c r="BH4" s="452"/>
      <c r="BI4" s="452"/>
      <c r="BJ4" s="452"/>
      <c r="BK4" s="452"/>
      <c r="BL4" s="452"/>
      <c r="BM4" s="452"/>
      <c r="BN4" s="452"/>
      <c r="BO4" s="452"/>
      <c r="BP4" s="452"/>
      <c r="BQ4" s="452"/>
      <c r="BR4" s="452"/>
      <c r="BS4" s="452"/>
      <c r="BT4" s="452"/>
      <c r="BU4" s="452"/>
      <c r="BV4" s="452"/>
      <c r="BW4" s="452"/>
      <c r="BX4" s="189">
        <f t="shared" si="0"/>
        <v>10782.5</v>
      </c>
      <c r="BY4" s="189">
        <f>449000-BX4</f>
        <v>438217.5</v>
      </c>
    </row>
    <row r="5" spans="1:77" ht="10.15" customHeight="1">
      <c r="A5" s="195" t="s">
        <v>51</v>
      </c>
      <c r="B5" s="252"/>
      <c r="C5" s="252"/>
      <c r="D5" s="252"/>
      <c r="E5" s="252"/>
      <c r="F5" s="252"/>
      <c r="G5" s="252"/>
      <c r="H5" s="252"/>
      <c r="I5" s="252"/>
      <c r="J5" s="252"/>
      <c r="K5" s="252"/>
      <c r="L5" s="252"/>
      <c r="M5" s="252"/>
      <c r="N5" s="252"/>
      <c r="O5" s="252"/>
      <c r="P5" s="252"/>
      <c r="Q5" s="252"/>
      <c r="R5" s="252"/>
      <c r="S5" s="738"/>
      <c r="T5" s="738"/>
      <c r="U5" s="738"/>
      <c r="V5" s="738"/>
      <c r="W5" s="738">
        <f>'4.22.22'!E21</f>
        <v>3923.5</v>
      </c>
      <c r="X5" s="738"/>
      <c r="Y5" s="738"/>
      <c r="Z5" s="252">
        <f>'4.25.22'!E22</f>
        <v>3562.5</v>
      </c>
      <c r="AA5" s="252"/>
      <c r="AB5" s="252"/>
      <c r="AC5" s="252"/>
      <c r="AD5" s="252"/>
      <c r="AE5" s="252"/>
      <c r="AF5" s="252"/>
      <c r="AG5" s="252"/>
      <c r="AH5" s="252"/>
      <c r="AI5" s="252"/>
      <c r="AJ5" s="252"/>
      <c r="AK5" s="252"/>
      <c r="AL5" s="252"/>
      <c r="AM5" s="252"/>
      <c r="AN5" s="252"/>
      <c r="AO5" s="252"/>
      <c r="AP5" s="252"/>
      <c r="AQ5" s="252"/>
      <c r="AR5" s="252"/>
      <c r="AS5" s="252"/>
      <c r="AT5" s="252"/>
      <c r="AU5" s="252"/>
      <c r="AV5" s="252"/>
      <c r="AW5" s="252"/>
      <c r="AX5" s="252"/>
      <c r="AY5" s="252"/>
      <c r="AZ5" s="252"/>
      <c r="BA5" s="252"/>
      <c r="BB5" s="252"/>
      <c r="BC5" s="252"/>
      <c r="BD5" s="252"/>
      <c r="BE5" s="252"/>
      <c r="BF5" s="252"/>
      <c r="BG5" s="252"/>
      <c r="BH5" s="252"/>
      <c r="BI5" s="252"/>
      <c r="BJ5" s="252"/>
      <c r="BK5" s="252"/>
      <c r="BL5" s="252"/>
      <c r="BM5" s="252"/>
      <c r="BN5" s="252"/>
      <c r="BO5" s="252"/>
      <c r="BP5" s="252"/>
      <c r="BQ5" s="252"/>
      <c r="BR5" s="252"/>
      <c r="BS5" s="252"/>
      <c r="BT5" s="252"/>
      <c r="BU5" s="252"/>
      <c r="BV5" s="252"/>
      <c r="BW5" s="252"/>
      <c r="BX5" s="685">
        <f t="shared" si="0"/>
        <v>7486</v>
      </c>
      <c r="BY5" s="685">
        <f>100000-BX5+350000</f>
        <v>442514</v>
      </c>
    </row>
    <row r="6" spans="1:77" ht="10.15" customHeight="1">
      <c r="A6" s="195" t="s">
        <v>62</v>
      </c>
      <c r="B6" s="252"/>
      <c r="C6" s="252"/>
      <c r="D6" s="252"/>
      <c r="E6" s="640">
        <f>'4.4.22'!E19</f>
        <v>3144.5</v>
      </c>
      <c r="F6" s="640"/>
      <c r="G6" s="640"/>
      <c r="H6" s="640"/>
      <c r="I6" s="640"/>
      <c r="J6" s="640"/>
      <c r="K6" s="640"/>
      <c r="L6" s="252"/>
      <c r="M6" s="252"/>
      <c r="N6" s="252"/>
      <c r="O6" s="252"/>
      <c r="P6" s="252"/>
      <c r="Q6" s="252"/>
      <c r="R6" s="252"/>
      <c r="S6" s="738">
        <f>'4.18.22'!E19</f>
        <v>2878.5</v>
      </c>
      <c r="T6" s="738"/>
      <c r="U6" s="738"/>
      <c r="V6" s="738"/>
      <c r="W6" s="738"/>
      <c r="X6" s="738">
        <f>'4.23.22'!E30</f>
        <v>2755</v>
      </c>
      <c r="Y6" s="738"/>
      <c r="Z6" s="252"/>
      <c r="AA6" s="252"/>
      <c r="AB6" s="252"/>
      <c r="AC6" s="252"/>
      <c r="AD6" s="252">
        <f>'4.29.22'!E29</f>
        <v>2498.5</v>
      </c>
      <c r="AE6" s="252">
        <f>'4.30.22'!E28</f>
        <v>2622</v>
      </c>
      <c r="AF6" s="252"/>
      <c r="AG6" s="252"/>
      <c r="AH6" s="252"/>
      <c r="AI6" s="252"/>
      <c r="AJ6" s="252"/>
      <c r="AK6" s="252"/>
      <c r="AL6" s="252"/>
      <c r="AM6" s="252"/>
      <c r="AN6" s="252"/>
      <c r="AO6" s="252"/>
      <c r="AP6" s="252"/>
      <c r="AQ6" s="252"/>
      <c r="AR6" s="252"/>
      <c r="AS6" s="252"/>
      <c r="AT6" s="252"/>
      <c r="AU6" s="252"/>
      <c r="AV6" s="252"/>
      <c r="AW6" s="252"/>
      <c r="AX6" s="252"/>
      <c r="AY6" s="252"/>
      <c r="AZ6" s="252"/>
      <c r="BA6" s="252"/>
      <c r="BB6" s="252"/>
      <c r="BC6" s="252"/>
      <c r="BD6" s="252"/>
      <c r="BE6" s="252"/>
      <c r="BF6" s="252"/>
      <c r="BG6" s="252"/>
      <c r="BH6" s="252"/>
      <c r="BI6" s="252"/>
      <c r="BJ6" s="252"/>
      <c r="BK6" s="252"/>
      <c r="BL6" s="252"/>
      <c r="BM6" s="252"/>
      <c r="BN6" s="252"/>
      <c r="BO6" s="252"/>
      <c r="BP6" s="252"/>
      <c r="BQ6" s="252"/>
      <c r="BR6" s="252"/>
      <c r="BS6" s="252"/>
      <c r="BT6" s="252"/>
      <c r="BU6" s="252"/>
      <c r="BV6" s="252"/>
      <c r="BW6" s="252"/>
      <c r="BX6" s="685">
        <f t="shared" si="0"/>
        <v>13898.5</v>
      </c>
      <c r="BY6" s="685">
        <f>100000-BX6</f>
        <v>86101.5</v>
      </c>
    </row>
    <row r="7" spans="1:77" ht="10.15" customHeight="1">
      <c r="A7" s="195" t="s">
        <v>12</v>
      </c>
      <c r="B7" s="252"/>
      <c r="C7" s="252"/>
      <c r="D7" s="252"/>
      <c r="E7" s="252"/>
      <c r="F7" s="252"/>
      <c r="G7" s="252"/>
      <c r="H7" s="252"/>
      <c r="I7" s="252"/>
      <c r="J7" s="252"/>
      <c r="K7" s="252"/>
      <c r="L7" s="702"/>
      <c r="M7" s="702">
        <f>'4.12.22'!E21</f>
        <v>2118.5</v>
      </c>
      <c r="N7" s="702">
        <f>'4.13.22'!E30</f>
        <v>1738.5</v>
      </c>
      <c r="O7" s="702"/>
      <c r="P7" s="702"/>
      <c r="Q7" s="702"/>
      <c r="R7" s="702"/>
      <c r="S7" s="738"/>
      <c r="T7" s="738"/>
      <c r="U7" s="738">
        <f>'4.20.22'!E22</f>
        <v>2090</v>
      </c>
      <c r="V7" s="738"/>
      <c r="W7" s="738"/>
      <c r="X7" s="738"/>
      <c r="Y7" s="738"/>
      <c r="Z7" s="252"/>
      <c r="AA7" s="252">
        <f>'4.26.22'!E18</f>
        <v>2669.5</v>
      </c>
      <c r="AB7" s="252"/>
      <c r="AC7" s="252"/>
      <c r="AD7" s="252"/>
      <c r="AE7" s="252"/>
      <c r="AF7" s="252"/>
      <c r="AG7" s="252"/>
      <c r="AH7" s="252"/>
      <c r="AI7" s="252"/>
      <c r="AJ7" s="252"/>
      <c r="AK7" s="252"/>
      <c r="AL7" s="252"/>
      <c r="AM7" s="252"/>
      <c r="AN7" s="252"/>
      <c r="AO7" s="252"/>
      <c r="AP7" s="252"/>
      <c r="AQ7" s="252"/>
      <c r="AR7" s="252"/>
      <c r="AS7" s="252"/>
      <c r="AT7" s="252"/>
      <c r="AU7" s="252"/>
      <c r="AV7" s="252"/>
      <c r="AW7" s="252"/>
      <c r="AX7" s="252"/>
      <c r="AY7" s="252"/>
      <c r="AZ7" s="252"/>
      <c r="BA7" s="252"/>
      <c r="BB7" s="252"/>
      <c r="BC7" s="252"/>
      <c r="BD7" s="252"/>
      <c r="BE7" s="252"/>
      <c r="BF7" s="252"/>
      <c r="BG7" s="252"/>
      <c r="BH7" s="252"/>
      <c r="BI7" s="252"/>
      <c r="BJ7" s="252"/>
      <c r="BK7" s="252"/>
      <c r="BL7" s="252"/>
      <c r="BM7" s="252"/>
      <c r="BN7" s="252"/>
      <c r="BO7" s="252"/>
      <c r="BP7" s="252"/>
      <c r="BQ7" s="252"/>
      <c r="BR7" s="252"/>
      <c r="BS7" s="252"/>
      <c r="BT7" s="252"/>
      <c r="BU7" s="252"/>
      <c r="BV7" s="252"/>
      <c r="BW7" s="252"/>
      <c r="BX7" s="685">
        <f t="shared" si="0"/>
        <v>8616.5</v>
      </c>
      <c r="BY7" s="685">
        <f t="shared" ref="BY7:BY50" si="1">100000-BX7</f>
        <v>91383.5</v>
      </c>
    </row>
    <row r="8" spans="1:77" ht="10.15" customHeight="1">
      <c r="A8" s="195" t="s">
        <v>239</v>
      </c>
      <c r="B8" s="252"/>
      <c r="C8" s="252"/>
      <c r="D8" s="252"/>
      <c r="E8" s="640"/>
      <c r="F8" s="640">
        <f>'4.5.22'!E19</f>
        <v>3486.5</v>
      </c>
      <c r="G8" s="640"/>
      <c r="H8" s="640"/>
      <c r="I8" s="640"/>
      <c r="J8" s="640"/>
      <c r="K8" s="640"/>
      <c r="L8" s="702"/>
      <c r="M8" s="702">
        <f>'4.12.22'!E28</f>
        <v>1814.5</v>
      </c>
      <c r="N8" s="702"/>
      <c r="O8" s="702">
        <f>'4.14.22'!E22</f>
        <v>2878.5</v>
      </c>
      <c r="P8" s="702">
        <f>'4.15.22'!E22</f>
        <v>2147</v>
      </c>
      <c r="Q8" s="702"/>
      <c r="R8" s="702"/>
      <c r="S8" s="738">
        <f>'4.18.22'!E29</f>
        <v>2204</v>
      </c>
      <c r="T8" s="738"/>
      <c r="U8" s="738"/>
      <c r="V8" s="738"/>
      <c r="W8" s="738"/>
      <c r="X8" s="738"/>
      <c r="Y8" s="738"/>
      <c r="Z8" s="252"/>
      <c r="AA8" s="252">
        <f>'4.26.22'!E21</f>
        <v>2669.5</v>
      </c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  <c r="BK8" s="252"/>
      <c r="BL8" s="252"/>
      <c r="BM8" s="252"/>
      <c r="BN8" s="252"/>
      <c r="BO8" s="252"/>
      <c r="BP8" s="252"/>
      <c r="BQ8" s="252"/>
      <c r="BR8" s="252"/>
      <c r="BS8" s="252"/>
      <c r="BT8" s="252"/>
      <c r="BU8" s="252"/>
      <c r="BV8" s="252"/>
      <c r="BW8" s="252"/>
      <c r="BX8" s="685">
        <f t="shared" si="0"/>
        <v>15200</v>
      </c>
      <c r="BY8" s="685">
        <f t="shared" si="1"/>
        <v>84800</v>
      </c>
    </row>
    <row r="9" spans="1:77" ht="10.15" customHeight="1">
      <c r="A9" s="195" t="s">
        <v>68</v>
      </c>
      <c r="B9" s="252"/>
      <c r="C9" s="252"/>
      <c r="D9" s="252"/>
      <c r="E9" s="640"/>
      <c r="F9" s="640"/>
      <c r="G9" s="640"/>
      <c r="H9" s="640"/>
      <c r="I9" s="640">
        <f>'4.8.22'!E21</f>
        <v>2365.5</v>
      </c>
      <c r="J9" s="640"/>
      <c r="K9" s="640"/>
      <c r="L9" s="252"/>
      <c r="M9" s="252"/>
      <c r="N9" s="252"/>
      <c r="O9" s="252"/>
      <c r="P9" s="252"/>
      <c r="Q9" s="252"/>
      <c r="R9" s="252"/>
      <c r="S9" s="738"/>
      <c r="T9" s="738"/>
      <c r="U9" s="738"/>
      <c r="V9" s="738"/>
      <c r="W9" s="738"/>
      <c r="X9" s="738">
        <f>'4.23.22'!E22</f>
        <v>2128</v>
      </c>
      <c r="Y9" s="738"/>
      <c r="Z9" s="252"/>
      <c r="AA9" s="252"/>
      <c r="AB9" s="252"/>
      <c r="AC9" s="252">
        <f>'4.28.22'!E28</f>
        <v>1624.5</v>
      </c>
      <c r="AD9" s="252"/>
      <c r="AE9" s="252"/>
      <c r="AF9" s="252"/>
      <c r="AG9" s="252"/>
      <c r="AH9" s="252"/>
      <c r="AI9" s="252"/>
      <c r="AJ9" s="252"/>
      <c r="AK9" s="252"/>
      <c r="AL9" s="252"/>
      <c r="AM9" s="252"/>
      <c r="AN9" s="252"/>
      <c r="AO9" s="252"/>
      <c r="AP9" s="252"/>
      <c r="AQ9" s="252"/>
      <c r="AR9" s="252"/>
      <c r="AS9" s="252"/>
      <c r="AT9" s="252"/>
      <c r="AU9" s="252"/>
      <c r="AV9" s="252"/>
      <c r="AW9" s="252"/>
      <c r="AX9" s="252"/>
      <c r="AY9" s="252"/>
      <c r="AZ9" s="252"/>
      <c r="BA9" s="252"/>
      <c r="BB9" s="252"/>
      <c r="BC9" s="252"/>
      <c r="BD9" s="252"/>
      <c r="BE9" s="252"/>
      <c r="BF9" s="252"/>
      <c r="BG9" s="252"/>
      <c r="BH9" s="252"/>
      <c r="BI9" s="252"/>
      <c r="BJ9" s="252"/>
      <c r="BK9" s="252"/>
      <c r="BL9" s="252"/>
      <c r="BM9" s="252"/>
      <c r="BN9" s="252"/>
      <c r="BO9" s="252"/>
      <c r="BP9" s="252"/>
      <c r="BQ9" s="252"/>
      <c r="BR9" s="252"/>
      <c r="BS9" s="252"/>
      <c r="BT9" s="252"/>
      <c r="BU9" s="252"/>
      <c r="BV9" s="252"/>
      <c r="BW9" s="252"/>
      <c r="BX9" s="685">
        <f t="shared" si="0"/>
        <v>6118</v>
      </c>
      <c r="BY9" s="685">
        <f t="shared" si="1"/>
        <v>93882</v>
      </c>
    </row>
    <row r="10" spans="1:77" ht="10.15" customHeight="1">
      <c r="A10" s="195" t="s">
        <v>245</v>
      </c>
      <c r="B10" s="589"/>
      <c r="C10" s="589"/>
      <c r="D10" s="589"/>
      <c r="E10" s="640">
        <f>'4.4.22'!E22</f>
        <v>5557.5</v>
      </c>
      <c r="F10" s="640"/>
      <c r="G10" s="640"/>
      <c r="H10" s="640"/>
      <c r="I10" s="640"/>
      <c r="J10" s="640"/>
      <c r="K10" s="640"/>
      <c r="L10" s="252"/>
      <c r="M10" s="252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  <c r="AA10" s="252"/>
      <c r="AB10" s="252"/>
      <c r="AC10" s="252"/>
      <c r="AD10" s="252"/>
      <c r="AE10" s="252"/>
      <c r="AF10" s="252"/>
      <c r="AG10" s="252"/>
      <c r="AH10" s="252"/>
      <c r="AI10" s="252"/>
      <c r="AJ10" s="252"/>
      <c r="AK10" s="252"/>
      <c r="AL10" s="252"/>
      <c r="AM10" s="252"/>
      <c r="AN10" s="252"/>
      <c r="AO10" s="252"/>
      <c r="AP10" s="252"/>
      <c r="AQ10" s="252"/>
      <c r="AR10" s="252"/>
      <c r="AS10" s="252"/>
      <c r="AT10" s="252"/>
      <c r="AU10" s="252"/>
      <c r="AV10" s="252"/>
      <c r="AW10" s="252"/>
      <c r="AX10" s="252"/>
      <c r="AY10" s="252"/>
      <c r="AZ10" s="252"/>
      <c r="BA10" s="252"/>
      <c r="BB10" s="252"/>
      <c r="BC10" s="252"/>
      <c r="BD10" s="252"/>
      <c r="BE10" s="252"/>
      <c r="BF10" s="252"/>
      <c r="BG10" s="252"/>
      <c r="BH10" s="252"/>
      <c r="BI10" s="252"/>
      <c r="BJ10" s="252"/>
      <c r="BK10" s="252"/>
      <c r="BL10" s="252"/>
      <c r="BM10" s="252"/>
      <c r="BN10" s="252"/>
      <c r="BO10" s="252"/>
      <c r="BP10" s="252"/>
      <c r="BQ10" s="252"/>
      <c r="BR10" s="252"/>
      <c r="BS10" s="252"/>
      <c r="BT10" s="252"/>
      <c r="BU10" s="252"/>
      <c r="BV10" s="252"/>
      <c r="BW10" s="252"/>
      <c r="BX10" s="685">
        <f t="shared" si="0"/>
        <v>5557.5</v>
      </c>
      <c r="BY10" s="685">
        <f t="shared" si="1"/>
        <v>94442.5</v>
      </c>
    </row>
    <row r="11" spans="1:77" ht="10.15" customHeight="1">
      <c r="A11" s="195" t="s">
        <v>254</v>
      </c>
      <c r="B11" s="589">
        <f>'4.1.22'!E29</f>
        <v>1311</v>
      </c>
      <c r="C11" s="589"/>
      <c r="D11" s="589">
        <f>'4.3.22'!E19+'4.3.22'!E29</f>
        <v>4332</v>
      </c>
      <c r="E11" s="640">
        <f>'4.4.22'!E18</f>
        <v>3002</v>
      </c>
      <c r="F11" s="640"/>
      <c r="G11" s="640"/>
      <c r="H11" s="640">
        <f>'4.7.22'!E21+'4.7.22'!E28</f>
        <v>5063.5</v>
      </c>
      <c r="I11" s="640"/>
      <c r="J11" s="640"/>
      <c r="K11" s="640"/>
      <c r="L11" s="702">
        <f>'4.11.22'!E28</f>
        <v>2555.5</v>
      </c>
      <c r="M11" s="702"/>
      <c r="N11" s="702"/>
      <c r="O11" s="702"/>
      <c r="P11" s="702"/>
      <c r="Q11" s="702"/>
      <c r="R11" s="702"/>
      <c r="S11" s="738"/>
      <c r="T11" s="738"/>
      <c r="U11" s="738"/>
      <c r="V11" s="738"/>
      <c r="W11" s="738">
        <f>'4.22.22'!E18</f>
        <v>2413</v>
      </c>
      <c r="X11" s="738"/>
      <c r="Y11" s="738"/>
      <c r="Z11" s="252"/>
      <c r="AA11" s="252"/>
      <c r="AB11" s="252"/>
      <c r="AC11" s="252"/>
      <c r="AD11" s="252"/>
      <c r="AE11" s="252"/>
      <c r="AF11" s="252"/>
      <c r="AG11" s="252"/>
      <c r="AH11" s="252"/>
      <c r="AI11" s="252"/>
      <c r="AJ11" s="252"/>
      <c r="AK11" s="252"/>
      <c r="AL11" s="252"/>
      <c r="AM11" s="252"/>
      <c r="AN11" s="252"/>
      <c r="AO11" s="252"/>
      <c r="AP11" s="252"/>
      <c r="AQ11" s="252"/>
      <c r="AR11" s="252"/>
      <c r="AS11" s="252"/>
      <c r="AT11" s="252"/>
      <c r="AU11" s="252"/>
      <c r="AV11" s="252"/>
      <c r="AW11" s="252"/>
      <c r="AX11" s="252"/>
      <c r="AY11" s="252"/>
      <c r="AZ11" s="252"/>
      <c r="BA11" s="252"/>
      <c r="BB11" s="252"/>
      <c r="BC11" s="252"/>
      <c r="BD11" s="252"/>
      <c r="BE11" s="252"/>
      <c r="BF11" s="252"/>
      <c r="BG11" s="252"/>
      <c r="BH11" s="252"/>
      <c r="BI11" s="252"/>
      <c r="BJ11" s="252"/>
      <c r="BK11" s="252"/>
      <c r="BL11" s="252"/>
      <c r="BM11" s="252"/>
      <c r="BN11" s="252"/>
      <c r="BO11" s="252"/>
      <c r="BP11" s="252"/>
      <c r="BQ11" s="252"/>
      <c r="BR11" s="252"/>
      <c r="BS11" s="252"/>
      <c r="BT11" s="252"/>
      <c r="BU11" s="252"/>
      <c r="BV11" s="252"/>
      <c r="BW11" s="252"/>
      <c r="BX11" s="685">
        <f t="shared" si="0"/>
        <v>18677</v>
      </c>
      <c r="BY11" s="685">
        <f>100000-BX11+350000</f>
        <v>431323</v>
      </c>
    </row>
    <row r="12" spans="1:77" ht="10.15" customHeight="1">
      <c r="A12" s="195" t="s">
        <v>49</v>
      </c>
      <c r="B12" s="589"/>
      <c r="C12" s="589"/>
      <c r="D12" s="589"/>
      <c r="E12" s="640"/>
      <c r="F12" s="640"/>
      <c r="G12" s="640">
        <f>'4.6.22'!E22</f>
        <v>3866.5</v>
      </c>
      <c r="H12" s="640"/>
      <c r="I12" s="640"/>
      <c r="J12" s="640"/>
      <c r="K12" s="640">
        <f>'4.10.22'!E22</f>
        <v>3591</v>
      </c>
      <c r="L12" s="252"/>
      <c r="M12" s="252"/>
      <c r="N12" s="252"/>
      <c r="O12" s="252"/>
      <c r="P12" s="252"/>
      <c r="Q12" s="252"/>
      <c r="R12" s="252"/>
      <c r="S12" s="738"/>
      <c r="T12" s="738">
        <f>'4.19.22'!E18</f>
        <v>3980.5</v>
      </c>
      <c r="U12" s="738"/>
      <c r="V12" s="738"/>
      <c r="W12" s="738"/>
      <c r="X12" s="738"/>
      <c r="Y12" s="738"/>
      <c r="Z12" s="252"/>
      <c r="AA12" s="252"/>
      <c r="AB12" s="252"/>
      <c r="AC12" s="252"/>
      <c r="AD12" s="252"/>
      <c r="AE12" s="252"/>
      <c r="AF12" s="252"/>
      <c r="AG12" s="252"/>
      <c r="AH12" s="252"/>
      <c r="AI12" s="252"/>
      <c r="AJ12" s="252"/>
      <c r="AK12" s="252"/>
      <c r="AL12" s="252"/>
      <c r="AM12" s="252"/>
      <c r="AN12" s="252"/>
      <c r="AO12" s="252"/>
      <c r="AP12" s="252"/>
      <c r="AQ12" s="252"/>
      <c r="AR12" s="252"/>
      <c r="AS12" s="252"/>
      <c r="AT12" s="252"/>
      <c r="AU12" s="252"/>
      <c r="AV12" s="252"/>
      <c r="AW12" s="252"/>
      <c r="AX12" s="252"/>
      <c r="AY12" s="252"/>
      <c r="AZ12" s="252"/>
      <c r="BA12" s="252"/>
      <c r="BB12" s="252"/>
      <c r="BC12" s="252"/>
      <c r="BD12" s="252"/>
      <c r="BE12" s="252"/>
      <c r="BF12" s="252"/>
      <c r="BG12" s="252"/>
      <c r="BH12" s="252"/>
      <c r="BI12" s="252"/>
      <c r="BJ12" s="252"/>
      <c r="BK12" s="252"/>
      <c r="BL12" s="252"/>
      <c r="BM12" s="252"/>
      <c r="BN12" s="252"/>
      <c r="BO12" s="252"/>
      <c r="BP12" s="252"/>
      <c r="BQ12" s="252"/>
      <c r="BR12" s="252"/>
      <c r="BS12" s="252"/>
      <c r="BT12" s="252"/>
      <c r="BU12" s="252"/>
      <c r="BV12" s="252"/>
      <c r="BW12" s="252"/>
      <c r="BX12" s="685">
        <f t="shared" si="0"/>
        <v>11438</v>
      </c>
      <c r="BY12" s="685">
        <f t="shared" si="1"/>
        <v>88562</v>
      </c>
    </row>
    <row r="13" spans="1:77" ht="10.15" customHeight="1">
      <c r="A13" s="195" t="s">
        <v>235</v>
      </c>
      <c r="B13" s="589"/>
      <c r="C13" s="589">
        <f>'4.2.22'!E21+'4.2.22'!E28</f>
        <v>7818.5</v>
      </c>
      <c r="D13" s="589"/>
      <c r="E13" s="640"/>
      <c r="F13" s="640">
        <f>'4.5.22'!E28</f>
        <v>5320</v>
      </c>
      <c r="G13" s="640"/>
      <c r="H13" s="640">
        <f>'4.7.22'!E30</f>
        <v>5253.5</v>
      </c>
      <c r="I13" s="640"/>
      <c r="J13" s="640">
        <f>'4.9.22'!E12</f>
        <v>4018.5</v>
      </c>
      <c r="K13" s="640">
        <f>'4.10.22'!E30</f>
        <v>4626.5</v>
      </c>
      <c r="L13" s="702"/>
      <c r="M13" s="702">
        <f>'4.12.22'!E29</f>
        <v>4436.5</v>
      </c>
      <c r="N13" s="702"/>
      <c r="O13" s="702"/>
      <c r="P13" s="702">
        <f>'4.15.22'!E30</f>
        <v>3819</v>
      </c>
      <c r="Q13" s="702"/>
      <c r="R13" s="702">
        <f>'4.17.22'!E29</f>
        <v>4645.5</v>
      </c>
      <c r="S13" s="738">
        <f>'4.18.22'!E30</f>
        <v>3952</v>
      </c>
      <c r="T13" s="738"/>
      <c r="U13" s="738"/>
      <c r="V13" s="738"/>
      <c r="W13" s="738"/>
      <c r="X13" s="738">
        <f>'4.23.22'!E28</f>
        <v>4617</v>
      </c>
      <c r="Y13" s="738">
        <f>'4.24.22'!E30</f>
        <v>5044.5</v>
      </c>
      <c r="Z13" s="252"/>
      <c r="AA13" s="252">
        <f>'4.26.22'!E30</f>
        <v>4712</v>
      </c>
      <c r="AB13" s="252"/>
      <c r="AC13" s="252"/>
      <c r="AD13" s="252">
        <f>'4.29.22'!E30</f>
        <v>3990</v>
      </c>
      <c r="AE13" s="252"/>
      <c r="AF13" s="252"/>
      <c r="AG13" s="252"/>
      <c r="AH13" s="252"/>
      <c r="AI13" s="252"/>
      <c r="AJ13" s="252"/>
      <c r="AK13" s="252"/>
      <c r="AL13" s="252"/>
      <c r="AM13" s="252"/>
      <c r="AN13" s="252"/>
      <c r="AO13" s="252"/>
      <c r="AP13" s="252"/>
      <c r="AQ13" s="252"/>
      <c r="AR13" s="252"/>
      <c r="AS13" s="252"/>
      <c r="AT13" s="252"/>
      <c r="AU13" s="252"/>
      <c r="AV13" s="252"/>
      <c r="AW13" s="252"/>
      <c r="AX13" s="252"/>
      <c r="AY13" s="252"/>
      <c r="AZ13" s="252"/>
      <c r="BA13" s="252"/>
      <c r="BB13" s="252"/>
      <c r="BC13" s="252"/>
      <c r="BD13" s="252"/>
      <c r="BE13" s="252"/>
      <c r="BF13" s="252"/>
      <c r="BG13" s="252"/>
      <c r="BH13" s="252"/>
      <c r="BI13" s="252"/>
      <c r="BJ13" s="252"/>
      <c r="BK13" s="252"/>
      <c r="BL13" s="252"/>
      <c r="BM13" s="252"/>
      <c r="BN13" s="252"/>
      <c r="BO13" s="252"/>
      <c r="BP13" s="252"/>
      <c r="BQ13" s="252"/>
      <c r="BR13" s="252"/>
      <c r="BS13" s="252"/>
      <c r="BT13" s="252"/>
      <c r="BU13" s="252"/>
      <c r="BV13" s="252"/>
      <c r="BW13" s="252"/>
      <c r="BX13" s="685">
        <f t="shared" si="0"/>
        <v>62253.5</v>
      </c>
      <c r="BY13" s="685">
        <f>100000-BX13+350000</f>
        <v>387746.5</v>
      </c>
    </row>
    <row r="14" spans="1:77" ht="10.15" customHeight="1">
      <c r="A14" s="195" t="s">
        <v>188</v>
      </c>
      <c r="B14" s="252"/>
      <c r="C14" s="252"/>
      <c r="D14" s="252"/>
      <c r="E14" s="252"/>
      <c r="F14" s="252"/>
      <c r="G14" s="252"/>
      <c r="H14" s="252"/>
      <c r="I14" s="252"/>
      <c r="J14" s="252"/>
      <c r="K14" s="252"/>
      <c r="L14" s="702">
        <f>'4.11.22'!E22</f>
        <v>3030.5</v>
      </c>
      <c r="M14" s="702">
        <f>'4.12.22'!E22</f>
        <v>2137.5</v>
      </c>
      <c r="N14" s="702"/>
      <c r="O14" s="702"/>
      <c r="P14" s="702"/>
      <c r="Q14" s="702"/>
      <c r="R14" s="702"/>
      <c r="S14" s="738"/>
      <c r="T14" s="738">
        <f>'4.19.22'!E22</f>
        <v>2878.5</v>
      </c>
      <c r="U14" s="738"/>
      <c r="V14" s="738">
        <f>'4.21.22'!E22</f>
        <v>2622</v>
      </c>
      <c r="W14" s="738"/>
      <c r="X14" s="738"/>
      <c r="Y14" s="738"/>
      <c r="Z14" s="252"/>
      <c r="AA14" s="252"/>
      <c r="AB14" s="252">
        <f>'4.27.22'!E18</f>
        <v>2394</v>
      </c>
      <c r="AC14" s="252"/>
      <c r="AD14" s="252"/>
      <c r="AE14" s="252"/>
      <c r="AF14" s="252"/>
      <c r="AG14" s="252"/>
      <c r="AH14" s="252"/>
      <c r="AI14" s="252"/>
      <c r="AJ14" s="252"/>
      <c r="AK14" s="252"/>
      <c r="AL14" s="252"/>
      <c r="AM14" s="252"/>
      <c r="AN14" s="252"/>
      <c r="AO14" s="252"/>
      <c r="AP14" s="252"/>
      <c r="AQ14" s="252"/>
      <c r="AR14" s="252"/>
      <c r="AS14" s="252"/>
      <c r="AT14" s="252"/>
      <c r="AU14" s="252"/>
      <c r="AV14" s="252"/>
      <c r="AW14" s="252"/>
      <c r="AX14" s="252"/>
      <c r="AY14" s="252"/>
      <c r="AZ14" s="252"/>
      <c r="BA14" s="252"/>
      <c r="BB14" s="252"/>
      <c r="BC14" s="252"/>
      <c r="BD14" s="252"/>
      <c r="BE14" s="252"/>
      <c r="BF14" s="252"/>
      <c r="BG14" s="252"/>
      <c r="BH14" s="252"/>
      <c r="BI14" s="252"/>
      <c r="BJ14" s="252"/>
      <c r="BK14" s="252"/>
      <c r="BL14" s="252"/>
      <c r="BM14" s="252"/>
      <c r="BN14" s="252"/>
      <c r="BO14" s="252"/>
      <c r="BP14" s="252"/>
      <c r="BQ14" s="252"/>
      <c r="BR14" s="252"/>
      <c r="BS14" s="252"/>
      <c r="BT14" s="252"/>
      <c r="BU14" s="252"/>
      <c r="BV14" s="252"/>
      <c r="BW14" s="252"/>
      <c r="BX14" s="685">
        <f t="shared" si="0"/>
        <v>13062.5</v>
      </c>
      <c r="BY14" s="685">
        <f t="shared" si="1"/>
        <v>86937.5</v>
      </c>
    </row>
    <row r="15" spans="1:77" ht="10.15" customHeight="1">
      <c r="A15" s="195" t="s">
        <v>243</v>
      </c>
      <c r="B15" s="252"/>
      <c r="C15" s="252"/>
      <c r="D15" s="252"/>
      <c r="E15" s="640"/>
      <c r="F15" s="640"/>
      <c r="G15" s="640"/>
      <c r="H15" s="640"/>
      <c r="I15" s="640">
        <f>'4.8.22'!E31</f>
        <v>3144.5</v>
      </c>
      <c r="J15" s="640"/>
      <c r="K15" s="640"/>
      <c r="L15" s="702"/>
      <c r="M15" s="702"/>
      <c r="N15" s="702"/>
      <c r="O15" s="702"/>
      <c r="P15" s="702"/>
      <c r="Q15" s="702"/>
      <c r="R15" s="702">
        <f>'4.17.22'!E11</f>
        <v>5215.5</v>
      </c>
      <c r="S15" s="252"/>
      <c r="T15" s="252"/>
      <c r="U15" s="252"/>
      <c r="V15" s="252"/>
      <c r="W15" s="252"/>
      <c r="X15" s="252"/>
      <c r="Y15" s="252"/>
      <c r="Z15" s="252"/>
      <c r="AA15" s="252">
        <f>'4.26.22'!E29</f>
        <v>4094.5</v>
      </c>
      <c r="AB15" s="252"/>
      <c r="AC15" s="252"/>
      <c r="AD15" s="252"/>
      <c r="AE15" s="252"/>
      <c r="AF15" s="252"/>
      <c r="AG15" s="252"/>
      <c r="AH15" s="252"/>
      <c r="AI15" s="252"/>
      <c r="AJ15" s="252"/>
      <c r="AK15" s="252"/>
      <c r="AL15" s="252"/>
      <c r="AM15" s="252"/>
      <c r="AN15" s="252"/>
      <c r="AO15" s="252"/>
      <c r="AP15" s="252"/>
      <c r="AQ15" s="252"/>
      <c r="AR15" s="252"/>
      <c r="AS15" s="252"/>
      <c r="AT15" s="252"/>
      <c r="AU15" s="252"/>
      <c r="AV15" s="252"/>
      <c r="AW15" s="252"/>
      <c r="AX15" s="252"/>
      <c r="AY15" s="252"/>
      <c r="AZ15" s="252"/>
      <c r="BA15" s="252"/>
      <c r="BB15" s="252"/>
      <c r="BC15" s="252"/>
      <c r="BD15" s="252"/>
      <c r="BE15" s="252"/>
      <c r="BF15" s="252"/>
      <c r="BG15" s="252"/>
      <c r="BH15" s="252"/>
      <c r="BI15" s="252"/>
      <c r="BJ15" s="252"/>
      <c r="BK15" s="252"/>
      <c r="BL15" s="252"/>
      <c r="BM15" s="252"/>
      <c r="BN15" s="252"/>
      <c r="BO15" s="252"/>
      <c r="BP15" s="252"/>
      <c r="BQ15" s="252"/>
      <c r="BR15" s="252"/>
      <c r="BS15" s="252"/>
      <c r="BT15" s="252"/>
      <c r="BU15" s="252"/>
      <c r="BV15" s="252"/>
      <c r="BW15" s="252"/>
      <c r="BX15" s="685">
        <f t="shared" si="0"/>
        <v>12454.5</v>
      </c>
      <c r="BY15" s="685">
        <f t="shared" si="1"/>
        <v>87545.5</v>
      </c>
    </row>
    <row r="16" spans="1:77" ht="10.15" customHeight="1">
      <c r="A16" s="195" t="s">
        <v>63</v>
      </c>
      <c r="B16" s="589"/>
      <c r="C16" s="589"/>
      <c r="D16" s="589">
        <f>'4.3.22'!E12</f>
        <v>2584</v>
      </c>
      <c r="E16" s="640"/>
      <c r="F16" s="640"/>
      <c r="G16" s="640">
        <f>'4.6.22'!E21</f>
        <v>2384.5</v>
      </c>
      <c r="H16" s="640"/>
      <c r="I16" s="640"/>
      <c r="J16" s="640"/>
      <c r="K16" s="640"/>
      <c r="L16" s="702"/>
      <c r="M16" s="702"/>
      <c r="N16" s="702"/>
      <c r="O16" s="702"/>
      <c r="P16" s="702">
        <f>'4.15.22'!E28</f>
        <v>2204</v>
      </c>
      <c r="Q16" s="702">
        <f>'4.16.22'!E30</f>
        <v>1919</v>
      </c>
      <c r="R16" s="702">
        <f>'4.17.22'!E21</f>
        <v>3268</v>
      </c>
      <c r="S16" s="738"/>
      <c r="T16" s="738"/>
      <c r="U16" s="738"/>
      <c r="V16" s="738"/>
      <c r="W16" s="738">
        <f>'4.22.22'!E28</f>
        <v>1824</v>
      </c>
      <c r="X16" s="738"/>
      <c r="Y16" s="738"/>
      <c r="Z16" s="252">
        <f>'4.25.22'!E29</f>
        <v>2137.5</v>
      </c>
      <c r="AA16" s="252"/>
      <c r="AB16" s="252"/>
      <c r="AC16" s="252"/>
      <c r="AD16" s="252"/>
      <c r="AE16" s="252"/>
      <c r="AF16" s="252"/>
      <c r="AG16" s="252"/>
      <c r="AH16" s="252"/>
      <c r="AI16" s="252"/>
      <c r="AJ16" s="252"/>
      <c r="AK16" s="252"/>
      <c r="AL16" s="252"/>
      <c r="AM16" s="252"/>
      <c r="AN16" s="252"/>
      <c r="AO16" s="252"/>
      <c r="AP16" s="252"/>
      <c r="AQ16" s="252"/>
      <c r="AR16" s="252"/>
      <c r="AS16" s="252"/>
      <c r="AT16" s="252"/>
      <c r="AU16" s="252"/>
      <c r="AV16" s="252"/>
      <c r="AW16" s="252"/>
      <c r="AX16" s="252"/>
      <c r="AY16" s="252"/>
      <c r="AZ16" s="252"/>
      <c r="BA16" s="252"/>
      <c r="BB16" s="252"/>
      <c r="BC16" s="252"/>
      <c r="BD16" s="252"/>
      <c r="BE16" s="252"/>
      <c r="BF16" s="252"/>
      <c r="BG16" s="252"/>
      <c r="BH16" s="252"/>
      <c r="BI16" s="252"/>
      <c r="BJ16" s="252"/>
      <c r="BK16" s="252"/>
      <c r="BL16" s="252"/>
      <c r="BM16" s="252"/>
      <c r="BN16" s="252"/>
      <c r="BO16" s="252"/>
      <c r="BP16" s="252"/>
      <c r="BQ16" s="252"/>
      <c r="BR16" s="252"/>
      <c r="BS16" s="252"/>
      <c r="BT16" s="252"/>
      <c r="BU16" s="252"/>
      <c r="BV16" s="252"/>
      <c r="BW16" s="252"/>
      <c r="BX16" s="685">
        <f t="shared" si="0"/>
        <v>16321</v>
      </c>
      <c r="BY16" s="685">
        <f>449000-BX16+350000</f>
        <v>782679</v>
      </c>
    </row>
    <row r="17" spans="1:77" ht="10.15" customHeight="1">
      <c r="A17" s="195" t="s">
        <v>78</v>
      </c>
      <c r="B17" s="589"/>
      <c r="C17" s="589"/>
      <c r="D17" s="589"/>
      <c r="E17" s="640"/>
      <c r="F17" s="640"/>
      <c r="G17" s="640">
        <f>'4.6.22'!E29</f>
        <v>1805</v>
      </c>
      <c r="H17" s="640"/>
      <c r="I17" s="640"/>
      <c r="J17" s="640">
        <f>'4.9.22'!E21</f>
        <v>2964</v>
      </c>
      <c r="K17" s="640"/>
      <c r="L17" s="252"/>
      <c r="M17" s="252"/>
      <c r="N17" s="252"/>
      <c r="O17" s="252"/>
      <c r="P17" s="252"/>
      <c r="Q17" s="252"/>
      <c r="R17" s="252"/>
      <c r="S17" s="738"/>
      <c r="T17" s="738"/>
      <c r="U17" s="738">
        <f>'4.20.22'!E18</f>
        <v>2584</v>
      </c>
      <c r="V17" s="738"/>
      <c r="W17" s="738"/>
      <c r="X17" s="738"/>
      <c r="Y17" s="738"/>
      <c r="Z17" s="252">
        <f>'4.25.22'!E21</f>
        <v>2726.5</v>
      </c>
      <c r="AA17" s="252"/>
      <c r="AB17" s="252"/>
      <c r="AC17" s="252"/>
      <c r="AD17" s="252"/>
      <c r="AE17" s="252"/>
      <c r="AF17" s="252"/>
      <c r="AG17" s="252"/>
      <c r="AH17" s="252"/>
      <c r="AI17" s="252"/>
      <c r="AJ17" s="252"/>
      <c r="AK17" s="252"/>
      <c r="AL17" s="252"/>
      <c r="AM17" s="252"/>
      <c r="AN17" s="252"/>
      <c r="AO17" s="252"/>
      <c r="AP17" s="252"/>
      <c r="AQ17" s="252"/>
      <c r="AR17" s="252"/>
      <c r="AS17" s="252"/>
      <c r="AT17" s="252"/>
      <c r="AU17" s="252"/>
      <c r="AV17" s="252"/>
      <c r="AW17" s="252"/>
      <c r="AX17" s="252"/>
      <c r="AY17" s="252"/>
      <c r="AZ17" s="252"/>
      <c r="BA17" s="252"/>
      <c r="BB17" s="252"/>
      <c r="BC17" s="252"/>
      <c r="BD17" s="252"/>
      <c r="BE17" s="252"/>
      <c r="BF17" s="252"/>
      <c r="BG17" s="252"/>
      <c r="BH17" s="252"/>
      <c r="BI17" s="252"/>
      <c r="BJ17" s="252"/>
      <c r="BK17" s="252"/>
      <c r="BL17" s="252"/>
      <c r="BM17" s="252"/>
      <c r="BN17" s="252"/>
      <c r="BO17" s="252"/>
      <c r="BP17" s="252"/>
      <c r="BQ17" s="252"/>
      <c r="BR17" s="252"/>
      <c r="BS17" s="252"/>
      <c r="BT17" s="252"/>
      <c r="BU17" s="252"/>
      <c r="BV17" s="252"/>
      <c r="BW17" s="252"/>
      <c r="BX17" s="685">
        <f t="shared" si="0"/>
        <v>10079.5</v>
      </c>
      <c r="BY17" s="685">
        <f t="shared" si="1"/>
        <v>89920.5</v>
      </c>
    </row>
    <row r="18" spans="1:77" ht="10.15" customHeight="1">
      <c r="A18" s="195" t="s">
        <v>129</v>
      </c>
      <c r="B18" s="252"/>
      <c r="C18" s="252"/>
      <c r="D18" s="25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  <c r="AA18" s="252"/>
      <c r="AB18" s="252"/>
      <c r="AC18" s="252"/>
      <c r="AD18" s="252"/>
      <c r="AE18" s="252"/>
      <c r="AF18" s="252"/>
      <c r="AG18" s="252"/>
      <c r="AH18" s="252"/>
      <c r="AI18" s="252"/>
      <c r="AJ18" s="252"/>
      <c r="AK18" s="252"/>
      <c r="AL18" s="252"/>
      <c r="AM18" s="252"/>
      <c r="AN18" s="252"/>
      <c r="AO18" s="252"/>
      <c r="AP18" s="252"/>
      <c r="AQ18" s="252"/>
      <c r="AR18" s="252"/>
      <c r="AS18" s="252"/>
      <c r="AT18" s="252"/>
      <c r="AU18" s="252"/>
      <c r="AV18" s="252"/>
      <c r="AW18" s="252"/>
      <c r="AX18" s="252"/>
      <c r="AY18" s="252"/>
      <c r="AZ18" s="252"/>
      <c r="BA18" s="252"/>
      <c r="BB18" s="252"/>
      <c r="BC18" s="252"/>
      <c r="BD18" s="252"/>
      <c r="BE18" s="252"/>
      <c r="BF18" s="252"/>
      <c r="BG18" s="252"/>
      <c r="BH18" s="252"/>
      <c r="BI18" s="252"/>
      <c r="BJ18" s="252"/>
      <c r="BK18" s="252"/>
      <c r="BL18" s="252"/>
      <c r="BM18" s="252"/>
      <c r="BN18" s="252"/>
      <c r="BO18" s="252"/>
      <c r="BP18" s="252"/>
      <c r="BQ18" s="252"/>
      <c r="BR18" s="252"/>
      <c r="BS18" s="252"/>
      <c r="BT18" s="252"/>
      <c r="BU18" s="252"/>
      <c r="BV18" s="252"/>
      <c r="BW18" s="252"/>
      <c r="BX18" s="685">
        <f t="shared" si="0"/>
        <v>0</v>
      </c>
      <c r="BY18" s="685">
        <f t="shared" si="1"/>
        <v>100000</v>
      </c>
    </row>
    <row r="19" spans="1:77" ht="10.15" customHeight="1">
      <c r="A19" s="195" t="s">
        <v>238</v>
      </c>
      <c r="B19" s="252"/>
      <c r="C19" s="252"/>
      <c r="D19" s="252"/>
      <c r="E19" s="640"/>
      <c r="F19" s="640"/>
      <c r="G19" s="640"/>
      <c r="H19" s="640">
        <f>'4.7.22'!E18</f>
        <v>3002</v>
      </c>
      <c r="I19" s="640">
        <f>'4.8.22'!E28</f>
        <v>1463</v>
      </c>
      <c r="J19" s="640"/>
      <c r="K19" s="640"/>
      <c r="L19" s="702">
        <f>'4.11.22'!E19</f>
        <v>3230</v>
      </c>
      <c r="M19" s="702"/>
      <c r="N19" s="702">
        <f>'4.13.22'!E19</f>
        <v>3325</v>
      </c>
      <c r="O19" s="702"/>
      <c r="P19" s="702"/>
      <c r="Q19" s="702"/>
      <c r="R19" s="702"/>
      <c r="S19" s="738"/>
      <c r="T19" s="738"/>
      <c r="U19" s="738"/>
      <c r="V19" s="738"/>
      <c r="W19" s="738">
        <f>'4.22.22'!E29</f>
        <v>1995</v>
      </c>
      <c r="X19" s="738"/>
      <c r="Y19" s="738"/>
      <c r="Z19" s="252"/>
      <c r="AA19" s="252"/>
      <c r="AB19" s="252"/>
      <c r="AC19" s="252"/>
      <c r="AD19" s="252">
        <f>'4.29.22'!E19</f>
        <v>2983</v>
      </c>
      <c r="AE19" s="252"/>
      <c r="AF19" s="252"/>
      <c r="AG19" s="252"/>
      <c r="AH19" s="252"/>
      <c r="AI19" s="252"/>
      <c r="AJ19" s="252"/>
      <c r="AK19" s="252"/>
      <c r="AL19" s="252"/>
      <c r="AM19" s="252"/>
      <c r="AN19" s="252"/>
      <c r="AO19" s="252"/>
      <c r="AP19" s="252"/>
      <c r="AQ19" s="252"/>
      <c r="AR19" s="252"/>
      <c r="AS19" s="252"/>
      <c r="AT19" s="252"/>
      <c r="AU19" s="252"/>
      <c r="AV19" s="252"/>
      <c r="AW19" s="252"/>
      <c r="AX19" s="252"/>
      <c r="AY19" s="252"/>
      <c r="AZ19" s="252"/>
      <c r="BA19" s="252"/>
      <c r="BB19" s="252"/>
      <c r="BC19" s="252"/>
      <c r="BD19" s="252"/>
      <c r="BE19" s="252"/>
      <c r="BF19" s="252"/>
      <c r="BG19" s="252"/>
      <c r="BH19" s="252"/>
      <c r="BI19" s="252"/>
      <c r="BJ19" s="252"/>
      <c r="BK19" s="252"/>
      <c r="BL19" s="252"/>
      <c r="BM19" s="252"/>
      <c r="BN19" s="252"/>
      <c r="BO19" s="252"/>
      <c r="BP19" s="252"/>
      <c r="BQ19" s="252"/>
      <c r="BR19" s="252"/>
      <c r="BS19" s="252"/>
      <c r="BT19" s="252"/>
      <c r="BU19" s="252"/>
      <c r="BV19" s="252"/>
      <c r="BW19" s="252"/>
      <c r="BX19" s="685">
        <f t="shared" si="0"/>
        <v>15998</v>
      </c>
      <c r="BY19" s="685">
        <f t="shared" si="1"/>
        <v>84002</v>
      </c>
    </row>
    <row r="20" spans="1:77" ht="10.15" customHeight="1">
      <c r="A20" s="195" t="s">
        <v>79</v>
      </c>
      <c r="B20" s="252"/>
      <c r="C20" s="252"/>
      <c r="D20" s="252"/>
      <c r="E20" s="252"/>
      <c r="F20" s="252"/>
      <c r="G20" s="252"/>
      <c r="H20" s="252"/>
      <c r="I20" s="252"/>
      <c r="J20" s="252"/>
      <c r="K20" s="252"/>
      <c r="L20" s="252"/>
      <c r="M20" s="252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  <c r="AA20" s="252"/>
      <c r="AB20" s="252"/>
      <c r="AC20" s="252"/>
      <c r="AD20" s="252"/>
      <c r="AE20" s="252"/>
      <c r="AF20" s="252"/>
      <c r="AG20" s="252"/>
      <c r="AH20" s="252"/>
      <c r="AI20" s="252"/>
      <c r="AJ20" s="252"/>
      <c r="AK20" s="252"/>
      <c r="AL20" s="252"/>
      <c r="AM20" s="252"/>
      <c r="AN20" s="252"/>
      <c r="AO20" s="252"/>
      <c r="AP20" s="252"/>
      <c r="AQ20" s="252"/>
      <c r="AR20" s="252"/>
      <c r="AS20" s="252"/>
      <c r="AT20" s="252"/>
      <c r="AU20" s="252"/>
      <c r="AV20" s="252"/>
      <c r="AW20" s="252"/>
      <c r="AX20" s="252"/>
      <c r="AY20" s="252"/>
      <c r="AZ20" s="252"/>
      <c r="BA20" s="252"/>
      <c r="BB20" s="252"/>
      <c r="BC20" s="252"/>
      <c r="BD20" s="252"/>
      <c r="BE20" s="252"/>
      <c r="BF20" s="252"/>
      <c r="BG20" s="252"/>
      <c r="BH20" s="252"/>
      <c r="BI20" s="252"/>
      <c r="BJ20" s="252"/>
      <c r="BK20" s="252"/>
      <c r="BL20" s="252"/>
      <c r="BM20" s="252"/>
      <c r="BN20" s="252"/>
      <c r="BO20" s="252"/>
      <c r="BP20" s="252"/>
      <c r="BQ20" s="252"/>
      <c r="BR20" s="252"/>
      <c r="BS20" s="252"/>
      <c r="BT20" s="252"/>
      <c r="BU20" s="252"/>
      <c r="BV20" s="252"/>
      <c r="BW20" s="252"/>
      <c r="BX20" s="685">
        <f t="shared" si="0"/>
        <v>0</v>
      </c>
      <c r="BY20" s="685">
        <f t="shared" si="1"/>
        <v>100000</v>
      </c>
    </row>
    <row r="21" spans="1:77" ht="10.15" customHeight="1">
      <c r="A21" s="195" t="s">
        <v>53</v>
      </c>
      <c r="B21" s="252"/>
      <c r="C21" s="252"/>
      <c r="D21" s="252"/>
      <c r="E21" s="252"/>
      <c r="F21" s="252"/>
      <c r="G21" s="252"/>
      <c r="H21" s="252"/>
      <c r="I21" s="252"/>
      <c r="J21" s="252"/>
      <c r="K21" s="252"/>
      <c r="L21" s="702">
        <f>'4.11.22'!E18+'4.11.22'!E29</f>
        <v>3477</v>
      </c>
      <c r="M21" s="702"/>
      <c r="N21" s="702"/>
      <c r="O21" s="702">
        <f>'4.14.22'!E21+'4.14.22'!E28</f>
        <v>2622</v>
      </c>
      <c r="P21" s="702">
        <f>'4.15.22'!E18+'4.15.22'!E29</f>
        <v>2289.5</v>
      </c>
      <c r="Q21" s="702"/>
      <c r="R21" s="702"/>
      <c r="S21" s="738"/>
      <c r="T21" s="738"/>
      <c r="U21" s="738">
        <f>'4.20.22'!E21</f>
        <v>3980.5</v>
      </c>
      <c r="V21" s="738"/>
      <c r="W21" s="738"/>
      <c r="X21" s="738"/>
      <c r="Y21" s="738"/>
      <c r="Z21" s="252"/>
      <c r="AA21" s="252"/>
      <c r="AB21" s="252"/>
      <c r="AC21" s="252"/>
      <c r="AD21" s="252"/>
      <c r="AE21" s="252"/>
      <c r="AF21" s="252"/>
      <c r="AG21" s="252"/>
      <c r="AH21" s="252"/>
      <c r="AI21" s="252"/>
      <c r="AJ21" s="252"/>
      <c r="AK21" s="252"/>
      <c r="AL21" s="252"/>
      <c r="AM21" s="252"/>
      <c r="AN21" s="252"/>
      <c r="AO21" s="252"/>
      <c r="AP21" s="252"/>
      <c r="AQ21" s="252"/>
      <c r="AR21" s="252"/>
      <c r="AS21" s="252"/>
      <c r="AT21" s="252"/>
      <c r="AU21" s="252"/>
      <c r="AV21" s="252"/>
      <c r="AW21" s="252"/>
      <c r="AX21" s="252"/>
      <c r="AY21" s="252"/>
      <c r="AZ21" s="252"/>
      <c r="BA21" s="252"/>
      <c r="BB21" s="252"/>
      <c r="BC21" s="252"/>
      <c r="BD21" s="252"/>
      <c r="BE21" s="252"/>
      <c r="BF21" s="252"/>
      <c r="BG21" s="252"/>
      <c r="BH21" s="252"/>
      <c r="BI21" s="252"/>
      <c r="BJ21" s="252"/>
      <c r="BK21" s="252"/>
      <c r="BL21" s="252"/>
      <c r="BM21" s="252"/>
      <c r="BN21" s="252"/>
      <c r="BO21" s="252"/>
      <c r="BP21" s="252"/>
      <c r="BQ21" s="252"/>
      <c r="BR21" s="252"/>
      <c r="BS21" s="252"/>
      <c r="BT21" s="252"/>
      <c r="BU21" s="252"/>
      <c r="BV21" s="252"/>
      <c r="BW21" s="252"/>
      <c r="BX21" s="685">
        <f t="shared" si="0"/>
        <v>12369</v>
      </c>
      <c r="BY21" s="358">
        <f>350000-BX21+700000</f>
        <v>1037631</v>
      </c>
    </row>
    <row r="22" spans="1:77" ht="10.15" customHeight="1">
      <c r="A22" s="195" t="s">
        <v>80</v>
      </c>
      <c r="B22" s="252"/>
      <c r="C22" s="252"/>
      <c r="D22" s="252"/>
      <c r="E22" s="252"/>
      <c r="F22" s="252"/>
      <c r="G22" s="252"/>
      <c r="H22" s="252"/>
      <c r="I22" s="252"/>
      <c r="J22" s="252"/>
      <c r="K22" s="252"/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  <c r="AA22" s="252"/>
      <c r="AB22" s="252"/>
      <c r="AC22" s="252"/>
      <c r="AD22" s="252"/>
      <c r="AE22" s="252"/>
      <c r="AF22" s="252"/>
      <c r="AG22" s="252"/>
      <c r="AH22" s="252"/>
      <c r="AI22" s="252"/>
      <c r="AJ22" s="252"/>
      <c r="AK22" s="252"/>
      <c r="AL22" s="252"/>
      <c r="AM22" s="252"/>
      <c r="AN22" s="252"/>
      <c r="AO22" s="252"/>
      <c r="AP22" s="252"/>
      <c r="AQ22" s="252"/>
      <c r="AR22" s="252"/>
      <c r="AS22" s="252"/>
      <c r="AT22" s="252"/>
      <c r="AU22" s="252"/>
      <c r="AV22" s="252"/>
      <c r="AW22" s="252"/>
      <c r="AX22" s="252"/>
      <c r="AY22" s="252"/>
      <c r="AZ22" s="252"/>
      <c r="BA22" s="252"/>
      <c r="BB22" s="252"/>
      <c r="BC22" s="252"/>
      <c r="BD22" s="252"/>
      <c r="BE22" s="252"/>
      <c r="BF22" s="252"/>
      <c r="BG22" s="252"/>
      <c r="BH22" s="252"/>
      <c r="BI22" s="252"/>
      <c r="BJ22" s="252"/>
      <c r="BK22" s="252"/>
      <c r="BL22" s="252"/>
      <c r="BM22" s="252"/>
      <c r="BN22" s="252"/>
      <c r="BO22" s="252"/>
      <c r="BP22" s="252"/>
      <c r="BQ22" s="252"/>
      <c r="BR22" s="252"/>
      <c r="BS22" s="252"/>
      <c r="BT22" s="252"/>
      <c r="BU22" s="252"/>
      <c r="BV22" s="252"/>
      <c r="BW22" s="252"/>
      <c r="BX22" s="685">
        <f t="shared" si="0"/>
        <v>0</v>
      </c>
      <c r="BY22" s="685">
        <f t="shared" si="1"/>
        <v>100000</v>
      </c>
    </row>
    <row r="23" spans="1:77" ht="9.6" customHeight="1">
      <c r="A23" s="515" t="s">
        <v>267</v>
      </c>
      <c r="B23" s="252"/>
      <c r="C23" s="252"/>
      <c r="D23" s="252"/>
      <c r="E23" s="640"/>
      <c r="F23" s="640"/>
      <c r="G23" s="640"/>
      <c r="H23" s="640"/>
      <c r="I23" s="640">
        <f>'4.8.22'!E22</f>
        <v>2888</v>
      </c>
      <c r="J23" s="640"/>
      <c r="K23" s="640"/>
      <c r="L23" s="702"/>
      <c r="M23" s="702"/>
      <c r="N23" s="702">
        <f>'4.13.22'!E22</f>
        <v>2850</v>
      </c>
      <c r="O23" s="702"/>
      <c r="P23" s="702"/>
      <c r="Q23" s="702"/>
      <c r="R23" s="702"/>
      <c r="S23" s="738"/>
      <c r="T23" s="738"/>
      <c r="U23" s="738">
        <f>'4.20.22'!E19</f>
        <v>2546</v>
      </c>
      <c r="V23" s="738"/>
      <c r="W23" s="738"/>
      <c r="X23" s="738"/>
      <c r="Y23" s="738"/>
      <c r="Z23" s="252"/>
      <c r="AA23" s="252"/>
      <c r="AB23" s="252">
        <f>'4.27.22'!E22</f>
        <v>2812</v>
      </c>
      <c r="AC23" s="252"/>
      <c r="AD23" s="252"/>
      <c r="AE23" s="252"/>
      <c r="AF23" s="252"/>
      <c r="AG23" s="252"/>
      <c r="AH23" s="252"/>
      <c r="AI23" s="252"/>
      <c r="AJ23" s="252"/>
      <c r="AK23" s="252"/>
      <c r="AL23" s="252"/>
      <c r="AM23" s="252"/>
      <c r="AN23" s="252"/>
      <c r="AO23" s="252"/>
      <c r="AP23" s="252"/>
      <c r="AQ23" s="252"/>
      <c r="AR23" s="252"/>
      <c r="AS23" s="252"/>
      <c r="AT23" s="252"/>
      <c r="AU23" s="252"/>
      <c r="AV23" s="252"/>
      <c r="AW23" s="252"/>
      <c r="AX23" s="252"/>
      <c r="AY23" s="252"/>
      <c r="AZ23" s="252"/>
      <c r="BA23" s="252"/>
      <c r="BB23" s="252"/>
      <c r="BC23" s="252"/>
      <c r="BD23" s="252"/>
      <c r="BE23" s="252"/>
      <c r="BF23" s="252"/>
      <c r="BG23" s="252"/>
      <c r="BH23" s="252"/>
      <c r="BI23" s="252"/>
      <c r="BJ23" s="252"/>
      <c r="BK23" s="252"/>
      <c r="BL23" s="252"/>
      <c r="BM23" s="252"/>
      <c r="BN23" s="252"/>
      <c r="BO23" s="252"/>
      <c r="BP23" s="252"/>
      <c r="BQ23" s="252"/>
      <c r="BR23" s="252"/>
      <c r="BS23" s="252"/>
      <c r="BT23" s="252"/>
      <c r="BU23" s="252"/>
      <c r="BV23" s="252"/>
      <c r="BW23" s="252"/>
      <c r="BX23" s="685">
        <f t="shared" si="0"/>
        <v>11096</v>
      </c>
      <c r="BY23" s="685">
        <f t="shared" si="1"/>
        <v>88904</v>
      </c>
    </row>
    <row r="24" spans="1:77" ht="9.6" customHeight="1">
      <c r="A24" s="195" t="s">
        <v>234</v>
      </c>
      <c r="B24" s="252"/>
      <c r="C24" s="252"/>
      <c r="D24" s="252"/>
      <c r="E24" s="640"/>
      <c r="F24" s="640">
        <f>'4.5.22'!E30</f>
        <v>2261</v>
      </c>
      <c r="G24" s="640"/>
      <c r="H24" s="640"/>
      <c r="I24" s="640"/>
      <c r="J24" s="640"/>
      <c r="K24" s="640"/>
      <c r="L24" s="702"/>
      <c r="M24" s="702">
        <f>'4.12.22'!E31</f>
        <v>2270.5</v>
      </c>
      <c r="N24" s="702"/>
      <c r="O24" s="702"/>
      <c r="P24" s="702"/>
      <c r="Q24" s="702"/>
      <c r="R24" s="702"/>
      <c r="S24" s="738"/>
      <c r="T24" s="738"/>
      <c r="U24" s="738">
        <f>'4.20.22'!E30</f>
        <v>2536.5</v>
      </c>
      <c r="V24" s="738"/>
      <c r="W24" s="738"/>
      <c r="X24" s="738"/>
      <c r="Y24" s="738"/>
      <c r="Z24" s="252"/>
      <c r="AA24" s="252"/>
      <c r="AB24" s="252">
        <f>'4.27.22'!E29</f>
        <v>2346.5</v>
      </c>
      <c r="AC24" s="252">
        <f>'4.28.22'!E29</f>
        <v>2213.5</v>
      </c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  <c r="BK24" s="252"/>
      <c r="BL24" s="252"/>
      <c r="BM24" s="252"/>
      <c r="BN24" s="252"/>
      <c r="BO24" s="252"/>
      <c r="BP24" s="252"/>
      <c r="BQ24" s="252"/>
      <c r="BR24" s="252"/>
      <c r="BS24" s="252"/>
      <c r="BT24" s="252"/>
      <c r="BU24" s="252"/>
      <c r="BV24" s="252"/>
      <c r="BW24" s="252"/>
      <c r="BX24" s="685">
        <f t="shared" si="0"/>
        <v>11628</v>
      </c>
      <c r="BY24" s="685">
        <f t="shared" si="1"/>
        <v>88372</v>
      </c>
    </row>
    <row r="25" spans="1:77" ht="9.6" customHeight="1">
      <c r="A25" s="195" t="s">
        <v>265</v>
      </c>
      <c r="B25" s="252"/>
      <c r="C25" s="252"/>
      <c r="D25" s="252"/>
      <c r="E25" s="640"/>
      <c r="F25" s="640">
        <f>'4.5.22'!E22</f>
        <v>2774</v>
      </c>
      <c r="G25" s="640"/>
      <c r="H25" s="640"/>
      <c r="I25" s="640"/>
      <c r="J25" s="640"/>
      <c r="K25" s="640"/>
      <c r="L25" s="252"/>
      <c r="M25" s="252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  <c r="AA25" s="252"/>
      <c r="AB25" s="252"/>
      <c r="AC25" s="252"/>
      <c r="AD25" s="252"/>
      <c r="AE25" s="252"/>
      <c r="AF25" s="252"/>
      <c r="AG25" s="252"/>
      <c r="AH25" s="252"/>
      <c r="AI25" s="252"/>
      <c r="AJ25" s="252"/>
      <c r="AK25" s="252"/>
      <c r="AL25" s="252"/>
      <c r="AM25" s="252"/>
      <c r="AN25" s="252"/>
      <c r="AO25" s="252"/>
      <c r="AP25" s="252"/>
      <c r="AQ25" s="252"/>
      <c r="AR25" s="252"/>
      <c r="AS25" s="252"/>
      <c r="AT25" s="252"/>
      <c r="AU25" s="252"/>
      <c r="AV25" s="252"/>
      <c r="AW25" s="252"/>
      <c r="AX25" s="252"/>
      <c r="AY25" s="252"/>
      <c r="AZ25" s="252"/>
      <c r="BA25" s="252"/>
      <c r="BB25" s="252"/>
      <c r="BC25" s="252"/>
      <c r="BD25" s="252"/>
      <c r="BE25" s="252"/>
      <c r="BF25" s="252"/>
      <c r="BG25" s="252"/>
      <c r="BH25" s="252"/>
      <c r="BI25" s="252"/>
      <c r="BJ25" s="252"/>
      <c r="BK25" s="252"/>
      <c r="BL25" s="252"/>
      <c r="BM25" s="252"/>
      <c r="BN25" s="252"/>
      <c r="BO25" s="252"/>
      <c r="BP25" s="252"/>
      <c r="BQ25" s="252"/>
      <c r="BR25" s="252"/>
      <c r="BS25" s="252"/>
      <c r="BT25" s="252"/>
      <c r="BU25" s="252"/>
      <c r="BV25" s="252"/>
      <c r="BW25" s="252"/>
      <c r="BX25" s="685">
        <f t="shared" si="0"/>
        <v>2774</v>
      </c>
      <c r="BY25" s="685">
        <f t="shared" si="1"/>
        <v>97226</v>
      </c>
    </row>
    <row r="26" spans="1:77" ht="10.15" customHeight="1">
      <c r="A26" s="195" t="s">
        <v>69</v>
      </c>
      <c r="B26" s="252"/>
      <c r="C26" s="252"/>
      <c r="D26" s="252"/>
      <c r="E26" s="252"/>
      <c r="F26" s="252"/>
      <c r="G26" s="252"/>
      <c r="H26" s="252"/>
      <c r="I26" s="252"/>
      <c r="J26" s="252"/>
      <c r="K26" s="252"/>
      <c r="L26" s="252"/>
      <c r="M26" s="252"/>
      <c r="N26" s="252"/>
      <c r="O26" s="252"/>
      <c r="P26" s="252"/>
      <c r="Q26" s="252"/>
      <c r="R26" s="252"/>
      <c r="S26" s="738"/>
      <c r="T26" s="738"/>
      <c r="U26" s="738"/>
      <c r="V26" s="738"/>
      <c r="W26" s="738">
        <f>'4.22.22'!E22</f>
        <v>2935.5</v>
      </c>
      <c r="X26" s="738"/>
      <c r="Y26" s="738"/>
      <c r="Z26" s="252"/>
      <c r="AA26" s="252"/>
      <c r="AB26" s="252"/>
      <c r="AC26" s="252"/>
      <c r="AD26" s="252">
        <f>'4.29.22'!E22</f>
        <v>2897.5</v>
      </c>
      <c r="AE26" s="252"/>
      <c r="AF26" s="252"/>
      <c r="AG26" s="252"/>
      <c r="AH26" s="252"/>
      <c r="AI26" s="252"/>
      <c r="AJ26" s="252"/>
      <c r="AK26" s="252"/>
      <c r="AL26" s="252"/>
      <c r="AM26" s="252"/>
      <c r="AN26" s="252"/>
      <c r="AO26" s="252"/>
      <c r="AP26" s="252"/>
      <c r="AQ26" s="252"/>
      <c r="AR26" s="252"/>
      <c r="AS26" s="252"/>
      <c r="AT26" s="252"/>
      <c r="AU26" s="252"/>
      <c r="AV26" s="252"/>
      <c r="AW26" s="252"/>
      <c r="AX26" s="252"/>
      <c r="AY26" s="252"/>
      <c r="AZ26" s="252"/>
      <c r="BA26" s="252"/>
      <c r="BB26" s="252"/>
      <c r="BC26" s="252"/>
      <c r="BD26" s="252"/>
      <c r="BE26" s="252"/>
      <c r="BF26" s="252"/>
      <c r="BG26" s="252"/>
      <c r="BH26" s="252"/>
      <c r="BI26" s="252"/>
      <c r="BJ26" s="252"/>
      <c r="BK26" s="252"/>
      <c r="BL26" s="252"/>
      <c r="BM26" s="252"/>
      <c r="BN26" s="252"/>
      <c r="BO26" s="252"/>
      <c r="BP26" s="252"/>
      <c r="BQ26" s="252"/>
      <c r="BR26" s="252"/>
      <c r="BS26" s="252"/>
      <c r="BT26" s="252"/>
      <c r="BU26" s="252"/>
      <c r="BV26" s="252"/>
      <c r="BW26" s="252"/>
      <c r="BX26" s="685">
        <f t="shared" si="0"/>
        <v>5833</v>
      </c>
      <c r="BY26" s="685">
        <f t="shared" si="1"/>
        <v>94167</v>
      </c>
    </row>
    <row r="27" spans="1:77" ht="10.15" customHeight="1">
      <c r="A27" s="195" t="s">
        <v>76</v>
      </c>
      <c r="B27" s="252"/>
      <c r="C27" s="252"/>
      <c r="D27" s="252"/>
      <c r="E27" s="252"/>
      <c r="F27" s="252"/>
      <c r="G27" s="252"/>
      <c r="H27" s="252"/>
      <c r="I27" s="252"/>
      <c r="J27" s="252"/>
      <c r="K27" s="252"/>
      <c r="L27" s="252"/>
      <c r="M27" s="252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  <c r="AA27" s="252"/>
      <c r="AB27" s="252"/>
      <c r="AC27" s="252"/>
      <c r="AD27" s="252"/>
      <c r="AE27" s="252"/>
      <c r="AF27" s="252"/>
      <c r="AG27" s="252"/>
      <c r="AH27" s="252"/>
      <c r="AI27" s="252"/>
      <c r="AJ27" s="252"/>
      <c r="AK27" s="252"/>
      <c r="AL27" s="252"/>
      <c r="AM27" s="252"/>
      <c r="AN27" s="252"/>
      <c r="AO27" s="252"/>
      <c r="AP27" s="252"/>
      <c r="AQ27" s="252"/>
      <c r="AR27" s="252"/>
      <c r="AS27" s="252"/>
      <c r="AT27" s="252"/>
      <c r="AU27" s="252"/>
      <c r="AV27" s="252"/>
      <c r="AW27" s="252"/>
      <c r="AX27" s="252"/>
      <c r="AY27" s="252"/>
      <c r="AZ27" s="252"/>
      <c r="BA27" s="252"/>
      <c r="BB27" s="252"/>
      <c r="BC27" s="252"/>
      <c r="BD27" s="252"/>
      <c r="BE27" s="252"/>
      <c r="BF27" s="252"/>
      <c r="BG27" s="252"/>
      <c r="BH27" s="252"/>
      <c r="BI27" s="252"/>
      <c r="BJ27" s="252"/>
      <c r="BK27" s="252"/>
      <c r="BL27" s="252"/>
      <c r="BM27" s="252"/>
      <c r="BN27" s="252"/>
      <c r="BO27" s="252"/>
      <c r="BP27" s="252"/>
      <c r="BQ27" s="252"/>
      <c r="BR27" s="252"/>
      <c r="BS27" s="252"/>
      <c r="BT27" s="252"/>
      <c r="BU27" s="252"/>
      <c r="BV27" s="252"/>
      <c r="BW27" s="252"/>
      <c r="BX27" s="685">
        <f t="shared" si="0"/>
        <v>0</v>
      </c>
      <c r="BY27" s="685">
        <f>449000-BX27+350000</f>
        <v>799000</v>
      </c>
    </row>
    <row r="28" spans="1:77" ht="10.15" customHeight="1">
      <c r="A28" s="195" t="s">
        <v>186</v>
      </c>
      <c r="B28" s="252"/>
      <c r="C28" s="252"/>
      <c r="D28" s="252"/>
      <c r="E28" s="252"/>
      <c r="F28" s="252"/>
      <c r="G28" s="252"/>
      <c r="H28" s="252"/>
      <c r="I28" s="252"/>
      <c r="J28" s="252"/>
      <c r="K28" s="252"/>
      <c r="L28" s="252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  <c r="AA28" s="252"/>
      <c r="AB28" s="252"/>
      <c r="AC28" s="252"/>
      <c r="AD28" s="252"/>
      <c r="AE28" s="252"/>
      <c r="AF28" s="252"/>
      <c r="AG28" s="252"/>
      <c r="AH28" s="252"/>
      <c r="AI28" s="252"/>
      <c r="AJ28" s="252"/>
      <c r="AK28" s="252"/>
      <c r="AL28" s="252"/>
      <c r="AM28" s="252"/>
      <c r="AN28" s="252"/>
      <c r="AO28" s="252"/>
      <c r="AP28" s="252"/>
      <c r="AQ28" s="252"/>
      <c r="AR28" s="252"/>
      <c r="AS28" s="252"/>
      <c r="AT28" s="252"/>
      <c r="AU28" s="252"/>
      <c r="AV28" s="252"/>
      <c r="AW28" s="252"/>
      <c r="AX28" s="252"/>
      <c r="AY28" s="252"/>
      <c r="AZ28" s="252"/>
      <c r="BA28" s="252"/>
      <c r="BB28" s="252"/>
      <c r="BC28" s="252"/>
      <c r="BD28" s="252"/>
      <c r="BE28" s="252"/>
      <c r="BF28" s="252"/>
      <c r="BG28" s="252"/>
      <c r="BH28" s="252"/>
      <c r="BI28" s="252"/>
      <c r="BJ28" s="252"/>
      <c r="BK28" s="252"/>
      <c r="BL28" s="252"/>
      <c r="BM28" s="252"/>
      <c r="BN28" s="252"/>
      <c r="BO28" s="252"/>
      <c r="BP28" s="252"/>
      <c r="BQ28" s="252"/>
      <c r="BR28" s="252"/>
      <c r="BS28" s="252"/>
      <c r="BT28" s="252"/>
      <c r="BU28" s="252"/>
      <c r="BV28" s="252"/>
      <c r="BW28" s="252"/>
      <c r="BX28" s="685">
        <f t="shared" si="0"/>
        <v>0</v>
      </c>
      <c r="BY28" s="685">
        <f t="shared" ref="BY28" si="2">100000-BX28</f>
        <v>100000</v>
      </c>
    </row>
    <row r="29" spans="1:77" ht="10.15" customHeight="1">
      <c r="A29" s="195" t="s">
        <v>44</v>
      </c>
      <c r="B29" s="589"/>
      <c r="C29" s="589">
        <f>'4.2.22'!E11+'4.2.22'!E22</f>
        <v>5595.5</v>
      </c>
      <c r="D29" s="589"/>
      <c r="E29" s="640"/>
      <c r="F29" s="640"/>
      <c r="G29" s="640"/>
      <c r="H29" s="640">
        <f>'4.7.22'!E29</f>
        <v>1966.5</v>
      </c>
      <c r="I29" s="640"/>
      <c r="J29" s="640">
        <f>'4.9.22'!E10</f>
        <v>570</v>
      </c>
      <c r="K29" s="640">
        <f>'4.10.22'!E18</f>
        <v>3173</v>
      </c>
      <c r="L29" s="252"/>
      <c r="M29" s="252"/>
      <c r="N29" s="252"/>
      <c r="O29" s="252"/>
      <c r="P29" s="252"/>
      <c r="Q29" s="252"/>
      <c r="R29" s="252"/>
      <c r="S29" s="738"/>
      <c r="T29" s="738"/>
      <c r="U29" s="738"/>
      <c r="V29" s="738"/>
      <c r="W29" s="738"/>
      <c r="X29" s="738">
        <f>'4.23.22'!E21</f>
        <v>3496</v>
      </c>
      <c r="Y29" s="738">
        <f>'4.24.22'!E21</f>
        <v>3496</v>
      </c>
      <c r="Z29" s="252"/>
      <c r="AA29" s="252"/>
      <c r="AB29" s="252"/>
      <c r="AC29" s="252"/>
      <c r="AD29" s="252"/>
      <c r="AE29" s="252"/>
      <c r="AF29" s="252"/>
      <c r="AG29" s="252"/>
      <c r="AH29" s="252"/>
      <c r="AI29" s="252"/>
      <c r="AJ29" s="252"/>
      <c r="AK29" s="252"/>
      <c r="AL29" s="252"/>
      <c r="AM29" s="252"/>
      <c r="AN29" s="252"/>
      <c r="AO29" s="252"/>
      <c r="AP29" s="252"/>
      <c r="AQ29" s="252"/>
      <c r="AR29" s="252"/>
      <c r="AS29" s="252"/>
      <c r="AT29" s="252"/>
      <c r="AU29" s="252"/>
      <c r="AV29" s="252"/>
      <c r="AW29" s="252"/>
      <c r="AX29" s="252"/>
      <c r="AY29" s="252"/>
      <c r="AZ29" s="252"/>
      <c r="BA29" s="252"/>
      <c r="BB29" s="252"/>
      <c r="BC29" s="252"/>
      <c r="BD29" s="252"/>
      <c r="BE29" s="252"/>
      <c r="BF29" s="252"/>
      <c r="BG29" s="252"/>
      <c r="BH29" s="252"/>
      <c r="BI29" s="252"/>
      <c r="BJ29" s="252"/>
      <c r="BK29" s="252"/>
      <c r="BL29" s="252"/>
      <c r="BM29" s="252"/>
      <c r="BN29" s="252"/>
      <c r="BO29" s="252"/>
      <c r="BP29" s="252"/>
      <c r="BQ29" s="252"/>
      <c r="BR29" s="252"/>
      <c r="BS29" s="252"/>
      <c r="BT29" s="252"/>
      <c r="BU29" s="252"/>
      <c r="BV29" s="252"/>
      <c r="BW29" s="252"/>
      <c r="BX29" s="685">
        <f t="shared" si="0"/>
        <v>18297</v>
      </c>
      <c r="BY29" s="685">
        <f t="shared" si="1"/>
        <v>81703</v>
      </c>
    </row>
    <row r="30" spans="1:77" ht="10.15" customHeight="1">
      <c r="A30" s="195" t="s">
        <v>143</v>
      </c>
      <c r="B30" s="589"/>
      <c r="C30" s="589"/>
      <c r="D30" s="589"/>
      <c r="E30" s="640"/>
      <c r="F30" s="640"/>
      <c r="G30" s="640"/>
      <c r="H30" s="640"/>
      <c r="I30" s="640"/>
      <c r="J30" s="640">
        <f>'4.9.22'!E28</f>
        <v>1738.5</v>
      </c>
      <c r="K30" s="640"/>
      <c r="L30" s="702"/>
      <c r="M30" s="702"/>
      <c r="N30" s="702">
        <f>'4.13.22'!E18</f>
        <v>4408</v>
      </c>
      <c r="O30" s="702"/>
      <c r="P30" s="702"/>
      <c r="Q30" s="702"/>
      <c r="R30" s="702"/>
      <c r="S30" s="738"/>
      <c r="T30" s="738">
        <f>'4.19.22'!E21</f>
        <v>4085</v>
      </c>
      <c r="U30" s="738"/>
      <c r="V30" s="738"/>
      <c r="W30" s="738"/>
      <c r="X30" s="738"/>
      <c r="Y30" s="738">
        <f>'4.24.22'!E11</f>
        <v>4978</v>
      </c>
      <c r="Z30" s="252"/>
      <c r="AA30" s="252"/>
      <c r="AB30" s="252"/>
      <c r="AC30" s="252"/>
      <c r="AD30" s="252">
        <f>'4.29.22'!E18</f>
        <v>3914</v>
      </c>
      <c r="AE30" s="252"/>
      <c r="AF30" s="252"/>
      <c r="AG30" s="252"/>
      <c r="AH30" s="252"/>
      <c r="AI30" s="252"/>
      <c r="AJ30" s="252"/>
      <c r="AK30" s="252"/>
      <c r="AL30" s="252"/>
      <c r="AM30" s="252"/>
      <c r="AN30" s="252"/>
      <c r="AO30" s="252"/>
      <c r="AP30" s="252"/>
      <c r="AQ30" s="252"/>
      <c r="AR30" s="252"/>
      <c r="AS30" s="252"/>
      <c r="AT30" s="252"/>
      <c r="AU30" s="252"/>
      <c r="AV30" s="252"/>
      <c r="AW30" s="252"/>
      <c r="AX30" s="252"/>
      <c r="AY30" s="252"/>
      <c r="AZ30" s="252"/>
      <c r="BA30" s="252"/>
      <c r="BB30" s="252"/>
      <c r="BC30" s="252"/>
      <c r="BD30" s="252"/>
      <c r="BE30" s="252"/>
      <c r="BF30" s="252"/>
      <c r="BG30" s="252"/>
      <c r="BH30" s="252"/>
      <c r="BI30" s="252"/>
      <c r="BJ30" s="252"/>
      <c r="BK30" s="252"/>
      <c r="BL30" s="252"/>
      <c r="BM30" s="252"/>
      <c r="BN30" s="252"/>
      <c r="BO30" s="252"/>
      <c r="BP30" s="252"/>
      <c r="BQ30" s="252"/>
      <c r="BR30" s="252"/>
      <c r="BS30" s="252"/>
      <c r="BT30" s="252"/>
      <c r="BU30" s="252"/>
      <c r="BV30" s="252"/>
      <c r="BW30" s="252"/>
      <c r="BX30" s="685">
        <f t="shared" si="0"/>
        <v>19123.5</v>
      </c>
      <c r="BY30" s="685">
        <f>100000-BX30+350000+350000</f>
        <v>780876.5</v>
      </c>
    </row>
    <row r="31" spans="1:77" ht="10.15" customHeight="1">
      <c r="A31" s="515" t="s">
        <v>242</v>
      </c>
      <c r="B31" s="589">
        <f>'4.1.22'!E30</f>
        <v>3268</v>
      </c>
      <c r="C31" s="589"/>
      <c r="D31" s="589"/>
      <c r="E31" s="640">
        <f>'4.4.22'!E30</f>
        <v>6013.5</v>
      </c>
      <c r="F31" s="640"/>
      <c r="G31" s="640"/>
      <c r="H31" s="640"/>
      <c r="I31" s="640">
        <f>'4.8.22'!E30</f>
        <v>4854.5</v>
      </c>
      <c r="J31" s="640"/>
      <c r="K31" s="640"/>
      <c r="L31" s="702"/>
      <c r="M31" s="702"/>
      <c r="N31" s="702"/>
      <c r="O31" s="702">
        <f>'4.14.22'!E29</f>
        <v>5006.5</v>
      </c>
      <c r="P31" s="702"/>
      <c r="Q31" s="702">
        <f>'4.16.22'!E28</f>
        <v>4132.5</v>
      </c>
      <c r="R31" s="702"/>
      <c r="S31" s="738"/>
      <c r="T31" s="738"/>
      <c r="U31" s="738"/>
      <c r="V31" s="738">
        <f>'4.21.22'!E30</f>
        <v>3562.5</v>
      </c>
      <c r="W31" s="738">
        <f>'4.22.22'!E30</f>
        <v>4028</v>
      </c>
      <c r="X31" s="738"/>
      <c r="Y31" s="738"/>
      <c r="Z31" s="252"/>
      <c r="AA31" s="252"/>
      <c r="AB31" s="252">
        <f>'4.27.22'!E30</f>
        <v>4883</v>
      </c>
      <c r="AC31" s="252">
        <f>'4.28.22'!E30</f>
        <v>4170.5</v>
      </c>
      <c r="AD31" s="252"/>
      <c r="AE31" s="252"/>
      <c r="AF31" s="252"/>
      <c r="AG31" s="252"/>
      <c r="AH31" s="252"/>
      <c r="AI31" s="252"/>
      <c r="AJ31" s="252"/>
      <c r="AK31" s="252"/>
      <c r="AL31" s="252"/>
      <c r="AM31" s="252"/>
      <c r="AN31" s="252"/>
      <c r="AO31" s="252"/>
      <c r="AP31" s="252"/>
      <c r="AQ31" s="252"/>
      <c r="AR31" s="252"/>
      <c r="AS31" s="252"/>
      <c r="AT31" s="252"/>
      <c r="AU31" s="252"/>
      <c r="AV31" s="252"/>
      <c r="AW31" s="252"/>
      <c r="AX31" s="252"/>
      <c r="AY31" s="252"/>
      <c r="AZ31" s="252"/>
      <c r="BA31" s="252"/>
      <c r="BB31" s="252"/>
      <c r="BC31" s="252"/>
      <c r="BD31" s="252"/>
      <c r="BE31" s="252"/>
      <c r="BF31" s="252"/>
      <c r="BG31" s="252"/>
      <c r="BH31" s="252"/>
      <c r="BI31" s="252"/>
      <c r="BJ31" s="252"/>
      <c r="BK31" s="252"/>
      <c r="BL31" s="252"/>
      <c r="BM31" s="252"/>
      <c r="BN31" s="252"/>
      <c r="BO31" s="252"/>
      <c r="BP31" s="252"/>
      <c r="BQ31" s="252"/>
      <c r="BR31" s="252"/>
      <c r="BS31" s="252"/>
      <c r="BT31" s="252"/>
      <c r="BU31" s="252"/>
      <c r="BV31" s="252"/>
      <c r="BW31" s="252"/>
      <c r="BX31" s="685">
        <f t="shared" si="0"/>
        <v>39919</v>
      </c>
      <c r="BY31" s="685">
        <f>100000-BX31+350000+350000</f>
        <v>760081</v>
      </c>
    </row>
    <row r="32" spans="1:77" ht="10.15" customHeight="1">
      <c r="A32" s="195" t="s">
        <v>81</v>
      </c>
      <c r="B32" s="252"/>
      <c r="C32" s="252"/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  <c r="AA32" s="252"/>
      <c r="AB32" s="252"/>
      <c r="AC32" s="252"/>
      <c r="AD32" s="252"/>
      <c r="AE32" s="252"/>
      <c r="AF32" s="252"/>
      <c r="AG32" s="252"/>
      <c r="AH32" s="252"/>
      <c r="AI32" s="252"/>
      <c r="AJ32" s="252"/>
      <c r="AK32" s="252"/>
      <c r="AL32" s="252"/>
      <c r="AM32" s="252"/>
      <c r="AN32" s="252"/>
      <c r="AO32" s="252"/>
      <c r="AP32" s="252"/>
      <c r="AQ32" s="252"/>
      <c r="AR32" s="252"/>
      <c r="AS32" s="252"/>
      <c r="AT32" s="252"/>
      <c r="AU32" s="252"/>
      <c r="AV32" s="252"/>
      <c r="AW32" s="252"/>
      <c r="AX32" s="252"/>
      <c r="AY32" s="252"/>
      <c r="AZ32" s="252"/>
      <c r="BA32" s="252"/>
      <c r="BB32" s="252"/>
      <c r="BC32" s="252"/>
      <c r="BD32" s="252"/>
      <c r="BE32" s="252"/>
      <c r="BF32" s="252"/>
      <c r="BG32" s="252"/>
      <c r="BH32" s="252"/>
      <c r="BI32" s="252"/>
      <c r="BJ32" s="252"/>
      <c r="BK32" s="252"/>
      <c r="BL32" s="252"/>
      <c r="BM32" s="252"/>
      <c r="BN32" s="252"/>
      <c r="BO32" s="252"/>
      <c r="BP32" s="252"/>
      <c r="BQ32" s="252"/>
      <c r="BR32" s="252"/>
      <c r="BS32" s="252"/>
      <c r="BT32" s="252"/>
      <c r="BU32" s="252"/>
      <c r="BV32" s="252"/>
      <c r="BW32" s="252"/>
      <c r="BX32" s="685">
        <f t="shared" si="0"/>
        <v>0</v>
      </c>
      <c r="BY32" s="685">
        <f t="shared" si="1"/>
        <v>100000</v>
      </c>
    </row>
    <row r="33" spans="1:77" ht="10.15" customHeight="1">
      <c r="A33" s="195" t="s">
        <v>246</v>
      </c>
      <c r="B33" s="589">
        <f>'4.1.22'!E21+'4.1.22'!E28</f>
        <v>3876</v>
      </c>
      <c r="C33" s="589">
        <f>'4.2.22'!E18+'4.2.22'!E29</f>
        <v>4484</v>
      </c>
      <c r="D33" s="589">
        <f>'4.3.22'!E21</f>
        <v>3581.5</v>
      </c>
      <c r="E33" s="640"/>
      <c r="F33" s="640"/>
      <c r="G33" s="640"/>
      <c r="H33" s="640"/>
      <c r="I33" s="640">
        <f>'4.8.22'!E29</f>
        <v>2109</v>
      </c>
      <c r="J33" s="640">
        <f>'4.9.22'!E11+'4.9.22'!E22</f>
        <v>5738</v>
      </c>
      <c r="K33" s="640">
        <f>'4.10.22'!E11+'4.10.22'!E21</f>
        <v>5633.5</v>
      </c>
      <c r="L33" s="702"/>
      <c r="M33" s="702"/>
      <c r="N33" s="702"/>
      <c r="O33" s="702"/>
      <c r="P33" s="702"/>
      <c r="Q33" s="702">
        <f>'4.16.22'!E11+'4.16.22'!E21</f>
        <v>5339</v>
      </c>
      <c r="R33" s="702">
        <f>'4.17.22'!E22</f>
        <v>3800</v>
      </c>
      <c r="S33" s="738"/>
      <c r="T33" s="738"/>
      <c r="U33" s="738"/>
      <c r="V33" s="738"/>
      <c r="W33" s="738"/>
      <c r="X33" s="738">
        <f>'4.23.22'!E12</f>
        <v>3201.5</v>
      </c>
      <c r="Y33" s="738">
        <f>'4.24.22'!E22+'4.24.22'!E29</f>
        <v>6403</v>
      </c>
      <c r="Z33" s="252"/>
      <c r="AA33" s="252"/>
      <c r="AB33" s="252">
        <f>'4.27.22'!E19</f>
        <v>3515</v>
      </c>
      <c r="AC33" s="252">
        <f>'4.28.22'!E19</f>
        <v>3201.5</v>
      </c>
      <c r="AD33" s="252"/>
      <c r="AE33" s="252">
        <f>'4.30.22'!E22</f>
        <v>3876</v>
      </c>
      <c r="AF33" s="252"/>
      <c r="AG33" s="252"/>
      <c r="AH33" s="252"/>
      <c r="AI33" s="252"/>
      <c r="AJ33" s="252"/>
      <c r="AK33" s="252"/>
      <c r="AL33" s="252"/>
      <c r="AM33" s="252"/>
      <c r="AN33" s="252"/>
      <c r="AO33" s="252"/>
      <c r="AP33" s="252"/>
      <c r="AQ33" s="252"/>
      <c r="AR33" s="252"/>
      <c r="AS33" s="252"/>
      <c r="AT33" s="252"/>
      <c r="AU33" s="252"/>
      <c r="AV33" s="252"/>
      <c r="AW33" s="252"/>
      <c r="AX33" s="252"/>
      <c r="AY33" s="252"/>
      <c r="AZ33" s="252"/>
      <c r="BA33" s="252"/>
      <c r="BB33" s="252"/>
      <c r="BC33" s="252"/>
      <c r="BD33" s="252"/>
      <c r="BE33" s="252"/>
      <c r="BF33" s="252"/>
      <c r="BG33" s="252"/>
      <c r="BH33" s="252"/>
      <c r="BI33" s="252"/>
      <c r="BJ33" s="252"/>
      <c r="BK33" s="252"/>
      <c r="BL33" s="252"/>
      <c r="BM33" s="252"/>
      <c r="BN33" s="252"/>
      <c r="BO33" s="252"/>
      <c r="BP33" s="252"/>
      <c r="BQ33" s="252"/>
      <c r="BR33" s="252"/>
      <c r="BS33" s="252"/>
      <c r="BT33" s="252"/>
      <c r="BU33" s="252"/>
      <c r="BV33" s="252"/>
      <c r="BW33" s="252"/>
      <c r="BX33" s="685">
        <f t="shared" si="0"/>
        <v>54758</v>
      </c>
      <c r="BY33" s="685">
        <f t="shared" si="1"/>
        <v>45242</v>
      </c>
    </row>
    <row r="34" spans="1:77" ht="10.15" customHeight="1">
      <c r="A34" s="195" t="s">
        <v>66</v>
      </c>
      <c r="B34" s="589">
        <f>'4.1.22'!E19</f>
        <v>2945</v>
      </c>
      <c r="C34" s="589"/>
      <c r="D34" s="589">
        <f>'4.3.22'!E28</f>
        <v>1881</v>
      </c>
      <c r="E34" s="640"/>
      <c r="F34" s="640">
        <f>'4.5.22'!E21</f>
        <v>2755</v>
      </c>
      <c r="G34" s="640"/>
      <c r="H34" s="640"/>
      <c r="I34" s="640">
        <f>'4.8.22'!E19</f>
        <v>2156.5</v>
      </c>
      <c r="J34" s="640"/>
      <c r="K34" s="640"/>
      <c r="L34" s="702"/>
      <c r="M34" s="702"/>
      <c r="N34" s="702"/>
      <c r="O34" s="702"/>
      <c r="P34" s="702"/>
      <c r="Q34" s="702">
        <f>'4.16.22'!E12</f>
        <v>2859.5</v>
      </c>
      <c r="R34" s="702">
        <f>'4.17.22'!E12</f>
        <v>3049.5</v>
      </c>
      <c r="S34" s="738"/>
      <c r="T34" s="738"/>
      <c r="U34" s="738"/>
      <c r="V34" s="738"/>
      <c r="W34" s="738"/>
      <c r="X34" s="738">
        <f>'4.23.22'!E29</f>
        <v>2137.5</v>
      </c>
      <c r="Y34" s="738"/>
      <c r="Z34" s="252"/>
      <c r="AA34" s="252">
        <f>'4.26.22'!E28</f>
        <v>2717</v>
      </c>
      <c r="AB34" s="252"/>
      <c r="AC34" s="252"/>
      <c r="AD34" s="252">
        <f>'4.29.22'!E28</f>
        <v>2460.5</v>
      </c>
      <c r="AE34" s="252"/>
      <c r="AF34" s="252"/>
      <c r="AG34" s="252"/>
      <c r="AH34" s="252"/>
      <c r="AI34" s="252"/>
      <c r="AJ34" s="252"/>
      <c r="AK34" s="252"/>
      <c r="AL34" s="252"/>
      <c r="AM34" s="252"/>
      <c r="AN34" s="252"/>
      <c r="AO34" s="252"/>
      <c r="AP34" s="252"/>
      <c r="AQ34" s="252"/>
      <c r="AR34" s="252"/>
      <c r="AS34" s="252"/>
      <c r="AT34" s="252"/>
      <c r="AU34" s="252"/>
      <c r="AV34" s="252"/>
      <c r="AW34" s="252"/>
      <c r="AX34" s="252"/>
      <c r="AY34" s="252"/>
      <c r="AZ34" s="252"/>
      <c r="BA34" s="252"/>
      <c r="BB34" s="252"/>
      <c r="BC34" s="252"/>
      <c r="BD34" s="252"/>
      <c r="BE34" s="252"/>
      <c r="BF34" s="252"/>
      <c r="BG34" s="252"/>
      <c r="BH34" s="252"/>
      <c r="BI34" s="252"/>
      <c r="BJ34" s="252"/>
      <c r="BK34" s="252"/>
      <c r="BL34" s="252"/>
      <c r="BM34" s="252"/>
      <c r="BN34" s="252"/>
      <c r="BO34" s="252"/>
      <c r="BP34" s="252"/>
      <c r="BQ34" s="252"/>
      <c r="BR34" s="252"/>
      <c r="BS34" s="252"/>
      <c r="BT34" s="252"/>
      <c r="BU34" s="252"/>
      <c r="BV34" s="252"/>
      <c r="BW34" s="252"/>
      <c r="BX34" s="685">
        <f t="shared" si="0"/>
        <v>22961.5</v>
      </c>
      <c r="BY34" s="685">
        <f t="shared" si="1"/>
        <v>77038.5</v>
      </c>
    </row>
    <row r="35" spans="1:77" ht="10.15" customHeight="1">
      <c r="A35" s="196" t="s">
        <v>65</v>
      </c>
      <c r="B35" s="589"/>
      <c r="C35" s="589"/>
      <c r="D35" s="589">
        <f>'4.3.22'!E22</f>
        <v>4854.5</v>
      </c>
      <c r="E35" s="640"/>
      <c r="F35" s="640"/>
      <c r="G35" s="640">
        <f>'4.6.22'!E28</f>
        <v>2802.5</v>
      </c>
      <c r="H35" s="640"/>
      <c r="I35" s="640"/>
      <c r="J35" s="640"/>
      <c r="K35" s="640"/>
      <c r="L35" s="702"/>
      <c r="M35" s="702"/>
      <c r="N35" s="702"/>
      <c r="O35" s="702">
        <f>'4.14.22'!E19+'4.14.22'!E30</f>
        <v>5662</v>
      </c>
      <c r="P35" s="702"/>
      <c r="Q35" s="702"/>
      <c r="R35" s="702"/>
      <c r="S35" s="738">
        <f>'4.18.22'!E18</f>
        <v>4655</v>
      </c>
      <c r="T35" s="738">
        <f>'4.19.22'!E28</f>
        <v>2736</v>
      </c>
      <c r="U35" s="738"/>
      <c r="V35" s="738"/>
      <c r="W35" s="738"/>
      <c r="X35" s="738"/>
      <c r="Y35" s="738"/>
      <c r="Z35" s="252"/>
      <c r="AA35" s="252"/>
      <c r="AB35" s="252">
        <f>'4.27.22'!E28</f>
        <v>2280</v>
      </c>
      <c r="AC35" s="252"/>
      <c r="AD35" s="252"/>
      <c r="AE35" s="252"/>
      <c r="AF35" s="252"/>
      <c r="AG35" s="252"/>
      <c r="AH35" s="252"/>
      <c r="AI35" s="252"/>
      <c r="AJ35" s="252"/>
      <c r="AK35" s="252"/>
      <c r="AL35" s="252"/>
      <c r="AM35" s="252"/>
      <c r="AN35" s="252"/>
      <c r="AO35" s="252"/>
      <c r="AP35" s="252"/>
      <c r="AQ35" s="252"/>
      <c r="AR35" s="252"/>
      <c r="AS35" s="252"/>
      <c r="AT35" s="252"/>
      <c r="AU35" s="252"/>
      <c r="AV35" s="252"/>
      <c r="AW35" s="252"/>
      <c r="AX35" s="252"/>
      <c r="AY35" s="252"/>
      <c r="AZ35" s="252"/>
      <c r="BA35" s="252"/>
      <c r="BB35" s="252"/>
      <c r="BC35" s="252"/>
      <c r="BD35" s="252"/>
      <c r="BE35" s="252"/>
      <c r="BF35" s="252"/>
      <c r="BG35" s="252"/>
      <c r="BH35" s="252"/>
      <c r="BI35" s="252"/>
      <c r="BJ35" s="252"/>
      <c r="BK35" s="252"/>
      <c r="BL35" s="252"/>
      <c r="BM35" s="252"/>
      <c r="BN35" s="252"/>
      <c r="BO35" s="252"/>
      <c r="BP35" s="252"/>
      <c r="BQ35" s="252"/>
      <c r="BR35" s="252"/>
      <c r="BS35" s="252"/>
      <c r="BT35" s="252"/>
      <c r="BU35" s="252"/>
      <c r="BV35" s="252"/>
      <c r="BW35" s="252"/>
      <c r="BX35" s="685">
        <f t="shared" si="0"/>
        <v>22990</v>
      </c>
      <c r="BY35" s="685">
        <f>449000-BX35+350000</f>
        <v>776010</v>
      </c>
    </row>
    <row r="36" spans="1:77" ht="10.15" customHeight="1">
      <c r="A36" s="195" t="s">
        <v>82</v>
      </c>
      <c r="B36" s="589"/>
      <c r="C36" s="589"/>
      <c r="D36" s="589"/>
      <c r="E36" s="640">
        <f>'4.4.22'!E21+'4.4.22'!E28</f>
        <v>5795</v>
      </c>
      <c r="F36" s="640">
        <f>'4.5.22'!E29</f>
        <v>2061.5</v>
      </c>
      <c r="G36" s="640"/>
      <c r="H36" s="640"/>
      <c r="I36" s="640"/>
      <c r="J36" s="640"/>
      <c r="K36" s="640"/>
      <c r="L36" s="702"/>
      <c r="M36" s="702">
        <f>'4.12.22'!E19</f>
        <v>3724</v>
      </c>
      <c r="N36" s="702"/>
      <c r="O36" s="702"/>
      <c r="P36" s="702"/>
      <c r="Q36" s="702"/>
      <c r="R36" s="702"/>
      <c r="S36" s="738"/>
      <c r="T36" s="738">
        <f>'4.19.22'!E19</f>
        <v>3515</v>
      </c>
      <c r="U36" s="738"/>
      <c r="V36" s="738"/>
      <c r="W36" s="738"/>
      <c r="X36" s="738"/>
      <c r="Y36" s="738"/>
      <c r="Z36" s="252"/>
      <c r="AA36" s="252">
        <f>'4.26.22'!E19</f>
        <v>3752.5</v>
      </c>
      <c r="AB36" s="252"/>
      <c r="AC36" s="252"/>
      <c r="AD36" s="252"/>
      <c r="AE36" s="252"/>
      <c r="AF36" s="252"/>
      <c r="AG36" s="252"/>
      <c r="AH36" s="252"/>
      <c r="AI36" s="252"/>
      <c r="AJ36" s="252"/>
      <c r="AK36" s="252"/>
      <c r="AL36" s="252"/>
      <c r="AM36" s="252"/>
      <c r="AN36" s="252"/>
      <c r="AO36" s="252"/>
      <c r="AP36" s="252"/>
      <c r="AQ36" s="252"/>
      <c r="AR36" s="252"/>
      <c r="AS36" s="252"/>
      <c r="AT36" s="252"/>
      <c r="AU36" s="252"/>
      <c r="AV36" s="252"/>
      <c r="AW36" s="252"/>
      <c r="AX36" s="252"/>
      <c r="AY36" s="252"/>
      <c r="AZ36" s="252"/>
      <c r="BA36" s="252"/>
      <c r="BB36" s="252"/>
      <c r="BC36" s="252"/>
      <c r="BD36" s="252"/>
      <c r="BE36" s="252"/>
      <c r="BF36" s="252"/>
      <c r="BG36" s="252"/>
      <c r="BH36" s="252"/>
      <c r="BI36" s="252"/>
      <c r="BJ36" s="252"/>
      <c r="BK36" s="252"/>
      <c r="BL36" s="252"/>
      <c r="BM36" s="252"/>
      <c r="BN36" s="252"/>
      <c r="BO36" s="252"/>
      <c r="BP36" s="252"/>
      <c r="BQ36" s="252"/>
      <c r="BR36" s="252"/>
      <c r="BS36" s="252"/>
      <c r="BT36" s="252"/>
      <c r="BU36" s="252"/>
      <c r="BV36" s="252"/>
      <c r="BW36" s="252"/>
      <c r="BX36" s="685">
        <f t="shared" si="0"/>
        <v>18848</v>
      </c>
      <c r="BY36" s="685">
        <f>100000-BX36+350000</f>
        <v>431152</v>
      </c>
    </row>
    <row r="37" spans="1:77" ht="10.15" customHeight="1">
      <c r="A37" s="195" t="s">
        <v>83</v>
      </c>
      <c r="B37" s="589">
        <f>'4.1.22'!E18</f>
        <v>2736</v>
      </c>
      <c r="C37" s="589">
        <f>'4.2.22'!E12</f>
        <v>2308.5</v>
      </c>
      <c r="D37" s="589"/>
      <c r="E37" s="640">
        <f>'4.4.22'!E29</f>
        <v>2688.5</v>
      </c>
      <c r="F37" s="640"/>
      <c r="G37" s="640"/>
      <c r="H37" s="640"/>
      <c r="I37" s="640">
        <f>'4.8.22'!E18</f>
        <v>2308.5</v>
      </c>
      <c r="J37" s="640"/>
      <c r="K37" s="640">
        <f>'4.10.22'!E19</f>
        <v>2983</v>
      </c>
      <c r="L37" s="702">
        <f>'4.11.22'!E21</f>
        <v>2584</v>
      </c>
      <c r="M37" s="702"/>
      <c r="N37" s="702"/>
      <c r="O37" s="702"/>
      <c r="P37" s="702"/>
      <c r="Q37" s="702"/>
      <c r="R37" s="702">
        <f>'4.17.22'!E30</f>
        <v>2033</v>
      </c>
      <c r="S37" s="252"/>
      <c r="T37" s="252"/>
      <c r="U37" s="252"/>
      <c r="V37" s="252"/>
      <c r="W37" s="252"/>
      <c r="X37" s="252"/>
      <c r="Y37" s="252"/>
      <c r="Z37" s="252">
        <f>'4.25.22'!E28</f>
        <v>2422.5</v>
      </c>
      <c r="AA37" s="252"/>
      <c r="AB37" s="252"/>
      <c r="AC37" s="252"/>
      <c r="AD37" s="252">
        <f>'4.29.22'!E21</f>
        <v>2546</v>
      </c>
      <c r="AE37" s="252"/>
      <c r="AF37" s="252"/>
      <c r="AG37" s="252"/>
      <c r="AH37" s="252"/>
      <c r="AI37" s="252"/>
      <c r="AJ37" s="252"/>
      <c r="AK37" s="252"/>
      <c r="AL37" s="252"/>
      <c r="AM37" s="252"/>
      <c r="AN37" s="252"/>
      <c r="AO37" s="252"/>
      <c r="AP37" s="252"/>
      <c r="AQ37" s="252"/>
      <c r="AR37" s="252"/>
      <c r="AS37" s="252"/>
      <c r="AT37" s="252"/>
      <c r="AU37" s="252"/>
      <c r="AV37" s="252"/>
      <c r="AW37" s="252"/>
      <c r="AX37" s="252"/>
      <c r="AY37" s="252"/>
      <c r="AZ37" s="252"/>
      <c r="BA37" s="252"/>
      <c r="BB37" s="252"/>
      <c r="BC37" s="252"/>
      <c r="BD37" s="252"/>
      <c r="BE37" s="252"/>
      <c r="BF37" s="252"/>
      <c r="BG37" s="252"/>
      <c r="BH37" s="252"/>
      <c r="BI37" s="252"/>
      <c r="BJ37" s="252"/>
      <c r="BK37" s="252"/>
      <c r="BL37" s="252"/>
      <c r="BM37" s="252"/>
      <c r="BN37" s="252"/>
      <c r="BO37" s="252"/>
      <c r="BP37" s="252"/>
      <c r="BQ37" s="252"/>
      <c r="BR37" s="252"/>
      <c r="BS37" s="252"/>
      <c r="BT37" s="252"/>
      <c r="BU37" s="252"/>
      <c r="BV37" s="252"/>
      <c r="BW37" s="252"/>
      <c r="BX37" s="685">
        <f t="shared" si="0"/>
        <v>22610</v>
      </c>
      <c r="BY37" s="685">
        <f t="shared" si="1"/>
        <v>77390</v>
      </c>
    </row>
    <row r="38" spans="1:77" ht="10.15" customHeight="1">
      <c r="A38" s="195" t="s">
        <v>159</v>
      </c>
      <c r="B38" s="252"/>
      <c r="C38" s="252"/>
      <c r="D38" s="252"/>
      <c r="E38" s="640"/>
      <c r="F38" s="640"/>
      <c r="G38" s="640">
        <f>'4.6.22'!E18</f>
        <v>3078</v>
      </c>
      <c r="H38" s="640"/>
      <c r="I38" s="640"/>
      <c r="J38" s="640"/>
      <c r="K38" s="640">
        <f>'4.10.22'!E29</f>
        <v>2118.5</v>
      </c>
      <c r="L38" s="252"/>
      <c r="M38" s="252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  <c r="AA38" s="252"/>
      <c r="AB38" s="252"/>
      <c r="AC38" s="252">
        <f>'4.28.22'!E18</f>
        <v>2071</v>
      </c>
      <c r="AD38" s="252"/>
      <c r="AE38" s="252"/>
      <c r="AF38" s="252"/>
      <c r="AG38" s="252"/>
      <c r="AH38" s="252"/>
      <c r="AI38" s="252"/>
      <c r="AJ38" s="252"/>
      <c r="AK38" s="252"/>
      <c r="AL38" s="252"/>
      <c r="AM38" s="252"/>
      <c r="AN38" s="252"/>
      <c r="AO38" s="252"/>
      <c r="AP38" s="252"/>
      <c r="AQ38" s="252"/>
      <c r="AR38" s="252"/>
      <c r="AS38" s="252"/>
      <c r="AT38" s="252"/>
      <c r="AU38" s="252"/>
      <c r="AV38" s="252"/>
      <c r="AW38" s="252"/>
      <c r="AX38" s="252"/>
      <c r="AY38" s="252"/>
      <c r="AZ38" s="252"/>
      <c r="BA38" s="252"/>
      <c r="BB38" s="252"/>
      <c r="BC38" s="252"/>
      <c r="BD38" s="252"/>
      <c r="BE38" s="252"/>
      <c r="BF38" s="252"/>
      <c r="BG38" s="252"/>
      <c r="BH38" s="252"/>
      <c r="BI38" s="252"/>
      <c r="BJ38" s="252"/>
      <c r="BK38" s="252"/>
      <c r="BL38" s="252"/>
      <c r="BM38" s="252"/>
      <c r="BN38" s="252"/>
      <c r="BO38" s="252"/>
      <c r="BP38" s="252"/>
      <c r="BQ38" s="252"/>
      <c r="BR38" s="252"/>
      <c r="BS38" s="252"/>
      <c r="BT38" s="252"/>
      <c r="BU38" s="252"/>
      <c r="BV38" s="252"/>
      <c r="BW38" s="252"/>
      <c r="BX38" s="685">
        <f t="shared" si="0"/>
        <v>7267.5</v>
      </c>
      <c r="BY38" s="685">
        <f t="shared" si="1"/>
        <v>92732.5</v>
      </c>
    </row>
    <row r="39" spans="1:77" ht="10.15" customHeight="1">
      <c r="A39" s="195" t="s">
        <v>145</v>
      </c>
      <c r="B39" s="589">
        <f>'4.1.22'!E22</f>
        <v>4066</v>
      </c>
      <c r="C39" s="589">
        <f>'4.2.22'!E19+'4.2.22'!E30</f>
        <v>5757</v>
      </c>
      <c r="D39" s="589"/>
      <c r="E39" s="252"/>
      <c r="F39" s="252"/>
      <c r="G39" s="252"/>
      <c r="H39" s="252"/>
      <c r="I39" s="252"/>
      <c r="J39" s="252"/>
      <c r="K39" s="252"/>
      <c r="L39" s="702"/>
      <c r="M39" s="702"/>
      <c r="N39" s="702">
        <f>'4.13.22'!E28</f>
        <v>1729</v>
      </c>
      <c r="O39" s="702"/>
      <c r="P39" s="702"/>
      <c r="Q39" s="702">
        <f>'4.16.22'!E29</f>
        <v>1947.5</v>
      </c>
      <c r="R39" s="702"/>
      <c r="S39" s="738"/>
      <c r="T39" s="738">
        <f>'4.19.22'!E29</f>
        <v>2869</v>
      </c>
      <c r="U39" s="738"/>
      <c r="V39" s="738"/>
      <c r="W39" s="738"/>
      <c r="X39" s="738">
        <f>'4.23.22'!E11</f>
        <v>4218</v>
      </c>
      <c r="Y39" s="738"/>
      <c r="Z39" s="252"/>
      <c r="AA39" s="252"/>
      <c r="AB39" s="252"/>
      <c r="AC39" s="252">
        <f>'4.28.22'!E22</f>
        <v>3942.5</v>
      </c>
      <c r="AD39" s="252"/>
      <c r="AE39" s="252"/>
      <c r="AF39" s="252"/>
      <c r="AG39" s="252"/>
      <c r="AH39" s="252"/>
      <c r="AI39" s="252"/>
      <c r="AJ39" s="252"/>
      <c r="AK39" s="252"/>
      <c r="AL39" s="252"/>
      <c r="AM39" s="252"/>
      <c r="AN39" s="252"/>
      <c r="AO39" s="252"/>
      <c r="AP39" s="252"/>
      <c r="AQ39" s="252"/>
      <c r="AR39" s="252"/>
      <c r="AS39" s="252"/>
      <c r="AT39" s="252"/>
      <c r="AU39" s="252"/>
      <c r="AV39" s="252"/>
      <c r="AW39" s="252"/>
      <c r="AX39" s="252"/>
      <c r="AY39" s="252"/>
      <c r="AZ39" s="252"/>
      <c r="BA39" s="252"/>
      <c r="BB39" s="252"/>
      <c r="BC39" s="252"/>
      <c r="BD39" s="252"/>
      <c r="BE39" s="252"/>
      <c r="BF39" s="252"/>
      <c r="BG39" s="252"/>
      <c r="BH39" s="252"/>
      <c r="BI39" s="252"/>
      <c r="BJ39" s="252"/>
      <c r="BK39" s="252"/>
      <c r="BL39" s="252"/>
      <c r="BM39" s="252"/>
      <c r="BN39" s="252"/>
      <c r="BO39" s="252"/>
      <c r="BP39" s="252"/>
      <c r="BQ39" s="252"/>
      <c r="BR39" s="252"/>
      <c r="BS39" s="252"/>
      <c r="BT39" s="252"/>
      <c r="BU39" s="252"/>
      <c r="BV39" s="252"/>
      <c r="BW39" s="252"/>
      <c r="BX39" s="685">
        <f t="shared" si="0"/>
        <v>24529</v>
      </c>
      <c r="BY39" s="685">
        <f>100000-BX39+449000</f>
        <v>524471</v>
      </c>
    </row>
    <row r="40" spans="1:77" ht="10.15" customHeight="1">
      <c r="A40" s="195" t="s">
        <v>84</v>
      </c>
      <c r="B40" s="252"/>
      <c r="C40" s="252"/>
      <c r="D40" s="252"/>
      <c r="E40" s="252"/>
      <c r="F40" s="252"/>
      <c r="G40" s="252"/>
      <c r="H40" s="252"/>
      <c r="I40" s="252"/>
      <c r="J40" s="252"/>
      <c r="K40" s="252"/>
      <c r="L40" s="252"/>
      <c r="M40" s="252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  <c r="AA40" s="252"/>
      <c r="AB40" s="252"/>
      <c r="AC40" s="252"/>
      <c r="AD40" s="252"/>
      <c r="AE40" s="252"/>
      <c r="AF40" s="252"/>
      <c r="AG40" s="252"/>
      <c r="AH40" s="252"/>
      <c r="AI40" s="252"/>
      <c r="AJ40" s="252"/>
      <c r="AK40" s="252"/>
      <c r="AL40" s="252"/>
      <c r="AM40" s="252"/>
      <c r="AN40" s="252"/>
      <c r="AO40" s="252"/>
      <c r="AP40" s="252"/>
      <c r="AQ40" s="252"/>
      <c r="AR40" s="252"/>
      <c r="AS40" s="252"/>
      <c r="AT40" s="252"/>
      <c r="AU40" s="252"/>
      <c r="AV40" s="252"/>
      <c r="AW40" s="252"/>
      <c r="AX40" s="252"/>
      <c r="AY40" s="252"/>
      <c r="AZ40" s="252"/>
      <c r="BA40" s="252"/>
      <c r="BB40" s="252"/>
      <c r="BC40" s="252"/>
      <c r="BD40" s="252"/>
      <c r="BE40" s="252"/>
      <c r="BF40" s="252"/>
      <c r="BG40" s="252"/>
      <c r="BH40" s="252"/>
      <c r="BI40" s="252"/>
      <c r="BJ40" s="252"/>
      <c r="BK40" s="252"/>
      <c r="BL40" s="252"/>
      <c r="BM40" s="252"/>
      <c r="BN40" s="252"/>
      <c r="BO40" s="252"/>
      <c r="BP40" s="252"/>
      <c r="BQ40" s="252"/>
      <c r="BR40" s="252"/>
      <c r="BS40" s="252"/>
      <c r="BT40" s="252"/>
      <c r="BU40" s="252"/>
      <c r="BV40" s="252"/>
      <c r="BW40" s="252"/>
      <c r="BX40" s="685">
        <f t="shared" si="0"/>
        <v>0</v>
      </c>
      <c r="BY40" s="685">
        <f>100000-BX40+350000</f>
        <v>450000</v>
      </c>
    </row>
    <row r="41" spans="1:77" ht="10.15" customHeight="1">
      <c r="A41" s="195" t="s">
        <v>58</v>
      </c>
      <c r="B41" s="252"/>
      <c r="C41" s="252"/>
      <c r="D41" s="252"/>
      <c r="E41" s="252"/>
      <c r="F41" s="252"/>
      <c r="G41" s="252"/>
      <c r="H41" s="252"/>
      <c r="I41" s="252"/>
      <c r="J41" s="252"/>
      <c r="K41" s="252"/>
      <c r="L41" s="252"/>
      <c r="M41" s="252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  <c r="AA41" s="252"/>
      <c r="AB41" s="252"/>
      <c r="AC41" s="252"/>
      <c r="AD41" s="252"/>
      <c r="AE41" s="252"/>
      <c r="AF41" s="252"/>
      <c r="AG41" s="252"/>
      <c r="AH41" s="252"/>
      <c r="AI41" s="252"/>
      <c r="AJ41" s="252"/>
      <c r="AK41" s="252"/>
      <c r="AL41" s="252"/>
      <c r="AM41" s="252"/>
      <c r="AN41" s="252"/>
      <c r="AO41" s="252"/>
      <c r="AP41" s="252"/>
      <c r="AQ41" s="252"/>
      <c r="AR41" s="252"/>
      <c r="AS41" s="252"/>
      <c r="AT41" s="252"/>
      <c r="AU41" s="252"/>
      <c r="AV41" s="252"/>
      <c r="AW41" s="252"/>
      <c r="AX41" s="252"/>
      <c r="AY41" s="252"/>
      <c r="AZ41" s="252"/>
      <c r="BA41" s="252"/>
      <c r="BB41" s="252"/>
      <c r="BC41" s="252"/>
      <c r="BD41" s="252"/>
      <c r="BE41" s="252"/>
      <c r="BF41" s="252"/>
      <c r="BG41" s="252"/>
      <c r="BH41" s="252"/>
      <c r="BI41" s="252"/>
      <c r="BJ41" s="252"/>
      <c r="BK41" s="252"/>
      <c r="BL41" s="252"/>
      <c r="BM41" s="252"/>
      <c r="BN41" s="252"/>
      <c r="BO41" s="252"/>
      <c r="BP41" s="252"/>
      <c r="BQ41" s="252"/>
      <c r="BR41" s="252"/>
      <c r="BS41" s="252"/>
      <c r="BT41" s="252"/>
      <c r="BU41" s="252"/>
      <c r="BV41" s="252"/>
      <c r="BW41" s="252"/>
      <c r="BX41" s="685">
        <f t="shared" si="0"/>
        <v>0</v>
      </c>
      <c r="BY41" s="685">
        <f t="shared" si="1"/>
        <v>100000</v>
      </c>
    </row>
    <row r="42" spans="1:77" ht="10.15" customHeight="1">
      <c r="A42" s="195" t="s">
        <v>45</v>
      </c>
      <c r="B42" s="589"/>
      <c r="C42" s="589"/>
      <c r="D42" s="589"/>
      <c r="E42" s="640"/>
      <c r="F42" s="640">
        <f>'4.5.22'!E18</f>
        <v>4265.5</v>
      </c>
      <c r="G42" s="640"/>
      <c r="H42" s="640"/>
      <c r="I42" s="640"/>
      <c r="J42" s="640"/>
      <c r="K42" s="640">
        <f>'4.10.22'!E12</f>
        <v>4180</v>
      </c>
      <c r="L42" s="702"/>
      <c r="M42" s="702"/>
      <c r="N42" s="702"/>
      <c r="O42" s="702"/>
      <c r="P42" s="702">
        <f>'4.15.22'!E19</f>
        <v>3695.5</v>
      </c>
      <c r="Q42" s="702"/>
      <c r="R42" s="702">
        <f>'4.17.22'!E28</f>
        <v>2821.5</v>
      </c>
      <c r="S42" s="738"/>
      <c r="T42" s="738"/>
      <c r="U42" s="738"/>
      <c r="V42" s="738">
        <f>'4.21.22'!E21</f>
        <v>3838</v>
      </c>
      <c r="W42" s="738"/>
      <c r="X42" s="738"/>
      <c r="Y42" s="738">
        <f>'4.24.22'!E12</f>
        <v>4009</v>
      </c>
      <c r="Z42" s="252"/>
      <c r="AA42" s="252">
        <f>'4.26.22'!E22</f>
        <v>4351</v>
      </c>
      <c r="AB42" s="252"/>
      <c r="AC42" s="252"/>
      <c r="AD42" s="252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252"/>
      <c r="AR42" s="252"/>
      <c r="AS42" s="252"/>
      <c r="AT42" s="252"/>
      <c r="AU42" s="252"/>
      <c r="AV42" s="252"/>
      <c r="AW42" s="252"/>
      <c r="AX42" s="252"/>
      <c r="AY42" s="252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252"/>
      <c r="BM42" s="252"/>
      <c r="BN42" s="252"/>
      <c r="BO42" s="252"/>
      <c r="BP42" s="252"/>
      <c r="BQ42" s="252"/>
      <c r="BR42" s="252"/>
      <c r="BS42" s="252"/>
      <c r="BT42" s="252"/>
      <c r="BU42" s="252"/>
      <c r="BV42" s="252"/>
      <c r="BW42" s="252"/>
      <c r="BX42" s="685">
        <f t="shared" si="0"/>
        <v>27160.5</v>
      </c>
      <c r="BY42" s="685">
        <f>100000-BX42+350000</f>
        <v>422839.5</v>
      </c>
    </row>
    <row r="43" spans="1:77" ht="10.15" customHeight="1">
      <c r="A43" s="195" t="s">
        <v>172</v>
      </c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  <c r="AA43" s="252"/>
      <c r="AB43" s="252"/>
      <c r="AC43" s="252"/>
      <c r="AD43" s="252"/>
      <c r="AE43" s="252"/>
      <c r="AF43" s="252"/>
      <c r="AG43" s="252"/>
      <c r="AH43" s="252"/>
      <c r="AI43" s="252"/>
      <c r="AJ43" s="252"/>
      <c r="AK43" s="252"/>
      <c r="AL43" s="252"/>
      <c r="AM43" s="252"/>
      <c r="AN43" s="252"/>
      <c r="AO43" s="252"/>
      <c r="AP43" s="252"/>
      <c r="AQ43" s="252"/>
      <c r="AR43" s="252"/>
      <c r="AS43" s="252"/>
      <c r="AT43" s="252"/>
      <c r="AU43" s="252"/>
      <c r="AV43" s="252"/>
      <c r="AW43" s="252"/>
      <c r="AX43" s="252"/>
      <c r="AY43" s="252"/>
      <c r="AZ43" s="252"/>
      <c r="BA43" s="252"/>
      <c r="BB43" s="252"/>
      <c r="BC43" s="252"/>
      <c r="BD43" s="252"/>
      <c r="BE43" s="252"/>
      <c r="BF43" s="252"/>
      <c r="BG43" s="252"/>
      <c r="BH43" s="252"/>
      <c r="BI43" s="252"/>
      <c r="BJ43" s="252"/>
      <c r="BK43" s="252"/>
      <c r="BL43" s="252"/>
      <c r="BM43" s="252"/>
      <c r="BN43" s="252"/>
      <c r="BO43" s="252"/>
      <c r="BP43" s="252"/>
      <c r="BQ43" s="252"/>
      <c r="BR43" s="252"/>
      <c r="BS43" s="252"/>
      <c r="BT43" s="252"/>
      <c r="BU43" s="252"/>
      <c r="BV43" s="252"/>
      <c r="BW43" s="252"/>
      <c r="BX43" s="685">
        <f t="shared" si="0"/>
        <v>0</v>
      </c>
      <c r="BY43" s="685">
        <f t="shared" si="1"/>
        <v>100000</v>
      </c>
    </row>
    <row r="44" spans="1:77" ht="10.15" customHeight="1">
      <c r="A44" s="195" t="s">
        <v>144</v>
      </c>
      <c r="B44" s="589"/>
      <c r="C44" s="589"/>
      <c r="D44" s="589"/>
      <c r="E44" s="640"/>
      <c r="F44" s="640"/>
      <c r="G44" s="640"/>
      <c r="H44" s="640">
        <f>'4.7.22'!E22</f>
        <v>2992.5</v>
      </c>
      <c r="I44" s="640"/>
      <c r="J44" s="640"/>
      <c r="K44" s="640"/>
      <c r="L44" s="252"/>
      <c r="M44" s="252"/>
      <c r="N44" s="252"/>
      <c r="O44" s="252"/>
      <c r="P44" s="252"/>
      <c r="Q44" s="252"/>
      <c r="R44" s="252"/>
      <c r="S44" s="738"/>
      <c r="T44" s="738"/>
      <c r="U44" s="738"/>
      <c r="V44" s="738">
        <f>'4.21.22'!E28</f>
        <v>1786</v>
      </c>
      <c r="W44" s="738"/>
      <c r="X44" s="738"/>
      <c r="Y44" s="738"/>
      <c r="Z44" s="252"/>
      <c r="AA44" s="252"/>
      <c r="AB44" s="252">
        <f>'4.27.22'!E21</f>
        <v>2954.5</v>
      </c>
      <c r="AC44" s="252"/>
      <c r="AD44" s="252"/>
      <c r="AE44" s="252"/>
      <c r="AF44" s="252"/>
      <c r="AG44" s="252"/>
      <c r="AH44" s="252"/>
      <c r="AI44" s="252"/>
      <c r="AJ44" s="252"/>
      <c r="AK44" s="252"/>
      <c r="AL44" s="252"/>
      <c r="AM44" s="252"/>
      <c r="AN44" s="252"/>
      <c r="AO44" s="252"/>
      <c r="AP44" s="252"/>
      <c r="AQ44" s="252"/>
      <c r="AR44" s="252"/>
      <c r="AS44" s="252"/>
      <c r="AT44" s="252"/>
      <c r="AU44" s="252"/>
      <c r="AV44" s="252"/>
      <c r="AW44" s="252"/>
      <c r="AX44" s="252"/>
      <c r="AY44" s="252"/>
      <c r="AZ44" s="252"/>
      <c r="BA44" s="252"/>
      <c r="BB44" s="252"/>
      <c r="BC44" s="252"/>
      <c r="BD44" s="252"/>
      <c r="BE44" s="252"/>
      <c r="BF44" s="252"/>
      <c r="BG44" s="252"/>
      <c r="BH44" s="252"/>
      <c r="BI44" s="252"/>
      <c r="BJ44" s="252"/>
      <c r="BK44" s="252"/>
      <c r="BL44" s="252"/>
      <c r="BM44" s="252"/>
      <c r="BN44" s="252"/>
      <c r="BO44" s="252"/>
      <c r="BP44" s="252"/>
      <c r="BQ44" s="252"/>
      <c r="BR44" s="252"/>
      <c r="BS44" s="252"/>
      <c r="BT44" s="252"/>
      <c r="BU44" s="252"/>
      <c r="BV44" s="252"/>
      <c r="BW44" s="252"/>
      <c r="BX44" s="685">
        <f t="shared" si="0"/>
        <v>7733</v>
      </c>
      <c r="BY44" s="685">
        <f t="shared" si="1"/>
        <v>92267</v>
      </c>
    </row>
    <row r="45" spans="1:77" ht="10.15" customHeight="1">
      <c r="A45" s="195" t="s">
        <v>240</v>
      </c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252"/>
      <c r="BV45" s="252"/>
      <c r="BW45" s="252"/>
      <c r="BX45" s="685">
        <f t="shared" si="0"/>
        <v>0</v>
      </c>
      <c r="BY45" s="685">
        <f t="shared" si="1"/>
        <v>100000</v>
      </c>
    </row>
    <row r="46" spans="1:77" ht="10.15" customHeight="1">
      <c r="A46" s="195" t="s">
        <v>258</v>
      </c>
      <c r="B46" s="589"/>
      <c r="C46" s="589"/>
      <c r="D46" s="589"/>
      <c r="E46" s="640"/>
      <c r="F46" s="640"/>
      <c r="G46" s="640">
        <f>'4.6.22'!E30</f>
        <v>2850</v>
      </c>
      <c r="H46" s="640"/>
      <c r="I46" s="640"/>
      <c r="J46" s="640">
        <f>'4.9.22'!E30+'4.9.22'!E19</f>
        <v>6165.5</v>
      </c>
      <c r="K46" s="640"/>
      <c r="L46" s="702">
        <f>'4.11.22'!E30</f>
        <v>2622</v>
      </c>
      <c r="M46" s="702"/>
      <c r="N46" s="702">
        <f>'4.13.22'!E29</f>
        <v>2375</v>
      </c>
      <c r="O46" s="702"/>
      <c r="P46" s="702"/>
      <c r="Q46" s="702"/>
      <c r="R46" s="702"/>
      <c r="S46" s="738"/>
      <c r="T46" s="738"/>
      <c r="U46" s="738">
        <f>'4.20.22'!E29</f>
        <v>2745.5</v>
      </c>
      <c r="V46" s="738"/>
      <c r="W46" s="738"/>
      <c r="X46" s="738"/>
      <c r="Y46" s="738"/>
      <c r="Z46" s="252">
        <f>'4.25.22'!E30</f>
        <v>2707.5</v>
      </c>
      <c r="AA46" s="252"/>
      <c r="AB46" s="252"/>
      <c r="AC46" s="252"/>
      <c r="AD46" s="252"/>
      <c r="AE46" s="252">
        <f>'4.30.22'!E30</f>
        <v>2660</v>
      </c>
      <c r="AF46" s="252"/>
      <c r="AG46" s="252"/>
      <c r="AH46" s="252"/>
      <c r="AI46" s="252"/>
      <c r="AJ46" s="252"/>
      <c r="AK46" s="252"/>
      <c r="AL46" s="252"/>
      <c r="AM46" s="252"/>
      <c r="AN46" s="252"/>
      <c r="AO46" s="252"/>
      <c r="AP46" s="252"/>
      <c r="AQ46" s="252"/>
      <c r="AR46" s="252"/>
      <c r="AS46" s="252"/>
      <c r="AT46" s="252"/>
      <c r="AU46" s="252"/>
      <c r="AV46" s="252"/>
      <c r="AW46" s="252"/>
      <c r="AX46" s="252"/>
      <c r="AY46" s="252"/>
      <c r="AZ46" s="252"/>
      <c r="BA46" s="252"/>
      <c r="BB46" s="252"/>
      <c r="BC46" s="252"/>
      <c r="BD46" s="252"/>
      <c r="BE46" s="252"/>
      <c r="BF46" s="252"/>
      <c r="BG46" s="252"/>
      <c r="BH46" s="252"/>
      <c r="BI46" s="252"/>
      <c r="BJ46" s="252"/>
      <c r="BK46" s="252"/>
      <c r="BL46" s="252"/>
      <c r="BM46" s="252"/>
      <c r="BN46" s="252"/>
      <c r="BO46" s="252"/>
      <c r="BP46" s="252"/>
      <c r="BQ46" s="252"/>
      <c r="BR46" s="252"/>
      <c r="BS46" s="252"/>
      <c r="BT46" s="252"/>
      <c r="BU46" s="252"/>
      <c r="BV46" s="252"/>
      <c r="BW46" s="252"/>
      <c r="BX46" s="685">
        <f t="shared" si="0"/>
        <v>22125.5</v>
      </c>
      <c r="BY46" s="685">
        <f t="shared" si="1"/>
        <v>77874.5</v>
      </c>
    </row>
    <row r="47" spans="1:77" ht="10.15" customHeight="1">
      <c r="A47" s="195" t="s">
        <v>70</v>
      </c>
      <c r="B47" s="589"/>
      <c r="C47" s="589"/>
      <c r="D47" s="589">
        <f>'4.3.22'!E30</f>
        <v>4009</v>
      </c>
      <c r="E47" s="640"/>
      <c r="F47" s="640"/>
      <c r="G47" s="640"/>
      <c r="H47" s="640">
        <f>'4.7.22'!E19</f>
        <v>5025.5</v>
      </c>
      <c r="I47" s="640"/>
      <c r="J47" s="640"/>
      <c r="K47" s="640"/>
      <c r="L47" s="702"/>
      <c r="M47" s="702">
        <f>'4.12.22'!E30</f>
        <v>3439</v>
      </c>
      <c r="N47" s="702"/>
      <c r="O47" s="702"/>
      <c r="P47" s="702"/>
      <c r="Q47" s="702"/>
      <c r="R47" s="702"/>
      <c r="S47" s="738"/>
      <c r="T47" s="738"/>
      <c r="U47" s="738"/>
      <c r="V47" s="738">
        <f>'4.21.22'!E29</f>
        <v>2793</v>
      </c>
      <c r="W47" s="738">
        <f>'4.22.22'!E19</f>
        <v>4199</v>
      </c>
      <c r="X47" s="738"/>
      <c r="Y47" s="738"/>
      <c r="Z47" s="252">
        <f>'4.25.22'!E18</f>
        <v>4408</v>
      </c>
      <c r="AA47" s="252"/>
      <c r="AB47" s="252"/>
      <c r="AC47" s="252"/>
      <c r="AD47" s="252"/>
      <c r="AE47" s="252"/>
      <c r="AF47" s="252"/>
      <c r="AG47" s="252"/>
      <c r="AH47" s="252"/>
      <c r="AI47" s="252"/>
      <c r="AJ47" s="252"/>
      <c r="AK47" s="252"/>
      <c r="AL47" s="252"/>
      <c r="AM47" s="252"/>
      <c r="AN47" s="252"/>
      <c r="AO47" s="252"/>
      <c r="AP47" s="252"/>
      <c r="AQ47" s="252"/>
      <c r="AR47" s="252"/>
      <c r="AS47" s="252"/>
      <c r="AT47" s="252"/>
      <c r="AU47" s="252"/>
      <c r="AV47" s="252"/>
      <c r="AW47" s="252"/>
      <c r="AX47" s="252"/>
      <c r="AY47" s="252"/>
      <c r="AZ47" s="252"/>
      <c r="BA47" s="252"/>
      <c r="BB47" s="252"/>
      <c r="BC47" s="252"/>
      <c r="BD47" s="252"/>
      <c r="BE47" s="252"/>
      <c r="BF47" s="252"/>
      <c r="BG47" s="252"/>
      <c r="BH47" s="252"/>
      <c r="BI47" s="252"/>
      <c r="BJ47" s="252"/>
      <c r="BK47" s="252"/>
      <c r="BL47" s="252"/>
      <c r="BM47" s="252"/>
      <c r="BN47" s="252"/>
      <c r="BO47" s="252"/>
      <c r="BP47" s="252"/>
      <c r="BQ47" s="252"/>
      <c r="BR47" s="252"/>
      <c r="BS47" s="252"/>
      <c r="BT47" s="252"/>
      <c r="BU47" s="252"/>
      <c r="BV47" s="252"/>
      <c r="BW47" s="252"/>
      <c r="BX47" s="685">
        <f t="shared" si="0"/>
        <v>23873.5</v>
      </c>
      <c r="BY47" s="358">
        <f>449000-BX47+350000+350000</f>
        <v>1125126.5</v>
      </c>
    </row>
    <row r="48" spans="1:77" ht="10.15" customHeight="1">
      <c r="A48" s="195" t="s">
        <v>181</v>
      </c>
      <c r="B48" s="252"/>
      <c r="C48" s="252"/>
      <c r="D48" s="252"/>
      <c r="E48" s="252"/>
      <c r="F48" s="252"/>
      <c r="G48" s="252"/>
      <c r="H48" s="252"/>
      <c r="I48" s="252"/>
      <c r="J48" s="252"/>
      <c r="K48" s="252"/>
      <c r="L48" s="252"/>
      <c r="M48" s="252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  <c r="AA48" s="252"/>
      <c r="AB48" s="252"/>
      <c r="AC48" s="252"/>
      <c r="AD48" s="252"/>
      <c r="AE48" s="252"/>
      <c r="AF48" s="252"/>
      <c r="AG48" s="252"/>
      <c r="AH48" s="252"/>
      <c r="AI48" s="252"/>
      <c r="AJ48" s="252"/>
      <c r="AK48" s="252"/>
      <c r="AL48" s="252"/>
      <c r="AM48" s="252"/>
      <c r="AN48" s="252"/>
      <c r="AO48" s="252"/>
      <c r="AP48" s="252"/>
      <c r="AQ48" s="252"/>
      <c r="AR48" s="252"/>
      <c r="AS48" s="252"/>
      <c r="AT48" s="252"/>
      <c r="AU48" s="252"/>
      <c r="AV48" s="252"/>
      <c r="AW48" s="252"/>
      <c r="AX48" s="252"/>
      <c r="AY48" s="252"/>
      <c r="AZ48" s="252"/>
      <c r="BA48" s="252"/>
      <c r="BB48" s="252"/>
      <c r="BC48" s="252"/>
      <c r="BD48" s="252"/>
      <c r="BE48" s="252"/>
      <c r="BF48" s="252"/>
      <c r="BG48" s="252"/>
      <c r="BH48" s="252"/>
      <c r="BI48" s="252"/>
      <c r="BJ48" s="252"/>
      <c r="BK48" s="252"/>
      <c r="BL48" s="252"/>
      <c r="BM48" s="252"/>
      <c r="BN48" s="252"/>
      <c r="BO48" s="252"/>
      <c r="BP48" s="252"/>
      <c r="BQ48" s="252"/>
      <c r="BR48" s="252"/>
      <c r="BS48" s="252"/>
      <c r="BT48" s="252"/>
      <c r="BU48" s="252"/>
      <c r="BV48" s="252"/>
      <c r="BW48" s="252"/>
      <c r="BX48" s="685">
        <f t="shared" si="0"/>
        <v>0</v>
      </c>
      <c r="BY48" s="358">
        <f>100000-BX48</f>
        <v>100000</v>
      </c>
    </row>
    <row r="49" spans="1:91" ht="10.15" customHeight="1">
      <c r="A49" s="195" t="s">
        <v>244</v>
      </c>
      <c r="B49" s="252"/>
      <c r="C49" s="252"/>
      <c r="D49" s="252"/>
      <c r="E49" s="640"/>
      <c r="F49" s="640"/>
      <c r="G49" s="640">
        <f>'4.6.22'!E19</f>
        <v>4617</v>
      </c>
      <c r="H49" s="640"/>
      <c r="I49" s="640"/>
      <c r="J49" s="640"/>
      <c r="K49" s="640"/>
      <c r="L49" s="702"/>
      <c r="M49" s="702"/>
      <c r="N49" s="702">
        <f>'4.13.22'!E21</f>
        <v>1444</v>
      </c>
      <c r="O49" s="702"/>
      <c r="P49" s="702">
        <f>'4.15.22'!E21</f>
        <v>3600.5</v>
      </c>
      <c r="Q49" s="702"/>
      <c r="R49" s="702"/>
      <c r="S49" s="738"/>
      <c r="T49" s="738"/>
      <c r="U49" s="738"/>
      <c r="V49" s="738">
        <f>'4.21.22'!E18</f>
        <v>3895</v>
      </c>
      <c r="W49" s="738"/>
      <c r="X49" s="738"/>
      <c r="Y49" s="738"/>
      <c r="Z49" s="252"/>
      <c r="AA49" s="252"/>
      <c r="AB49" s="252"/>
      <c r="AC49" s="252"/>
      <c r="AD49" s="252"/>
      <c r="AE49" s="252">
        <f>'4.30.22'!E29</f>
        <v>2964</v>
      </c>
      <c r="AF49" s="252"/>
      <c r="AG49" s="252"/>
      <c r="AH49" s="252"/>
      <c r="AI49" s="252"/>
      <c r="AJ49" s="252"/>
      <c r="AK49" s="252"/>
      <c r="AL49" s="252"/>
      <c r="AM49" s="252"/>
      <c r="AN49" s="252"/>
      <c r="AO49" s="252"/>
      <c r="AP49" s="252"/>
      <c r="AQ49" s="252"/>
      <c r="AR49" s="252"/>
      <c r="AS49" s="252"/>
      <c r="AT49" s="252"/>
      <c r="AU49" s="252"/>
      <c r="AV49" s="252"/>
      <c r="AW49" s="252"/>
      <c r="AX49" s="252"/>
      <c r="AY49" s="252"/>
      <c r="AZ49" s="252"/>
      <c r="BA49" s="252"/>
      <c r="BB49" s="252"/>
      <c r="BC49" s="252"/>
      <c r="BD49" s="252"/>
      <c r="BE49" s="252"/>
      <c r="BF49" s="252"/>
      <c r="BG49" s="252"/>
      <c r="BH49" s="252"/>
      <c r="BI49" s="252"/>
      <c r="BJ49" s="252"/>
      <c r="BK49" s="252"/>
      <c r="BL49" s="252"/>
      <c r="BM49" s="252"/>
      <c r="BN49" s="252"/>
      <c r="BO49" s="252"/>
      <c r="BP49" s="252"/>
      <c r="BQ49" s="252"/>
      <c r="BR49" s="252"/>
      <c r="BS49" s="252"/>
      <c r="BT49" s="252"/>
      <c r="BU49" s="252"/>
      <c r="BV49" s="252"/>
      <c r="BW49" s="252"/>
      <c r="BX49" s="685">
        <f t="shared" si="0"/>
        <v>16520.5</v>
      </c>
      <c r="BY49" s="358">
        <f>100000-BX49</f>
        <v>83479.5</v>
      </c>
    </row>
    <row r="50" spans="1:91" s="521" customFormat="1" ht="10.15" customHeight="1">
      <c r="A50" s="515" t="s">
        <v>205</v>
      </c>
      <c r="B50" s="252"/>
      <c r="C50" s="252"/>
      <c r="D50" s="252"/>
      <c r="E50" s="252"/>
      <c r="F50" s="252"/>
      <c r="G50" s="252"/>
      <c r="H50" s="252"/>
      <c r="I50" s="252"/>
      <c r="J50" s="252"/>
      <c r="K50" s="252"/>
      <c r="L50" s="252"/>
      <c r="M50" s="252"/>
      <c r="N50" s="252"/>
      <c r="O50" s="252"/>
      <c r="P50" s="252"/>
      <c r="Q50" s="252"/>
      <c r="R50" s="252"/>
      <c r="S50" s="738">
        <f>'4.18.22'!E22</f>
        <v>3078</v>
      </c>
      <c r="T50" s="738"/>
      <c r="U50" s="738"/>
      <c r="V50" s="738"/>
      <c r="W50" s="738"/>
      <c r="X50" s="738"/>
      <c r="Y50" s="738"/>
      <c r="Z50" s="252">
        <f>'4.25.22'!E19</f>
        <v>2707.5</v>
      </c>
      <c r="AA50" s="252"/>
      <c r="AB50" s="252"/>
      <c r="AC50" s="252"/>
      <c r="AD50" s="252"/>
      <c r="AE50" s="252"/>
      <c r="AF50" s="252"/>
      <c r="AG50" s="252"/>
      <c r="AH50" s="252"/>
      <c r="AI50" s="252"/>
      <c r="AJ50" s="252"/>
      <c r="AK50" s="252"/>
      <c r="AL50" s="252"/>
      <c r="AM50" s="252"/>
      <c r="AN50" s="252"/>
      <c r="AO50" s="252"/>
      <c r="AP50" s="252"/>
      <c r="AQ50" s="252"/>
      <c r="AR50" s="252"/>
      <c r="AS50" s="252"/>
      <c r="AT50" s="252"/>
      <c r="AU50" s="252"/>
      <c r="AV50" s="252"/>
      <c r="AW50" s="252"/>
      <c r="AX50" s="252"/>
      <c r="AY50" s="252"/>
      <c r="AZ50" s="252"/>
      <c r="BA50" s="252"/>
      <c r="BB50" s="252"/>
      <c r="BC50" s="252"/>
      <c r="BD50" s="252"/>
      <c r="BE50" s="252"/>
      <c r="BF50" s="252"/>
      <c r="BG50" s="252"/>
      <c r="BH50" s="252"/>
      <c r="BI50" s="252"/>
      <c r="BJ50" s="252"/>
      <c r="BK50" s="252"/>
      <c r="BL50" s="252"/>
      <c r="BM50" s="252"/>
      <c r="BN50" s="252"/>
      <c r="BO50" s="252"/>
      <c r="BP50" s="252"/>
      <c r="BQ50" s="252"/>
      <c r="BR50" s="252"/>
      <c r="BS50" s="252"/>
      <c r="BT50" s="252"/>
      <c r="BU50" s="252"/>
      <c r="BV50" s="252"/>
      <c r="BW50" s="252"/>
      <c r="BX50" s="522">
        <f t="shared" si="0"/>
        <v>5785.5</v>
      </c>
      <c r="BY50" s="522">
        <f t="shared" si="1"/>
        <v>94214.5</v>
      </c>
    </row>
    <row r="51" spans="1:91" ht="13.9" customHeight="1" thickBot="1">
      <c r="A51" s="46" t="s">
        <v>24</v>
      </c>
      <c r="B51" s="530">
        <f t="shared" ref="B51:BI51" si="3">SUM(B3:B50)</f>
        <v>18202</v>
      </c>
      <c r="C51" s="530">
        <f t="shared" si="3"/>
        <v>25963.5</v>
      </c>
      <c r="D51" s="530">
        <f t="shared" si="3"/>
        <v>25564.5</v>
      </c>
      <c r="E51" s="530">
        <f t="shared" si="3"/>
        <v>26201</v>
      </c>
      <c r="F51" s="530">
        <f t="shared" si="3"/>
        <v>22923.5</v>
      </c>
      <c r="G51" s="530">
        <f t="shared" si="3"/>
        <v>21403.5</v>
      </c>
      <c r="H51" s="530">
        <f t="shared" si="3"/>
        <v>23303.5</v>
      </c>
      <c r="I51" s="530">
        <f t="shared" si="3"/>
        <v>21289.5</v>
      </c>
      <c r="J51" s="530">
        <f t="shared" si="3"/>
        <v>33022</v>
      </c>
      <c r="K51" s="530">
        <f t="shared" si="3"/>
        <v>29431</v>
      </c>
      <c r="L51" s="530">
        <f t="shared" si="3"/>
        <v>17499</v>
      </c>
      <c r="M51" s="530">
        <f t="shared" si="3"/>
        <v>27379</v>
      </c>
      <c r="N51" s="530">
        <f t="shared" si="3"/>
        <v>17869.5</v>
      </c>
      <c r="O51" s="530">
        <f t="shared" si="3"/>
        <v>23579</v>
      </c>
      <c r="P51" s="530">
        <f t="shared" si="3"/>
        <v>17755.5</v>
      </c>
      <c r="Q51" s="530">
        <f t="shared" si="3"/>
        <v>24519.5</v>
      </c>
      <c r="R51" s="530">
        <f t="shared" si="3"/>
        <v>24833</v>
      </c>
      <c r="S51" s="530">
        <f t="shared" si="3"/>
        <v>16767.5</v>
      </c>
      <c r="T51" s="530">
        <f t="shared" si="3"/>
        <v>20064</v>
      </c>
      <c r="U51" s="530">
        <f t="shared" si="3"/>
        <v>16482.5</v>
      </c>
      <c r="V51" s="530">
        <f t="shared" si="3"/>
        <v>25906.5</v>
      </c>
      <c r="W51" s="530">
        <f t="shared" si="3"/>
        <v>21318</v>
      </c>
      <c r="X51" s="530">
        <f t="shared" si="3"/>
        <v>22553</v>
      </c>
      <c r="Y51" s="530">
        <f t="shared" si="3"/>
        <v>27265</v>
      </c>
      <c r="Z51" s="530">
        <f t="shared" si="3"/>
        <v>20672</v>
      </c>
      <c r="AA51" s="530">
        <f t="shared" si="3"/>
        <v>24966</v>
      </c>
      <c r="AB51" s="530">
        <f t="shared" si="3"/>
        <v>21185</v>
      </c>
      <c r="AC51" s="530">
        <f t="shared" si="3"/>
        <v>24643</v>
      </c>
      <c r="AD51" s="530">
        <f t="shared" si="3"/>
        <v>21289.5</v>
      </c>
      <c r="AE51" s="530">
        <f t="shared" si="3"/>
        <v>26514.5</v>
      </c>
      <c r="AF51" s="530">
        <f t="shared" si="3"/>
        <v>0</v>
      </c>
      <c r="AG51" s="530">
        <f t="shared" si="3"/>
        <v>0</v>
      </c>
      <c r="AH51" s="530">
        <f t="shared" si="3"/>
        <v>0</v>
      </c>
      <c r="AI51" s="530">
        <f t="shared" si="3"/>
        <v>0</v>
      </c>
      <c r="AJ51" s="530">
        <f t="shared" si="3"/>
        <v>0</v>
      </c>
      <c r="AK51" s="530">
        <f t="shared" si="3"/>
        <v>0</v>
      </c>
      <c r="AL51" s="530">
        <f t="shared" si="3"/>
        <v>0</v>
      </c>
      <c r="AM51" s="530">
        <f t="shared" si="3"/>
        <v>0</v>
      </c>
      <c r="AN51" s="530">
        <f t="shared" si="3"/>
        <v>0</v>
      </c>
      <c r="AO51" s="530">
        <f t="shared" si="3"/>
        <v>0</v>
      </c>
      <c r="AP51" s="530">
        <f t="shared" si="3"/>
        <v>0</v>
      </c>
      <c r="AQ51" s="530">
        <f t="shared" si="3"/>
        <v>0</v>
      </c>
      <c r="AR51" s="530">
        <f t="shared" si="3"/>
        <v>0</v>
      </c>
      <c r="AS51" s="530">
        <f t="shared" si="3"/>
        <v>0</v>
      </c>
      <c r="AT51" s="530">
        <f t="shared" si="3"/>
        <v>0</v>
      </c>
      <c r="AU51" s="530">
        <f t="shared" si="3"/>
        <v>0</v>
      </c>
      <c r="AV51" s="530">
        <f t="shared" si="3"/>
        <v>0</v>
      </c>
      <c r="AW51" s="530">
        <f t="shared" si="3"/>
        <v>0</v>
      </c>
      <c r="AX51" s="530">
        <f t="shared" si="3"/>
        <v>0</v>
      </c>
      <c r="AY51" s="530">
        <f t="shared" si="3"/>
        <v>0</v>
      </c>
      <c r="AZ51" s="530">
        <f t="shared" si="3"/>
        <v>0</v>
      </c>
      <c r="BA51" s="530">
        <f t="shared" si="3"/>
        <v>0</v>
      </c>
      <c r="BB51" s="530">
        <f t="shared" si="3"/>
        <v>0</v>
      </c>
      <c r="BC51" s="530">
        <f t="shared" si="3"/>
        <v>0</v>
      </c>
      <c r="BD51" s="530">
        <f t="shared" si="3"/>
        <v>0</v>
      </c>
      <c r="BE51" s="530">
        <f t="shared" si="3"/>
        <v>0</v>
      </c>
      <c r="BF51" s="530">
        <f t="shared" si="3"/>
        <v>0</v>
      </c>
      <c r="BG51" s="530">
        <f t="shared" si="3"/>
        <v>0</v>
      </c>
      <c r="BH51" s="530">
        <f t="shared" si="3"/>
        <v>0</v>
      </c>
      <c r="BI51" s="530">
        <f t="shared" si="3"/>
        <v>0</v>
      </c>
      <c r="BJ51" s="530">
        <f t="shared" ref="BJ51" si="4">SUM(BJ3:BJ50)</f>
        <v>0</v>
      </c>
      <c r="BK51" s="530"/>
      <c r="BL51" s="530"/>
      <c r="BM51" s="530"/>
      <c r="BN51" s="530"/>
      <c r="BO51" s="530"/>
      <c r="BP51" s="530"/>
      <c r="BQ51" s="530"/>
      <c r="BR51" s="530"/>
      <c r="BS51" s="530"/>
      <c r="BT51" s="530"/>
      <c r="BU51" s="530"/>
      <c r="BV51" s="530"/>
      <c r="BW51" s="253"/>
      <c r="BX51" s="55">
        <f>SUM(BX3:BX50)</f>
        <v>690365</v>
      </c>
      <c r="BY51" s="55">
        <f>SUM(BY3:BY50)</f>
        <v>13202635</v>
      </c>
      <c r="CA51" s="316"/>
      <c r="CC51" s="316"/>
    </row>
    <row r="52" spans="1:91" ht="12" customHeight="1" thickTop="1">
      <c r="A52" s="198" t="s">
        <v>85</v>
      </c>
      <c r="B52" s="241">
        <v>18202</v>
      </c>
      <c r="C52" s="241">
        <f>'4.2.22'!E37</f>
        <v>25963.5</v>
      </c>
      <c r="D52" s="241">
        <f>'4.3.22'!E37</f>
        <v>25564.5</v>
      </c>
      <c r="E52" s="241">
        <v>26201</v>
      </c>
      <c r="F52" s="241">
        <f>'4.5.22'!E37</f>
        <v>22923.5</v>
      </c>
      <c r="G52" s="241">
        <f>'4.6.22'!E37</f>
        <v>21403.5</v>
      </c>
      <c r="H52" s="241">
        <f>'4.7.22'!E37</f>
        <v>23303.5</v>
      </c>
      <c r="I52" s="241">
        <f>'4.8.22'!E38</f>
        <v>21289.5</v>
      </c>
      <c r="J52" s="241">
        <v>33022</v>
      </c>
      <c r="K52" s="241">
        <v>29431</v>
      </c>
      <c r="L52" s="241">
        <v>17499</v>
      </c>
      <c r="M52" s="241">
        <v>27379</v>
      </c>
      <c r="N52" s="241">
        <f>'4.13.22'!E38</f>
        <v>17869.5</v>
      </c>
      <c r="O52" s="241">
        <v>23579</v>
      </c>
      <c r="P52" s="241">
        <f>'4.15.22'!E38</f>
        <v>17755.5</v>
      </c>
      <c r="Q52" s="241">
        <f>'4.16.22'!E37</f>
        <v>24519.5</v>
      </c>
      <c r="R52" s="241">
        <v>24833</v>
      </c>
      <c r="S52" s="241">
        <f>'4.18.22'!E38</f>
        <v>16767.5</v>
      </c>
      <c r="T52" s="241">
        <f>'4.19.22'!E38</f>
        <v>20064</v>
      </c>
      <c r="U52" s="241">
        <f>'4.20.22'!E38</f>
        <v>16482.5</v>
      </c>
      <c r="V52" s="241">
        <f>'4.21.22'!E38</f>
        <v>25906.5</v>
      </c>
      <c r="W52" s="241">
        <v>21318</v>
      </c>
      <c r="X52" s="241">
        <v>22553</v>
      </c>
      <c r="Y52" s="241">
        <v>27265</v>
      </c>
      <c r="Z52" s="241">
        <v>20672</v>
      </c>
      <c r="AA52" s="241">
        <v>24966</v>
      </c>
      <c r="AB52" s="241">
        <v>21185</v>
      </c>
      <c r="AC52" s="241">
        <v>24643</v>
      </c>
      <c r="AD52" s="241">
        <f>'4.29.22'!E38</f>
        <v>21289.5</v>
      </c>
      <c r="AE52" s="241">
        <f>'4.30.22'!E37</f>
        <v>26514.5</v>
      </c>
      <c r="AF52" s="241"/>
      <c r="AG52" s="241"/>
      <c r="AH52" s="241"/>
      <c r="AI52" s="241"/>
      <c r="AJ52" s="241"/>
      <c r="AK52" s="241"/>
      <c r="AL52" s="241"/>
      <c r="AM52" s="241"/>
      <c r="AN52" s="241"/>
      <c r="AO52" s="241"/>
      <c r="AP52" s="241"/>
      <c r="AQ52" s="241"/>
      <c r="AR52" s="241"/>
      <c r="AS52" s="241"/>
      <c r="AT52" s="241"/>
      <c r="AU52" s="241"/>
      <c r="AV52" s="241"/>
      <c r="AW52" s="241"/>
      <c r="AX52" s="241"/>
      <c r="AY52" s="241"/>
      <c r="AZ52" s="241"/>
      <c r="BA52" s="241"/>
      <c r="BB52" s="241"/>
      <c r="BC52" s="241"/>
      <c r="BD52" s="241"/>
      <c r="BE52" s="241"/>
      <c r="BF52" s="241"/>
      <c r="BG52" s="241"/>
      <c r="BH52" s="241"/>
      <c r="BI52" s="241"/>
      <c r="BJ52" s="241"/>
      <c r="BK52" s="241"/>
      <c r="BL52" s="241"/>
      <c r="BM52" s="241"/>
      <c r="BN52" s="241"/>
      <c r="BO52" s="241"/>
      <c r="BP52" s="241"/>
      <c r="BQ52" s="241"/>
      <c r="BR52" s="241"/>
      <c r="BS52" s="241"/>
      <c r="BT52" s="241"/>
      <c r="BU52" s="241"/>
      <c r="BV52" s="241"/>
      <c r="BW52" s="241"/>
      <c r="BX52" s="197"/>
      <c r="BY52" s="57"/>
    </row>
    <row r="53" spans="1:91" ht="12" customHeight="1">
      <c r="A53" s="198" t="s">
        <v>86</v>
      </c>
      <c r="B53" s="242">
        <f t="shared" ref="B53:BH53" si="5">B51-B52</f>
        <v>0</v>
      </c>
      <c r="C53" s="242">
        <f t="shared" si="5"/>
        <v>0</v>
      </c>
      <c r="D53" s="242">
        <f t="shared" si="5"/>
        <v>0</v>
      </c>
      <c r="E53" s="242">
        <f t="shared" si="5"/>
        <v>0</v>
      </c>
      <c r="F53" s="242">
        <f t="shared" si="5"/>
        <v>0</v>
      </c>
      <c r="G53" s="242">
        <f t="shared" si="5"/>
        <v>0</v>
      </c>
      <c r="H53" s="242">
        <f t="shared" si="5"/>
        <v>0</v>
      </c>
      <c r="I53" s="242">
        <f t="shared" si="5"/>
        <v>0</v>
      </c>
      <c r="J53" s="242">
        <f t="shared" si="5"/>
        <v>0</v>
      </c>
      <c r="K53" s="242">
        <f t="shared" si="5"/>
        <v>0</v>
      </c>
      <c r="L53" s="242">
        <f t="shared" si="5"/>
        <v>0</v>
      </c>
      <c r="M53" s="242">
        <f t="shared" si="5"/>
        <v>0</v>
      </c>
      <c r="N53" s="242">
        <f t="shared" si="5"/>
        <v>0</v>
      </c>
      <c r="O53" s="242">
        <f t="shared" si="5"/>
        <v>0</v>
      </c>
      <c r="P53" s="242">
        <f t="shared" si="5"/>
        <v>0</v>
      </c>
      <c r="Q53" s="242">
        <f t="shared" si="5"/>
        <v>0</v>
      </c>
      <c r="R53" s="242">
        <f t="shared" si="5"/>
        <v>0</v>
      </c>
      <c r="S53" s="242">
        <f t="shared" si="5"/>
        <v>0</v>
      </c>
      <c r="T53" s="242">
        <f t="shared" si="5"/>
        <v>0</v>
      </c>
      <c r="U53" s="242">
        <f t="shared" si="5"/>
        <v>0</v>
      </c>
      <c r="V53" s="242">
        <f t="shared" si="5"/>
        <v>0</v>
      </c>
      <c r="W53" s="242">
        <f t="shared" si="5"/>
        <v>0</v>
      </c>
      <c r="X53" s="242">
        <f t="shared" si="5"/>
        <v>0</v>
      </c>
      <c r="Y53" s="242">
        <f t="shared" si="5"/>
        <v>0</v>
      </c>
      <c r="Z53" s="242">
        <f t="shared" si="5"/>
        <v>0</v>
      </c>
      <c r="AA53" s="242">
        <f t="shared" si="5"/>
        <v>0</v>
      </c>
      <c r="AB53" s="242">
        <f t="shared" si="5"/>
        <v>0</v>
      </c>
      <c r="AC53" s="242">
        <f t="shared" si="5"/>
        <v>0</v>
      </c>
      <c r="AD53" s="242">
        <f t="shared" si="5"/>
        <v>0</v>
      </c>
      <c r="AE53" s="242">
        <f t="shared" si="5"/>
        <v>0</v>
      </c>
      <c r="AF53" s="242">
        <f t="shared" si="5"/>
        <v>0</v>
      </c>
      <c r="AG53" s="242">
        <f t="shared" si="5"/>
        <v>0</v>
      </c>
      <c r="AH53" s="242">
        <f t="shared" si="5"/>
        <v>0</v>
      </c>
      <c r="AI53" s="242">
        <f t="shared" si="5"/>
        <v>0</v>
      </c>
      <c r="AJ53" s="242">
        <f t="shared" si="5"/>
        <v>0</v>
      </c>
      <c r="AK53" s="242">
        <f t="shared" si="5"/>
        <v>0</v>
      </c>
      <c r="AL53" s="242">
        <f t="shared" si="5"/>
        <v>0</v>
      </c>
      <c r="AM53" s="242">
        <f t="shared" si="5"/>
        <v>0</v>
      </c>
      <c r="AN53" s="242">
        <f t="shared" si="5"/>
        <v>0</v>
      </c>
      <c r="AO53" s="242">
        <f t="shared" si="5"/>
        <v>0</v>
      </c>
      <c r="AP53" s="242">
        <f t="shared" si="5"/>
        <v>0</v>
      </c>
      <c r="AQ53" s="242">
        <f t="shared" si="5"/>
        <v>0</v>
      </c>
      <c r="AR53" s="242">
        <f t="shared" si="5"/>
        <v>0</v>
      </c>
      <c r="AS53" s="242">
        <f t="shared" si="5"/>
        <v>0</v>
      </c>
      <c r="AT53" s="242">
        <f t="shared" si="5"/>
        <v>0</v>
      </c>
      <c r="AU53" s="242">
        <f t="shared" si="5"/>
        <v>0</v>
      </c>
      <c r="AV53" s="242">
        <f t="shared" si="5"/>
        <v>0</v>
      </c>
      <c r="AW53" s="242">
        <f t="shared" si="5"/>
        <v>0</v>
      </c>
      <c r="AX53" s="242">
        <f t="shared" si="5"/>
        <v>0</v>
      </c>
      <c r="AY53" s="242">
        <f t="shared" si="5"/>
        <v>0</v>
      </c>
      <c r="AZ53" s="242">
        <f t="shared" si="5"/>
        <v>0</v>
      </c>
      <c r="BA53" s="242">
        <f t="shared" si="5"/>
        <v>0</v>
      </c>
      <c r="BB53" s="242">
        <f t="shared" si="5"/>
        <v>0</v>
      </c>
      <c r="BC53" s="242">
        <f t="shared" si="5"/>
        <v>0</v>
      </c>
      <c r="BD53" s="242">
        <f t="shared" si="5"/>
        <v>0</v>
      </c>
      <c r="BE53" s="242">
        <f t="shared" si="5"/>
        <v>0</v>
      </c>
      <c r="BF53" s="242">
        <f t="shared" si="5"/>
        <v>0</v>
      </c>
      <c r="BG53" s="242">
        <f t="shared" si="5"/>
        <v>0</v>
      </c>
      <c r="BH53" s="242">
        <f t="shared" si="5"/>
        <v>0</v>
      </c>
      <c r="BI53" s="242">
        <f t="shared" ref="BI53:BW53" si="6">BI51-BI52</f>
        <v>0</v>
      </c>
      <c r="BJ53" s="242">
        <f t="shared" si="6"/>
        <v>0</v>
      </c>
      <c r="BK53" s="242">
        <f t="shared" si="6"/>
        <v>0</v>
      </c>
      <c r="BL53" s="242">
        <f t="shared" si="6"/>
        <v>0</v>
      </c>
      <c r="BM53" s="242">
        <f t="shared" si="6"/>
        <v>0</v>
      </c>
      <c r="BN53" s="242">
        <f t="shared" si="6"/>
        <v>0</v>
      </c>
      <c r="BO53" s="242">
        <f t="shared" si="6"/>
        <v>0</v>
      </c>
      <c r="BP53" s="242">
        <f t="shared" si="6"/>
        <v>0</v>
      </c>
      <c r="BQ53" s="242">
        <f t="shared" si="6"/>
        <v>0</v>
      </c>
      <c r="BR53" s="242">
        <f t="shared" si="6"/>
        <v>0</v>
      </c>
      <c r="BS53" s="242">
        <f t="shared" si="6"/>
        <v>0</v>
      </c>
      <c r="BT53" s="242">
        <f t="shared" si="6"/>
        <v>0</v>
      </c>
      <c r="BU53" s="242">
        <f t="shared" si="6"/>
        <v>0</v>
      </c>
      <c r="BV53" s="242">
        <f t="shared" si="6"/>
        <v>0</v>
      </c>
      <c r="BW53" s="242">
        <f t="shared" si="6"/>
        <v>0</v>
      </c>
      <c r="BX53" s="233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</row>
    <row r="55" spans="1:91">
      <c r="BX55" s="234"/>
    </row>
    <row r="57" spans="1:91">
      <c r="A57" s="188"/>
    </row>
    <row r="58" spans="1:91">
      <c r="A58" s="188"/>
    </row>
  </sheetData>
  <mergeCells count="3">
    <mergeCell ref="A1:A2"/>
    <mergeCell ref="BX1:BX2"/>
    <mergeCell ref="BY1:BY2"/>
  </mergeCells>
  <conditionalFormatting sqref="BY20:BY22 BY29 BY32 BY47 BY40:BY42 BY16:BY17 BY26 BY50 BY5:BY7 BY9 BY34:BY37 BY11:BY13">
    <cfRule type="cellIs" dxfId="957" priority="66" operator="lessThan">
      <formula>20000</formula>
    </cfRule>
    <cfRule type="cellIs" dxfId="956" priority="67" operator="lessThan">
      <formula>25000</formula>
    </cfRule>
    <cfRule type="cellIs" dxfId="955" priority="68" operator="lessThan">
      <formula>50000</formula>
    </cfRule>
  </conditionalFormatting>
  <conditionalFormatting sqref="BY18">
    <cfRule type="cellIs" dxfId="954" priority="63" operator="lessThan">
      <formula>20000</formula>
    </cfRule>
    <cfRule type="cellIs" dxfId="953" priority="64" operator="lessThan">
      <formula>25000</formula>
    </cfRule>
    <cfRule type="cellIs" dxfId="952" priority="65" operator="lessThan">
      <formula>50000</formula>
    </cfRule>
  </conditionalFormatting>
  <conditionalFormatting sqref="BY27">
    <cfRule type="cellIs" dxfId="951" priority="60" operator="lessThan">
      <formula>20000</formula>
    </cfRule>
    <cfRule type="cellIs" dxfId="950" priority="61" operator="lessThan">
      <formula>25000</formula>
    </cfRule>
    <cfRule type="cellIs" dxfId="949" priority="62" operator="lessThan">
      <formula>50000</formula>
    </cfRule>
  </conditionalFormatting>
  <conditionalFormatting sqref="BY30">
    <cfRule type="cellIs" dxfId="948" priority="57" operator="lessThan">
      <formula>20000</formula>
    </cfRule>
    <cfRule type="cellIs" dxfId="947" priority="58" operator="lessThan">
      <formula>25000</formula>
    </cfRule>
    <cfRule type="cellIs" dxfId="946" priority="59" operator="lessThan">
      <formula>50000</formula>
    </cfRule>
  </conditionalFormatting>
  <conditionalFormatting sqref="BY39">
    <cfRule type="cellIs" dxfId="945" priority="54" operator="lessThan">
      <formula>20000</formula>
    </cfRule>
    <cfRule type="cellIs" dxfId="944" priority="55" operator="lessThan">
      <formula>25000</formula>
    </cfRule>
    <cfRule type="cellIs" dxfId="943" priority="56" operator="lessThan">
      <formula>50000</formula>
    </cfRule>
  </conditionalFormatting>
  <conditionalFormatting sqref="BY44">
    <cfRule type="cellIs" dxfId="942" priority="51" operator="lessThan">
      <formula>20000</formula>
    </cfRule>
    <cfRule type="cellIs" dxfId="941" priority="52" operator="lessThan">
      <formula>25000</formula>
    </cfRule>
    <cfRule type="cellIs" dxfId="940" priority="53" operator="lessThan">
      <formula>50000</formula>
    </cfRule>
  </conditionalFormatting>
  <conditionalFormatting sqref="BY38">
    <cfRule type="cellIs" dxfId="939" priority="48" operator="lessThan">
      <formula>20000</formula>
    </cfRule>
    <cfRule type="cellIs" dxfId="938" priority="49" operator="lessThan">
      <formula>25000</formula>
    </cfRule>
    <cfRule type="cellIs" dxfId="937" priority="50" operator="lessThan">
      <formula>50000</formula>
    </cfRule>
  </conditionalFormatting>
  <conditionalFormatting sqref="BY4">
    <cfRule type="cellIs" dxfId="936" priority="45" operator="lessThan">
      <formula>20000</formula>
    </cfRule>
    <cfRule type="cellIs" dxfId="935" priority="46" operator="lessThan">
      <formula>25000</formula>
    </cfRule>
    <cfRule type="cellIs" dxfId="934" priority="47" operator="lessThan">
      <formula>50000</formula>
    </cfRule>
  </conditionalFormatting>
  <conditionalFormatting sqref="BY43">
    <cfRule type="cellIs" dxfId="933" priority="42" operator="lessThan">
      <formula>20000</formula>
    </cfRule>
    <cfRule type="cellIs" dxfId="932" priority="43" operator="lessThan">
      <formula>25000</formula>
    </cfRule>
    <cfRule type="cellIs" dxfId="931" priority="44" operator="lessThan">
      <formula>50000</formula>
    </cfRule>
  </conditionalFormatting>
  <conditionalFormatting sqref="BY28">
    <cfRule type="cellIs" dxfId="930" priority="39" operator="lessThan">
      <formula>20000</formula>
    </cfRule>
    <cfRule type="cellIs" dxfId="929" priority="40" operator="lessThan">
      <formula>25000</formula>
    </cfRule>
    <cfRule type="cellIs" dxfId="928" priority="41" operator="lessThan">
      <formula>50000</formula>
    </cfRule>
  </conditionalFormatting>
  <conditionalFormatting sqref="BY3">
    <cfRule type="cellIs" dxfId="927" priority="36" operator="lessThan">
      <formula>20000</formula>
    </cfRule>
    <cfRule type="cellIs" dxfId="926" priority="37" operator="lessThan">
      <formula>25000</formula>
    </cfRule>
    <cfRule type="cellIs" dxfId="925" priority="38" operator="lessThan">
      <formula>50000</formula>
    </cfRule>
  </conditionalFormatting>
  <conditionalFormatting sqref="BY14">
    <cfRule type="cellIs" dxfId="924" priority="33" operator="lessThan">
      <formula>20000</formula>
    </cfRule>
    <cfRule type="cellIs" dxfId="923" priority="34" operator="lessThan">
      <formula>25000</formula>
    </cfRule>
    <cfRule type="cellIs" dxfId="922" priority="35" operator="lessThan">
      <formula>50000</formula>
    </cfRule>
  </conditionalFormatting>
  <conditionalFormatting sqref="BY23:BY24">
    <cfRule type="cellIs" dxfId="921" priority="30" operator="lessThan">
      <formula>20000</formula>
    </cfRule>
    <cfRule type="cellIs" dxfId="920" priority="31" operator="lessThan">
      <formula>25000</formula>
    </cfRule>
    <cfRule type="cellIs" dxfId="919" priority="32" operator="lessThan">
      <formula>50000</formula>
    </cfRule>
  </conditionalFormatting>
  <conditionalFormatting sqref="BY48:BY49">
    <cfRule type="cellIs" dxfId="918" priority="27" operator="lessThan">
      <formula>20000</formula>
    </cfRule>
    <cfRule type="cellIs" dxfId="917" priority="28" operator="lessThan">
      <formula>25000</formula>
    </cfRule>
    <cfRule type="cellIs" dxfId="916" priority="29" operator="lessThan">
      <formula>50000</formula>
    </cfRule>
  </conditionalFormatting>
  <conditionalFormatting sqref="BY19">
    <cfRule type="cellIs" dxfId="915" priority="24" operator="lessThan">
      <formula>20000</formula>
    </cfRule>
    <cfRule type="cellIs" dxfId="914" priority="25" operator="lessThan">
      <formula>25000</formula>
    </cfRule>
    <cfRule type="cellIs" dxfId="913" priority="26" operator="lessThan">
      <formula>50000</formula>
    </cfRule>
  </conditionalFormatting>
  <conditionalFormatting sqref="BY8">
    <cfRule type="cellIs" dxfId="912" priority="21" operator="lessThan">
      <formula>20000</formula>
    </cfRule>
    <cfRule type="cellIs" dxfId="911" priority="22" operator="lessThan">
      <formula>25000</formula>
    </cfRule>
    <cfRule type="cellIs" dxfId="910" priority="23" operator="lessThan">
      <formula>50000</formula>
    </cfRule>
  </conditionalFormatting>
  <conditionalFormatting sqref="BY45:BY46">
    <cfRule type="cellIs" dxfId="909" priority="18" operator="lessThan">
      <formula>20000</formula>
    </cfRule>
    <cfRule type="cellIs" dxfId="908" priority="19" operator="lessThan">
      <formula>25000</formula>
    </cfRule>
    <cfRule type="cellIs" dxfId="907" priority="20" operator="lessThan">
      <formula>50000</formula>
    </cfRule>
  </conditionalFormatting>
  <conditionalFormatting sqref="BY31">
    <cfRule type="cellIs" dxfId="906" priority="15" operator="lessThan">
      <formula>20000</formula>
    </cfRule>
    <cfRule type="cellIs" dxfId="905" priority="16" operator="lessThan">
      <formula>25000</formula>
    </cfRule>
    <cfRule type="cellIs" dxfId="904" priority="17" operator="lessThan">
      <formula>50000</formula>
    </cfRule>
  </conditionalFormatting>
  <conditionalFormatting sqref="BY15">
    <cfRule type="cellIs" dxfId="903" priority="12" operator="lessThan">
      <formula>20000</formula>
    </cfRule>
    <cfRule type="cellIs" dxfId="902" priority="13" operator="lessThan">
      <formula>25000</formula>
    </cfRule>
    <cfRule type="cellIs" dxfId="901" priority="14" operator="lessThan">
      <formula>50000</formula>
    </cfRule>
  </conditionalFormatting>
  <conditionalFormatting sqref="BY33">
    <cfRule type="cellIs" dxfId="900" priority="9" operator="lessThan">
      <formula>20000</formula>
    </cfRule>
    <cfRule type="cellIs" dxfId="899" priority="10" operator="lessThan">
      <formula>25000</formula>
    </cfRule>
    <cfRule type="cellIs" dxfId="898" priority="11" operator="lessThan">
      <formula>50000</formula>
    </cfRule>
  </conditionalFormatting>
  <conditionalFormatting sqref="BY10">
    <cfRule type="cellIs" dxfId="897" priority="6" operator="lessThan">
      <formula>20000</formula>
    </cfRule>
    <cfRule type="cellIs" dxfId="896" priority="7" operator="lessThan">
      <formula>25000</formula>
    </cfRule>
    <cfRule type="cellIs" dxfId="895" priority="8" operator="lessThan">
      <formula>50000</formula>
    </cfRule>
  </conditionalFormatting>
  <conditionalFormatting sqref="B53:BW53">
    <cfRule type="cellIs" dxfId="894" priority="4" operator="lessThan">
      <formula>0</formula>
    </cfRule>
    <cfRule type="cellIs" dxfId="893" priority="5" operator="greaterThan">
      <formula>0</formula>
    </cfRule>
  </conditionalFormatting>
  <conditionalFormatting sqref="BY25">
    <cfRule type="cellIs" dxfId="892" priority="1" operator="lessThan">
      <formula>20000</formula>
    </cfRule>
    <cfRule type="cellIs" dxfId="891" priority="2" operator="lessThan">
      <formula>25000</formula>
    </cfRule>
    <cfRule type="cellIs" dxfId="890" priority="3" operator="lessThan">
      <formula>50000</formula>
    </cfRule>
  </conditionalFormatting>
  <pageMargins left="0.7" right="0.7" top="0.75" bottom="0.75" header="0.3" footer="0.3"/>
  <pageSetup paperSize="17" scale="98" fitToWidth="2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7CD5F-D0F5-438A-98E7-099839BD0721}">
  <sheetPr codeName="Sheet350">
    <pageSetUpPr fitToPage="1"/>
  </sheetPr>
  <dimension ref="A1:CF57"/>
  <sheetViews>
    <sheetView workbookViewId="0">
      <selection sqref="A1:A2"/>
    </sheetView>
  </sheetViews>
  <sheetFormatPr defaultColWidth="8.85546875" defaultRowHeight="15"/>
  <cols>
    <col min="1" max="1" width="21.85546875" style="517" bestFit="1" customWidth="1"/>
    <col min="2" max="2" width="8" style="517" customWidth="1"/>
    <col min="3" max="4" width="8.28515625" style="517" customWidth="1"/>
    <col min="5" max="5" width="8.7109375" style="517" customWidth="1"/>
    <col min="6" max="6" width="8.42578125" style="517" customWidth="1"/>
    <col min="7" max="8" width="8.28515625" style="517" hidden="1" customWidth="1"/>
    <col min="9" max="9" width="8.5703125" style="517" hidden="1" customWidth="1"/>
    <col min="10" max="68" width="8" style="517" hidden="1" customWidth="1"/>
    <col min="69" max="69" width="12.28515625" style="516" customWidth="1"/>
    <col min="70" max="70" width="18" style="516" customWidth="1"/>
    <col min="71" max="71" width="8.85546875" style="516"/>
    <col min="72" max="72" width="9.5703125" style="516" bestFit="1" customWidth="1"/>
    <col min="73" max="16384" width="8.85546875" style="516"/>
  </cols>
  <sheetData>
    <row r="1" spans="1:70">
      <c r="A1" s="1251" t="s">
        <v>77</v>
      </c>
      <c r="B1" s="250" t="s">
        <v>93</v>
      </c>
      <c r="C1" s="250" t="s">
        <v>87</v>
      </c>
      <c r="D1" s="250" t="s">
        <v>88</v>
      </c>
      <c r="E1" s="250" t="s">
        <v>89</v>
      </c>
      <c r="F1" s="250" t="s">
        <v>90</v>
      </c>
      <c r="G1" s="250" t="s">
        <v>91</v>
      </c>
      <c r="H1" s="250" t="s">
        <v>92</v>
      </c>
      <c r="I1" s="250" t="s">
        <v>93</v>
      </c>
      <c r="J1" s="250" t="s">
        <v>87</v>
      </c>
      <c r="K1" s="250" t="s">
        <v>88</v>
      </c>
      <c r="L1" s="250" t="s">
        <v>89</v>
      </c>
      <c r="M1" s="250" t="s">
        <v>90</v>
      </c>
      <c r="N1" s="250" t="s">
        <v>91</v>
      </c>
      <c r="O1" s="250" t="s">
        <v>92</v>
      </c>
      <c r="P1" s="250" t="s">
        <v>93</v>
      </c>
      <c r="Q1" s="250" t="s">
        <v>87</v>
      </c>
      <c r="R1" s="250" t="s">
        <v>88</v>
      </c>
      <c r="S1" s="250" t="s">
        <v>89</v>
      </c>
      <c r="T1" s="250" t="s">
        <v>90</v>
      </c>
      <c r="U1" s="250" t="s">
        <v>91</v>
      </c>
      <c r="V1" s="250" t="s">
        <v>92</v>
      </c>
      <c r="W1" s="250" t="s">
        <v>93</v>
      </c>
      <c r="X1" s="250" t="s">
        <v>87</v>
      </c>
      <c r="Y1" s="250" t="s">
        <v>88</v>
      </c>
      <c r="Z1" s="250" t="s">
        <v>89</v>
      </c>
      <c r="AA1" s="250" t="s">
        <v>90</v>
      </c>
      <c r="AB1" s="250" t="s">
        <v>91</v>
      </c>
      <c r="AC1" s="250" t="s">
        <v>92</v>
      </c>
      <c r="AD1" s="250" t="s">
        <v>93</v>
      </c>
      <c r="AE1" s="250" t="s">
        <v>87</v>
      </c>
      <c r="AF1" s="250" t="s">
        <v>88</v>
      </c>
      <c r="AG1" s="250" t="s">
        <v>89</v>
      </c>
      <c r="AH1" s="250" t="s">
        <v>90</v>
      </c>
      <c r="AI1" s="250" t="s">
        <v>91</v>
      </c>
      <c r="AJ1" s="250" t="s">
        <v>92</v>
      </c>
      <c r="AK1" s="250" t="s">
        <v>93</v>
      </c>
      <c r="AL1" s="250" t="s">
        <v>87</v>
      </c>
      <c r="AM1" s="250" t="s">
        <v>88</v>
      </c>
      <c r="AN1" s="250" t="s">
        <v>89</v>
      </c>
      <c r="AO1" s="250" t="s">
        <v>90</v>
      </c>
      <c r="AP1" s="250" t="s">
        <v>91</v>
      </c>
      <c r="AQ1" s="250" t="s">
        <v>92</v>
      </c>
      <c r="AR1" s="250" t="s">
        <v>93</v>
      </c>
      <c r="AS1" s="250" t="s">
        <v>87</v>
      </c>
      <c r="AT1" s="250" t="s">
        <v>88</v>
      </c>
      <c r="AU1" s="250" t="s">
        <v>89</v>
      </c>
      <c r="AV1" s="250" t="s">
        <v>90</v>
      </c>
      <c r="AW1" s="250" t="s">
        <v>91</v>
      </c>
      <c r="AX1" s="250" t="s">
        <v>92</v>
      </c>
      <c r="AY1" s="250" t="s">
        <v>93</v>
      </c>
      <c r="AZ1" s="250" t="s">
        <v>87</v>
      </c>
      <c r="BA1" s="250" t="s">
        <v>88</v>
      </c>
      <c r="BB1" s="250" t="s">
        <v>89</v>
      </c>
      <c r="BC1" s="250" t="s">
        <v>90</v>
      </c>
      <c r="BD1" s="250" t="s">
        <v>91</v>
      </c>
      <c r="BE1" s="250" t="s">
        <v>92</v>
      </c>
      <c r="BF1" s="250" t="s">
        <v>93</v>
      </c>
      <c r="BG1" s="250" t="s">
        <v>87</v>
      </c>
      <c r="BH1" s="250" t="s">
        <v>88</v>
      </c>
      <c r="BI1" s="250" t="s">
        <v>89</v>
      </c>
      <c r="BJ1" s="250" t="s">
        <v>90</v>
      </c>
      <c r="BK1" s="250" t="s">
        <v>91</v>
      </c>
      <c r="BL1" s="250" t="s">
        <v>92</v>
      </c>
      <c r="BM1" s="250" t="s">
        <v>93</v>
      </c>
      <c r="BN1" s="250" t="s">
        <v>87</v>
      </c>
      <c r="BO1" s="250" t="s">
        <v>88</v>
      </c>
      <c r="BP1" s="250" t="s">
        <v>89</v>
      </c>
      <c r="BQ1" s="1253" t="s">
        <v>31</v>
      </c>
      <c r="BR1" s="1282" t="s">
        <v>190</v>
      </c>
    </row>
    <row r="2" spans="1:70" ht="15.75" thickBot="1">
      <c r="A2" s="1280"/>
      <c r="B2" s="251">
        <v>44647</v>
      </c>
      <c r="C2" s="251">
        <v>44648</v>
      </c>
      <c r="D2" s="251">
        <v>44649</v>
      </c>
      <c r="E2" s="251">
        <v>44650</v>
      </c>
      <c r="F2" s="251">
        <v>44651</v>
      </c>
      <c r="G2" s="251">
        <v>44652</v>
      </c>
      <c r="H2" s="251">
        <v>44653</v>
      </c>
      <c r="I2" s="251">
        <v>44654</v>
      </c>
      <c r="J2" s="251">
        <v>44655</v>
      </c>
      <c r="K2" s="251">
        <v>44656</v>
      </c>
      <c r="L2" s="251">
        <v>44657</v>
      </c>
      <c r="M2" s="251">
        <v>44658</v>
      </c>
      <c r="N2" s="251">
        <v>44659</v>
      </c>
      <c r="O2" s="251">
        <v>44660</v>
      </c>
      <c r="P2" s="251">
        <v>44661</v>
      </c>
      <c r="Q2" s="251">
        <v>44662</v>
      </c>
      <c r="R2" s="251">
        <v>44663</v>
      </c>
      <c r="S2" s="251">
        <v>44664</v>
      </c>
      <c r="T2" s="251">
        <v>44665</v>
      </c>
      <c r="U2" s="251">
        <v>44666</v>
      </c>
      <c r="V2" s="251">
        <v>44667</v>
      </c>
      <c r="W2" s="251">
        <v>44668</v>
      </c>
      <c r="X2" s="251">
        <v>44669</v>
      </c>
      <c r="Y2" s="251">
        <v>44670</v>
      </c>
      <c r="Z2" s="251">
        <v>44671</v>
      </c>
      <c r="AA2" s="251">
        <v>44672</v>
      </c>
      <c r="AB2" s="251">
        <v>44673</v>
      </c>
      <c r="AC2" s="251">
        <v>44674</v>
      </c>
      <c r="AD2" s="251">
        <v>44675</v>
      </c>
      <c r="AE2" s="251">
        <v>44676</v>
      </c>
      <c r="AF2" s="251">
        <v>44677</v>
      </c>
      <c r="AG2" s="251">
        <v>44678</v>
      </c>
      <c r="AH2" s="251">
        <v>44679</v>
      </c>
      <c r="AI2" s="251">
        <v>44680</v>
      </c>
      <c r="AJ2" s="251">
        <v>44681</v>
      </c>
      <c r="AK2" s="251">
        <v>44682</v>
      </c>
      <c r="AL2" s="251">
        <v>44683</v>
      </c>
      <c r="AM2" s="251">
        <v>44684</v>
      </c>
      <c r="AN2" s="251">
        <v>44685</v>
      </c>
      <c r="AO2" s="251">
        <v>44686</v>
      </c>
      <c r="AP2" s="251">
        <v>44687</v>
      </c>
      <c r="AQ2" s="251">
        <v>44688</v>
      </c>
      <c r="AR2" s="251">
        <v>44689</v>
      </c>
      <c r="AS2" s="251">
        <v>44690</v>
      </c>
      <c r="AT2" s="251">
        <v>44691</v>
      </c>
      <c r="AU2" s="251">
        <v>44692</v>
      </c>
      <c r="AV2" s="251">
        <v>44693</v>
      </c>
      <c r="AW2" s="251">
        <v>44694</v>
      </c>
      <c r="AX2" s="251">
        <v>44695</v>
      </c>
      <c r="AY2" s="251">
        <v>44696</v>
      </c>
      <c r="AZ2" s="251">
        <v>44697</v>
      </c>
      <c r="BA2" s="251">
        <v>44698</v>
      </c>
      <c r="BB2" s="251">
        <v>44699</v>
      </c>
      <c r="BC2" s="251">
        <v>44700</v>
      </c>
      <c r="BD2" s="251">
        <v>44701</v>
      </c>
      <c r="BE2" s="251">
        <v>44702</v>
      </c>
      <c r="BF2" s="251">
        <v>44703</v>
      </c>
      <c r="BG2" s="251">
        <v>44704</v>
      </c>
      <c r="BH2" s="251">
        <v>44705</v>
      </c>
      <c r="BI2" s="251">
        <v>44706</v>
      </c>
      <c r="BJ2" s="251">
        <v>44707</v>
      </c>
      <c r="BK2" s="251">
        <v>44708</v>
      </c>
      <c r="BL2" s="251">
        <v>44709</v>
      </c>
      <c r="BM2" s="251">
        <v>44710</v>
      </c>
      <c r="BN2" s="251">
        <v>44711</v>
      </c>
      <c r="BO2" s="251">
        <v>44712</v>
      </c>
      <c r="BP2" s="251">
        <v>44713</v>
      </c>
      <c r="BQ2" s="1281"/>
      <c r="BR2" s="1283"/>
    </row>
    <row r="3" spans="1:70" ht="10.15" customHeight="1">
      <c r="A3" s="194" t="s">
        <v>185</v>
      </c>
      <c r="B3" s="512"/>
      <c r="C3" s="512"/>
      <c r="D3" s="512"/>
      <c r="E3" s="512"/>
      <c r="F3" s="512"/>
      <c r="G3" s="512"/>
      <c r="H3" s="512"/>
      <c r="I3" s="512"/>
      <c r="J3" s="523">
        <v>0</v>
      </c>
      <c r="K3" s="523">
        <v>0</v>
      </c>
      <c r="L3" s="523">
        <v>0</v>
      </c>
      <c r="M3" s="523">
        <v>0</v>
      </c>
      <c r="N3" s="523">
        <v>0</v>
      </c>
      <c r="O3" s="523">
        <v>0</v>
      </c>
      <c r="P3" s="523">
        <v>0</v>
      </c>
      <c r="Q3" s="523">
        <v>0</v>
      </c>
      <c r="R3" s="523">
        <v>0</v>
      </c>
      <c r="S3" s="523">
        <v>0</v>
      </c>
      <c r="T3" s="523">
        <v>0</v>
      </c>
      <c r="U3" s="523">
        <v>0</v>
      </c>
      <c r="V3" s="523">
        <v>0</v>
      </c>
      <c r="W3" s="523">
        <v>0</v>
      </c>
      <c r="X3" s="523">
        <v>0</v>
      </c>
      <c r="Y3" s="523">
        <v>0</v>
      </c>
      <c r="Z3" s="523">
        <v>0</v>
      </c>
      <c r="AA3" s="523">
        <v>0</v>
      </c>
      <c r="AB3" s="523">
        <v>0</v>
      </c>
      <c r="AC3" s="523">
        <v>0</v>
      </c>
      <c r="AD3" s="523">
        <v>0</v>
      </c>
      <c r="AE3" s="523">
        <v>0</v>
      </c>
      <c r="AF3" s="523">
        <v>0</v>
      </c>
      <c r="AG3" s="523">
        <v>0</v>
      </c>
      <c r="AH3" s="523">
        <v>0</v>
      </c>
      <c r="AI3" s="523">
        <v>0</v>
      </c>
      <c r="AJ3" s="523">
        <v>0</v>
      </c>
      <c r="AK3" s="523">
        <v>0</v>
      </c>
      <c r="AL3" s="523">
        <v>0</v>
      </c>
      <c r="AM3" s="523">
        <v>0</v>
      </c>
      <c r="AN3" s="523">
        <v>0</v>
      </c>
      <c r="AO3" s="523">
        <v>0</v>
      </c>
      <c r="AP3" s="523">
        <v>0</v>
      </c>
      <c r="AQ3" s="523">
        <v>0</v>
      </c>
      <c r="AR3" s="523">
        <v>0</v>
      </c>
      <c r="AS3" s="523">
        <v>0</v>
      </c>
      <c r="AT3" s="523">
        <v>0</v>
      </c>
      <c r="AU3" s="523">
        <v>0</v>
      </c>
      <c r="AV3" s="523">
        <v>0</v>
      </c>
      <c r="AW3" s="523">
        <v>0</v>
      </c>
      <c r="AX3" s="523">
        <v>0</v>
      </c>
      <c r="AY3" s="523">
        <v>0</v>
      </c>
      <c r="AZ3" s="523">
        <v>0</v>
      </c>
      <c r="BA3" s="523">
        <v>0</v>
      </c>
      <c r="BB3" s="523">
        <v>0</v>
      </c>
      <c r="BC3" s="523">
        <v>0</v>
      </c>
      <c r="BD3" s="523">
        <v>0</v>
      </c>
      <c r="BE3" s="523">
        <v>0</v>
      </c>
      <c r="BF3" s="523">
        <v>0</v>
      </c>
      <c r="BG3" s="523">
        <v>0</v>
      </c>
      <c r="BH3" s="523">
        <v>0</v>
      </c>
      <c r="BI3" s="523">
        <v>0</v>
      </c>
      <c r="BJ3" s="523">
        <v>0</v>
      </c>
      <c r="BK3" s="523">
        <v>0</v>
      </c>
      <c r="BL3" s="523">
        <v>0</v>
      </c>
      <c r="BM3" s="523">
        <v>0</v>
      </c>
      <c r="BN3" s="523">
        <v>0</v>
      </c>
      <c r="BO3" s="523">
        <v>0</v>
      </c>
      <c r="BP3" s="523">
        <v>0</v>
      </c>
      <c r="BQ3" s="189">
        <f t="shared" ref="BQ3:BQ49" si="0">SUM(B3:BP3)</f>
        <v>0</v>
      </c>
      <c r="BR3" s="189">
        <f>449000-BQ3+350000</f>
        <v>799000</v>
      </c>
    </row>
    <row r="4" spans="1:70" ht="10.15" customHeight="1">
      <c r="A4" s="194" t="s">
        <v>164</v>
      </c>
      <c r="B4" s="452"/>
      <c r="C4" s="452"/>
      <c r="D4" s="452"/>
      <c r="E4" s="452"/>
      <c r="F4" s="452"/>
      <c r="G4" s="452"/>
      <c r="H4" s="452"/>
      <c r="I4" s="452"/>
      <c r="J4" s="452"/>
      <c r="K4" s="452"/>
      <c r="L4" s="452"/>
      <c r="M4" s="452"/>
      <c r="N4" s="452"/>
      <c r="O4" s="452"/>
      <c r="P4" s="452"/>
      <c r="Q4" s="452"/>
      <c r="R4" s="452"/>
      <c r="S4" s="452"/>
      <c r="T4" s="452"/>
      <c r="U4" s="452"/>
      <c r="V4" s="452"/>
      <c r="W4" s="452"/>
      <c r="X4" s="452"/>
      <c r="Y4" s="452"/>
      <c r="Z4" s="452"/>
      <c r="AA4" s="452"/>
      <c r="AB4" s="452"/>
      <c r="AC4" s="452"/>
      <c r="AD4" s="452"/>
      <c r="AE4" s="452"/>
      <c r="AF4" s="452"/>
      <c r="AG4" s="452"/>
      <c r="AH4" s="452"/>
      <c r="AI4" s="452"/>
      <c r="AJ4" s="452"/>
      <c r="AK4" s="452"/>
      <c r="AL4" s="452"/>
      <c r="AM4" s="452"/>
      <c r="AN4" s="452"/>
      <c r="AO4" s="452"/>
      <c r="AP4" s="452"/>
      <c r="AQ4" s="452"/>
      <c r="AR4" s="452"/>
      <c r="AS4" s="452"/>
      <c r="AT4" s="452"/>
      <c r="AU4" s="452"/>
      <c r="AV4" s="452"/>
      <c r="AW4" s="452"/>
      <c r="AX4" s="452"/>
      <c r="AY4" s="452"/>
      <c r="AZ4" s="452"/>
      <c r="BA4" s="452"/>
      <c r="BB4" s="452"/>
      <c r="BC4" s="452"/>
      <c r="BD4" s="452"/>
      <c r="BE4" s="452"/>
      <c r="BF4" s="452"/>
      <c r="BG4" s="452"/>
      <c r="BH4" s="452"/>
      <c r="BI4" s="452"/>
      <c r="BJ4" s="452"/>
      <c r="BK4" s="452"/>
      <c r="BL4" s="452"/>
      <c r="BM4" s="452"/>
      <c r="BN4" s="452"/>
      <c r="BO4" s="452"/>
      <c r="BP4" s="452"/>
      <c r="BQ4" s="189">
        <f t="shared" si="0"/>
        <v>0</v>
      </c>
      <c r="BR4" s="189">
        <f>449000-BQ4</f>
        <v>449000</v>
      </c>
    </row>
    <row r="5" spans="1:70" ht="10.15" customHeight="1">
      <c r="A5" s="195" t="s">
        <v>51</v>
      </c>
      <c r="B5" s="252"/>
      <c r="C5" s="252"/>
      <c r="D5" s="252"/>
      <c r="E5" s="252"/>
      <c r="F5" s="252"/>
      <c r="G5" s="252"/>
      <c r="H5" s="252"/>
      <c r="I5" s="252"/>
      <c r="J5" s="252"/>
      <c r="K5" s="252"/>
      <c r="L5" s="252"/>
      <c r="M5" s="252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  <c r="AA5" s="252"/>
      <c r="AB5" s="252"/>
      <c r="AC5" s="252"/>
      <c r="AD5" s="252"/>
      <c r="AE5" s="252"/>
      <c r="AF5" s="252"/>
      <c r="AG5" s="252"/>
      <c r="AH5" s="252"/>
      <c r="AI5" s="252"/>
      <c r="AJ5" s="252"/>
      <c r="AK5" s="252"/>
      <c r="AL5" s="252"/>
      <c r="AM5" s="252"/>
      <c r="AN5" s="252"/>
      <c r="AO5" s="252"/>
      <c r="AP5" s="252"/>
      <c r="AQ5" s="252"/>
      <c r="AR5" s="252"/>
      <c r="AS5" s="252"/>
      <c r="AT5" s="252"/>
      <c r="AU5" s="252"/>
      <c r="AV5" s="252"/>
      <c r="AW5" s="252"/>
      <c r="AX5" s="252"/>
      <c r="AY5" s="252"/>
      <c r="AZ5" s="252"/>
      <c r="BA5" s="252"/>
      <c r="BB5" s="252"/>
      <c r="BC5" s="252"/>
      <c r="BD5" s="252"/>
      <c r="BE5" s="252"/>
      <c r="BF5" s="252"/>
      <c r="BG5" s="252"/>
      <c r="BH5" s="252"/>
      <c r="BI5" s="252"/>
      <c r="BJ5" s="252"/>
      <c r="BK5" s="252"/>
      <c r="BL5" s="252"/>
      <c r="BM5" s="252"/>
      <c r="BN5" s="252"/>
      <c r="BO5" s="252"/>
      <c r="BP5" s="252"/>
      <c r="BQ5" s="520">
        <f t="shared" si="0"/>
        <v>0</v>
      </c>
      <c r="BR5" s="520">
        <f>100000-BQ5+350000</f>
        <v>450000</v>
      </c>
    </row>
    <row r="6" spans="1:70" ht="10.15" customHeight="1">
      <c r="A6" s="195" t="s">
        <v>62</v>
      </c>
      <c r="B6" s="252"/>
      <c r="C6" s="252"/>
      <c r="D6" s="252"/>
      <c r="E6" s="252"/>
      <c r="F6" s="252"/>
      <c r="G6" s="252"/>
      <c r="H6" s="252"/>
      <c r="I6" s="252"/>
      <c r="J6" s="252"/>
      <c r="K6" s="252"/>
      <c r="L6" s="252"/>
      <c r="M6" s="252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  <c r="AA6" s="252"/>
      <c r="AB6" s="252"/>
      <c r="AC6" s="252"/>
      <c r="AD6" s="252"/>
      <c r="AE6" s="252"/>
      <c r="AF6" s="252"/>
      <c r="AG6" s="252"/>
      <c r="AH6" s="252"/>
      <c r="AI6" s="252"/>
      <c r="AJ6" s="252"/>
      <c r="AK6" s="252"/>
      <c r="AL6" s="252"/>
      <c r="AM6" s="252"/>
      <c r="AN6" s="252"/>
      <c r="AO6" s="252"/>
      <c r="AP6" s="252"/>
      <c r="AQ6" s="252"/>
      <c r="AR6" s="252"/>
      <c r="AS6" s="252"/>
      <c r="AT6" s="252"/>
      <c r="AU6" s="252"/>
      <c r="AV6" s="252"/>
      <c r="AW6" s="252"/>
      <c r="AX6" s="252"/>
      <c r="AY6" s="252"/>
      <c r="AZ6" s="252"/>
      <c r="BA6" s="252"/>
      <c r="BB6" s="252"/>
      <c r="BC6" s="252"/>
      <c r="BD6" s="252"/>
      <c r="BE6" s="252"/>
      <c r="BF6" s="252"/>
      <c r="BG6" s="252"/>
      <c r="BH6" s="252"/>
      <c r="BI6" s="252"/>
      <c r="BJ6" s="252"/>
      <c r="BK6" s="252"/>
      <c r="BL6" s="252"/>
      <c r="BM6" s="252"/>
      <c r="BN6" s="252"/>
      <c r="BO6" s="252"/>
      <c r="BP6" s="252"/>
      <c r="BQ6" s="520">
        <f t="shared" si="0"/>
        <v>0</v>
      </c>
      <c r="BR6" s="520">
        <f>100000-BQ6</f>
        <v>100000</v>
      </c>
    </row>
    <row r="7" spans="1:70" ht="10.15" customHeight="1">
      <c r="A7" s="195" t="s">
        <v>12</v>
      </c>
      <c r="B7" s="252"/>
      <c r="C7" s="252"/>
      <c r="D7" s="252"/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  <c r="AA7" s="252"/>
      <c r="AB7" s="252"/>
      <c r="AC7" s="252"/>
      <c r="AD7" s="252"/>
      <c r="AE7" s="252"/>
      <c r="AF7" s="252"/>
      <c r="AG7" s="252"/>
      <c r="AH7" s="252"/>
      <c r="AI7" s="252"/>
      <c r="AJ7" s="252"/>
      <c r="AK7" s="252"/>
      <c r="AL7" s="252"/>
      <c r="AM7" s="252"/>
      <c r="AN7" s="252"/>
      <c r="AO7" s="252"/>
      <c r="AP7" s="252"/>
      <c r="AQ7" s="252"/>
      <c r="AR7" s="252"/>
      <c r="AS7" s="252"/>
      <c r="AT7" s="252"/>
      <c r="AU7" s="252"/>
      <c r="AV7" s="252"/>
      <c r="AW7" s="252"/>
      <c r="AX7" s="252"/>
      <c r="AY7" s="252"/>
      <c r="AZ7" s="252"/>
      <c r="BA7" s="252"/>
      <c r="BB7" s="252"/>
      <c r="BC7" s="252"/>
      <c r="BD7" s="252"/>
      <c r="BE7" s="252"/>
      <c r="BF7" s="252"/>
      <c r="BG7" s="252"/>
      <c r="BH7" s="252"/>
      <c r="BI7" s="252"/>
      <c r="BJ7" s="252"/>
      <c r="BK7" s="252"/>
      <c r="BL7" s="252"/>
      <c r="BM7" s="252"/>
      <c r="BN7" s="252"/>
      <c r="BO7" s="252"/>
      <c r="BP7" s="252"/>
      <c r="BQ7" s="520">
        <f t="shared" si="0"/>
        <v>0</v>
      </c>
      <c r="BR7" s="520">
        <f t="shared" ref="BR7:BR49" si="1">100000-BQ7</f>
        <v>100000</v>
      </c>
    </row>
    <row r="8" spans="1:70" ht="10.15" customHeight="1">
      <c r="A8" s="195" t="s">
        <v>239</v>
      </c>
      <c r="B8" s="252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  <c r="BK8" s="252"/>
      <c r="BL8" s="252"/>
      <c r="BM8" s="252"/>
      <c r="BN8" s="252"/>
      <c r="BO8" s="252"/>
      <c r="BP8" s="252"/>
      <c r="BQ8" s="520">
        <f t="shared" si="0"/>
        <v>0</v>
      </c>
      <c r="BR8" s="520">
        <f t="shared" si="1"/>
        <v>100000</v>
      </c>
    </row>
    <row r="9" spans="1:70" ht="10.15" customHeight="1">
      <c r="A9" s="195" t="s">
        <v>68</v>
      </c>
      <c r="B9" s="252"/>
      <c r="C9" s="252"/>
      <c r="D9" s="252"/>
      <c r="E9" s="252"/>
      <c r="F9" s="252"/>
      <c r="G9" s="252"/>
      <c r="H9" s="252"/>
      <c r="I9" s="252"/>
      <c r="J9" s="252"/>
      <c r="K9" s="252"/>
      <c r="L9" s="252"/>
      <c r="M9" s="252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  <c r="AA9" s="252"/>
      <c r="AB9" s="252"/>
      <c r="AC9" s="252"/>
      <c r="AD9" s="252"/>
      <c r="AE9" s="252"/>
      <c r="AF9" s="252"/>
      <c r="AG9" s="252"/>
      <c r="AH9" s="252"/>
      <c r="AI9" s="252"/>
      <c r="AJ9" s="252"/>
      <c r="AK9" s="252"/>
      <c r="AL9" s="252"/>
      <c r="AM9" s="252"/>
      <c r="AN9" s="252"/>
      <c r="AO9" s="252"/>
      <c r="AP9" s="252"/>
      <c r="AQ9" s="252"/>
      <c r="AR9" s="252"/>
      <c r="AS9" s="252"/>
      <c r="AT9" s="252"/>
      <c r="AU9" s="252"/>
      <c r="AV9" s="252"/>
      <c r="AW9" s="252"/>
      <c r="AX9" s="252"/>
      <c r="AY9" s="252"/>
      <c r="AZ9" s="252"/>
      <c r="BA9" s="252"/>
      <c r="BB9" s="252"/>
      <c r="BC9" s="252"/>
      <c r="BD9" s="252"/>
      <c r="BE9" s="252"/>
      <c r="BF9" s="252"/>
      <c r="BG9" s="252"/>
      <c r="BH9" s="252"/>
      <c r="BI9" s="252"/>
      <c r="BJ9" s="252"/>
      <c r="BK9" s="252"/>
      <c r="BL9" s="252"/>
      <c r="BM9" s="252"/>
      <c r="BN9" s="252"/>
      <c r="BO9" s="252"/>
      <c r="BP9" s="252"/>
      <c r="BQ9" s="520">
        <f t="shared" si="0"/>
        <v>0</v>
      </c>
      <c r="BR9" s="520">
        <f t="shared" si="1"/>
        <v>100000</v>
      </c>
    </row>
    <row r="10" spans="1:70" ht="10.15" customHeight="1">
      <c r="A10" s="195" t="s">
        <v>245</v>
      </c>
      <c r="B10" s="252"/>
      <c r="C10" s="252"/>
      <c r="D10" s="252"/>
      <c r="E10" s="252"/>
      <c r="F10" s="252">
        <f>'3.31.22'!E22</f>
        <v>4151.5</v>
      </c>
      <c r="G10" s="252"/>
      <c r="H10" s="252"/>
      <c r="I10" s="252"/>
      <c r="J10" s="252"/>
      <c r="K10" s="252"/>
      <c r="L10" s="252"/>
      <c r="M10" s="252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  <c r="AA10" s="252"/>
      <c r="AB10" s="252"/>
      <c r="AC10" s="252"/>
      <c r="AD10" s="252"/>
      <c r="AE10" s="252"/>
      <c r="AF10" s="252"/>
      <c r="AG10" s="252"/>
      <c r="AH10" s="252"/>
      <c r="AI10" s="252"/>
      <c r="AJ10" s="252"/>
      <c r="AK10" s="252"/>
      <c r="AL10" s="252"/>
      <c r="AM10" s="252"/>
      <c r="AN10" s="252"/>
      <c r="AO10" s="252"/>
      <c r="AP10" s="252"/>
      <c r="AQ10" s="252"/>
      <c r="AR10" s="252"/>
      <c r="AS10" s="252"/>
      <c r="AT10" s="252"/>
      <c r="AU10" s="252"/>
      <c r="AV10" s="252"/>
      <c r="AW10" s="252"/>
      <c r="AX10" s="252"/>
      <c r="AY10" s="252"/>
      <c r="AZ10" s="252"/>
      <c r="BA10" s="252"/>
      <c r="BB10" s="252"/>
      <c r="BC10" s="252"/>
      <c r="BD10" s="252"/>
      <c r="BE10" s="252"/>
      <c r="BF10" s="252"/>
      <c r="BG10" s="252"/>
      <c r="BH10" s="252"/>
      <c r="BI10" s="252"/>
      <c r="BJ10" s="252"/>
      <c r="BK10" s="252"/>
      <c r="BL10" s="252"/>
      <c r="BM10" s="252"/>
      <c r="BN10" s="252"/>
      <c r="BO10" s="252"/>
      <c r="BP10" s="252"/>
      <c r="BQ10" s="520">
        <f t="shared" si="0"/>
        <v>4151.5</v>
      </c>
      <c r="BR10" s="520">
        <f t="shared" si="1"/>
        <v>95848.5</v>
      </c>
    </row>
    <row r="11" spans="1:70" ht="10.15" customHeight="1">
      <c r="A11" s="195" t="s">
        <v>254</v>
      </c>
      <c r="B11" s="252"/>
      <c r="C11" s="252">
        <f>'3.28.22'!E30</f>
        <v>1092.5</v>
      </c>
      <c r="D11" s="252"/>
      <c r="E11" s="252"/>
      <c r="F11" s="252">
        <f>'3.31.22'!E30</f>
        <v>1539</v>
      </c>
      <c r="G11" s="252"/>
      <c r="H11" s="252"/>
      <c r="I11" s="252"/>
      <c r="J11" s="252"/>
      <c r="K11" s="252"/>
      <c r="L11" s="252"/>
      <c r="M11" s="252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  <c r="AA11" s="252"/>
      <c r="AB11" s="252"/>
      <c r="AC11" s="252"/>
      <c r="AD11" s="252"/>
      <c r="AE11" s="252"/>
      <c r="AF11" s="252"/>
      <c r="AG11" s="252"/>
      <c r="AH11" s="252"/>
      <c r="AI11" s="252"/>
      <c r="AJ11" s="252"/>
      <c r="AK11" s="252"/>
      <c r="AL11" s="252"/>
      <c r="AM11" s="252"/>
      <c r="AN11" s="252"/>
      <c r="AO11" s="252"/>
      <c r="AP11" s="252"/>
      <c r="AQ11" s="252"/>
      <c r="AR11" s="252"/>
      <c r="AS11" s="252"/>
      <c r="AT11" s="252"/>
      <c r="AU11" s="252"/>
      <c r="AV11" s="252"/>
      <c r="AW11" s="252"/>
      <c r="AX11" s="252"/>
      <c r="AY11" s="252"/>
      <c r="AZ11" s="252"/>
      <c r="BA11" s="252"/>
      <c r="BB11" s="252"/>
      <c r="BC11" s="252"/>
      <c r="BD11" s="252"/>
      <c r="BE11" s="252"/>
      <c r="BF11" s="252"/>
      <c r="BG11" s="252"/>
      <c r="BH11" s="252"/>
      <c r="BI11" s="252"/>
      <c r="BJ11" s="252"/>
      <c r="BK11" s="252"/>
      <c r="BL11" s="252"/>
      <c r="BM11" s="252"/>
      <c r="BN11" s="252"/>
      <c r="BO11" s="252"/>
      <c r="BP11" s="252"/>
      <c r="BQ11" s="520">
        <f t="shared" si="0"/>
        <v>2631.5</v>
      </c>
      <c r="BR11" s="520">
        <f>100000-BQ11+350000</f>
        <v>447368.5</v>
      </c>
    </row>
    <row r="12" spans="1:70" ht="10.15" customHeight="1">
      <c r="A12" s="195" t="s">
        <v>49</v>
      </c>
      <c r="B12" s="252"/>
      <c r="C12" s="252"/>
      <c r="D12" s="252">
        <f>'3.29.22'!E21</f>
        <v>3505.5</v>
      </c>
      <c r="E12" s="252"/>
      <c r="F12" s="252"/>
      <c r="G12" s="252"/>
      <c r="H12" s="252"/>
      <c r="I12" s="252"/>
      <c r="J12" s="252"/>
      <c r="K12" s="252"/>
      <c r="L12" s="252"/>
      <c r="M12" s="252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  <c r="AA12" s="252"/>
      <c r="AB12" s="252"/>
      <c r="AC12" s="252"/>
      <c r="AD12" s="252"/>
      <c r="AE12" s="252"/>
      <c r="AF12" s="252"/>
      <c r="AG12" s="252"/>
      <c r="AH12" s="252"/>
      <c r="AI12" s="252"/>
      <c r="AJ12" s="252"/>
      <c r="AK12" s="252"/>
      <c r="AL12" s="252"/>
      <c r="AM12" s="252"/>
      <c r="AN12" s="252"/>
      <c r="AO12" s="252"/>
      <c r="AP12" s="252"/>
      <c r="AQ12" s="252"/>
      <c r="AR12" s="252"/>
      <c r="AS12" s="252"/>
      <c r="AT12" s="252"/>
      <c r="AU12" s="252"/>
      <c r="AV12" s="252"/>
      <c r="AW12" s="252"/>
      <c r="AX12" s="252"/>
      <c r="AY12" s="252"/>
      <c r="AZ12" s="252"/>
      <c r="BA12" s="252"/>
      <c r="BB12" s="252"/>
      <c r="BC12" s="252"/>
      <c r="BD12" s="252"/>
      <c r="BE12" s="252"/>
      <c r="BF12" s="252"/>
      <c r="BG12" s="252"/>
      <c r="BH12" s="252"/>
      <c r="BI12" s="252"/>
      <c r="BJ12" s="252"/>
      <c r="BK12" s="252"/>
      <c r="BL12" s="252"/>
      <c r="BM12" s="252"/>
      <c r="BN12" s="252"/>
      <c r="BO12" s="252"/>
      <c r="BP12" s="252"/>
      <c r="BQ12" s="520">
        <f t="shared" si="0"/>
        <v>3505.5</v>
      </c>
      <c r="BR12" s="520">
        <f t="shared" si="1"/>
        <v>96494.5</v>
      </c>
    </row>
    <row r="13" spans="1:70" ht="10.15" customHeight="1">
      <c r="A13" s="195" t="s">
        <v>235</v>
      </c>
      <c r="B13" s="252">
        <f>'3.27.22'!E29</f>
        <v>2755</v>
      </c>
      <c r="C13" s="252">
        <f>'3.28.22'!E28</f>
        <v>3686</v>
      </c>
      <c r="D13" s="252"/>
      <c r="E13" s="252"/>
      <c r="F13" s="252">
        <f>'3.31.22'!E28</f>
        <v>4493.5</v>
      </c>
      <c r="G13" s="252"/>
      <c r="H13" s="252"/>
      <c r="I13" s="252"/>
      <c r="J13" s="252"/>
      <c r="K13" s="252"/>
      <c r="L13" s="252"/>
      <c r="M13" s="252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  <c r="AA13" s="252"/>
      <c r="AB13" s="252"/>
      <c r="AC13" s="252"/>
      <c r="AD13" s="252"/>
      <c r="AE13" s="252"/>
      <c r="AF13" s="252"/>
      <c r="AG13" s="252"/>
      <c r="AH13" s="252"/>
      <c r="AI13" s="252"/>
      <c r="AJ13" s="252"/>
      <c r="AK13" s="252"/>
      <c r="AL13" s="252"/>
      <c r="AM13" s="252"/>
      <c r="AN13" s="252"/>
      <c r="AO13" s="252"/>
      <c r="AP13" s="252"/>
      <c r="AQ13" s="252"/>
      <c r="AR13" s="252"/>
      <c r="AS13" s="252"/>
      <c r="AT13" s="252"/>
      <c r="AU13" s="252"/>
      <c r="AV13" s="252"/>
      <c r="AW13" s="252"/>
      <c r="AX13" s="252"/>
      <c r="AY13" s="252"/>
      <c r="AZ13" s="252"/>
      <c r="BA13" s="252"/>
      <c r="BB13" s="252"/>
      <c r="BC13" s="252"/>
      <c r="BD13" s="252"/>
      <c r="BE13" s="252"/>
      <c r="BF13" s="252"/>
      <c r="BG13" s="252"/>
      <c r="BH13" s="252"/>
      <c r="BI13" s="252"/>
      <c r="BJ13" s="252"/>
      <c r="BK13" s="252"/>
      <c r="BL13" s="252"/>
      <c r="BM13" s="252"/>
      <c r="BN13" s="252"/>
      <c r="BO13" s="252"/>
      <c r="BP13" s="252"/>
      <c r="BQ13" s="520">
        <f t="shared" si="0"/>
        <v>10934.5</v>
      </c>
      <c r="BR13" s="520">
        <f>100000-BQ13+350000</f>
        <v>439065.5</v>
      </c>
    </row>
    <row r="14" spans="1:70" ht="10.15" customHeight="1">
      <c r="A14" s="195" t="s">
        <v>188</v>
      </c>
      <c r="B14" s="252"/>
      <c r="C14" s="252"/>
      <c r="D14" s="252"/>
      <c r="E14" s="252"/>
      <c r="F14" s="252"/>
      <c r="G14" s="252"/>
      <c r="H14" s="252"/>
      <c r="I14" s="252"/>
      <c r="J14" s="252"/>
      <c r="K14" s="252"/>
      <c r="L14" s="252"/>
      <c r="M14" s="252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  <c r="AA14" s="252"/>
      <c r="AB14" s="252"/>
      <c r="AC14" s="252"/>
      <c r="AD14" s="252"/>
      <c r="AE14" s="252"/>
      <c r="AF14" s="252"/>
      <c r="AG14" s="252"/>
      <c r="AH14" s="252"/>
      <c r="AI14" s="252"/>
      <c r="AJ14" s="252"/>
      <c r="AK14" s="252"/>
      <c r="AL14" s="252"/>
      <c r="AM14" s="252"/>
      <c r="AN14" s="252"/>
      <c r="AO14" s="252"/>
      <c r="AP14" s="252"/>
      <c r="AQ14" s="252"/>
      <c r="AR14" s="252"/>
      <c r="AS14" s="252"/>
      <c r="AT14" s="252"/>
      <c r="AU14" s="252"/>
      <c r="AV14" s="252"/>
      <c r="AW14" s="252"/>
      <c r="AX14" s="252"/>
      <c r="AY14" s="252"/>
      <c r="AZ14" s="252"/>
      <c r="BA14" s="252"/>
      <c r="BB14" s="252"/>
      <c r="BC14" s="252"/>
      <c r="BD14" s="252"/>
      <c r="BE14" s="252"/>
      <c r="BF14" s="252"/>
      <c r="BG14" s="252"/>
      <c r="BH14" s="252"/>
      <c r="BI14" s="252"/>
      <c r="BJ14" s="252"/>
      <c r="BK14" s="252"/>
      <c r="BL14" s="252"/>
      <c r="BM14" s="252"/>
      <c r="BN14" s="252"/>
      <c r="BO14" s="252"/>
      <c r="BP14" s="252"/>
      <c r="BQ14" s="520">
        <f t="shared" si="0"/>
        <v>0</v>
      </c>
      <c r="BR14" s="520">
        <f t="shared" si="1"/>
        <v>100000</v>
      </c>
    </row>
    <row r="15" spans="1:70" ht="10.15" customHeight="1">
      <c r="A15" s="195" t="s">
        <v>243</v>
      </c>
      <c r="B15" s="252"/>
      <c r="C15" s="252"/>
      <c r="D15" s="252"/>
      <c r="E15" s="252"/>
      <c r="F15" s="252"/>
      <c r="G15" s="252"/>
      <c r="H15" s="252"/>
      <c r="I15" s="252"/>
      <c r="J15" s="252"/>
      <c r="K15" s="252"/>
      <c r="L15" s="252"/>
      <c r="M15" s="252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  <c r="AA15" s="252"/>
      <c r="AB15" s="252"/>
      <c r="AC15" s="252"/>
      <c r="AD15" s="252"/>
      <c r="AE15" s="252"/>
      <c r="AF15" s="252"/>
      <c r="AG15" s="252"/>
      <c r="AH15" s="252"/>
      <c r="AI15" s="252"/>
      <c r="AJ15" s="252"/>
      <c r="AK15" s="252"/>
      <c r="AL15" s="252"/>
      <c r="AM15" s="252"/>
      <c r="AN15" s="252"/>
      <c r="AO15" s="252"/>
      <c r="AP15" s="252"/>
      <c r="AQ15" s="252"/>
      <c r="AR15" s="252"/>
      <c r="AS15" s="252"/>
      <c r="AT15" s="252"/>
      <c r="AU15" s="252"/>
      <c r="AV15" s="252"/>
      <c r="AW15" s="252"/>
      <c r="AX15" s="252"/>
      <c r="AY15" s="252"/>
      <c r="AZ15" s="252"/>
      <c r="BA15" s="252"/>
      <c r="BB15" s="252"/>
      <c r="BC15" s="252"/>
      <c r="BD15" s="252"/>
      <c r="BE15" s="252"/>
      <c r="BF15" s="252"/>
      <c r="BG15" s="252"/>
      <c r="BH15" s="252"/>
      <c r="BI15" s="252"/>
      <c r="BJ15" s="252"/>
      <c r="BK15" s="252"/>
      <c r="BL15" s="252"/>
      <c r="BM15" s="252"/>
      <c r="BN15" s="252"/>
      <c r="BO15" s="252"/>
      <c r="BP15" s="252"/>
      <c r="BQ15" s="520">
        <f t="shared" si="0"/>
        <v>0</v>
      </c>
      <c r="BR15" s="520">
        <f t="shared" si="1"/>
        <v>100000</v>
      </c>
    </row>
    <row r="16" spans="1:70" ht="10.15" customHeight="1">
      <c r="A16" s="195" t="s">
        <v>63</v>
      </c>
      <c r="B16" s="252"/>
      <c r="C16" s="252"/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  <c r="AA16" s="252"/>
      <c r="AB16" s="252"/>
      <c r="AC16" s="252"/>
      <c r="AD16" s="252"/>
      <c r="AE16" s="252"/>
      <c r="AF16" s="252"/>
      <c r="AG16" s="252"/>
      <c r="AH16" s="252"/>
      <c r="AI16" s="252"/>
      <c r="AJ16" s="252"/>
      <c r="AK16" s="252"/>
      <c r="AL16" s="252"/>
      <c r="AM16" s="252"/>
      <c r="AN16" s="252"/>
      <c r="AO16" s="252"/>
      <c r="AP16" s="252"/>
      <c r="AQ16" s="252"/>
      <c r="AR16" s="252"/>
      <c r="AS16" s="252"/>
      <c r="AT16" s="252"/>
      <c r="AU16" s="252"/>
      <c r="AV16" s="252"/>
      <c r="AW16" s="252"/>
      <c r="AX16" s="252"/>
      <c r="AY16" s="252"/>
      <c r="AZ16" s="252"/>
      <c r="BA16" s="252"/>
      <c r="BB16" s="252"/>
      <c r="BC16" s="252"/>
      <c r="BD16" s="252"/>
      <c r="BE16" s="252"/>
      <c r="BF16" s="252"/>
      <c r="BG16" s="252"/>
      <c r="BH16" s="252"/>
      <c r="BI16" s="252"/>
      <c r="BJ16" s="252"/>
      <c r="BK16" s="252"/>
      <c r="BL16" s="252"/>
      <c r="BM16" s="252"/>
      <c r="BN16" s="252"/>
      <c r="BO16" s="252"/>
      <c r="BP16" s="252"/>
      <c r="BQ16" s="520">
        <f t="shared" si="0"/>
        <v>0</v>
      </c>
      <c r="BR16" s="520">
        <f>449000-BQ16+350000</f>
        <v>799000</v>
      </c>
    </row>
    <row r="17" spans="1:70" ht="10.15" customHeight="1">
      <c r="A17" s="195" t="s">
        <v>78</v>
      </c>
      <c r="B17" s="252">
        <f>'3.27.22'!E30</f>
        <v>1615</v>
      </c>
      <c r="C17" s="252">
        <f>'3.28.22'!E18</f>
        <v>2413</v>
      </c>
      <c r="D17" s="252">
        <f>'3.29.22'!E30</f>
        <v>1282.5</v>
      </c>
      <c r="E17" s="252">
        <f>'3.30.22'!E19</f>
        <v>2859.5</v>
      </c>
      <c r="F17" s="252"/>
      <c r="G17" s="252"/>
      <c r="H17" s="252"/>
      <c r="I17" s="252"/>
      <c r="J17" s="252"/>
      <c r="K17" s="252"/>
      <c r="L17" s="252"/>
      <c r="M17" s="252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  <c r="AA17" s="252"/>
      <c r="AB17" s="252"/>
      <c r="AC17" s="252"/>
      <c r="AD17" s="252"/>
      <c r="AE17" s="252"/>
      <c r="AF17" s="252"/>
      <c r="AG17" s="252"/>
      <c r="AH17" s="252"/>
      <c r="AI17" s="252"/>
      <c r="AJ17" s="252"/>
      <c r="AK17" s="252"/>
      <c r="AL17" s="252"/>
      <c r="AM17" s="252"/>
      <c r="AN17" s="252"/>
      <c r="AO17" s="252"/>
      <c r="AP17" s="252"/>
      <c r="AQ17" s="252"/>
      <c r="AR17" s="252"/>
      <c r="AS17" s="252"/>
      <c r="AT17" s="252"/>
      <c r="AU17" s="252"/>
      <c r="AV17" s="252"/>
      <c r="AW17" s="252"/>
      <c r="AX17" s="252"/>
      <c r="AY17" s="252"/>
      <c r="AZ17" s="252"/>
      <c r="BA17" s="252"/>
      <c r="BB17" s="252"/>
      <c r="BC17" s="252"/>
      <c r="BD17" s="252"/>
      <c r="BE17" s="252"/>
      <c r="BF17" s="252"/>
      <c r="BG17" s="252"/>
      <c r="BH17" s="252"/>
      <c r="BI17" s="252"/>
      <c r="BJ17" s="252"/>
      <c r="BK17" s="252"/>
      <c r="BL17" s="252"/>
      <c r="BM17" s="252"/>
      <c r="BN17" s="252"/>
      <c r="BO17" s="252"/>
      <c r="BP17" s="252"/>
      <c r="BQ17" s="520">
        <f t="shared" si="0"/>
        <v>8170</v>
      </c>
      <c r="BR17" s="520">
        <f t="shared" si="1"/>
        <v>91830</v>
      </c>
    </row>
    <row r="18" spans="1:70" ht="10.15" customHeight="1">
      <c r="A18" s="195" t="s">
        <v>129</v>
      </c>
      <c r="B18" s="252"/>
      <c r="C18" s="252"/>
      <c r="D18" s="25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  <c r="AA18" s="252"/>
      <c r="AB18" s="252"/>
      <c r="AC18" s="252"/>
      <c r="AD18" s="252"/>
      <c r="AE18" s="252"/>
      <c r="AF18" s="252"/>
      <c r="AG18" s="252"/>
      <c r="AH18" s="252"/>
      <c r="AI18" s="252"/>
      <c r="AJ18" s="252"/>
      <c r="AK18" s="252"/>
      <c r="AL18" s="252"/>
      <c r="AM18" s="252"/>
      <c r="AN18" s="252"/>
      <c r="AO18" s="252"/>
      <c r="AP18" s="252"/>
      <c r="AQ18" s="252"/>
      <c r="AR18" s="252"/>
      <c r="AS18" s="252"/>
      <c r="AT18" s="252"/>
      <c r="AU18" s="252"/>
      <c r="AV18" s="252"/>
      <c r="AW18" s="252"/>
      <c r="AX18" s="252"/>
      <c r="AY18" s="252"/>
      <c r="AZ18" s="252"/>
      <c r="BA18" s="252"/>
      <c r="BB18" s="252"/>
      <c r="BC18" s="252"/>
      <c r="BD18" s="252"/>
      <c r="BE18" s="252"/>
      <c r="BF18" s="252"/>
      <c r="BG18" s="252"/>
      <c r="BH18" s="252"/>
      <c r="BI18" s="252"/>
      <c r="BJ18" s="252"/>
      <c r="BK18" s="252"/>
      <c r="BL18" s="252"/>
      <c r="BM18" s="252"/>
      <c r="BN18" s="252"/>
      <c r="BO18" s="252"/>
      <c r="BP18" s="252"/>
      <c r="BQ18" s="520">
        <f t="shared" si="0"/>
        <v>0</v>
      </c>
      <c r="BR18" s="520">
        <f t="shared" si="1"/>
        <v>100000</v>
      </c>
    </row>
    <row r="19" spans="1:70" ht="10.15" customHeight="1">
      <c r="A19" s="195" t="s">
        <v>238</v>
      </c>
      <c r="B19" s="252"/>
      <c r="C19" s="252"/>
      <c r="D19" s="252"/>
      <c r="E19" s="252"/>
      <c r="F19" s="252"/>
      <c r="G19" s="252"/>
      <c r="H19" s="252"/>
      <c r="I19" s="252"/>
      <c r="J19" s="252"/>
      <c r="K19" s="252"/>
      <c r="L19" s="252"/>
      <c r="M19" s="252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  <c r="AA19" s="252"/>
      <c r="AB19" s="252"/>
      <c r="AC19" s="252"/>
      <c r="AD19" s="252"/>
      <c r="AE19" s="252"/>
      <c r="AF19" s="252"/>
      <c r="AG19" s="252"/>
      <c r="AH19" s="252"/>
      <c r="AI19" s="252"/>
      <c r="AJ19" s="252"/>
      <c r="AK19" s="252"/>
      <c r="AL19" s="252"/>
      <c r="AM19" s="252"/>
      <c r="AN19" s="252"/>
      <c r="AO19" s="252"/>
      <c r="AP19" s="252"/>
      <c r="AQ19" s="252"/>
      <c r="AR19" s="252"/>
      <c r="AS19" s="252"/>
      <c r="AT19" s="252"/>
      <c r="AU19" s="252"/>
      <c r="AV19" s="252"/>
      <c r="AW19" s="252"/>
      <c r="AX19" s="252"/>
      <c r="AY19" s="252"/>
      <c r="AZ19" s="252"/>
      <c r="BA19" s="252"/>
      <c r="BB19" s="252"/>
      <c r="BC19" s="252"/>
      <c r="BD19" s="252"/>
      <c r="BE19" s="252"/>
      <c r="BF19" s="252"/>
      <c r="BG19" s="252"/>
      <c r="BH19" s="252"/>
      <c r="BI19" s="252"/>
      <c r="BJ19" s="252"/>
      <c r="BK19" s="252"/>
      <c r="BL19" s="252"/>
      <c r="BM19" s="252"/>
      <c r="BN19" s="252"/>
      <c r="BO19" s="252"/>
      <c r="BP19" s="252"/>
      <c r="BQ19" s="520">
        <f t="shared" si="0"/>
        <v>0</v>
      </c>
      <c r="BR19" s="520">
        <f t="shared" si="1"/>
        <v>100000</v>
      </c>
    </row>
    <row r="20" spans="1:70" ht="10.15" customHeight="1">
      <c r="A20" s="195" t="s">
        <v>79</v>
      </c>
      <c r="B20" s="252"/>
      <c r="C20" s="252"/>
      <c r="D20" s="252"/>
      <c r="E20" s="252"/>
      <c r="F20" s="252"/>
      <c r="G20" s="252"/>
      <c r="H20" s="252"/>
      <c r="I20" s="252"/>
      <c r="J20" s="252"/>
      <c r="K20" s="252"/>
      <c r="L20" s="252"/>
      <c r="M20" s="252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  <c r="AA20" s="252"/>
      <c r="AB20" s="252"/>
      <c r="AC20" s="252"/>
      <c r="AD20" s="252"/>
      <c r="AE20" s="252"/>
      <c r="AF20" s="252"/>
      <c r="AG20" s="252"/>
      <c r="AH20" s="252"/>
      <c r="AI20" s="252"/>
      <c r="AJ20" s="252"/>
      <c r="AK20" s="252"/>
      <c r="AL20" s="252"/>
      <c r="AM20" s="252"/>
      <c r="AN20" s="252"/>
      <c r="AO20" s="252"/>
      <c r="AP20" s="252"/>
      <c r="AQ20" s="252"/>
      <c r="AR20" s="252"/>
      <c r="AS20" s="252"/>
      <c r="AT20" s="252"/>
      <c r="AU20" s="252"/>
      <c r="AV20" s="252"/>
      <c r="AW20" s="252"/>
      <c r="AX20" s="252"/>
      <c r="AY20" s="252"/>
      <c r="AZ20" s="252"/>
      <c r="BA20" s="252"/>
      <c r="BB20" s="252"/>
      <c r="BC20" s="252"/>
      <c r="BD20" s="252"/>
      <c r="BE20" s="252"/>
      <c r="BF20" s="252"/>
      <c r="BG20" s="252"/>
      <c r="BH20" s="252"/>
      <c r="BI20" s="252"/>
      <c r="BJ20" s="252"/>
      <c r="BK20" s="252"/>
      <c r="BL20" s="252"/>
      <c r="BM20" s="252"/>
      <c r="BN20" s="252"/>
      <c r="BO20" s="252"/>
      <c r="BP20" s="252"/>
      <c r="BQ20" s="520">
        <f t="shared" si="0"/>
        <v>0</v>
      </c>
      <c r="BR20" s="520">
        <f t="shared" si="1"/>
        <v>100000</v>
      </c>
    </row>
    <row r="21" spans="1:70" ht="10.15" customHeight="1">
      <c r="A21" s="195" t="s">
        <v>53</v>
      </c>
      <c r="B21" s="252"/>
      <c r="C21" s="252"/>
      <c r="D21" s="252"/>
      <c r="E21" s="252"/>
      <c r="F21" s="252"/>
      <c r="G21" s="252"/>
      <c r="H21" s="252"/>
      <c r="I21" s="252"/>
      <c r="J21" s="252"/>
      <c r="K21" s="252"/>
      <c r="L21" s="252"/>
      <c r="M21" s="252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  <c r="AA21" s="252"/>
      <c r="AB21" s="252"/>
      <c r="AC21" s="252"/>
      <c r="AD21" s="252"/>
      <c r="AE21" s="252"/>
      <c r="AF21" s="252"/>
      <c r="AG21" s="252"/>
      <c r="AH21" s="252"/>
      <c r="AI21" s="252"/>
      <c r="AJ21" s="252"/>
      <c r="AK21" s="252"/>
      <c r="AL21" s="252"/>
      <c r="AM21" s="252"/>
      <c r="AN21" s="252"/>
      <c r="AO21" s="252"/>
      <c r="AP21" s="252"/>
      <c r="AQ21" s="252"/>
      <c r="AR21" s="252"/>
      <c r="AS21" s="252"/>
      <c r="AT21" s="252"/>
      <c r="AU21" s="252"/>
      <c r="AV21" s="252"/>
      <c r="AW21" s="252"/>
      <c r="AX21" s="252"/>
      <c r="AY21" s="252"/>
      <c r="AZ21" s="252"/>
      <c r="BA21" s="252"/>
      <c r="BB21" s="252"/>
      <c r="BC21" s="252"/>
      <c r="BD21" s="252"/>
      <c r="BE21" s="252"/>
      <c r="BF21" s="252"/>
      <c r="BG21" s="252"/>
      <c r="BH21" s="252"/>
      <c r="BI21" s="252"/>
      <c r="BJ21" s="252"/>
      <c r="BK21" s="252"/>
      <c r="BL21" s="252"/>
      <c r="BM21" s="252"/>
      <c r="BN21" s="252"/>
      <c r="BO21" s="252"/>
      <c r="BP21" s="252"/>
      <c r="BQ21" s="520">
        <f t="shared" si="0"/>
        <v>0</v>
      </c>
      <c r="BR21" s="358">
        <f>350000-BQ21+700000</f>
        <v>1050000</v>
      </c>
    </row>
    <row r="22" spans="1:70" ht="10.15" customHeight="1">
      <c r="A22" s="195" t="s">
        <v>80</v>
      </c>
      <c r="B22" s="252"/>
      <c r="C22" s="252"/>
      <c r="D22" s="252"/>
      <c r="E22" s="252"/>
      <c r="F22" s="252"/>
      <c r="G22" s="252"/>
      <c r="H22" s="252"/>
      <c r="I22" s="252"/>
      <c r="J22" s="252"/>
      <c r="K22" s="252"/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  <c r="AA22" s="252"/>
      <c r="AB22" s="252"/>
      <c r="AC22" s="252"/>
      <c r="AD22" s="252"/>
      <c r="AE22" s="252"/>
      <c r="AF22" s="252"/>
      <c r="AG22" s="252"/>
      <c r="AH22" s="252"/>
      <c r="AI22" s="252"/>
      <c r="AJ22" s="252"/>
      <c r="AK22" s="252"/>
      <c r="AL22" s="252"/>
      <c r="AM22" s="252"/>
      <c r="AN22" s="252"/>
      <c r="AO22" s="252"/>
      <c r="AP22" s="252"/>
      <c r="AQ22" s="252"/>
      <c r="AR22" s="252"/>
      <c r="AS22" s="252"/>
      <c r="AT22" s="252"/>
      <c r="AU22" s="252"/>
      <c r="AV22" s="252"/>
      <c r="AW22" s="252"/>
      <c r="AX22" s="252"/>
      <c r="AY22" s="252"/>
      <c r="AZ22" s="252"/>
      <c r="BA22" s="252"/>
      <c r="BB22" s="252"/>
      <c r="BC22" s="252"/>
      <c r="BD22" s="252"/>
      <c r="BE22" s="252"/>
      <c r="BF22" s="252"/>
      <c r="BG22" s="252"/>
      <c r="BH22" s="252"/>
      <c r="BI22" s="252"/>
      <c r="BJ22" s="252"/>
      <c r="BK22" s="252"/>
      <c r="BL22" s="252"/>
      <c r="BM22" s="252"/>
      <c r="BN22" s="252"/>
      <c r="BO22" s="252"/>
      <c r="BP22" s="252"/>
      <c r="BQ22" s="520">
        <f t="shared" si="0"/>
        <v>0</v>
      </c>
      <c r="BR22" s="520">
        <f t="shared" si="1"/>
        <v>100000</v>
      </c>
    </row>
    <row r="23" spans="1:70" ht="9.6" customHeight="1">
      <c r="A23" s="195" t="s">
        <v>194</v>
      </c>
      <c r="B23" s="252"/>
      <c r="C23" s="252"/>
      <c r="D23" s="252"/>
      <c r="E23" s="252"/>
      <c r="F23" s="252"/>
      <c r="G23" s="252"/>
      <c r="H23" s="252"/>
      <c r="I23" s="252"/>
      <c r="J23" s="252"/>
      <c r="K23" s="252"/>
      <c r="L23" s="252"/>
      <c r="M23" s="252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  <c r="AA23" s="252"/>
      <c r="AB23" s="252"/>
      <c r="AC23" s="252"/>
      <c r="AD23" s="252"/>
      <c r="AE23" s="252"/>
      <c r="AF23" s="252"/>
      <c r="AG23" s="252"/>
      <c r="AH23" s="252"/>
      <c r="AI23" s="252"/>
      <c r="AJ23" s="252"/>
      <c r="AK23" s="252"/>
      <c r="AL23" s="252"/>
      <c r="AM23" s="252"/>
      <c r="AN23" s="252"/>
      <c r="AO23" s="252"/>
      <c r="AP23" s="252"/>
      <c r="AQ23" s="252"/>
      <c r="AR23" s="252"/>
      <c r="AS23" s="252"/>
      <c r="AT23" s="252"/>
      <c r="AU23" s="252"/>
      <c r="AV23" s="252"/>
      <c r="AW23" s="252"/>
      <c r="AX23" s="252"/>
      <c r="AY23" s="252"/>
      <c r="AZ23" s="252"/>
      <c r="BA23" s="252"/>
      <c r="BB23" s="252"/>
      <c r="BC23" s="252"/>
      <c r="BD23" s="252"/>
      <c r="BE23" s="252"/>
      <c r="BF23" s="252"/>
      <c r="BG23" s="252"/>
      <c r="BH23" s="252"/>
      <c r="BI23" s="252"/>
      <c r="BJ23" s="252"/>
      <c r="BK23" s="252"/>
      <c r="BL23" s="252"/>
      <c r="BM23" s="252"/>
      <c r="BN23" s="252"/>
      <c r="BO23" s="252"/>
      <c r="BP23" s="252"/>
      <c r="BQ23" s="520">
        <f t="shared" si="0"/>
        <v>0</v>
      </c>
      <c r="BR23" s="520">
        <f t="shared" si="1"/>
        <v>100000</v>
      </c>
    </row>
    <row r="24" spans="1:70" ht="9.6" customHeight="1">
      <c r="A24" s="195" t="s">
        <v>234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  <c r="BK24" s="252"/>
      <c r="BL24" s="252"/>
      <c r="BM24" s="252"/>
      <c r="BN24" s="252"/>
      <c r="BO24" s="252"/>
      <c r="BP24" s="252"/>
      <c r="BQ24" s="520">
        <f t="shared" si="0"/>
        <v>0</v>
      </c>
      <c r="BR24" s="520">
        <f t="shared" si="1"/>
        <v>100000</v>
      </c>
    </row>
    <row r="25" spans="1:70" ht="10.15" customHeight="1">
      <c r="A25" s="195" t="s">
        <v>69</v>
      </c>
      <c r="B25" s="252"/>
      <c r="C25" s="252"/>
      <c r="D25" s="252"/>
      <c r="E25" s="252"/>
      <c r="F25" s="252"/>
      <c r="G25" s="252"/>
      <c r="H25" s="252"/>
      <c r="I25" s="252"/>
      <c r="J25" s="252"/>
      <c r="K25" s="252"/>
      <c r="L25" s="252"/>
      <c r="M25" s="252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  <c r="AA25" s="252"/>
      <c r="AB25" s="252"/>
      <c r="AC25" s="252"/>
      <c r="AD25" s="252"/>
      <c r="AE25" s="252"/>
      <c r="AF25" s="252"/>
      <c r="AG25" s="252"/>
      <c r="AH25" s="252"/>
      <c r="AI25" s="252"/>
      <c r="AJ25" s="252"/>
      <c r="AK25" s="252"/>
      <c r="AL25" s="252"/>
      <c r="AM25" s="252"/>
      <c r="AN25" s="252"/>
      <c r="AO25" s="252"/>
      <c r="AP25" s="252"/>
      <c r="AQ25" s="252"/>
      <c r="AR25" s="252"/>
      <c r="AS25" s="252"/>
      <c r="AT25" s="252"/>
      <c r="AU25" s="252"/>
      <c r="AV25" s="252"/>
      <c r="AW25" s="252"/>
      <c r="AX25" s="252"/>
      <c r="AY25" s="252"/>
      <c r="AZ25" s="252"/>
      <c r="BA25" s="252"/>
      <c r="BB25" s="252"/>
      <c r="BC25" s="252"/>
      <c r="BD25" s="252"/>
      <c r="BE25" s="252"/>
      <c r="BF25" s="252"/>
      <c r="BG25" s="252"/>
      <c r="BH25" s="252"/>
      <c r="BI25" s="252"/>
      <c r="BJ25" s="252"/>
      <c r="BK25" s="252"/>
      <c r="BL25" s="252"/>
      <c r="BM25" s="252"/>
      <c r="BN25" s="252"/>
      <c r="BO25" s="252"/>
      <c r="BP25" s="252"/>
      <c r="BQ25" s="520">
        <f t="shared" si="0"/>
        <v>0</v>
      </c>
      <c r="BR25" s="520">
        <f t="shared" si="1"/>
        <v>100000</v>
      </c>
    </row>
    <row r="26" spans="1:70" ht="10.15" customHeight="1">
      <c r="A26" s="195" t="s">
        <v>76</v>
      </c>
      <c r="B26" s="252"/>
      <c r="C26" s="252"/>
      <c r="D26" s="252"/>
      <c r="E26" s="252"/>
      <c r="F26" s="252"/>
      <c r="G26" s="252"/>
      <c r="H26" s="252"/>
      <c r="I26" s="252"/>
      <c r="J26" s="252"/>
      <c r="K26" s="252"/>
      <c r="L26" s="252"/>
      <c r="M26" s="252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  <c r="AA26" s="252"/>
      <c r="AB26" s="252"/>
      <c r="AC26" s="252"/>
      <c r="AD26" s="252"/>
      <c r="AE26" s="252"/>
      <c r="AF26" s="252"/>
      <c r="AG26" s="252"/>
      <c r="AH26" s="252"/>
      <c r="AI26" s="252"/>
      <c r="AJ26" s="252"/>
      <c r="AK26" s="252"/>
      <c r="AL26" s="252"/>
      <c r="AM26" s="252"/>
      <c r="AN26" s="252"/>
      <c r="AO26" s="252"/>
      <c r="AP26" s="252"/>
      <c r="AQ26" s="252"/>
      <c r="AR26" s="252"/>
      <c r="AS26" s="252"/>
      <c r="AT26" s="252"/>
      <c r="AU26" s="252"/>
      <c r="AV26" s="252"/>
      <c r="AW26" s="252"/>
      <c r="AX26" s="252"/>
      <c r="AY26" s="252"/>
      <c r="AZ26" s="252"/>
      <c r="BA26" s="252"/>
      <c r="BB26" s="252"/>
      <c r="BC26" s="252"/>
      <c r="BD26" s="252"/>
      <c r="BE26" s="252"/>
      <c r="BF26" s="252"/>
      <c r="BG26" s="252"/>
      <c r="BH26" s="252"/>
      <c r="BI26" s="252"/>
      <c r="BJ26" s="252"/>
      <c r="BK26" s="252"/>
      <c r="BL26" s="252"/>
      <c r="BM26" s="252"/>
      <c r="BN26" s="252"/>
      <c r="BO26" s="252"/>
      <c r="BP26" s="252"/>
      <c r="BQ26" s="520">
        <f t="shared" si="0"/>
        <v>0</v>
      </c>
      <c r="BR26" s="520">
        <f>449000-BQ26+350000</f>
        <v>799000</v>
      </c>
    </row>
    <row r="27" spans="1:70" ht="10.15" customHeight="1">
      <c r="A27" s="195" t="s">
        <v>186</v>
      </c>
      <c r="B27" s="252"/>
      <c r="C27" s="252"/>
      <c r="D27" s="252"/>
      <c r="E27" s="252"/>
      <c r="F27" s="252"/>
      <c r="G27" s="252"/>
      <c r="H27" s="252"/>
      <c r="I27" s="252"/>
      <c r="J27" s="252"/>
      <c r="K27" s="252"/>
      <c r="L27" s="252"/>
      <c r="M27" s="252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  <c r="AA27" s="252"/>
      <c r="AB27" s="252"/>
      <c r="AC27" s="252"/>
      <c r="AD27" s="252"/>
      <c r="AE27" s="252"/>
      <c r="AF27" s="252"/>
      <c r="AG27" s="252"/>
      <c r="AH27" s="252"/>
      <c r="AI27" s="252"/>
      <c r="AJ27" s="252"/>
      <c r="AK27" s="252"/>
      <c r="AL27" s="252"/>
      <c r="AM27" s="252"/>
      <c r="AN27" s="252"/>
      <c r="AO27" s="252"/>
      <c r="AP27" s="252"/>
      <c r="AQ27" s="252"/>
      <c r="AR27" s="252"/>
      <c r="AS27" s="252"/>
      <c r="AT27" s="252"/>
      <c r="AU27" s="252"/>
      <c r="AV27" s="252"/>
      <c r="AW27" s="252"/>
      <c r="AX27" s="252"/>
      <c r="AY27" s="252"/>
      <c r="AZ27" s="252"/>
      <c r="BA27" s="252"/>
      <c r="BB27" s="252"/>
      <c r="BC27" s="252"/>
      <c r="BD27" s="252"/>
      <c r="BE27" s="252"/>
      <c r="BF27" s="252"/>
      <c r="BG27" s="252"/>
      <c r="BH27" s="252"/>
      <c r="BI27" s="252"/>
      <c r="BJ27" s="252"/>
      <c r="BK27" s="252"/>
      <c r="BL27" s="252"/>
      <c r="BM27" s="252"/>
      <c r="BN27" s="252"/>
      <c r="BO27" s="252"/>
      <c r="BP27" s="252"/>
      <c r="BQ27" s="520">
        <f t="shared" si="0"/>
        <v>0</v>
      </c>
      <c r="BR27" s="520">
        <f t="shared" ref="BR27" si="2">100000-BQ27</f>
        <v>100000</v>
      </c>
    </row>
    <row r="28" spans="1:70" ht="10.15" customHeight="1">
      <c r="A28" s="195" t="s">
        <v>44</v>
      </c>
      <c r="B28" s="252"/>
      <c r="C28" s="252"/>
      <c r="D28" s="252"/>
      <c r="E28" s="252"/>
      <c r="F28" s="252">
        <f>'3.31.22'!E19</f>
        <v>2888</v>
      </c>
      <c r="G28" s="252"/>
      <c r="H28" s="252"/>
      <c r="I28" s="252"/>
      <c r="J28" s="252"/>
      <c r="K28" s="252"/>
      <c r="L28" s="252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  <c r="AA28" s="252"/>
      <c r="AB28" s="252"/>
      <c r="AC28" s="252"/>
      <c r="AD28" s="252"/>
      <c r="AE28" s="252"/>
      <c r="AF28" s="252"/>
      <c r="AG28" s="252"/>
      <c r="AH28" s="252"/>
      <c r="AI28" s="252"/>
      <c r="AJ28" s="252"/>
      <c r="AK28" s="252"/>
      <c r="AL28" s="252"/>
      <c r="AM28" s="252"/>
      <c r="AN28" s="252"/>
      <c r="AO28" s="252"/>
      <c r="AP28" s="252"/>
      <c r="AQ28" s="252"/>
      <c r="AR28" s="252"/>
      <c r="AS28" s="252"/>
      <c r="AT28" s="252"/>
      <c r="AU28" s="252"/>
      <c r="AV28" s="252"/>
      <c r="AW28" s="252"/>
      <c r="AX28" s="252"/>
      <c r="AY28" s="252"/>
      <c r="AZ28" s="252"/>
      <c r="BA28" s="252"/>
      <c r="BB28" s="252"/>
      <c r="BC28" s="252"/>
      <c r="BD28" s="252"/>
      <c r="BE28" s="252"/>
      <c r="BF28" s="252"/>
      <c r="BG28" s="252"/>
      <c r="BH28" s="252"/>
      <c r="BI28" s="252"/>
      <c r="BJ28" s="252"/>
      <c r="BK28" s="252"/>
      <c r="BL28" s="252"/>
      <c r="BM28" s="252"/>
      <c r="BN28" s="252"/>
      <c r="BO28" s="252"/>
      <c r="BP28" s="252"/>
      <c r="BQ28" s="520">
        <f t="shared" si="0"/>
        <v>2888</v>
      </c>
      <c r="BR28" s="520">
        <f t="shared" si="1"/>
        <v>97112</v>
      </c>
    </row>
    <row r="29" spans="1:70" ht="10.15" customHeight="1">
      <c r="A29" s="195" t="s">
        <v>143</v>
      </c>
      <c r="B29" s="252"/>
      <c r="C29" s="252"/>
      <c r="D29" s="252"/>
      <c r="E29" s="252">
        <f>'3.30.22'!E29</f>
        <v>2118.5</v>
      </c>
      <c r="F29" s="252"/>
      <c r="G29" s="252"/>
      <c r="H29" s="252"/>
      <c r="I29" s="252"/>
      <c r="J29" s="252"/>
      <c r="K29" s="252"/>
      <c r="L29" s="252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  <c r="AA29" s="252"/>
      <c r="AB29" s="252"/>
      <c r="AC29" s="252"/>
      <c r="AD29" s="252"/>
      <c r="AE29" s="252"/>
      <c r="AF29" s="252"/>
      <c r="AG29" s="252"/>
      <c r="AH29" s="252"/>
      <c r="AI29" s="252"/>
      <c r="AJ29" s="252"/>
      <c r="AK29" s="252"/>
      <c r="AL29" s="252"/>
      <c r="AM29" s="252"/>
      <c r="AN29" s="252"/>
      <c r="AO29" s="252"/>
      <c r="AP29" s="252"/>
      <c r="AQ29" s="252"/>
      <c r="AR29" s="252"/>
      <c r="AS29" s="252"/>
      <c r="AT29" s="252"/>
      <c r="AU29" s="252"/>
      <c r="AV29" s="252"/>
      <c r="AW29" s="252"/>
      <c r="AX29" s="252"/>
      <c r="AY29" s="252"/>
      <c r="AZ29" s="252"/>
      <c r="BA29" s="252"/>
      <c r="BB29" s="252"/>
      <c r="BC29" s="252"/>
      <c r="BD29" s="252"/>
      <c r="BE29" s="252"/>
      <c r="BF29" s="252"/>
      <c r="BG29" s="252"/>
      <c r="BH29" s="252"/>
      <c r="BI29" s="252"/>
      <c r="BJ29" s="252"/>
      <c r="BK29" s="252"/>
      <c r="BL29" s="252"/>
      <c r="BM29" s="252"/>
      <c r="BN29" s="252"/>
      <c r="BO29" s="252"/>
      <c r="BP29" s="252"/>
      <c r="BQ29" s="520">
        <f t="shared" si="0"/>
        <v>2118.5</v>
      </c>
      <c r="BR29" s="520">
        <f>100000-BQ29+350000+350000</f>
        <v>797881.5</v>
      </c>
    </row>
    <row r="30" spans="1:70" ht="10.15" customHeight="1">
      <c r="A30" s="515" t="s">
        <v>242</v>
      </c>
      <c r="B30" s="252"/>
      <c r="C30" s="252"/>
      <c r="D30" s="252"/>
      <c r="E30" s="252"/>
      <c r="F30" s="252"/>
      <c r="G30" s="252"/>
      <c r="H30" s="252"/>
      <c r="I30" s="252"/>
      <c r="J30" s="252"/>
      <c r="K30" s="252"/>
      <c r="L30" s="252"/>
      <c r="M30" s="252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  <c r="AA30" s="252"/>
      <c r="AB30" s="252"/>
      <c r="AC30" s="252"/>
      <c r="AD30" s="252"/>
      <c r="AE30" s="252"/>
      <c r="AF30" s="252"/>
      <c r="AG30" s="252"/>
      <c r="AH30" s="252"/>
      <c r="AI30" s="252"/>
      <c r="AJ30" s="252"/>
      <c r="AK30" s="252"/>
      <c r="AL30" s="252"/>
      <c r="AM30" s="252"/>
      <c r="AN30" s="252"/>
      <c r="AO30" s="252"/>
      <c r="AP30" s="252"/>
      <c r="AQ30" s="252"/>
      <c r="AR30" s="252"/>
      <c r="AS30" s="252"/>
      <c r="AT30" s="252"/>
      <c r="AU30" s="252"/>
      <c r="AV30" s="252"/>
      <c r="AW30" s="252"/>
      <c r="AX30" s="252"/>
      <c r="AY30" s="252"/>
      <c r="AZ30" s="252"/>
      <c r="BA30" s="252"/>
      <c r="BB30" s="252"/>
      <c r="BC30" s="252"/>
      <c r="BD30" s="252"/>
      <c r="BE30" s="252"/>
      <c r="BF30" s="252"/>
      <c r="BG30" s="252"/>
      <c r="BH30" s="252"/>
      <c r="BI30" s="252"/>
      <c r="BJ30" s="252"/>
      <c r="BK30" s="252"/>
      <c r="BL30" s="252"/>
      <c r="BM30" s="252"/>
      <c r="BN30" s="252"/>
      <c r="BO30" s="252"/>
      <c r="BP30" s="252"/>
      <c r="BQ30" s="520">
        <f t="shared" si="0"/>
        <v>0</v>
      </c>
      <c r="BR30" s="520">
        <f>100000-BQ30+350000+350000</f>
        <v>800000</v>
      </c>
    </row>
    <row r="31" spans="1:70" ht="10.15" customHeight="1">
      <c r="A31" s="195" t="s">
        <v>81</v>
      </c>
      <c r="B31" s="252"/>
      <c r="C31" s="252"/>
      <c r="D31" s="252"/>
      <c r="E31" s="252"/>
      <c r="F31" s="252"/>
      <c r="G31" s="252"/>
      <c r="H31" s="252"/>
      <c r="I31" s="252"/>
      <c r="J31" s="252"/>
      <c r="K31" s="252"/>
      <c r="L31" s="252"/>
      <c r="M31" s="252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  <c r="AA31" s="252"/>
      <c r="AB31" s="252"/>
      <c r="AC31" s="252"/>
      <c r="AD31" s="252"/>
      <c r="AE31" s="252"/>
      <c r="AF31" s="252"/>
      <c r="AG31" s="252"/>
      <c r="AH31" s="252"/>
      <c r="AI31" s="252"/>
      <c r="AJ31" s="252"/>
      <c r="AK31" s="252"/>
      <c r="AL31" s="252"/>
      <c r="AM31" s="252"/>
      <c r="AN31" s="252"/>
      <c r="AO31" s="252"/>
      <c r="AP31" s="252"/>
      <c r="AQ31" s="252"/>
      <c r="AR31" s="252"/>
      <c r="AS31" s="252"/>
      <c r="AT31" s="252"/>
      <c r="AU31" s="252"/>
      <c r="AV31" s="252"/>
      <c r="AW31" s="252"/>
      <c r="AX31" s="252"/>
      <c r="AY31" s="252"/>
      <c r="AZ31" s="252"/>
      <c r="BA31" s="252"/>
      <c r="BB31" s="252"/>
      <c r="BC31" s="252"/>
      <c r="BD31" s="252"/>
      <c r="BE31" s="252"/>
      <c r="BF31" s="252"/>
      <c r="BG31" s="252"/>
      <c r="BH31" s="252"/>
      <c r="BI31" s="252"/>
      <c r="BJ31" s="252"/>
      <c r="BK31" s="252"/>
      <c r="BL31" s="252"/>
      <c r="BM31" s="252"/>
      <c r="BN31" s="252"/>
      <c r="BO31" s="252"/>
      <c r="BP31" s="252"/>
      <c r="BQ31" s="520">
        <f t="shared" si="0"/>
        <v>0</v>
      </c>
      <c r="BR31" s="520">
        <f t="shared" si="1"/>
        <v>100000</v>
      </c>
    </row>
    <row r="32" spans="1:70" ht="10.15" customHeight="1">
      <c r="A32" s="195" t="s">
        <v>246</v>
      </c>
      <c r="B32" s="252">
        <v>979</v>
      </c>
      <c r="C32" s="252"/>
      <c r="D32" s="252">
        <f>'3.29.22'!E18+'3.29.22'!E29</f>
        <v>5529</v>
      </c>
      <c r="E32" s="252"/>
      <c r="F32" s="252">
        <f>'3.31.22'!E21</f>
        <v>3819</v>
      </c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  <c r="AA32" s="252"/>
      <c r="AB32" s="252"/>
      <c r="AC32" s="252"/>
      <c r="AD32" s="252"/>
      <c r="AE32" s="252"/>
      <c r="AF32" s="252"/>
      <c r="AG32" s="252"/>
      <c r="AH32" s="252"/>
      <c r="AI32" s="252"/>
      <c r="AJ32" s="252"/>
      <c r="AK32" s="252"/>
      <c r="AL32" s="252"/>
      <c r="AM32" s="252"/>
      <c r="AN32" s="252"/>
      <c r="AO32" s="252"/>
      <c r="AP32" s="252"/>
      <c r="AQ32" s="252"/>
      <c r="AR32" s="252"/>
      <c r="AS32" s="252"/>
      <c r="AT32" s="252"/>
      <c r="AU32" s="252"/>
      <c r="AV32" s="252"/>
      <c r="AW32" s="252"/>
      <c r="AX32" s="252"/>
      <c r="AY32" s="252"/>
      <c r="AZ32" s="252"/>
      <c r="BA32" s="252"/>
      <c r="BB32" s="252"/>
      <c r="BC32" s="252"/>
      <c r="BD32" s="252"/>
      <c r="BE32" s="252"/>
      <c r="BF32" s="252"/>
      <c r="BG32" s="252"/>
      <c r="BH32" s="252"/>
      <c r="BI32" s="252"/>
      <c r="BJ32" s="252"/>
      <c r="BK32" s="252"/>
      <c r="BL32" s="252"/>
      <c r="BM32" s="252"/>
      <c r="BN32" s="252"/>
      <c r="BO32" s="252"/>
      <c r="BP32" s="252"/>
      <c r="BQ32" s="520">
        <f t="shared" si="0"/>
        <v>10327</v>
      </c>
      <c r="BR32" s="520">
        <f t="shared" si="1"/>
        <v>89673</v>
      </c>
    </row>
    <row r="33" spans="1:70" ht="10.15" customHeight="1">
      <c r="A33" s="195" t="s">
        <v>66</v>
      </c>
      <c r="B33" s="252"/>
      <c r="C33" s="252">
        <f>'3.28.22'!E29</f>
        <v>2356</v>
      </c>
      <c r="D33" s="252"/>
      <c r="E33" s="252">
        <f>'3.30.22'!E22</f>
        <v>2992.5</v>
      </c>
      <c r="F33" s="252"/>
      <c r="G33" s="252"/>
      <c r="H33" s="252"/>
      <c r="I33" s="252"/>
      <c r="J33" s="252"/>
      <c r="K33" s="252"/>
      <c r="L33" s="252"/>
      <c r="M33" s="252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  <c r="AA33" s="252"/>
      <c r="AB33" s="252"/>
      <c r="AC33" s="252"/>
      <c r="AD33" s="252"/>
      <c r="AE33" s="252"/>
      <c r="AF33" s="252"/>
      <c r="AG33" s="252"/>
      <c r="AH33" s="252"/>
      <c r="AI33" s="252"/>
      <c r="AJ33" s="252"/>
      <c r="AK33" s="252"/>
      <c r="AL33" s="252"/>
      <c r="AM33" s="252"/>
      <c r="AN33" s="252"/>
      <c r="AO33" s="252"/>
      <c r="AP33" s="252"/>
      <c r="AQ33" s="252"/>
      <c r="AR33" s="252"/>
      <c r="AS33" s="252"/>
      <c r="AT33" s="252"/>
      <c r="AU33" s="252"/>
      <c r="AV33" s="252"/>
      <c r="AW33" s="252"/>
      <c r="AX33" s="252"/>
      <c r="AY33" s="252"/>
      <c r="AZ33" s="252"/>
      <c r="BA33" s="252"/>
      <c r="BB33" s="252"/>
      <c r="BC33" s="252"/>
      <c r="BD33" s="252"/>
      <c r="BE33" s="252"/>
      <c r="BF33" s="252"/>
      <c r="BG33" s="252"/>
      <c r="BH33" s="252"/>
      <c r="BI33" s="252"/>
      <c r="BJ33" s="252"/>
      <c r="BK33" s="252"/>
      <c r="BL33" s="252"/>
      <c r="BM33" s="252"/>
      <c r="BN33" s="252"/>
      <c r="BO33" s="252"/>
      <c r="BP33" s="252"/>
      <c r="BQ33" s="520">
        <f t="shared" si="0"/>
        <v>5348.5</v>
      </c>
      <c r="BR33" s="520">
        <f t="shared" si="1"/>
        <v>94651.5</v>
      </c>
    </row>
    <row r="34" spans="1:70" ht="10.15" customHeight="1">
      <c r="A34" s="196" t="s">
        <v>65</v>
      </c>
      <c r="B34" s="252"/>
      <c r="C34" s="252">
        <f>'3.28.22'!E21</f>
        <v>3458</v>
      </c>
      <c r="D34" s="252"/>
      <c r="E34" s="252">
        <f>'3.30.22'!E21</f>
        <v>3819</v>
      </c>
      <c r="F34" s="252"/>
      <c r="G34" s="252"/>
      <c r="H34" s="252"/>
      <c r="I34" s="252"/>
      <c r="J34" s="252"/>
      <c r="K34" s="252"/>
      <c r="L34" s="252"/>
      <c r="M34" s="252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  <c r="AA34" s="252"/>
      <c r="AB34" s="252"/>
      <c r="AC34" s="252"/>
      <c r="AD34" s="252"/>
      <c r="AE34" s="252"/>
      <c r="AF34" s="252"/>
      <c r="AG34" s="252"/>
      <c r="AH34" s="252"/>
      <c r="AI34" s="252"/>
      <c r="AJ34" s="252"/>
      <c r="AK34" s="252"/>
      <c r="AL34" s="252"/>
      <c r="AM34" s="252"/>
      <c r="AN34" s="252"/>
      <c r="AO34" s="252"/>
      <c r="AP34" s="252"/>
      <c r="AQ34" s="252"/>
      <c r="AR34" s="252"/>
      <c r="AS34" s="252"/>
      <c r="AT34" s="252"/>
      <c r="AU34" s="252"/>
      <c r="AV34" s="252"/>
      <c r="AW34" s="252"/>
      <c r="AX34" s="252"/>
      <c r="AY34" s="252"/>
      <c r="AZ34" s="252"/>
      <c r="BA34" s="252"/>
      <c r="BB34" s="252"/>
      <c r="BC34" s="252"/>
      <c r="BD34" s="252"/>
      <c r="BE34" s="252"/>
      <c r="BF34" s="252"/>
      <c r="BG34" s="252"/>
      <c r="BH34" s="252"/>
      <c r="BI34" s="252"/>
      <c r="BJ34" s="252"/>
      <c r="BK34" s="252"/>
      <c r="BL34" s="252"/>
      <c r="BM34" s="252"/>
      <c r="BN34" s="252"/>
      <c r="BO34" s="252"/>
      <c r="BP34" s="252"/>
      <c r="BQ34" s="520">
        <f t="shared" si="0"/>
        <v>7277</v>
      </c>
      <c r="BR34" s="520">
        <f>449000-BQ34+350000</f>
        <v>791723</v>
      </c>
    </row>
    <row r="35" spans="1:70" ht="10.15" customHeight="1">
      <c r="A35" s="195" t="s">
        <v>82</v>
      </c>
      <c r="B35" s="252"/>
      <c r="C35" s="252">
        <f>'3.28.22'!E22</f>
        <v>3410.5</v>
      </c>
      <c r="D35" s="252"/>
      <c r="E35" s="252">
        <f>'3.30.22'!E18</f>
        <v>3515</v>
      </c>
      <c r="F35" s="252"/>
      <c r="G35" s="252"/>
      <c r="H35" s="252"/>
      <c r="I35" s="252"/>
      <c r="J35" s="252"/>
      <c r="K35" s="252"/>
      <c r="L35" s="252"/>
      <c r="M35" s="252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  <c r="AA35" s="252"/>
      <c r="AB35" s="252"/>
      <c r="AC35" s="252"/>
      <c r="AD35" s="252"/>
      <c r="AE35" s="252"/>
      <c r="AF35" s="252"/>
      <c r="AG35" s="252"/>
      <c r="AH35" s="252"/>
      <c r="AI35" s="252"/>
      <c r="AJ35" s="252"/>
      <c r="AK35" s="252"/>
      <c r="AL35" s="252"/>
      <c r="AM35" s="252"/>
      <c r="AN35" s="252"/>
      <c r="AO35" s="252"/>
      <c r="AP35" s="252"/>
      <c r="AQ35" s="252"/>
      <c r="AR35" s="252"/>
      <c r="AS35" s="252"/>
      <c r="AT35" s="252"/>
      <c r="AU35" s="252"/>
      <c r="AV35" s="252"/>
      <c r="AW35" s="252"/>
      <c r="AX35" s="252"/>
      <c r="AY35" s="252"/>
      <c r="AZ35" s="252"/>
      <c r="BA35" s="252"/>
      <c r="BB35" s="252"/>
      <c r="BC35" s="252"/>
      <c r="BD35" s="252"/>
      <c r="BE35" s="252"/>
      <c r="BF35" s="252"/>
      <c r="BG35" s="252"/>
      <c r="BH35" s="252"/>
      <c r="BI35" s="252"/>
      <c r="BJ35" s="252"/>
      <c r="BK35" s="252"/>
      <c r="BL35" s="252"/>
      <c r="BM35" s="252"/>
      <c r="BN35" s="252"/>
      <c r="BO35" s="252"/>
      <c r="BP35" s="252"/>
      <c r="BQ35" s="520">
        <f t="shared" si="0"/>
        <v>6925.5</v>
      </c>
      <c r="BR35" s="520">
        <f>100000-BQ35+350000</f>
        <v>443074.5</v>
      </c>
    </row>
    <row r="36" spans="1:70" ht="10.15" customHeight="1">
      <c r="A36" s="195" t="s">
        <v>83</v>
      </c>
      <c r="B36" s="252"/>
      <c r="C36" s="252">
        <f>'3.28.22'!E19</f>
        <v>2280</v>
      </c>
      <c r="D36" s="252"/>
      <c r="E36" s="252"/>
      <c r="F36" s="252"/>
      <c r="G36" s="252"/>
      <c r="H36" s="252"/>
      <c r="I36" s="252"/>
      <c r="J36" s="252"/>
      <c r="K36" s="252"/>
      <c r="L36" s="252"/>
      <c r="M36" s="252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  <c r="AA36" s="252"/>
      <c r="AB36" s="252"/>
      <c r="AC36" s="252"/>
      <c r="AD36" s="252"/>
      <c r="AE36" s="252"/>
      <c r="AF36" s="252"/>
      <c r="AG36" s="252"/>
      <c r="AH36" s="252"/>
      <c r="AI36" s="252"/>
      <c r="AJ36" s="252"/>
      <c r="AK36" s="252"/>
      <c r="AL36" s="252"/>
      <c r="AM36" s="252"/>
      <c r="AN36" s="252"/>
      <c r="AO36" s="252"/>
      <c r="AP36" s="252"/>
      <c r="AQ36" s="252"/>
      <c r="AR36" s="252"/>
      <c r="AS36" s="252"/>
      <c r="AT36" s="252"/>
      <c r="AU36" s="252"/>
      <c r="AV36" s="252"/>
      <c r="AW36" s="252"/>
      <c r="AX36" s="252"/>
      <c r="AY36" s="252"/>
      <c r="AZ36" s="252"/>
      <c r="BA36" s="252"/>
      <c r="BB36" s="252"/>
      <c r="BC36" s="252"/>
      <c r="BD36" s="252"/>
      <c r="BE36" s="252"/>
      <c r="BF36" s="252"/>
      <c r="BG36" s="252"/>
      <c r="BH36" s="252"/>
      <c r="BI36" s="252"/>
      <c r="BJ36" s="252"/>
      <c r="BK36" s="252"/>
      <c r="BL36" s="252"/>
      <c r="BM36" s="252"/>
      <c r="BN36" s="252"/>
      <c r="BO36" s="252"/>
      <c r="BP36" s="252"/>
      <c r="BQ36" s="520">
        <f t="shared" si="0"/>
        <v>2280</v>
      </c>
      <c r="BR36" s="520">
        <f t="shared" si="1"/>
        <v>97720</v>
      </c>
    </row>
    <row r="37" spans="1:70" ht="10.15" customHeight="1">
      <c r="A37" s="195" t="s">
        <v>159</v>
      </c>
      <c r="B37" s="252"/>
      <c r="C37" s="252"/>
      <c r="D37" s="252"/>
      <c r="E37" s="252"/>
      <c r="F37" s="252"/>
      <c r="G37" s="252"/>
      <c r="H37" s="252"/>
      <c r="I37" s="252"/>
      <c r="J37" s="252"/>
      <c r="K37" s="252"/>
      <c r="L37" s="252"/>
      <c r="M37" s="252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  <c r="AA37" s="252"/>
      <c r="AB37" s="252"/>
      <c r="AC37" s="252"/>
      <c r="AD37" s="252"/>
      <c r="AE37" s="252"/>
      <c r="AF37" s="252"/>
      <c r="AG37" s="252"/>
      <c r="AH37" s="252"/>
      <c r="AI37" s="252"/>
      <c r="AJ37" s="252"/>
      <c r="AK37" s="252"/>
      <c r="AL37" s="252"/>
      <c r="AM37" s="252"/>
      <c r="AN37" s="252"/>
      <c r="AO37" s="252"/>
      <c r="AP37" s="252"/>
      <c r="AQ37" s="252"/>
      <c r="AR37" s="252"/>
      <c r="AS37" s="252"/>
      <c r="AT37" s="252"/>
      <c r="AU37" s="252"/>
      <c r="AV37" s="252"/>
      <c r="AW37" s="252"/>
      <c r="AX37" s="252"/>
      <c r="AY37" s="252"/>
      <c r="AZ37" s="252"/>
      <c r="BA37" s="252"/>
      <c r="BB37" s="252"/>
      <c r="BC37" s="252"/>
      <c r="BD37" s="252"/>
      <c r="BE37" s="252"/>
      <c r="BF37" s="252"/>
      <c r="BG37" s="252"/>
      <c r="BH37" s="252"/>
      <c r="BI37" s="252"/>
      <c r="BJ37" s="252"/>
      <c r="BK37" s="252"/>
      <c r="BL37" s="252"/>
      <c r="BM37" s="252"/>
      <c r="BN37" s="252"/>
      <c r="BO37" s="252"/>
      <c r="BP37" s="252"/>
      <c r="BQ37" s="520">
        <f t="shared" si="0"/>
        <v>0</v>
      </c>
      <c r="BR37" s="520">
        <f t="shared" si="1"/>
        <v>100000</v>
      </c>
    </row>
    <row r="38" spans="1:70" ht="10.15" customHeight="1">
      <c r="A38" s="195" t="s">
        <v>145</v>
      </c>
      <c r="B38" s="252"/>
      <c r="C38" s="252"/>
      <c r="D38" s="252"/>
      <c r="E38" s="252"/>
      <c r="F38" s="252"/>
      <c r="G38" s="252"/>
      <c r="H38" s="252"/>
      <c r="I38" s="252"/>
      <c r="J38" s="252"/>
      <c r="K38" s="252"/>
      <c r="L38" s="252"/>
      <c r="M38" s="252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  <c r="AA38" s="252"/>
      <c r="AB38" s="252"/>
      <c r="AC38" s="252"/>
      <c r="AD38" s="252"/>
      <c r="AE38" s="252"/>
      <c r="AF38" s="252"/>
      <c r="AG38" s="252"/>
      <c r="AH38" s="252"/>
      <c r="AI38" s="252"/>
      <c r="AJ38" s="252"/>
      <c r="AK38" s="252"/>
      <c r="AL38" s="252"/>
      <c r="AM38" s="252"/>
      <c r="AN38" s="252"/>
      <c r="AO38" s="252"/>
      <c r="AP38" s="252"/>
      <c r="AQ38" s="252"/>
      <c r="AR38" s="252"/>
      <c r="AS38" s="252"/>
      <c r="AT38" s="252"/>
      <c r="AU38" s="252"/>
      <c r="AV38" s="252"/>
      <c r="AW38" s="252"/>
      <c r="AX38" s="252"/>
      <c r="AY38" s="252"/>
      <c r="AZ38" s="252"/>
      <c r="BA38" s="252"/>
      <c r="BB38" s="252"/>
      <c r="BC38" s="252"/>
      <c r="BD38" s="252"/>
      <c r="BE38" s="252"/>
      <c r="BF38" s="252"/>
      <c r="BG38" s="252"/>
      <c r="BH38" s="252"/>
      <c r="BI38" s="252"/>
      <c r="BJ38" s="252"/>
      <c r="BK38" s="252"/>
      <c r="BL38" s="252"/>
      <c r="BM38" s="252"/>
      <c r="BN38" s="252"/>
      <c r="BO38" s="252"/>
      <c r="BP38" s="252"/>
      <c r="BQ38" s="520">
        <f t="shared" si="0"/>
        <v>0</v>
      </c>
      <c r="BR38" s="520">
        <f>100000-BQ38+449000</f>
        <v>549000</v>
      </c>
    </row>
    <row r="39" spans="1:70" ht="10.15" customHeight="1">
      <c r="A39" s="195" t="s">
        <v>84</v>
      </c>
      <c r="B39" s="252"/>
      <c r="C39" s="252"/>
      <c r="D39" s="252"/>
      <c r="E39" s="252"/>
      <c r="F39" s="252"/>
      <c r="G39" s="252"/>
      <c r="H39" s="252"/>
      <c r="I39" s="252"/>
      <c r="J39" s="252"/>
      <c r="K39" s="252"/>
      <c r="L39" s="252"/>
      <c r="M39" s="252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  <c r="AA39" s="252"/>
      <c r="AB39" s="252"/>
      <c r="AC39" s="252"/>
      <c r="AD39" s="252"/>
      <c r="AE39" s="252"/>
      <c r="AF39" s="252"/>
      <c r="AG39" s="252"/>
      <c r="AH39" s="252"/>
      <c r="AI39" s="252"/>
      <c r="AJ39" s="252"/>
      <c r="AK39" s="252"/>
      <c r="AL39" s="252"/>
      <c r="AM39" s="252"/>
      <c r="AN39" s="252"/>
      <c r="AO39" s="252"/>
      <c r="AP39" s="252"/>
      <c r="AQ39" s="252"/>
      <c r="AR39" s="252"/>
      <c r="AS39" s="252"/>
      <c r="AT39" s="252"/>
      <c r="AU39" s="252"/>
      <c r="AV39" s="252"/>
      <c r="AW39" s="252"/>
      <c r="AX39" s="252"/>
      <c r="AY39" s="252"/>
      <c r="AZ39" s="252"/>
      <c r="BA39" s="252"/>
      <c r="BB39" s="252"/>
      <c r="BC39" s="252"/>
      <c r="BD39" s="252"/>
      <c r="BE39" s="252"/>
      <c r="BF39" s="252"/>
      <c r="BG39" s="252"/>
      <c r="BH39" s="252"/>
      <c r="BI39" s="252"/>
      <c r="BJ39" s="252"/>
      <c r="BK39" s="252"/>
      <c r="BL39" s="252"/>
      <c r="BM39" s="252"/>
      <c r="BN39" s="252"/>
      <c r="BO39" s="252"/>
      <c r="BP39" s="252"/>
      <c r="BQ39" s="520">
        <f t="shared" si="0"/>
        <v>0</v>
      </c>
      <c r="BR39" s="520">
        <f>100000-BQ39+350000</f>
        <v>450000</v>
      </c>
    </row>
    <row r="40" spans="1:70" ht="10.15" customHeight="1">
      <c r="A40" s="195" t="s">
        <v>58</v>
      </c>
      <c r="B40" s="252"/>
      <c r="C40" s="252"/>
      <c r="D40" s="252"/>
      <c r="E40" s="252"/>
      <c r="F40" s="252"/>
      <c r="G40" s="252"/>
      <c r="H40" s="252"/>
      <c r="I40" s="252"/>
      <c r="J40" s="252"/>
      <c r="K40" s="252"/>
      <c r="L40" s="252"/>
      <c r="M40" s="252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  <c r="AA40" s="252"/>
      <c r="AB40" s="252"/>
      <c r="AC40" s="252"/>
      <c r="AD40" s="252"/>
      <c r="AE40" s="252"/>
      <c r="AF40" s="252"/>
      <c r="AG40" s="252"/>
      <c r="AH40" s="252"/>
      <c r="AI40" s="252"/>
      <c r="AJ40" s="252"/>
      <c r="AK40" s="252"/>
      <c r="AL40" s="252"/>
      <c r="AM40" s="252"/>
      <c r="AN40" s="252"/>
      <c r="AO40" s="252"/>
      <c r="AP40" s="252"/>
      <c r="AQ40" s="252"/>
      <c r="AR40" s="252"/>
      <c r="AS40" s="252"/>
      <c r="AT40" s="252"/>
      <c r="AU40" s="252"/>
      <c r="AV40" s="252"/>
      <c r="AW40" s="252"/>
      <c r="AX40" s="252"/>
      <c r="AY40" s="252"/>
      <c r="AZ40" s="252"/>
      <c r="BA40" s="252"/>
      <c r="BB40" s="252"/>
      <c r="BC40" s="252"/>
      <c r="BD40" s="252"/>
      <c r="BE40" s="252"/>
      <c r="BF40" s="252"/>
      <c r="BG40" s="252"/>
      <c r="BH40" s="252"/>
      <c r="BI40" s="252"/>
      <c r="BJ40" s="252"/>
      <c r="BK40" s="252"/>
      <c r="BL40" s="252"/>
      <c r="BM40" s="252"/>
      <c r="BN40" s="252"/>
      <c r="BO40" s="252"/>
      <c r="BP40" s="252"/>
      <c r="BQ40" s="520">
        <f t="shared" si="0"/>
        <v>0</v>
      </c>
      <c r="BR40" s="520">
        <f t="shared" si="1"/>
        <v>100000</v>
      </c>
    </row>
    <row r="41" spans="1:70" ht="10.15" customHeight="1">
      <c r="A41" s="195" t="s">
        <v>45</v>
      </c>
      <c r="B41" s="252"/>
      <c r="C41" s="252"/>
      <c r="D41" s="252">
        <f>'3.29.22'!E22</f>
        <v>3952</v>
      </c>
      <c r="E41" s="252"/>
      <c r="F41" s="252">
        <f>'3.31.22'!E18</f>
        <v>4161</v>
      </c>
      <c r="G41" s="252"/>
      <c r="H41" s="252"/>
      <c r="I41" s="252"/>
      <c r="J41" s="252"/>
      <c r="K41" s="252"/>
      <c r="L41" s="252"/>
      <c r="M41" s="252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  <c r="AA41" s="252"/>
      <c r="AB41" s="252"/>
      <c r="AC41" s="252"/>
      <c r="AD41" s="252"/>
      <c r="AE41" s="252"/>
      <c r="AF41" s="252"/>
      <c r="AG41" s="252"/>
      <c r="AH41" s="252"/>
      <c r="AI41" s="252"/>
      <c r="AJ41" s="252"/>
      <c r="AK41" s="252"/>
      <c r="AL41" s="252"/>
      <c r="AM41" s="252"/>
      <c r="AN41" s="252"/>
      <c r="AO41" s="252"/>
      <c r="AP41" s="252"/>
      <c r="AQ41" s="252"/>
      <c r="AR41" s="252"/>
      <c r="AS41" s="252"/>
      <c r="AT41" s="252"/>
      <c r="AU41" s="252"/>
      <c r="AV41" s="252"/>
      <c r="AW41" s="252"/>
      <c r="AX41" s="252"/>
      <c r="AY41" s="252"/>
      <c r="AZ41" s="252"/>
      <c r="BA41" s="252"/>
      <c r="BB41" s="252"/>
      <c r="BC41" s="252"/>
      <c r="BD41" s="252"/>
      <c r="BE41" s="252"/>
      <c r="BF41" s="252"/>
      <c r="BG41" s="252"/>
      <c r="BH41" s="252"/>
      <c r="BI41" s="252"/>
      <c r="BJ41" s="252"/>
      <c r="BK41" s="252"/>
      <c r="BL41" s="252"/>
      <c r="BM41" s="252"/>
      <c r="BN41" s="252"/>
      <c r="BO41" s="252"/>
      <c r="BP41" s="252"/>
      <c r="BQ41" s="520">
        <f t="shared" si="0"/>
        <v>8113</v>
      </c>
      <c r="BR41" s="520">
        <f>100000-BQ41+350000</f>
        <v>441887</v>
      </c>
    </row>
    <row r="42" spans="1:70" ht="10.15" customHeight="1">
      <c r="A42" s="195" t="s">
        <v>172</v>
      </c>
      <c r="B42" s="252"/>
      <c r="C42" s="252"/>
      <c r="D42" s="252"/>
      <c r="E42" s="252"/>
      <c r="F42" s="252"/>
      <c r="G42" s="252"/>
      <c r="H42" s="252"/>
      <c r="I42" s="252"/>
      <c r="J42" s="252"/>
      <c r="K42" s="252"/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  <c r="AA42" s="252"/>
      <c r="AB42" s="252"/>
      <c r="AC42" s="252"/>
      <c r="AD42" s="252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252"/>
      <c r="AR42" s="252"/>
      <c r="AS42" s="252"/>
      <c r="AT42" s="252"/>
      <c r="AU42" s="252"/>
      <c r="AV42" s="252"/>
      <c r="AW42" s="252"/>
      <c r="AX42" s="252"/>
      <c r="AY42" s="252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252"/>
      <c r="BM42" s="252"/>
      <c r="BN42" s="252"/>
      <c r="BO42" s="252"/>
      <c r="BP42" s="252"/>
      <c r="BQ42" s="520">
        <f t="shared" si="0"/>
        <v>0</v>
      </c>
      <c r="BR42" s="520">
        <f t="shared" si="1"/>
        <v>100000</v>
      </c>
    </row>
    <row r="43" spans="1:70" ht="10.15" customHeight="1">
      <c r="A43" s="195" t="s">
        <v>144</v>
      </c>
      <c r="B43" s="252"/>
      <c r="C43" s="252"/>
      <c r="D43" s="252">
        <f>'3.29.22'!E19</f>
        <v>3296.5</v>
      </c>
      <c r="E43" s="252">
        <f>'3.30.22'!E28</f>
        <v>1881</v>
      </c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  <c r="AA43" s="252"/>
      <c r="AB43" s="252"/>
      <c r="AC43" s="252"/>
      <c r="AD43" s="252"/>
      <c r="AE43" s="252"/>
      <c r="AF43" s="252"/>
      <c r="AG43" s="252"/>
      <c r="AH43" s="252"/>
      <c r="AI43" s="252"/>
      <c r="AJ43" s="252"/>
      <c r="AK43" s="252"/>
      <c r="AL43" s="252"/>
      <c r="AM43" s="252"/>
      <c r="AN43" s="252"/>
      <c r="AO43" s="252"/>
      <c r="AP43" s="252"/>
      <c r="AQ43" s="252"/>
      <c r="AR43" s="252"/>
      <c r="AS43" s="252"/>
      <c r="AT43" s="252"/>
      <c r="AU43" s="252"/>
      <c r="AV43" s="252"/>
      <c r="AW43" s="252"/>
      <c r="AX43" s="252"/>
      <c r="AY43" s="252"/>
      <c r="AZ43" s="252"/>
      <c r="BA43" s="252"/>
      <c r="BB43" s="252"/>
      <c r="BC43" s="252"/>
      <c r="BD43" s="252"/>
      <c r="BE43" s="252"/>
      <c r="BF43" s="252"/>
      <c r="BG43" s="252"/>
      <c r="BH43" s="252"/>
      <c r="BI43" s="252"/>
      <c r="BJ43" s="252"/>
      <c r="BK43" s="252"/>
      <c r="BL43" s="252"/>
      <c r="BM43" s="252"/>
      <c r="BN43" s="252"/>
      <c r="BO43" s="252"/>
      <c r="BP43" s="252"/>
      <c r="BQ43" s="520">
        <f t="shared" si="0"/>
        <v>5177.5</v>
      </c>
      <c r="BR43" s="520">
        <f t="shared" si="1"/>
        <v>94822.5</v>
      </c>
    </row>
    <row r="44" spans="1:70" ht="10.15" customHeight="1">
      <c r="A44" s="195" t="s">
        <v>240</v>
      </c>
      <c r="B44" s="252"/>
      <c r="C44" s="252"/>
      <c r="D44" s="252"/>
      <c r="E44" s="252"/>
      <c r="F44" s="252"/>
      <c r="G44" s="252"/>
      <c r="H44" s="252"/>
      <c r="I44" s="252"/>
      <c r="J44" s="252"/>
      <c r="K44" s="252"/>
      <c r="L44" s="252"/>
      <c r="M44" s="252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  <c r="AA44" s="252"/>
      <c r="AB44" s="252"/>
      <c r="AC44" s="252"/>
      <c r="AD44" s="252"/>
      <c r="AE44" s="252"/>
      <c r="AF44" s="252"/>
      <c r="AG44" s="252"/>
      <c r="AH44" s="252"/>
      <c r="AI44" s="252"/>
      <c r="AJ44" s="252"/>
      <c r="AK44" s="252"/>
      <c r="AL44" s="252"/>
      <c r="AM44" s="252"/>
      <c r="AN44" s="252"/>
      <c r="AO44" s="252"/>
      <c r="AP44" s="252"/>
      <c r="AQ44" s="252"/>
      <c r="AR44" s="252"/>
      <c r="AS44" s="252"/>
      <c r="AT44" s="252"/>
      <c r="AU44" s="252"/>
      <c r="AV44" s="252"/>
      <c r="AW44" s="252"/>
      <c r="AX44" s="252"/>
      <c r="AY44" s="252"/>
      <c r="AZ44" s="252"/>
      <c r="BA44" s="252"/>
      <c r="BB44" s="252"/>
      <c r="BC44" s="252"/>
      <c r="BD44" s="252"/>
      <c r="BE44" s="252"/>
      <c r="BF44" s="252"/>
      <c r="BG44" s="252"/>
      <c r="BH44" s="252"/>
      <c r="BI44" s="252"/>
      <c r="BJ44" s="252"/>
      <c r="BK44" s="252"/>
      <c r="BL44" s="252"/>
      <c r="BM44" s="252"/>
      <c r="BN44" s="252"/>
      <c r="BO44" s="252"/>
      <c r="BP44" s="252"/>
      <c r="BQ44" s="520">
        <f t="shared" si="0"/>
        <v>0</v>
      </c>
      <c r="BR44" s="520">
        <f t="shared" si="1"/>
        <v>100000</v>
      </c>
    </row>
    <row r="45" spans="1:70" ht="10.15" customHeight="1">
      <c r="A45" s="195" t="s">
        <v>258</v>
      </c>
      <c r="B45" s="252"/>
      <c r="C45" s="252"/>
      <c r="D45" s="252"/>
      <c r="E45" s="252">
        <f>'3.30.22'!E30</f>
        <v>2099.5</v>
      </c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520">
        <f t="shared" ref="BQ45" si="3">SUM(B45:BP45)</f>
        <v>2099.5</v>
      </c>
      <c r="BR45" s="520">
        <f t="shared" si="1"/>
        <v>97900.5</v>
      </c>
    </row>
    <row r="46" spans="1:70" ht="10.15" customHeight="1">
      <c r="A46" s="195" t="s">
        <v>70</v>
      </c>
      <c r="B46" s="252"/>
      <c r="C46" s="252"/>
      <c r="D46" s="252">
        <f>'3.29.22'!E28</f>
        <v>2479.5</v>
      </c>
      <c r="E46" s="252"/>
      <c r="F46" s="252">
        <f>'3.31.22'!E29</f>
        <v>3258.5</v>
      </c>
      <c r="G46" s="252"/>
      <c r="H46" s="252"/>
      <c r="I46" s="252"/>
      <c r="J46" s="252"/>
      <c r="K46" s="252"/>
      <c r="L46" s="252"/>
      <c r="M46" s="252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  <c r="AA46" s="252"/>
      <c r="AB46" s="252"/>
      <c r="AC46" s="252"/>
      <c r="AD46" s="252"/>
      <c r="AE46" s="252"/>
      <c r="AF46" s="252"/>
      <c r="AG46" s="252"/>
      <c r="AH46" s="252"/>
      <c r="AI46" s="252"/>
      <c r="AJ46" s="252"/>
      <c r="AK46" s="252"/>
      <c r="AL46" s="252"/>
      <c r="AM46" s="252"/>
      <c r="AN46" s="252"/>
      <c r="AO46" s="252"/>
      <c r="AP46" s="252"/>
      <c r="AQ46" s="252"/>
      <c r="AR46" s="252"/>
      <c r="AS46" s="252"/>
      <c r="AT46" s="252"/>
      <c r="AU46" s="252"/>
      <c r="AV46" s="252"/>
      <c r="AW46" s="252"/>
      <c r="AX46" s="252"/>
      <c r="AY46" s="252"/>
      <c r="AZ46" s="252"/>
      <c r="BA46" s="252"/>
      <c r="BB46" s="252"/>
      <c r="BC46" s="252"/>
      <c r="BD46" s="252"/>
      <c r="BE46" s="252"/>
      <c r="BF46" s="252"/>
      <c r="BG46" s="252"/>
      <c r="BH46" s="252"/>
      <c r="BI46" s="252"/>
      <c r="BJ46" s="252"/>
      <c r="BK46" s="252"/>
      <c r="BL46" s="252"/>
      <c r="BM46" s="252"/>
      <c r="BN46" s="252"/>
      <c r="BO46" s="252"/>
      <c r="BP46" s="252"/>
      <c r="BQ46" s="520">
        <f t="shared" si="0"/>
        <v>5738</v>
      </c>
      <c r="BR46" s="358">
        <f>449000-BQ46+350000</f>
        <v>793262</v>
      </c>
    </row>
    <row r="47" spans="1:70" ht="10.15" customHeight="1">
      <c r="A47" s="195" t="s">
        <v>181</v>
      </c>
      <c r="B47" s="252"/>
      <c r="C47" s="252"/>
      <c r="D47" s="252"/>
      <c r="E47" s="252"/>
      <c r="F47" s="252"/>
      <c r="G47" s="252"/>
      <c r="H47" s="252"/>
      <c r="I47" s="252"/>
      <c r="J47" s="252"/>
      <c r="K47" s="252"/>
      <c r="L47" s="252"/>
      <c r="M47" s="252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  <c r="AA47" s="252"/>
      <c r="AB47" s="252"/>
      <c r="AC47" s="252"/>
      <c r="AD47" s="252"/>
      <c r="AE47" s="252"/>
      <c r="AF47" s="252"/>
      <c r="AG47" s="252"/>
      <c r="AH47" s="252"/>
      <c r="AI47" s="252"/>
      <c r="AJ47" s="252"/>
      <c r="AK47" s="252"/>
      <c r="AL47" s="252"/>
      <c r="AM47" s="252"/>
      <c r="AN47" s="252"/>
      <c r="AO47" s="252"/>
      <c r="AP47" s="252"/>
      <c r="AQ47" s="252"/>
      <c r="AR47" s="252"/>
      <c r="AS47" s="252"/>
      <c r="AT47" s="252"/>
      <c r="AU47" s="252"/>
      <c r="AV47" s="252"/>
      <c r="AW47" s="252"/>
      <c r="AX47" s="252"/>
      <c r="AY47" s="252"/>
      <c r="AZ47" s="252"/>
      <c r="BA47" s="252"/>
      <c r="BB47" s="252"/>
      <c r="BC47" s="252"/>
      <c r="BD47" s="252"/>
      <c r="BE47" s="252"/>
      <c r="BF47" s="252"/>
      <c r="BG47" s="252"/>
      <c r="BH47" s="252"/>
      <c r="BI47" s="252"/>
      <c r="BJ47" s="252"/>
      <c r="BK47" s="252"/>
      <c r="BL47" s="252"/>
      <c r="BM47" s="252"/>
      <c r="BN47" s="252"/>
      <c r="BO47" s="252"/>
      <c r="BP47" s="252"/>
      <c r="BQ47" s="520">
        <f t="shared" si="0"/>
        <v>0</v>
      </c>
      <c r="BR47" s="358">
        <f>100000-BQ47</f>
        <v>100000</v>
      </c>
    </row>
    <row r="48" spans="1:70" ht="10.15" customHeight="1">
      <c r="A48" s="195" t="s">
        <v>244</v>
      </c>
      <c r="B48" s="252"/>
      <c r="C48" s="252"/>
      <c r="D48" s="252"/>
      <c r="E48" s="252"/>
      <c r="F48" s="252"/>
      <c r="G48" s="252"/>
      <c r="H48" s="252"/>
      <c r="I48" s="252"/>
      <c r="J48" s="252"/>
      <c r="K48" s="252"/>
      <c r="L48" s="252"/>
      <c r="M48" s="252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  <c r="AA48" s="252"/>
      <c r="AB48" s="252"/>
      <c r="AC48" s="252"/>
      <c r="AD48" s="252"/>
      <c r="AE48" s="252"/>
      <c r="AF48" s="252"/>
      <c r="AG48" s="252"/>
      <c r="AH48" s="252"/>
      <c r="AI48" s="252"/>
      <c r="AJ48" s="252"/>
      <c r="AK48" s="252"/>
      <c r="AL48" s="252"/>
      <c r="AM48" s="252"/>
      <c r="AN48" s="252"/>
      <c r="AO48" s="252"/>
      <c r="AP48" s="252"/>
      <c r="AQ48" s="252"/>
      <c r="AR48" s="252"/>
      <c r="AS48" s="252"/>
      <c r="AT48" s="252"/>
      <c r="AU48" s="252"/>
      <c r="AV48" s="252"/>
      <c r="AW48" s="252"/>
      <c r="AX48" s="252"/>
      <c r="AY48" s="252"/>
      <c r="AZ48" s="252"/>
      <c r="BA48" s="252"/>
      <c r="BB48" s="252"/>
      <c r="BC48" s="252"/>
      <c r="BD48" s="252"/>
      <c r="BE48" s="252"/>
      <c r="BF48" s="252"/>
      <c r="BG48" s="252"/>
      <c r="BH48" s="252"/>
      <c r="BI48" s="252"/>
      <c r="BJ48" s="252"/>
      <c r="BK48" s="252"/>
      <c r="BL48" s="252"/>
      <c r="BM48" s="252"/>
      <c r="BN48" s="252"/>
      <c r="BO48" s="252"/>
      <c r="BP48" s="252"/>
      <c r="BQ48" s="520">
        <f t="shared" si="0"/>
        <v>0</v>
      </c>
      <c r="BR48" s="358">
        <f>100000-BQ48</f>
        <v>100000</v>
      </c>
    </row>
    <row r="49" spans="1:84" s="521" customFormat="1" ht="10.15" customHeight="1">
      <c r="A49" s="515" t="s">
        <v>205</v>
      </c>
      <c r="B49" s="252"/>
      <c r="C49" s="252"/>
      <c r="D49" s="252"/>
      <c r="E49" s="252"/>
      <c r="F49" s="252"/>
      <c r="G49" s="252"/>
      <c r="H49" s="252"/>
      <c r="I49" s="252"/>
      <c r="J49" s="252"/>
      <c r="K49" s="252"/>
      <c r="L49" s="252"/>
      <c r="M49" s="252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  <c r="AA49" s="252"/>
      <c r="AB49" s="252"/>
      <c r="AC49" s="252"/>
      <c r="AD49" s="252"/>
      <c r="AE49" s="252"/>
      <c r="AF49" s="252"/>
      <c r="AG49" s="252"/>
      <c r="AH49" s="252"/>
      <c r="AI49" s="252"/>
      <c r="AJ49" s="252"/>
      <c r="AK49" s="252"/>
      <c r="AL49" s="252"/>
      <c r="AM49" s="252"/>
      <c r="AN49" s="252"/>
      <c r="AO49" s="252"/>
      <c r="AP49" s="252"/>
      <c r="AQ49" s="252"/>
      <c r="AR49" s="252"/>
      <c r="AS49" s="252"/>
      <c r="AT49" s="252"/>
      <c r="AU49" s="252"/>
      <c r="AV49" s="252"/>
      <c r="AW49" s="252"/>
      <c r="AX49" s="252"/>
      <c r="AY49" s="252"/>
      <c r="AZ49" s="252"/>
      <c r="BA49" s="252"/>
      <c r="BB49" s="252"/>
      <c r="BC49" s="252"/>
      <c r="BD49" s="252"/>
      <c r="BE49" s="252"/>
      <c r="BF49" s="252"/>
      <c r="BG49" s="252"/>
      <c r="BH49" s="252"/>
      <c r="BI49" s="252"/>
      <c r="BJ49" s="252"/>
      <c r="BK49" s="252"/>
      <c r="BL49" s="252"/>
      <c r="BM49" s="252"/>
      <c r="BN49" s="252"/>
      <c r="BO49" s="252"/>
      <c r="BP49" s="252"/>
      <c r="BQ49" s="522">
        <f t="shared" si="0"/>
        <v>0</v>
      </c>
      <c r="BR49" s="522">
        <f t="shared" si="1"/>
        <v>100000</v>
      </c>
    </row>
    <row r="50" spans="1:84" ht="13.9" customHeight="1" thickBot="1">
      <c r="A50" s="46" t="s">
        <v>24</v>
      </c>
      <c r="B50" s="530">
        <f t="shared" ref="B50:BN50" si="4">SUM(B3:B49)</f>
        <v>5349</v>
      </c>
      <c r="C50" s="530">
        <f t="shared" si="4"/>
        <v>18696</v>
      </c>
      <c r="D50" s="530">
        <f t="shared" si="4"/>
        <v>20045</v>
      </c>
      <c r="E50" s="530">
        <f t="shared" si="4"/>
        <v>19285</v>
      </c>
      <c r="F50" s="530">
        <f t="shared" si="4"/>
        <v>24310.5</v>
      </c>
      <c r="G50" s="530">
        <f t="shared" si="4"/>
        <v>0</v>
      </c>
      <c r="H50" s="530">
        <f t="shared" si="4"/>
        <v>0</v>
      </c>
      <c r="I50" s="530">
        <f t="shared" si="4"/>
        <v>0</v>
      </c>
      <c r="J50" s="530">
        <f t="shared" si="4"/>
        <v>0</v>
      </c>
      <c r="K50" s="530">
        <f t="shared" si="4"/>
        <v>0</v>
      </c>
      <c r="L50" s="530">
        <f t="shared" si="4"/>
        <v>0</v>
      </c>
      <c r="M50" s="530">
        <f t="shared" si="4"/>
        <v>0</v>
      </c>
      <c r="N50" s="530">
        <f t="shared" si="4"/>
        <v>0</v>
      </c>
      <c r="O50" s="530">
        <f t="shared" si="4"/>
        <v>0</v>
      </c>
      <c r="P50" s="530">
        <f t="shared" si="4"/>
        <v>0</v>
      </c>
      <c r="Q50" s="530">
        <f t="shared" si="4"/>
        <v>0</v>
      </c>
      <c r="R50" s="530">
        <f t="shared" si="4"/>
        <v>0</v>
      </c>
      <c r="S50" s="530">
        <f t="shared" si="4"/>
        <v>0</v>
      </c>
      <c r="T50" s="530">
        <f t="shared" si="4"/>
        <v>0</v>
      </c>
      <c r="U50" s="530">
        <f t="shared" si="4"/>
        <v>0</v>
      </c>
      <c r="V50" s="530">
        <f t="shared" si="4"/>
        <v>0</v>
      </c>
      <c r="W50" s="530">
        <f t="shared" si="4"/>
        <v>0</v>
      </c>
      <c r="X50" s="530">
        <f t="shared" si="4"/>
        <v>0</v>
      </c>
      <c r="Y50" s="530">
        <f t="shared" si="4"/>
        <v>0</v>
      </c>
      <c r="Z50" s="530">
        <f t="shared" si="4"/>
        <v>0</v>
      </c>
      <c r="AA50" s="530">
        <f t="shared" si="4"/>
        <v>0</v>
      </c>
      <c r="AB50" s="530">
        <f t="shared" si="4"/>
        <v>0</v>
      </c>
      <c r="AC50" s="530">
        <f t="shared" si="4"/>
        <v>0</v>
      </c>
      <c r="AD50" s="530">
        <f t="shared" si="4"/>
        <v>0</v>
      </c>
      <c r="AE50" s="530">
        <f t="shared" si="4"/>
        <v>0</v>
      </c>
      <c r="AF50" s="530">
        <f t="shared" si="4"/>
        <v>0</v>
      </c>
      <c r="AG50" s="530">
        <f t="shared" si="4"/>
        <v>0</v>
      </c>
      <c r="AH50" s="530">
        <f t="shared" si="4"/>
        <v>0</v>
      </c>
      <c r="AI50" s="530">
        <f t="shared" si="4"/>
        <v>0</v>
      </c>
      <c r="AJ50" s="530">
        <f t="shared" si="4"/>
        <v>0</v>
      </c>
      <c r="AK50" s="530">
        <f t="shared" si="4"/>
        <v>0</v>
      </c>
      <c r="AL50" s="530">
        <f t="shared" si="4"/>
        <v>0</v>
      </c>
      <c r="AM50" s="530">
        <f t="shared" si="4"/>
        <v>0</v>
      </c>
      <c r="AN50" s="530">
        <f t="shared" si="4"/>
        <v>0</v>
      </c>
      <c r="AO50" s="530">
        <f t="shared" si="4"/>
        <v>0</v>
      </c>
      <c r="AP50" s="530">
        <f t="shared" si="4"/>
        <v>0</v>
      </c>
      <c r="AQ50" s="530">
        <f t="shared" si="4"/>
        <v>0</v>
      </c>
      <c r="AR50" s="530">
        <f t="shared" si="4"/>
        <v>0</v>
      </c>
      <c r="AS50" s="530">
        <f t="shared" si="4"/>
        <v>0</v>
      </c>
      <c r="AT50" s="530">
        <f t="shared" si="4"/>
        <v>0</v>
      </c>
      <c r="AU50" s="530">
        <f t="shared" si="4"/>
        <v>0</v>
      </c>
      <c r="AV50" s="530">
        <f t="shared" si="4"/>
        <v>0</v>
      </c>
      <c r="AW50" s="530">
        <f t="shared" si="4"/>
        <v>0</v>
      </c>
      <c r="AX50" s="530">
        <f t="shared" si="4"/>
        <v>0</v>
      </c>
      <c r="AY50" s="530">
        <f t="shared" si="4"/>
        <v>0</v>
      </c>
      <c r="AZ50" s="530">
        <f t="shared" si="4"/>
        <v>0</v>
      </c>
      <c r="BA50" s="530">
        <f t="shared" si="4"/>
        <v>0</v>
      </c>
      <c r="BB50" s="530">
        <f t="shared" si="4"/>
        <v>0</v>
      </c>
      <c r="BC50" s="530">
        <f t="shared" si="4"/>
        <v>0</v>
      </c>
      <c r="BD50" s="530">
        <f t="shared" si="4"/>
        <v>0</v>
      </c>
      <c r="BE50" s="530">
        <f t="shared" si="4"/>
        <v>0</v>
      </c>
      <c r="BF50" s="530">
        <f t="shared" si="4"/>
        <v>0</v>
      </c>
      <c r="BG50" s="530">
        <f t="shared" si="4"/>
        <v>0</v>
      </c>
      <c r="BH50" s="530">
        <f t="shared" si="4"/>
        <v>0</v>
      </c>
      <c r="BI50" s="530">
        <f t="shared" si="4"/>
        <v>0</v>
      </c>
      <c r="BJ50" s="530">
        <f t="shared" si="4"/>
        <v>0</v>
      </c>
      <c r="BK50" s="530">
        <f t="shared" si="4"/>
        <v>0</v>
      </c>
      <c r="BL50" s="530">
        <f t="shared" si="4"/>
        <v>0</v>
      </c>
      <c r="BM50" s="530">
        <f t="shared" si="4"/>
        <v>0</v>
      </c>
      <c r="BN50" s="530">
        <f t="shared" si="4"/>
        <v>0</v>
      </c>
      <c r="BO50" s="530">
        <f t="shared" ref="BO50" si="5">SUM(BO3:BO49)</f>
        <v>0</v>
      </c>
      <c r="BP50" s="253"/>
      <c r="BQ50" s="55">
        <f>SUM(BQ3:BQ49)</f>
        <v>87685.5</v>
      </c>
      <c r="BR50" s="55">
        <f>SUM(BR3:BR49)</f>
        <v>13355314.5</v>
      </c>
      <c r="BT50" s="316"/>
      <c r="BV50" s="316"/>
    </row>
    <row r="51" spans="1:84" ht="12" customHeight="1" thickTop="1">
      <c r="A51" s="198" t="s">
        <v>85</v>
      </c>
      <c r="B51" s="241">
        <v>5349</v>
      </c>
      <c r="C51" s="241">
        <v>18696</v>
      </c>
      <c r="D51" s="241">
        <v>20045</v>
      </c>
      <c r="E51" s="241">
        <v>19285</v>
      </c>
      <c r="F51" s="241">
        <f>'3.31.22'!E37</f>
        <v>24310.5</v>
      </c>
      <c r="G51" s="241"/>
      <c r="H51" s="241"/>
      <c r="I51" s="241"/>
      <c r="J51" s="241"/>
      <c r="K51" s="241"/>
      <c r="L51" s="241"/>
      <c r="M51" s="241"/>
      <c r="N51" s="241"/>
      <c r="O51" s="241"/>
      <c r="P51" s="241"/>
      <c r="Q51" s="241"/>
      <c r="R51" s="241"/>
      <c r="S51" s="241"/>
      <c r="T51" s="241"/>
      <c r="U51" s="241"/>
      <c r="V51" s="241"/>
      <c r="W51" s="241"/>
      <c r="X51" s="241"/>
      <c r="Y51" s="241"/>
      <c r="Z51" s="241"/>
      <c r="AA51" s="241"/>
      <c r="AB51" s="241"/>
      <c r="AC51" s="241"/>
      <c r="AD51" s="241"/>
      <c r="AE51" s="241"/>
      <c r="AF51" s="241"/>
      <c r="AG51" s="241"/>
      <c r="AH51" s="241"/>
      <c r="AI51" s="241"/>
      <c r="AJ51" s="241"/>
      <c r="AK51" s="241"/>
      <c r="AL51" s="241"/>
      <c r="AM51" s="241"/>
      <c r="AN51" s="241"/>
      <c r="AO51" s="241"/>
      <c r="AP51" s="241"/>
      <c r="AQ51" s="241"/>
      <c r="AR51" s="241"/>
      <c r="AS51" s="241"/>
      <c r="AT51" s="241"/>
      <c r="AU51" s="241"/>
      <c r="AV51" s="241"/>
      <c r="AW51" s="241"/>
      <c r="AX51" s="241"/>
      <c r="AY51" s="241"/>
      <c r="AZ51" s="241"/>
      <c r="BA51" s="241"/>
      <c r="BB51" s="241"/>
      <c r="BC51" s="241"/>
      <c r="BD51" s="241"/>
      <c r="BE51" s="241"/>
      <c r="BF51" s="241"/>
      <c r="BG51" s="241"/>
      <c r="BH51" s="241"/>
      <c r="BI51" s="241"/>
      <c r="BJ51" s="241"/>
      <c r="BK51" s="241"/>
      <c r="BL51" s="241"/>
      <c r="BM51" s="241"/>
      <c r="BN51" s="241"/>
      <c r="BO51" s="241"/>
      <c r="BP51" s="241"/>
      <c r="BQ51" s="197"/>
      <c r="BR51" s="57"/>
    </row>
    <row r="52" spans="1:84" ht="12" customHeight="1">
      <c r="A52" s="198" t="s">
        <v>86</v>
      </c>
      <c r="B52" s="242">
        <f t="shared" ref="B52:BM52" si="6">B50-B51</f>
        <v>0</v>
      </c>
      <c r="C52" s="242">
        <f t="shared" si="6"/>
        <v>0</v>
      </c>
      <c r="D52" s="242">
        <f t="shared" si="6"/>
        <v>0</v>
      </c>
      <c r="E52" s="242">
        <f t="shared" si="6"/>
        <v>0</v>
      </c>
      <c r="F52" s="242">
        <f t="shared" si="6"/>
        <v>0</v>
      </c>
      <c r="G52" s="242">
        <f t="shared" si="6"/>
        <v>0</v>
      </c>
      <c r="H52" s="242">
        <f t="shared" si="6"/>
        <v>0</v>
      </c>
      <c r="I52" s="242">
        <f t="shared" si="6"/>
        <v>0</v>
      </c>
      <c r="J52" s="242">
        <f t="shared" si="6"/>
        <v>0</v>
      </c>
      <c r="K52" s="242">
        <f t="shared" si="6"/>
        <v>0</v>
      </c>
      <c r="L52" s="242">
        <f t="shared" si="6"/>
        <v>0</v>
      </c>
      <c r="M52" s="242">
        <f t="shared" si="6"/>
        <v>0</v>
      </c>
      <c r="N52" s="242">
        <f t="shared" si="6"/>
        <v>0</v>
      </c>
      <c r="O52" s="242">
        <f t="shared" si="6"/>
        <v>0</v>
      </c>
      <c r="P52" s="242">
        <f t="shared" si="6"/>
        <v>0</v>
      </c>
      <c r="Q52" s="242">
        <f t="shared" si="6"/>
        <v>0</v>
      </c>
      <c r="R52" s="242">
        <f t="shared" si="6"/>
        <v>0</v>
      </c>
      <c r="S52" s="242">
        <f t="shared" si="6"/>
        <v>0</v>
      </c>
      <c r="T52" s="242">
        <f t="shared" si="6"/>
        <v>0</v>
      </c>
      <c r="U52" s="242">
        <f t="shared" si="6"/>
        <v>0</v>
      </c>
      <c r="V52" s="242">
        <f t="shared" si="6"/>
        <v>0</v>
      </c>
      <c r="W52" s="242">
        <f t="shared" si="6"/>
        <v>0</v>
      </c>
      <c r="X52" s="242">
        <f t="shared" si="6"/>
        <v>0</v>
      </c>
      <c r="Y52" s="242">
        <f t="shared" si="6"/>
        <v>0</v>
      </c>
      <c r="Z52" s="242">
        <f t="shared" si="6"/>
        <v>0</v>
      </c>
      <c r="AA52" s="242">
        <f t="shared" si="6"/>
        <v>0</v>
      </c>
      <c r="AB52" s="242">
        <f t="shared" si="6"/>
        <v>0</v>
      </c>
      <c r="AC52" s="242">
        <f t="shared" si="6"/>
        <v>0</v>
      </c>
      <c r="AD52" s="242">
        <f t="shared" si="6"/>
        <v>0</v>
      </c>
      <c r="AE52" s="242">
        <f t="shared" si="6"/>
        <v>0</v>
      </c>
      <c r="AF52" s="242">
        <f t="shared" si="6"/>
        <v>0</v>
      </c>
      <c r="AG52" s="242">
        <f t="shared" si="6"/>
        <v>0</v>
      </c>
      <c r="AH52" s="242">
        <f t="shared" si="6"/>
        <v>0</v>
      </c>
      <c r="AI52" s="242">
        <f t="shared" si="6"/>
        <v>0</v>
      </c>
      <c r="AJ52" s="242">
        <f t="shared" si="6"/>
        <v>0</v>
      </c>
      <c r="AK52" s="242">
        <f t="shared" si="6"/>
        <v>0</v>
      </c>
      <c r="AL52" s="242">
        <f t="shared" si="6"/>
        <v>0</v>
      </c>
      <c r="AM52" s="242">
        <f t="shared" si="6"/>
        <v>0</v>
      </c>
      <c r="AN52" s="242">
        <f t="shared" si="6"/>
        <v>0</v>
      </c>
      <c r="AO52" s="242">
        <f t="shared" si="6"/>
        <v>0</v>
      </c>
      <c r="AP52" s="242">
        <f t="shared" si="6"/>
        <v>0</v>
      </c>
      <c r="AQ52" s="242">
        <f t="shared" si="6"/>
        <v>0</v>
      </c>
      <c r="AR52" s="242">
        <f t="shared" si="6"/>
        <v>0</v>
      </c>
      <c r="AS52" s="242">
        <f t="shared" si="6"/>
        <v>0</v>
      </c>
      <c r="AT52" s="242">
        <f t="shared" si="6"/>
        <v>0</v>
      </c>
      <c r="AU52" s="242">
        <f t="shared" si="6"/>
        <v>0</v>
      </c>
      <c r="AV52" s="242">
        <f t="shared" si="6"/>
        <v>0</v>
      </c>
      <c r="AW52" s="242">
        <f t="shared" si="6"/>
        <v>0</v>
      </c>
      <c r="AX52" s="242">
        <f t="shared" si="6"/>
        <v>0</v>
      </c>
      <c r="AY52" s="242">
        <f t="shared" si="6"/>
        <v>0</v>
      </c>
      <c r="AZ52" s="242">
        <f t="shared" si="6"/>
        <v>0</v>
      </c>
      <c r="BA52" s="242">
        <f t="shared" si="6"/>
        <v>0</v>
      </c>
      <c r="BB52" s="242">
        <f t="shared" si="6"/>
        <v>0</v>
      </c>
      <c r="BC52" s="242">
        <f t="shared" si="6"/>
        <v>0</v>
      </c>
      <c r="BD52" s="242">
        <f t="shared" si="6"/>
        <v>0</v>
      </c>
      <c r="BE52" s="242">
        <f t="shared" si="6"/>
        <v>0</v>
      </c>
      <c r="BF52" s="242">
        <f t="shared" si="6"/>
        <v>0</v>
      </c>
      <c r="BG52" s="242">
        <f t="shared" si="6"/>
        <v>0</v>
      </c>
      <c r="BH52" s="242">
        <f t="shared" si="6"/>
        <v>0</v>
      </c>
      <c r="BI52" s="242">
        <f t="shared" si="6"/>
        <v>0</v>
      </c>
      <c r="BJ52" s="242">
        <f t="shared" si="6"/>
        <v>0</v>
      </c>
      <c r="BK52" s="242">
        <f t="shared" si="6"/>
        <v>0</v>
      </c>
      <c r="BL52" s="242">
        <f t="shared" si="6"/>
        <v>0</v>
      </c>
      <c r="BM52" s="242">
        <f t="shared" si="6"/>
        <v>0</v>
      </c>
      <c r="BN52" s="242">
        <f t="shared" ref="BN52:BP52" si="7">BN50-BN51</f>
        <v>0</v>
      </c>
      <c r="BO52" s="242">
        <f t="shared" si="7"/>
        <v>0</v>
      </c>
      <c r="BP52" s="242">
        <f t="shared" si="7"/>
        <v>0</v>
      </c>
      <c r="BQ52" s="233">
        <f>BQ50/9.5</f>
        <v>9230.0526315789466</v>
      </c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</row>
    <row r="54" spans="1:84">
      <c r="BQ54" s="234"/>
    </row>
    <row r="56" spans="1:84">
      <c r="A56" s="188"/>
    </row>
    <row r="57" spans="1:84">
      <c r="A57" s="188"/>
    </row>
  </sheetData>
  <mergeCells count="3">
    <mergeCell ref="A1:A2"/>
    <mergeCell ref="BQ1:BQ2"/>
    <mergeCell ref="BR1:BR2"/>
  </mergeCells>
  <conditionalFormatting sqref="BR20:BR22 BR28 BR31 BR46 BR39:BR41 BR16:BR17 BR25 BR49 BR5:BR7 BR9 BR33:BR36 BR11:BR13">
    <cfRule type="cellIs" dxfId="889" priority="63" operator="lessThan">
      <formula>20000</formula>
    </cfRule>
    <cfRule type="cellIs" dxfId="888" priority="64" operator="lessThan">
      <formula>25000</formula>
    </cfRule>
    <cfRule type="cellIs" dxfId="887" priority="65" operator="lessThan">
      <formula>50000</formula>
    </cfRule>
  </conditionalFormatting>
  <conditionalFormatting sqref="BR18">
    <cfRule type="cellIs" dxfId="886" priority="60" operator="lessThan">
      <formula>20000</formula>
    </cfRule>
    <cfRule type="cellIs" dxfId="885" priority="61" operator="lessThan">
      <formula>25000</formula>
    </cfRule>
    <cfRule type="cellIs" dxfId="884" priority="62" operator="lessThan">
      <formula>50000</formula>
    </cfRule>
  </conditionalFormatting>
  <conditionalFormatting sqref="BR26">
    <cfRule type="cellIs" dxfId="883" priority="57" operator="lessThan">
      <formula>20000</formula>
    </cfRule>
    <cfRule type="cellIs" dxfId="882" priority="58" operator="lessThan">
      <formula>25000</formula>
    </cfRule>
    <cfRule type="cellIs" dxfId="881" priority="59" operator="lessThan">
      <formula>50000</formula>
    </cfRule>
  </conditionalFormatting>
  <conditionalFormatting sqref="BR29">
    <cfRule type="cellIs" dxfId="880" priority="54" operator="lessThan">
      <formula>20000</formula>
    </cfRule>
    <cfRule type="cellIs" dxfId="879" priority="55" operator="lessThan">
      <formula>25000</formula>
    </cfRule>
    <cfRule type="cellIs" dxfId="878" priority="56" operator="lessThan">
      <formula>50000</formula>
    </cfRule>
  </conditionalFormatting>
  <conditionalFormatting sqref="BR38">
    <cfRule type="cellIs" dxfId="877" priority="51" operator="lessThan">
      <formula>20000</formula>
    </cfRule>
    <cfRule type="cellIs" dxfId="876" priority="52" operator="lessThan">
      <formula>25000</formula>
    </cfRule>
    <cfRule type="cellIs" dxfId="875" priority="53" operator="lessThan">
      <formula>50000</formula>
    </cfRule>
  </conditionalFormatting>
  <conditionalFormatting sqref="BR43">
    <cfRule type="cellIs" dxfId="874" priority="48" operator="lessThan">
      <formula>20000</formula>
    </cfRule>
    <cfRule type="cellIs" dxfId="873" priority="49" operator="lessThan">
      <formula>25000</formula>
    </cfRule>
    <cfRule type="cellIs" dxfId="872" priority="50" operator="lessThan">
      <formula>50000</formula>
    </cfRule>
  </conditionalFormatting>
  <conditionalFormatting sqref="BR37">
    <cfRule type="cellIs" dxfId="871" priority="45" operator="lessThan">
      <formula>20000</formula>
    </cfRule>
    <cfRule type="cellIs" dxfId="870" priority="46" operator="lessThan">
      <formula>25000</formula>
    </cfRule>
    <cfRule type="cellIs" dxfId="869" priority="47" operator="lessThan">
      <formula>50000</formula>
    </cfRule>
  </conditionalFormatting>
  <conditionalFormatting sqref="BR4">
    <cfRule type="cellIs" dxfId="868" priority="42" operator="lessThan">
      <formula>20000</formula>
    </cfRule>
    <cfRule type="cellIs" dxfId="867" priority="43" operator="lessThan">
      <formula>25000</formula>
    </cfRule>
    <cfRule type="cellIs" dxfId="866" priority="44" operator="lessThan">
      <formula>50000</formula>
    </cfRule>
  </conditionalFormatting>
  <conditionalFormatting sqref="BR42">
    <cfRule type="cellIs" dxfId="865" priority="39" operator="lessThan">
      <formula>20000</formula>
    </cfRule>
    <cfRule type="cellIs" dxfId="864" priority="40" operator="lessThan">
      <formula>25000</formula>
    </cfRule>
    <cfRule type="cellIs" dxfId="863" priority="41" operator="lessThan">
      <formula>50000</formula>
    </cfRule>
  </conditionalFormatting>
  <conditionalFormatting sqref="BR27">
    <cfRule type="cellIs" dxfId="862" priority="36" operator="lessThan">
      <formula>20000</formula>
    </cfRule>
    <cfRule type="cellIs" dxfId="861" priority="37" operator="lessThan">
      <formula>25000</formula>
    </cfRule>
    <cfRule type="cellIs" dxfId="860" priority="38" operator="lessThan">
      <formula>50000</formula>
    </cfRule>
  </conditionalFormatting>
  <conditionalFormatting sqref="BR3">
    <cfRule type="cellIs" dxfId="859" priority="33" operator="lessThan">
      <formula>20000</formula>
    </cfRule>
    <cfRule type="cellIs" dxfId="858" priority="34" operator="lessThan">
      <formula>25000</formula>
    </cfRule>
    <cfRule type="cellIs" dxfId="857" priority="35" operator="lessThan">
      <formula>50000</formula>
    </cfRule>
  </conditionalFormatting>
  <conditionalFormatting sqref="BR14">
    <cfRule type="cellIs" dxfId="856" priority="30" operator="lessThan">
      <formula>20000</formula>
    </cfRule>
    <cfRule type="cellIs" dxfId="855" priority="31" operator="lessThan">
      <formula>25000</formula>
    </cfRule>
    <cfRule type="cellIs" dxfId="854" priority="32" operator="lessThan">
      <formula>50000</formula>
    </cfRule>
  </conditionalFormatting>
  <conditionalFormatting sqref="BR23:BR24">
    <cfRule type="cellIs" dxfId="853" priority="27" operator="lessThan">
      <formula>20000</formula>
    </cfRule>
    <cfRule type="cellIs" dxfId="852" priority="28" operator="lessThan">
      <formula>25000</formula>
    </cfRule>
    <cfRule type="cellIs" dxfId="851" priority="29" operator="lessThan">
      <formula>50000</formula>
    </cfRule>
  </conditionalFormatting>
  <conditionalFormatting sqref="BR47:BR48">
    <cfRule type="cellIs" dxfId="850" priority="24" operator="lessThan">
      <formula>20000</formula>
    </cfRule>
    <cfRule type="cellIs" dxfId="849" priority="25" operator="lessThan">
      <formula>25000</formula>
    </cfRule>
    <cfRule type="cellIs" dxfId="848" priority="26" operator="lessThan">
      <formula>50000</formula>
    </cfRule>
  </conditionalFormatting>
  <conditionalFormatting sqref="BR19">
    <cfRule type="cellIs" dxfId="847" priority="21" operator="lessThan">
      <formula>20000</formula>
    </cfRule>
    <cfRule type="cellIs" dxfId="846" priority="22" operator="lessThan">
      <formula>25000</formula>
    </cfRule>
    <cfRule type="cellIs" dxfId="845" priority="23" operator="lessThan">
      <formula>50000</formula>
    </cfRule>
  </conditionalFormatting>
  <conditionalFormatting sqref="BR8">
    <cfRule type="cellIs" dxfId="844" priority="18" operator="lessThan">
      <formula>20000</formula>
    </cfRule>
    <cfRule type="cellIs" dxfId="843" priority="19" operator="lessThan">
      <formula>25000</formula>
    </cfRule>
    <cfRule type="cellIs" dxfId="842" priority="20" operator="lessThan">
      <formula>50000</formula>
    </cfRule>
  </conditionalFormatting>
  <conditionalFormatting sqref="BR44:BR45">
    <cfRule type="cellIs" dxfId="841" priority="15" operator="lessThan">
      <formula>20000</formula>
    </cfRule>
    <cfRule type="cellIs" dxfId="840" priority="16" operator="lessThan">
      <formula>25000</formula>
    </cfRule>
    <cfRule type="cellIs" dxfId="839" priority="17" operator="lessThan">
      <formula>50000</formula>
    </cfRule>
  </conditionalFormatting>
  <conditionalFormatting sqref="BR30">
    <cfRule type="cellIs" dxfId="838" priority="12" operator="lessThan">
      <formula>20000</formula>
    </cfRule>
    <cfRule type="cellIs" dxfId="837" priority="13" operator="lessThan">
      <formula>25000</formula>
    </cfRule>
    <cfRule type="cellIs" dxfId="836" priority="14" operator="lessThan">
      <formula>50000</formula>
    </cfRule>
  </conditionalFormatting>
  <conditionalFormatting sqref="BR15">
    <cfRule type="cellIs" dxfId="835" priority="9" operator="lessThan">
      <formula>20000</formula>
    </cfRule>
    <cfRule type="cellIs" dxfId="834" priority="10" operator="lessThan">
      <formula>25000</formula>
    </cfRule>
    <cfRule type="cellIs" dxfId="833" priority="11" operator="lessThan">
      <formula>50000</formula>
    </cfRule>
  </conditionalFormatting>
  <conditionalFormatting sqref="BR32">
    <cfRule type="cellIs" dxfId="832" priority="6" operator="lessThan">
      <formula>20000</formula>
    </cfRule>
    <cfRule type="cellIs" dxfId="831" priority="7" operator="lessThan">
      <formula>25000</formula>
    </cfRule>
    <cfRule type="cellIs" dxfId="830" priority="8" operator="lessThan">
      <formula>50000</formula>
    </cfRule>
  </conditionalFormatting>
  <conditionalFormatting sqref="BR10">
    <cfRule type="cellIs" dxfId="829" priority="3" operator="lessThan">
      <formula>20000</formula>
    </cfRule>
    <cfRule type="cellIs" dxfId="828" priority="4" operator="lessThan">
      <formula>25000</formula>
    </cfRule>
    <cfRule type="cellIs" dxfId="827" priority="5" operator="lessThan">
      <formula>50000</formula>
    </cfRule>
  </conditionalFormatting>
  <conditionalFormatting sqref="B52:BP52">
    <cfRule type="cellIs" dxfId="826" priority="1" operator="lessThan">
      <formula>0</formula>
    </cfRule>
    <cfRule type="cellIs" dxfId="825" priority="2" operator="greaterThan">
      <formula>0</formula>
    </cfRule>
  </conditionalFormatting>
  <pageMargins left="0.7" right="0.7" top="0.75" bottom="0.75" header="0.3" footer="0.3"/>
  <pageSetup paperSize="17" scale="98" fitToWidth="2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4CECB-B550-4093-8784-78D688DACF89}">
  <sheetPr codeName="Sheet148">
    <pageSetUpPr fitToPage="1"/>
  </sheetPr>
  <dimension ref="A2:M498"/>
  <sheetViews>
    <sheetView workbookViewId="0"/>
  </sheetViews>
  <sheetFormatPr defaultColWidth="8.85546875" defaultRowHeight="15"/>
  <cols>
    <col min="1" max="1" width="14.140625" style="202" customWidth="1"/>
    <col min="2" max="5" width="10.140625" style="203" customWidth="1"/>
    <col min="6" max="6" width="4.7109375" style="202" customWidth="1"/>
    <col min="7" max="7" width="13.85546875" style="202" customWidth="1"/>
    <col min="8" max="12" width="10.140625" style="202" customWidth="1"/>
    <col min="13" max="13" width="8.85546875" style="202"/>
    <col min="14" max="14" width="9.140625" style="202" customWidth="1"/>
    <col min="15" max="15" width="10.28515625" style="202" customWidth="1"/>
    <col min="16" max="16384" width="8.85546875" style="202"/>
  </cols>
  <sheetData>
    <row r="2" spans="1:11">
      <c r="A2" s="508" t="s">
        <v>141</v>
      </c>
      <c r="B2" s="508" t="s">
        <v>30</v>
      </c>
      <c r="C2" s="508" t="s">
        <v>30</v>
      </c>
      <c r="D2" s="508"/>
      <c r="E2" s="508"/>
      <c r="F2" s="510"/>
      <c r="G2" s="511"/>
      <c r="H2" s="508" t="s">
        <v>30</v>
      </c>
      <c r="I2" s="508" t="s">
        <v>30</v>
      </c>
      <c r="J2" s="508"/>
      <c r="K2" s="508"/>
    </row>
    <row r="3" spans="1:11">
      <c r="A3" s="95">
        <v>44647</v>
      </c>
      <c r="B3" s="508" t="s">
        <v>34</v>
      </c>
      <c r="C3" s="508" t="s">
        <v>131</v>
      </c>
      <c r="D3" s="508" t="s">
        <v>192</v>
      </c>
      <c r="E3" s="508" t="s">
        <v>132</v>
      </c>
      <c r="F3" s="510"/>
      <c r="G3" s="96" t="s">
        <v>135</v>
      </c>
      <c r="H3" s="508" t="s">
        <v>34</v>
      </c>
      <c r="I3" s="508" t="s">
        <v>131</v>
      </c>
      <c r="J3" s="508" t="s">
        <v>192</v>
      </c>
      <c r="K3" s="508" t="s">
        <v>132</v>
      </c>
    </row>
    <row r="4" spans="1:11">
      <c r="A4" s="511" t="s">
        <v>191</v>
      </c>
      <c r="B4" s="255">
        <v>0</v>
      </c>
      <c r="C4" s="255">
        <v>0</v>
      </c>
      <c r="D4" s="255">
        <v>672</v>
      </c>
      <c r="E4" s="255">
        <f>SUM(B4:D4)</f>
        <v>672</v>
      </c>
      <c r="F4" s="510"/>
      <c r="G4" s="511" t="s">
        <v>191</v>
      </c>
      <c r="H4" s="508">
        <v>0</v>
      </c>
      <c r="I4" s="508">
        <v>0</v>
      </c>
      <c r="J4" s="508">
        <v>672</v>
      </c>
      <c r="K4" s="508">
        <f>E4</f>
        <v>672</v>
      </c>
    </row>
    <row r="5" spans="1:11">
      <c r="A5" s="511" t="s">
        <v>134</v>
      </c>
      <c r="B5" s="508">
        <v>0</v>
      </c>
      <c r="C5" s="508">
        <v>563</v>
      </c>
      <c r="D5" s="508"/>
      <c r="E5" s="508">
        <f>SUM(B5:D5)</f>
        <v>563</v>
      </c>
      <c r="F5" s="510"/>
      <c r="G5" s="511" t="s">
        <v>134</v>
      </c>
      <c r="H5" s="508"/>
      <c r="I5" s="508"/>
      <c r="J5" s="508"/>
      <c r="K5" s="508">
        <f>E5</f>
        <v>563</v>
      </c>
    </row>
    <row r="6" spans="1:11">
      <c r="A6" s="511" t="s">
        <v>86</v>
      </c>
      <c r="B6" s="508">
        <f>B4-B5</f>
        <v>0</v>
      </c>
      <c r="C6" s="508">
        <f t="shared" ref="C6:D6" si="0">C4-C5</f>
        <v>-563</v>
      </c>
      <c r="D6" s="508">
        <f t="shared" si="0"/>
        <v>672</v>
      </c>
      <c r="E6" s="508">
        <f>SUM(B6:D6)</f>
        <v>109</v>
      </c>
      <c r="F6" s="510"/>
      <c r="G6" s="511" t="s">
        <v>86</v>
      </c>
      <c r="H6" s="508">
        <f>B6</f>
        <v>0</v>
      </c>
      <c r="I6" s="508">
        <f>C6</f>
        <v>-563</v>
      </c>
      <c r="J6" s="508">
        <f>D6</f>
        <v>672</v>
      </c>
      <c r="K6" s="508">
        <f>E6</f>
        <v>109</v>
      </c>
    </row>
    <row r="8" spans="1:11">
      <c r="A8" s="508" t="s">
        <v>142</v>
      </c>
      <c r="B8" s="508" t="s">
        <v>30</v>
      </c>
      <c r="C8" s="508" t="s">
        <v>30</v>
      </c>
      <c r="D8" s="508"/>
      <c r="E8" s="508"/>
      <c r="F8" s="510"/>
      <c r="G8" s="511"/>
      <c r="H8" s="508" t="s">
        <v>30</v>
      </c>
      <c r="I8" s="508" t="s">
        <v>30</v>
      </c>
      <c r="J8" s="508"/>
      <c r="K8" s="508"/>
    </row>
    <row r="9" spans="1:11">
      <c r="A9" s="95">
        <f>A3+1</f>
        <v>44648</v>
      </c>
      <c r="B9" s="508" t="s">
        <v>34</v>
      </c>
      <c r="C9" s="508" t="s">
        <v>131</v>
      </c>
      <c r="D9" s="508" t="s">
        <v>192</v>
      </c>
      <c r="E9" s="508" t="s">
        <v>132</v>
      </c>
      <c r="F9" s="510"/>
      <c r="G9" s="96" t="s">
        <v>135</v>
      </c>
      <c r="H9" s="508" t="s">
        <v>34</v>
      </c>
      <c r="I9" s="508" t="s">
        <v>131</v>
      </c>
      <c r="J9" s="508" t="s">
        <v>192</v>
      </c>
      <c r="K9" s="508" t="s">
        <v>132</v>
      </c>
    </row>
    <row r="10" spans="1:11">
      <c r="A10" s="511" t="s">
        <v>191</v>
      </c>
      <c r="B10" s="255">
        <v>0</v>
      </c>
      <c r="C10" s="255">
        <v>0</v>
      </c>
      <c r="D10" s="255">
        <v>4448</v>
      </c>
      <c r="E10" s="255">
        <f>SUM(B10:D10)</f>
        <v>4448</v>
      </c>
      <c r="F10" s="510"/>
      <c r="G10" s="511" t="s">
        <v>191</v>
      </c>
      <c r="H10" s="508">
        <f>B10+H4</f>
        <v>0</v>
      </c>
      <c r="I10" s="508">
        <f t="shared" ref="I10:I12" si="1">C10+I4</f>
        <v>0</v>
      </c>
      <c r="J10" s="508">
        <f t="shared" ref="J10:J12" si="2">D10+J4</f>
        <v>5120</v>
      </c>
      <c r="K10" s="508">
        <f t="shared" ref="K10:K12" si="3">E10+K4</f>
        <v>5120</v>
      </c>
    </row>
    <row r="11" spans="1:11">
      <c r="A11" s="511" t="s">
        <v>134</v>
      </c>
      <c r="B11" s="508">
        <v>0</v>
      </c>
      <c r="C11" s="508">
        <v>1968</v>
      </c>
      <c r="D11" s="508"/>
      <c r="E11" s="508">
        <f>SUM(B11:D11)</f>
        <v>1968</v>
      </c>
      <c r="F11" s="510"/>
      <c r="G11" s="511" t="s">
        <v>134</v>
      </c>
      <c r="H11" s="508">
        <f t="shared" ref="H11:H12" si="4">B11+H5</f>
        <v>0</v>
      </c>
      <c r="I11" s="508">
        <f t="shared" si="1"/>
        <v>1968</v>
      </c>
      <c r="J11" s="508">
        <f t="shared" si="2"/>
        <v>0</v>
      </c>
      <c r="K11" s="508">
        <f t="shared" si="3"/>
        <v>2531</v>
      </c>
    </row>
    <row r="12" spans="1:11">
      <c r="A12" s="511" t="s">
        <v>86</v>
      </c>
      <c r="B12" s="508">
        <f>B10-B11</f>
        <v>0</v>
      </c>
      <c r="C12" s="508">
        <f t="shared" ref="C12:D12" si="5">C10-C11</f>
        <v>-1968</v>
      </c>
      <c r="D12" s="508">
        <f t="shared" si="5"/>
        <v>4448</v>
      </c>
      <c r="E12" s="508">
        <f>SUM(B12:D12)</f>
        <v>2480</v>
      </c>
      <c r="F12" s="510"/>
      <c r="G12" s="511" t="s">
        <v>86</v>
      </c>
      <c r="H12" s="508">
        <f t="shared" si="4"/>
        <v>0</v>
      </c>
      <c r="I12" s="508">
        <f t="shared" si="1"/>
        <v>-2531</v>
      </c>
      <c r="J12" s="508">
        <f t="shared" si="2"/>
        <v>5120</v>
      </c>
      <c r="K12" s="508">
        <f t="shared" si="3"/>
        <v>2589</v>
      </c>
    </row>
    <row r="14" spans="1:11">
      <c r="A14" s="508" t="s">
        <v>136</v>
      </c>
      <c r="B14" s="508" t="s">
        <v>30</v>
      </c>
      <c r="C14" s="508" t="s">
        <v>30</v>
      </c>
      <c r="D14" s="508"/>
      <c r="E14" s="508"/>
      <c r="F14" s="510"/>
      <c r="G14" s="511"/>
      <c r="H14" s="508" t="s">
        <v>30</v>
      </c>
      <c r="I14" s="508" t="s">
        <v>30</v>
      </c>
      <c r="J14" s="508"/>
      <c r="K14" s="508"/>
    </row>
    <row r="15" spans="1:11">
      <c r="A15" s="95">
        <f>A9+1</f>
        <v>44649</v>
      </c>
      <c r="B15" s="508" t="s">
        <v>34</v>
      </c>
      <c r="C15" s="508" t="s">
        <v>131</v>
      </c>
      <c r="D15" s="508" t="s">
        <v>192</v>
      </c>
      <c r="E15" s="508" t="s">
        <v>132</v>
      </c>
      <c r="F15" s="510"/>
      <c r="G15" s="96" t="s">
        <v>135</v>
      </c>
      <c r="H15" s="508" t="s">
        <v>34</v>
      </c>
      <c r="I15" s="508" t="s">
        <v>131</v>
      </c>
      <c r="J15" s="508" t="s">
        <v>192</v>
      </c>
      <c r="K15" s="508" t="s">
        <v>132</v>
      </c>
    </row>
    <row r="16" spans="1:11">
      <c r="A16" s="511" t="s">
        <v>191</v>
      </c>
      <c r="B16" s="255">
        <v>0</v>
      </c>
      <c r="C16" s="255">
        <v>0</v>
      </c>
      <c r="D16" s="255">
        <v>4767</v>
      </c>
      <c r="E16" s="255">
        <f>SUM(B16:D16)</f>
        <v>4767</v>
      </c>
      <c r="F16" s="510"/>
      <c r="G16" s="511" t="s">
        <v>191</v>
      </c>
      <c r="H16" s="508">
        <f>B16+H10</f>
        <v>0</v>
      </c>
      <c r="I16" s="508">
        <f t="shared" ref="I16:I18" si="6">C16+I10</f>
        <v>0</v>
      </c>
      <c r="J16" s="508">
        <f t="shared" ref="J16:J18" si="7">D16+J10</f>
        <v>9887</v>
      </c>
      <c r="K16" s="508">
        <f t="shared" ref="K16:K18" si="8">E16+K10</f>
        <v>9887</v>
      </c>
    </row>
    <row r="17" spans="1:11">
      <c r="A17" s="511" t="s">
        <v>134</v>
      </c>
      <c r="B17" s="508">
        <v>0</v>
      </c>
      <c r="C17" s="508">
        <v>2110</v>
      </c>
      <c r="D17" s="508"/>
      <c r="E17" s="508">
        <f>SUM(B17:D17)</f>
        <v>2110</v>
      </c>
      <c r="F17" s="510"/>
      <c r="G17" s="511" t="s">
        <v>134</v>
      </c>
      <c r="H17" s="508">
        <f t="shared" ref="H17:H18" si="9">B17+H11</f>
        <v>0</v>
      </c>
      <c r="I17" s="508">
        <f t="shared" si="6"/>
        <v>4078</v>
      </c>
      <c r="J17" s="508">
        <f t="shared" si="7"/>
        <v>0</v>
      </c>
      <c r="K17" s="508">
        <f t="shared" si="8"/>
        <v>4641</v>
      </c>
    </row>
    <row r="18" spans="1:11">
      <c r="A18" s="511" t="s">
        <v>86</v>
      </c>
      <c r="B18" s="508">
        <f>B16-B17</f>
        <v>0</v>
      </c>
      <c r="C18" s="508">
        <f t="shared" ref="C18:D18" si="10">C16-C17</f>
        <v>-2110</v>
      </c>
      <c r="D18" s="508">
        <f t="shared" si="10"/>
        <v>4767</v>
      </c>
      <c r="E18" s="508">
        <f>SUM(B18:D18)</f>
        <v>2657</v>
      </c>
      <c r="F18" s="510"/>
      <c r="G18" s="511" t="s">
        <v>86</v>
      </c>
      <c r="H18" s="508">
        <f t="shared" si="9"/>
        <v>0</v>
      </c>
      <c r="I18" s="508">
        <f t="shared" si="6"/>
        <v>-4641</v>
      </c>
      <c r="J18" s="508">
        <f t="shared" si="7"/>
        <v>9887</v>
      </c>
      <c r="K18" s="508">
        <f t="shared" si="8"/>
        <v>5246</v>
      </c>
    </row>
    <row r="20" spans="1:11">
      <c r="A20" s="508" t="s">
        <v>137</v>
      </c>
      <c r="B20" s="508" t="s">
        <v>30</v>
      </c>
      <c r="C20" s="508" t="s">
        <v>30</v>
      </c>
      <c r="D20" s="508"/>
      <c r="E20" s="508"/>
      <c r="F20" s="510"/>
      <c r="G20" s="511"/>
      <c r="H20" s="508" t="s">
        <v>30</v>
      </c>
      <c r="I20" s="508" t="s">
        <v>30</v>
      </c>
      <c r="J20" s="508"/>
      <c r="K20" s="508"/>
    </row>
    <row r="21" spans="1:11">
      <c r="A21" s="95">
        <f>A15+1</f>
        <v>44650</v>
      </c>
      <c r="B21" s="508" t="s">
        <v>34</v>
      </c>
      <c r="C21" s="508" t="s">
        <v>131</v>
      </c>
      <c r="D21" s="508" t="s">
        <v>192</v>
      </c>
      <c r="E21" s="508" t="s">
        <v>132</v>
      </c>
      <c r="F21" s="510"/>
      <c r="G21" s="96" t="s">
        <v>135</v>
      </c>
      <c r="H21" s="508" t="s">
        <v>34</v>
      </c>
      <c r="I21" s="508" t="s">
        <v>131</v>
      </c>
      <c r="J21" s="508" t="s">
        <v>192</v>
      </c>
      <c r="K21" s="508" t="s">
        <v>132</v>
      </c>
    </row>
    <row r="22" spans="1:11">
      <c r="A22" s="511" t="s">
        <v>191</v>
      </c>
      <c r="B22" s="255">
        <v>0</v>
      </c>
      <c r="C22" s="255">
        <v>0</v>
      </c>
      <c r="D22" s="255">
        <v>5350</v>
      </c>
      <c r="E22" s="255">
        <f>SUM(B22:D22)</f>
        <v>5350</v>
      </c>
      <c r="F22" s="510"/>
      <c r="G22" s="511" t="s">
        <v>191</v>
      </c>
      <c r="H22" s="508">
        <f>B22+H16</f>
        <v>0</v>
      </c>
      <c r="I22" s="508">
        <f t="shared" ref="I22:I24" si="11">C22+I16</f>
        <v>0</v>
      </c>
      <c r="J22" s="508">
        <f t="shared" ref="J22:J24" si="12">D22+J16</f>
        <v>15237</v>
      </c>
      <c r="K22" s="508">
        <f t="shared" ref="K22:K24" si="13">E22+K16</f>
        <v>15237</v>
      </c>
    </row>
    <row r="23" spans="1:11">
      <c r="A23" s="511" t="s">
        <v>134</v>
      </c>
      <c r="B23" s="508">
        <v>0</v>
      </c>
      <c r="C23" s="508">
        <v>2030</v>
      </c>
      <c r="D23" s="508"/>
      <c r="E23" s="508">
        <f>SUM(B23:D23)</f>
        <v>2030</v>
      </c>
      <c r="F23" s="510"/>
      <c r="G23" s="511" t="s">
        <v>134</v>
      </c>
      <c r="H23" s="508">
        <f t="shared" ref="H23:H24" si="14">B23+H17</f>
        <v>0</v>
      </c>
      <c r="I23" s="508">
        <f t="shared" si="11"/>
        <v>6108</v>
      </c>
      <c r="J23" s="508">
        <f t="shared" si="12"/>
        <v>0</v>
      </c>
      <c r="K23" s="508">
        <f t="shared" si="13"/>
        <v>6671</v>
      </c>
    </row>
    <row r="24" spans="1:11">
      <c r="A24" s="511" t="s">
        <v>86</v>
      </c>
      <c r="B24" s="508">
        <f>B22-B23</f>
        <v>0</v>
      </c>
      <c r="C24" s="508">
        <f t="shared" ref="C24:D24" si="15">C22-C23</f>
        <v>-2030</v>
      </c>
      <c r="D24" s="508">
        <f t="shared" si="15"/>
        <v>5350</v>
      </c>
      <c r="E24" s="508">
        <f>SUM(B24:D24)</f>
        <v>3320</v>
      </c>
      <c r="F24" s="510"/>
      <c r="G24" s="511" t="s">
        <v>86</v>
      </c>
      <c r="H24" s="508">
        <f t="shared" si="14"/>
        <v>0</v>
      </c>
      <c r="I24" s="508">
        <f t="shared" si="11"/>
        <v>-6671</v>
      </c>
      <c r="J24" s="508">
        <f t="shared" si="12"/>
        <v>15237</v>
      </c>
      <c r="K24" s="508">
        <f t="shared" si="13"/>
        <v>8566</v>
      </c>
    </row>
    <row r="26" spans="1:11">
      <c r="A26" s="508" t="s">
        <v>138</v>
      </c>
      <c r="B26" s="508" t="s">
        <v>30</v>
      </c>
      <c r="C26" s="508" t="s">
        <v>30</v>
      </c>
      <c r="D26" s="508"/>
      <c r="E26" s="508"/>
      <c r="F26" s="510"/>
      <c r="G26" s="511"/>
      <c r="H26" s="508" t="s">
        <v>30</v>
      </c>
      <c r="I26" s="508" t="s">
        <v>30</v>
      </c>
      <c r="J26" s="508"/>
      <c r="K26" s="508"/>
    </row>
    <row r="27" spans="1:11">
      <c r="A27" s="95">
        <f>A21+1</f>
        <v>44651</v>
      </c>
      <c r="B27" s="508" t="s">
        <v>34</v>
      </c>
      <c r="C27" s="508" t="s">
        <v>131</v>
      </c>
      <c r="D27" s="508" t="s">
        <v>192</v>
      </c>
      <c r="E27" s="508" t="s">
        <v>132</v>
      </c>
      <c r="F27" s="510"/>
      <c r="G27" s="96" t="s">
        <v>135</v>
      </c>
      <c r="H27" s="508" t="s">
        <v>34</v>
      </c>
      <c r="I27" s="508" t="s">
        <v>131</v>
      </c>
      <c r="J27" s="508" t="s">
        <v>192</v>
      </c>
      <c r="K27" s="508" t="s">
        <v>132</v>
      </c>
    </row>
    <row r="28" spans="1:11">
      <c r="A28" s="511" t="s">
        <v>191</v>
      </c>
      <c r="B28" s="255">
        <v>0</v>
      </c>
      <c r="C28" s="255">
        <v>0</v>
      </c>
      <c r="D28" s="255">
        <v>6359</v>
      </c>
      <c r="E28" s="255">
        <f>SUM(B28:D28)</f>
        <v>6359</v>
      </c>
      <c r="F28" s="510"/>
      <c r="G28" s="511" t="s">
        <v>191</v>
      </c>
      <c r="H28" s="508">
        <f>B28+H22</f>
        <v>0</v>
      </c>
      <c r="I28" s="508">
        <f t="shared" ref="I28:I30" si="16">C28+I22</f>
        <v>0</v>
      </c>
      <c r="J28" s="508">
        <f t="shared" ref="J28:J30" si="17">D28+J22</f>
        <v>21596</v>
      </c>
      <c r="K28" s="508">
        <f t="shared" ref="K28:K30" si="18">E28+K22</f>
        <v>21596</v>
      </c>
    </row>
    <row r="29" spans="1:11">
      <c r="A29" s="511" t="s">
        <v>134</v>
      </c>
      <c r="B29" s="508">
        <v>0</v>
      </c>
      <c r="C29" s="508">
        <v>2559</v>
      </c>
      <c r="D29" s="508"/>
      <c r="E29" s="508">
        <f>SUM(B29:D29)</f>
        <v>2559</v>
      </c>
      <c r="F29" s="510"/>
      <c r="G29" s="511" t="s">
        <v>134</v>
      </c>
      <c r="H29" s="508">
        <f t="shared" ref="H29:H30" si="19">B29+H23</f>
        <v>0</v>
      </c>
      <c r="I29" s="508">
        <f t="shared" si="16"/>
        <v>8667</v>
      </c>
      <c r="J29" s="508">
        <f t="shared" si="17"/>
        <v>0</v>
      </c>
      <c r="K29" s="508">
        <f t="shared" si="18"/>
        <v>9230</v>
      </c>
    </row>
    <row r="30" spans="1:11">
      <c r="A30" s="511" t="s">
        <v>86</v>
      </c>
      <c r="B30" s="508">
        <f>B28-B29</f>
        <v>0</v>
      </c>
      <c r="C30" s="508">
        <f t="shared" ref="C30:D30" si="20">C28-C29</f>
        <v>-2559</v>
      </c>
      <c r="D30" s="508">
        <f t="shared" si="20"/>
        <v>6359</v>
      </c>
      <c r="E30" s="508">
        <f>SUM(B30:D30)</f>
        <v>3800</v>
      </c>
      <c r="F30" s="510"/>
      <c r="G30" s="511" t="s">
        <v>86</v>
      </c>
      <c r="H30" s="508">
        <f t="shared" si="19"/>
        <v>0</v>
      </c>
      <c r="I30" s="508">
        <f t="shared" si="16"/>
        <v>-9230</v>
      </c>
      <c r="J30" s="508">
        <f t="shared" si="17"/>
        <v>21596</v>
      </c>
      <c r="K30" s="508">
        <f t="shared" si="18"/>
        <v>12366</v>
      </c>
    </row>
    <row r="32" spans="1:11">
      <c r="A32" s="508" t="s">
        <v>139</v>
      </c>
      <c r="B32" s="508" t="s">
        <v>30</v>
      </c>
      <c r="C32" s="508" t="s">
        <v>30</v>
      </c>
      <c r="D32" s="508"/>
      <c r="E32" s="508"/>
      <c r="F32" s="516"/>
      <c r="G32" s="518"/>
      <c r="H32" s="508" t="s">
        <v>30</v>
      </c>
      <c r="I32" s="508" t="s">
        <v>30</v>
      </c>
      <c r="J32" s="508"/>
      <c r="K32" s="508"/>
    </row>
    <row r="33" spans="1:11">
      <c r="A33" s="95">
        <f>A27+1</f>
        <v>44652</v>
      </c>
      <c r="B33" s="508" t="s">
        <v>34</v>
      </c>
      <c r="C33" s="508" t="s">
        <v>131</v>
      </c>
      <c r="D33" s="508" t="s">
        <v>192</v>
      </c>
      <c r="E33" s="508" t="s">
        <v>132</v>
      </c>
      <c r="F33" s="516"/>
      <c r="G33" s="96" t="s">
        <v>135</v>
      </c>
      <c r="H33" s="508" t="s">
        <v>34</v>
      </c>
      <c r="I33" s="508" t="s">
        <v>131</v>
      </c>
      <c r="J33" s="508" t="s">
        <v>192</v>
      </c>
      <c r="K33" s="508" t="s">
        <v>132</v>
      </c>
    </row>
    <row r="34" spans="1:11">
      <c r="A34" s="518" t="s">
        <v>191</v>
      </c>
      <c r="B34" s="255">
        <v>0</v>
      </c>
      <c r="C34" s="255">
        <v>0</v>
      </c>
      <c r="D34" s="255">
        <v>4962</v>
      </c>
      <c r="E34" s="255">
        <f>SUM(B34:D34)</f>
        <v>4962</v>
      </c>
      <c r="F34" s="516"/>
      <c r="G34" s="518" t="s">
        <v>191</v>
      </c>
      <c r="H34" s="508">
        <f>B34+H28</f>
        <v>0</v>
      </c>
      <c r="I34" s="508">
        <f t="shared" ref="I34:I36" si="21">C34+I28</f>
        <v>0</v>
      </c>
      <c r="J34" s="508">
        <f t="shared" ref="J34:J36" si="22">D34+J28</f>
        <v>26558</v>
      </c>
      <c r="K34" s="508">
        <f t="shared" ref="K34:K36" si="23">E34+K28</f>
        <v>26558</v>
      </c>
    </row>
    <row r="35" spans="1:11">
      <c r="A35" s="518" t="s">
        <v>134</v>
      </c>
      <c r="B35" s="508">
        <v>0</v>
      </c>
      <c r="C35" s="508">
        <v>1916</v>
      </c>
      <c r="D35" s="508"/>
      <c r="E35" s="508">
        <f>SUM(B35:D35)</f>
        <v>1916</v>
      </c>
      <c r="F35" s="516"/>
      <c r="G35" s="518" t="s">
        <v>134</v>
      </c>
      <c r="H35" s="508">
        <f t="shared" ref="H35:H36" si="24">B35+H29</f>
        <v>0</v>
      </c>
      <c r="I35" s="508">
        <f t="shared" si="21"/>
        <v>10583</v>
      </c>
      <c r="J35" s="508">
        <f t="shared" si="22"/>
        <v>0</v>
      </c>
      <c r="K35" s="508">
        <f t="shared" si="23"/>
        <v>11146</v>
      </c>
    </row>
    <row r="36" spans="1:11">
      <c r="A36" s="518" t="s">
        <v>86</v>
      </c>
      <c r="B36" s="508">
        <f>B34-B35</f>
        <v>0</v>
      </c>
      <c r="C36" s="508">
        <f t="shared" ref="C36:D36" si="25">C34-C35</f>
        <v>-1916</v>
      </c>
      <c r="D36" s="508">
        <f t="shared" si="25"/>
        <v>4962</v>
      </c>
      <c r="E36" s="508">
        <f>SUM(B36:D36)</f>
        <v>3046</v>
      </c>
      <c r="F36" s="516"/>
      <c r="G36" s="518" t="s">
        <v>86</v>
      </c>
      <c r="H36" s="508">
        <f t="shared" si="24"/>
        <v>0</v>
      </c>
      <c r="I36" s="508">
        <f t="shared" si="21"/>
        <v>-11146</v>
      </c>
      <c r="J36" s="508">
        <f t="shared" si="22"/>
        <v>26558</v>
      </c>
      <c r="K36" s="508">
        <f t="shared" si="23"/>
        <v>15412</v>
      </c>
    </row>
    <row r="38" spans="1:11">
      <c r="A38" s="508" t="s">
        <v>140</v>
      </c>
      <c r="B38" s="508" t="s">
        <v>30</v>
      </c>
      <c r="C38" s="508" t="s">
        <v>30</v>
      </c>
      <c r="D38" s="508"/>
      <c r="E38" s="508"/>
      <c r="F38" s="516"/>
      <c r="G38" s="518"/>
      <c r="H38" s="508" t="s">
        <v>30</v>
      </c>
      <c r="I38" s="508" t="s">
        <v>30</v>
      </c>
      <c r="J38" s="508"/>
      <c r="K38" s="508"/>
    </row>
    <row r="39" spans="1:11">
      <c r="A39" s="95">
        <f>A33+1</f>
        <v>44653</v>
      </c>
      <c r="B39" s="508" t="s">
        <v>34</v>
      </c>
      <c r="C39" s="508" t="s">
        <v>131</v>
      </c>
      <c r="D39" s="508" t="s">
        <v>192</v>
      </c>
      <c r="E39" s="508" t="s">
        <v>132</v>
      </c>
      <c r="F39" s="516"/>
      <c r="G39" s="96" t="s">
        <v>135</v>
      </c>
      <c r="H39" s="508" t="s">
        <v>34</v>
      </c>
      <c r="I39" s="508" t="s">
        <v>131</v>
      </c>
      <c r="J39" s="508" t="s">
        <v>192</v>
      </c>
      <c r="K39" s="508" t="s">
        <v>132</v>
      </c>
    </row>
    <row r="40" spans="1:11">
      <c r="A40" s="518" t="s">
        <v>191</v>
      </c>
      <c r="B40" s="255">
        <v>0</v>
      </c>
      <c r="C40" s="255">
        <v>0</v>
      </c>
      <c r="D40" s="255">
        <v>2738</v>
      </c>
      <c r="E40" s="255">
        <f>SUM(B40:D40)</f>
        <v>2738</v>
      </c>
      <c r="F40" s="516"/>
      <c r="G40" s="518" t="s">
        <v>191</v>
      </c>
      <c r="H40" s="508">
        <f>B40+H34</f>
        <v>0</v>
      </c>
      <c r="I40" s="508">
        <f t="shared" ref="I40:I42" si="26">C40+I34</f>
        <v>0</v>
      </c>
      <c r="J40" s="508">
        <f t="shared" ref="J40:J42" si="27">D40+J34</f>
        <v>29296</v>
      </c>
      <c r="K40" s="508">
        <f t="shared" ref="K40:K42" si="28">E40+K34</f>
        <v>29296</v>
      </c>
    </row>
    <row r="41" spans="1:11">
      <c r="A41" s="518" t="s">
        <v>134</v>
      </c>
      <c r="B41" s="508">
        <v>537</v>
      </c>
      <c r="C41" s="508">
        <v>2196</v>
      </c>
      <c r="D41" s="508"/>
      <c r="E41" s="508">
        <f>SUM(B41:D41)</f>
        <v>2733</v>
      </c>
      <c r="F41" s="516"/>
      <c r="G41" s="518" t="s">
        <v>134</v>
      </c>
      <c r="H41" s="508">
        <f t="shared" ref="H41:H42" si="29">B41+H35</f>
        <v>537</v>
      </c>
      <c r="I41" s="508">
        <f t="shared" si="26"/>
        <v>12779</v>
      </c>
      <c r="J41" s="508">
        <f t="shared" si="27"/>
        <v>0</v>
      </c>
      <c r="K41" s="508">
        <f t="shared" si="28"/>
        <v>13879</v>
      </c>
    </row>
    <row r="42" spans="1:11">
      <c r="A42" s="518" t="s">
        <v>86</v>
      </c>
      <c r="B42" s="508">
        <f>B40-B41</f>
        <v>-537</v>
      </c>
      <c r="C42" s="508">
        <f t="shared" ref="C42:D42" si="30">C40-C41</f>
        <v>-2196</v>
      </c>
      <c r="D42" s="508">
        <f t="shared" si="30"/>
        <v>2738</v>
      </c>
      <c r="E42" s="508">
        <f>SUM(B42:D42)</f>
        <v>5</v>
      </c>
      <c r="F42" s="516"/>
      <c r="G42" s="518" t="s">
        <v>86</v>
      </c>
      <c r="H42" s="508">
        <f t="shared" si="29"/>
        <v>-537</v>
      </c>
      <c r="I42" s="508">
        <f t="shared" si="26"/>
        <v>-13342</v>
      </c>
      <c r="J42" s="508">
        <f t="shared" si="27"/>
        <v>29296</v>
      </c>
      <c r="K42" s="508">
        <f t="shared" si="28"/>
        <v>15417</v>
      </c>
    </row>
    <row r="44" spans="1:11">
      <c r="A44" s="508" t="s">
        <v>141</v>
      </c>
      <c r="B44" s="508" t="s">
        <v>30</v>
      </c>
      <c r="C44" s="508" t="s">
        <v>30</v>
      </c>
      <c r="D44" s="508"/>
      <c r="E44" s="508"/>
      <c r="F44" s="516"/>
      <c r="G44" s="518"/>
      <c r="H44" s="508" t="s">
        <v>30</v>
      </c>
      <c r="I44" s="508" t="s">
        <v>30</v>
      </c>
      <c r="J44" s="508"/>
      <c r="K44" s="508"/>
    </row>
    <row r="45" spans="1:11">
      <c r="A45" s="95">
        <f>A39+1</f>
        <v>44654</v>
      </c>
      <c r="B45" s="508" t="s">
        <v>34</v>
      </c>
      <c r="C45" s="508" t="s">
        <v>131</v>
      </c>
      <c r="D45" s="508" t="s">
        <v>192</v>
      </c>
      <c r="E45" s="508" t="s">
        <v>132</v>
      </c>
      <c r="F45" s="516"/>
      <c r="G45" s="96" t="s">
        <v>135</v>
      </c>
      <c r="H45" s="508" t="s">
        <v>34</v>
      </c>
      <c r="I45" s="508" t="s">
        <v>131</v>
      </c>
      <c r="J45" s="508" t="s">
        <v>192</v>
      </c>
      <c r="K45" s="508" t="s">
        <v>132</v>
      </c>
    </row>
    <row r="46" spans="1:11">
      <c r="A46" s="518" t="s">
        <v>191</v>
      </c>
      <c r="B46" s="255">
        <v>0</v>
      </c>
      <c r="C46" s="255">
        <v>0</v>
      </c>
      <c r="D46" s="255">
        <v>2999</v>
      </c>
      <c r="E46" s="255">
        <f>SUM(B46:D46)</f>
        <v>2999</v>
      </c>
      <c r="F46" s="516"/>
      <c r="G46" s="518" t="s">
        <v>191</v>
      </c>
      <c r="H46" s="508">
        <f>B46+H40</f>
        <v>0</v>
      </c>
      <c r="I46" s="508">
        <f t="shared" ref="I46:I48" si="31">C46+I40</f>
        <v>0</v>
      </c>
      <c r="J46" s="508">
        <f t="shared" ref="J46:J48" si="32">D46+J40</f>
        <v>32295</v>
      </c>
      <c r="K46" s="508">
        <f t="shared" ref="K46:K48" si="33">E46+K40</f>
        <v>32295</v>
      </c>
    </row>
    <row r="47" spans="1:11">
      <c r="A47" s="518" t="s">
        <v>134</v>
      </c>
      <c r="B47" s="508">
        <v>272</v>
      </c>
      <c r="C47" s="508">
        <v>2419</v>
      </c>
      <c r="D47" s="508"/>
      <c r="E47" s="508">
        <f>SUM(B47:D47)</f>
        <v>2691</v>
      </c>
      <c r="F47" s="516"/>
      <c r="G47" s="518" t="s">
        <v>134</v>
      </c>
      <c r="H47" s="508">
        <f t="shared" ref="H47:H48" si="34">B47+H41</f>
        <v>809</v>
      </c>
      <c r="I47" s="508">
        <f t="shared" si="31"/>
        <v>15198</v>
      </c>
      <c r="J47" s="508">
        <f t="shared" si="32"/>
        <v>0</v>
      </c>
      <c r="K47" s="508">
        <f t="shared" si="33"/>
        <v>16570</v>
      </c>
    </row>
    <row r="48" spans="1:11">
      <c r="A48" s="518" t="s">
        <v>86</v>
      </c>
      <c r="B48" s="508">
        <f>B46-B47</f>
        <v>-272</v>
      </c>
      <c r="C48" s="508">
        <f t="shared" ref="C48:D48" si="35">C46-C47</f>
        <v>-2419</v>
      </c>
      <c r="D48" s="508">
        <f t="shared" si="35"/>
        <v>2999</v>
      </c>
      <c r="E48" s="508">
        <f>SUM(B48:D48)</f>
        <v>308</v>
      </c>
      <c r="F48" s="516"/>
      <c r="G48" s="518" t="s">
        <v>86</v>
      </c>
      <c r="H48" s="508">
        <f t="shared" si="34"/>
        <v>-809</v>
      </c>
      <c r="I48" s="508">
        <f t="shared" si="31"/>
        <v>-15761</v>
      </c>
      <c r="J48" s="508">
        <f t="shared" si="32"/>
        <v>32295</v>
      </c>
      <c r="K48" s="508">
        <f t="shared" si="33"/>
        <v>15725</v>
      </c>
    </row>
    <row r="50" spans="1:11">
      <c r="A50" s="508" t="s">
        <v>142</v>
      </c>
      <c r="B50" s="508" t="s">
        <v>30</v>
      </c>
      <c r="C50" s="508" t="s">
        <v>30</v>
      </c>
      <c r="D50" s="508"/>
      <c r="E50" s="508"/>
      <c r="F50" s="516"/>
      <c r="G50" s="518"/>
      <c r="H50" s="508" t="s">
        <v>30</v>
      </c>
      <c r="I50" s="508" t="s">
        <v>30</v>
      </c>
      <c r="J50" s="508"/>
      <c r="K50" s="508"/>
    </row>
    <row r="51" spans="1:11">
      <c r="A51" s="95">
        <f>A45+1</f>
        <v>44655</v>
      </c>
      <c r="B51" s="508" t="s">
        <v>34</v>
      </c>
      <c r="C51" s="508" t="s">
        <v>131</v>
      </c>
      <c r="D51" s="508" t="s">
        <v>192</v>
      </c>
      <c r="E51" s="508" t="s">
        <v>132</v>
      </c>
      <c r="F51" s="516"/>
      <c r="G51" s="96" t="s">
        <v>135</v>
      </c>
      <c r="H51" s="508" t="s">
        <v>34</v>
      </c>
      <c r="I51" s="508" t="s">
        <v>131</v>
      </c>
      <c r="J51" s="508" t="s">
        <v>192</v>
      </c>
      <c r="K51" s="508" t="s">
        <v>132</v>
      </c>
    </row>
    <row r="52" spans="1:11">
      <c r="A52" s="518" t="s">
        <v>191</v>
      </c>
      <c r="B52" s="255">
        <v>0</v>
      </c>
      <c r="C52" s="255">
        <v>0</v>
      </c>
      <c r="D52" s="255">
        <v>6735</v>
      </c>
      <c r="E52" s="255">
        <f>SUM(B52:D52)</f>
        <v>6735</v>
      </c>
      <c r="F52" s="516"/>
      <c r="G52" s="518" t="s">
        <v>191</v>
      </c>
      <c r="H52" s="508">
        <f>B52+H46</f>
        <v>0</v>
      </c>
      <c r="I52" s="508">
        <f t="shared" ref="I52:I54" si="36">C52+I46</f>
        <v>0</v>
      </c>
      <c r="J52" s="508">
        <f t="shared" ref="J52:J54" si="37">D52+J46</f>
        <v>39030</v>
      </c>
      <c r="K52" s="508">
        <f t="shared" ref="K52:K54" si="38">E52+K46</f>
        <v>39030</v>
      </c>
    </row>
    <row r="53" spans="1:11">
      <c r="A53" s="518" t="s">
        <v>134</v>
      </c>
      <c r="B53" s="508">
        <v>0</v>
      </c>
      <c r="C53" s="508">
        <v>2758</v>
      </c>
      <c r="D53" s="508"/>
      <c r="E53" s="508">
        <f>SUM(B53:D53)</f>
        <v>2758</v>
      </c>
      <c r="F53" s="516"/>
      <c r="G53" s="518" t="s">
        <v>134</v>
      </c>
      <c r="H53" s="508">
        <f t="shared" ref="H53:H54" si="39">B53+H47</f>
        <v>809</v>
      </c>
      <c r="I53" s="508">
        <f t="shared" si="36"/>
        <v>17956</v>
      </c>
      <c r="J53" s="508">
        <f t="shared" si="37"/>
        <v>0</v>
      </c>
      <c r="K53" s="508">
        <f t="shared" si="38"/>
        <v>19328</v>
      </c>
    </row>
    <row r="54" spans="1:11">
      <c r="A54" s="518" t="s">
        <v>86</v>
      </c>
      <c r="B54" s="508">
        <f>B52-B53</f>
        <v>0</v>
      </c>
      <c r="C54" s="508">
        <f t="shared" ref="C54:D54" si="40">C52-C53</f>
        <v>-2758</v>
      </c>
      <c r="D54" s="508">
        <f t="shared" si="40"/>
        <v>6735</v>
      </c>
      <c r="E54" s="508">
        <f>SUM(B54:D54)</f>
        <v>3977</v>
      </c>
      <c r="F54" s="516"/>
      <c r="G54" s="518" t="s">
        <v>86</v>
      </c>
      <c r="H54" s="508">
        <f t="shared" si="39"/>
        <v>-809</v>
      </c>
      <c r="I54" s="508">
        <f t="shared" si="36"/>
        <v>-18519</v>
      </c>
      <c r="J54" s="508">
        <f t="shared" si="37"/>
        <v>39030</v>
      </c>
      <c r="K54" s="508">
        <f t="shared" si="38"/>
        <v>19702</v>
      </c>
    </row>
    <row r="56" spans="1:11">
      <c r="A56" s="508" t="s">
        <v>136</v>
      </c>
      <c r="B56" s="508" t="s">
        <v>30</v>
      </c>
      <c r="C56" s="508" t="s">
        <v>30</v>
      </c>
      <c r="D56" s="508"/>
      <c r="E56" s="508"/>
      <c r="F56" s="516"/>
      <c r="G56" s="518"/>
      <c r="H56" s="508" t="s">
        <v>30</v>
      </c>
      <c r="I56" s="508" t="s">
        <v>30</v>
      </c>
      <c r="J56" s="508"/>
      <c r="K56" s="508"/>
    </row>
    <row r="57" spans="1:11">
      <c r="A57" s="95">
        <f>A51+1</f>
        <v>44656</v>
      </c>
      <c r="B57" s="508" t="s">
        <v>34</v>
      </c>
      <c r="C57" s="508" t="s">
        <v>131</v>
      </c>
      <c r="D57" s="508" t="s">
        <v>192</v>
      </c>
      <c r="E57" s="508" t="s">
        <v>132</v>
      </c>
      <c r="F57" s="516"/>
      <c r="G57" s="96" t="s">
        <v>135</v>
      </c>
      <c r="H57" s="508" t="s">
        <v>34</v>
      </c>
      <c r="I57" s="508" t="s">
        <v>131</v>
      </c>
      <c r="J57" s="508" t="s">
        <v>192</v>
      </c>
      <c r="K57" s="508" t="s">
        <v>132</v>
      </c>
    </row>
    <row r="58" spans="1:11">
      <c r="A58" s="518" t="s">
        <v>191</v>
      </c>
      <c r="B58" s="255">
        <v>0</v>
      </c>
      <c r="C58" s="255">
        <v>0</v>
      </c>
      <c r="D58" s="255">
        <v>6853</v>
      </c>
      <c r="E58" s="255">
        <f>SUM(B58:D58)</f>
        <v>6853</v>
      </c>
      <c r="F58" s="516"/>
      <c r="G58" s="518" t="s">
        <v>191</v>
      </c>
      <c r="H58" s="508">
        <f>B58+H52</f>
        <v>0</v>
      </c>
      <c r="I58" s="508">
        <f t="shared" ref="I58:I60" si="41">C58+I52</f>
        <v>0</v>
      </c>
      <c r="J58" s="508">
        <f t="shared" ref="J58:J60" si="42">D58+J52</f>
        <v>45883</v>
      </c>
      <c r="K58" s="508">
        <f t="shared" ref="K58:K60" si="43">E58+K52</f>
        <v>45883</v>
      </c>
    </row>
    <row r="59" spans="1:11">
      <c r="A59" s="518" t="s">
        <v>134</v>
      </c>
      <c r="B59" s="508">
        <v>0</v>
      </c>
      <c r="C59" s="508">
        <v>2413</v>
      </c>
      <c r="D59" s="508"/>
      <c r="E59" s="508">
        <f>SUM(B59:D59)</f>
        <v>2413</v>
      </c>
      <c r="F59" s="516"/>
      <c r="G59" s="518" t="s">
        <v>134</v>
      </c>
      <c r="H59" s="508">
        <f t="shared" ref="H59:H60" si="44">B59+H53</f>
        <v>809</v>
      </c>
      <c r="I59" s="508">
        <f t="shared" si="41"/>
        <v>20369</v>
      </c>
      <c r="J59" s="508">
        <f t="shared" si="42"/>
        <v>0</v>
      </c>
      <c r="K59" s="508">
        <f t="shared" si="43"/>
        <v>21741</v>
      </c>
    </row>
    <row r="60" spans="1:11">
      <c r="A60" s="518" t="s">
        <v>86</v>
      </c>
      <c r="B60" s="508">
        <f>B58-B59</f>
        <v>0</v>
      </c>
      <c r="C60" s="508">
        <f t="shared" ref="C60:D60" si="45">C58-C59</f>
        <v>-2413</v>
      </c>
      <c r="D60" s="508">
        <f t="shared" si="45"/>
        <v>6853</v>
      </c>
      <c r="E60" s="508">
        <f>SUM(B60:D60)</f>
        <v>4440</v>
      </c>
      <c r="F60" s="516"/>
      <c r="G60" s="518" t="s">
        <v>86</v>
      </c>
      <c r="H60" s="508">
        <f t="shared" si="44"/>
        <v>-809</v>
      </c>
      <c r="I60" s="508">
        <f t="shared" si="41"/>
        <v>-20932</v>
      </c>
      <c r="J60" s="508">
        <f t="shared" si="42"/>
        <v>45883</v>
      </c>
      <c r="K60" s="508">
        <f t="shared" si="43"/>
        <v>24142</v>
      </c>
    </row>
    <row r="62" spans="1:11">
      <c r="A62" s="508" t="s">
        <v>137</v>
      </c>
      <c r="B62" s="508" t="s">
        <v>30</v>
      </c>
      <c r="C62" s="508" t="s">
        <v>30</v>
      </c>
      <c r="D62" s="508"/>
      <c r="E62" s="508"/>
      <c r="F62" s="516"/>
      <c r="G62" s="518"/>
      <c r="H62" s="508" t="s">
        <v>30</v>
      </c>
      <c r="I62" s="508" t="s">
        <v>30</v>
      </c>
      <c r="J62" s="508"/>
      <c r="K62" s="508"/>
    </row>
    <row r="63" spans="1:11">
      <c r="A63" s="95">
        <f>A57+1</f>
        <v>44657</v>
      </c>
      <c r="B63" s="508" t="s">
        <v>34</v>
      </c>
      <c r="C63" s="508" t="s">
        <v>131</v>
      </c>
      <c r="D63" s="508" t="s">
        <v>192</v>
      </c>
      <c r="E63" s="508" t="s">
        <v>132</v>
      </c>
      <c r="F63" s="516"/>
      <c r="G63" s="96" t="s">
        <v>135</v>
      </c>
      <c r="H63" s="508" t="s">
        <v>34</v>
      </c>
      <c r="I63" s="508" t="s">
        <v>131</v>
      </c>
      <c r="J63" s="508" t="s">
        <v>192</v>
      </c>
      <c r="K63" s="508" t="s">
        <v>132</v>
      </c>
    </row>
    <row r="64" spans="1:11">
      <c r="A64" s="518" t="s">
        <v>191</v>
      </c>
      <c r="B64" s="255">
        <v>0</v>
      </c>
      <c r="C64" s="255">
        <v>0</v>
      </c>
      <c r="D64" s="255">
        <v>6858</v>
      </c>
      <c r="E64" s="255">
        <f>SUM(B64:D64)</f>
        <v>6858</v>
      </c>
      <c r="F64" s="516"/>
      <c r="G64" s="518" t="s">
        <v>191</v>
      </c>
      <c r="H64" s="508">
        <f>B64+H58</f>
        <v>0</v>
      </c>
      <c r="I64" s="508">
        <f t="shared" ref="I64:I66" si="46">C64+I58</f>
        <v>0</v>
      </c>
      <c r="J64" s="508">
        <f t="shared" ref="J64:J66" si="47">D64+J58</f>
        <v>52741</v>
      </c>
      <c r="K64" s="508">
        <f t="shared" ref="K64:K66" si="48">E64+K58</f>
        <v>52741</v>
      </c>
    </row>
    <row r="65" spans="1:11">
      <c r="A65" s="518" t="s">
        <v>134</v>
      </c>
      <c r="B65" s="508">
        <v>0</v>
      </c>
      <c r="C65" s="508">
        <v>2253</v>
      </c>
      <c r="D65" s="508"/>
      <c r="E65" s="508">
        <f>SUM(B65:D65)</f>
        <v>2253</v>
      </c>
      <c r="F65" s="516"/>
      <c r="G65" s="518" t="s">
        <v>134</v>
      </c>
      <c r="H65" s="508">
        <f t="shared" ref="H65:H66" si="49">B65+H59</f>
        <v>809</v>
      </c>
      <c r="I65" s="508">
        <f t="shared" si="46"/>
        <v>22622</v>
      </c>
      <c r="J65" s="508">
        <f t="shared" si="47"/>
        <v>0</v>
      </c>
      <c r="K65" s="508">
        <f t="shared" si="48"/>
        <v>23994</v>
      </c>
    </row>
    <row r="66" spans="1:11">
      <c r="A66" s="518" t="s">
        <v>86</v>
      </c>
      <c r="B66" s="508">
        <f>B64-B65</f>
        <v>0</v>
      </c>
      <c r="C66" s="508">
        <f t="shared" ref="C66:D66" si="50">C64-C65</f>
        <v>-2253</v>
      </c>
      <c r="D66" s="508">
        <f t="shared" si="50"/>
        <v>6858</v>
      </c>
      <c r="E66" s="508">
        <f>SUM(B66:D66)</f>
        <v>4605</v>
      </c>
      <c r="F66" s="516"/>
      <c r="G66" s="518" t="s">
        <v>86</v>
      </c>
      <c r="H66" s="508">
        <f t="shared" si="49"/>
        <v>-809</v>
      </c>
      <c r="I66" s="508">
        <f t="shared" si="46"/>
        <v>-23185</v>
      </c>
      <c r="J66" s="508">
        <f t="shared" si="47"/>
        <v>52741</v>
      </c>
      <c r="K66" s="508">
        <f t="shared" si="48"/>
        <v>28747</v>
      </c>
    </row>
    <row r="68" spans="1:11">
      <c r="A68" s="508" t="s">
        <v>138</v>
      </c>
      <c r="B68" s="508" t="s">
        <v>30</v>
      </c>
      <c r="C68" s="508" t="s">
        <v>30</v>
      </c>
      <c r="D68" s="508"/>
      <c r="E68" s="508"/>
      <c r="F68" s="516"/>
      <c r="G68" s="518"/>
      <c r="H68" s="508" t="s">
        <v>30</v>
      </c>
      <c r="I68" s="508" t="s">
        <v>30</v>
      </c>
      <c r="J68" s="508"/>
      <c r="K68" s="508"/>
    </row>
    <row r="69" spans="1:11">
      <c r="A69" s="95">
        <f>A63+1</f>
        <v>44658</v>
      </c>
      <c r="B69" s="508" t="s">
        <v>34</v>
      </c>
      <c r="C69" s="508" t="s">
        <v>131</v>
      </c>
      <c r="D69" s="508" t="s">
        <v>192</v>
      </c>
      <c r="E69" s="508" t="s">
        <v>132</v>
      </c>
      <c r="F69" s="516"/>
      <c r="G69" s="96" t="s">
        <v>135</v>
      </c>
      <c r="H69" s="508" t="s">
        <v>34</v>
      </c>
      <c r="I69" s="508" t="s">
        <v>131</v>
      </c>
      <c r="J69" s="508" t="s">
        <v>192</v>
      </c>
      <c r="K69" s="508" t="s">
        <v>132</v>
      </c>
    </row>
    <row r="70" spans="1:11">
      <c r="A70" s="518" t="s">
        <v>191</v>
      </c>
      <c r="B70" s="255">
        <v>0</v>
      </c>
      <c r="C70" s="255">
        <v>0</v>
      </c>
      <c r="D70" s="255">
        <v>6588</v>
      </c>
      <c r="E70" s="255">
        <f>SUM(B70:D70)</f>
        <v>6588</v>
      </c>
      <c r="F70" s="516"/>
      <c r="G70" s="518" t="s">
        <v>191</v>
      </c>
      <c r="H70" s="508">
        <f>B70+H64</f>
        <v>0</v>
      </c>
      <c r="I70" s="508">
        <f t="shared" ref="I70:I72" si="51">C70+I64</f>
        <v>0</v>
      </c>
      <c r="J70" s="508">
        <f t="shared" ref="J70:J72" si="52">D70+J64</f>
        <v>59329</v>
      </c>
      <c r="K70" s="508">
        <f t="shared" ref="K70:K72" si="53">E70+K64</f>
        <v>59329</v>
      </c>
    </row>
    <row r="71" spans="1:11">
      <c r="A71" s="518" t="s">
        <v>134</v>
      </c>
      <c r="B71" s="508">
        <v>0</v>
      </c>
      <c r="C71" s="508">
        <v>2453</v>
      </c>
      <c r="D71" s="508"/>
      <c r="E71" s="508">
        <f>SUM(B71:D71)</f>
        <v>2453</v>
      </c>
      <c r="F71" s="516"/>
      <c r="G71" s="518" t="s">
        <v>134</v>
      </c>
      <c r="H71" s="508">
        <f t="shared" ref="H71:H72" si="54">B71+H65</f>
        <v>809</v>
      </c>
      <c r="I71" s="508">
        <f t="shared" si="51"/>
        <v>25075</v>
      </c>
      <c r="J71" s="508">
        <f t="shared" si="52"/>
        <v>0</v>
      </c>
      <c r="K71" s="508">
        <f t="shared" si="53"/>
        <v>26447</v>
      </c>
    </row>
    <row r="72" spans="1:11">
      <c r="A72" s="518" t="s">
        <v>86</v>
      </c>
      <c r="B72" s="508">
        <f>B70-B71</f>
        <v>0</v>
      </c>
      <c r="C72" s="508">
        <f t="shared" ref="C72:D72" si="55">C70-C71</f>
        <v>-2453</v>
      </c>
      <c r="D72" s="508">
        <f t="shared" si="55"/>
        <v>6588</v>
      </c>
      <c r="E72" s="508">
        <f>SUM(B72:D72)</f>
        <v>4135</v>
      </c>
      <c r="F72" s="516"/>
      <c r="G72" s="518" t="s">
        <v>86</v>
      </c>
      <c r="H72" s="508">
        <f t="shared" si="54"/>
        <v>-809</v>
      </c>
      <c r="I72" s="508">
        <f t="shared" si="51"/>
        <v>-25638</v>
      </c>
      <c r="J72" s="508">
        <f t="shared" si="52"/>
        <v>59329</v>
      </c>
      <c r="K72" s="508">
        <f t="shared" si="53"/>
        <v>32882</v>
      </c>
    </row>
    <row r="74" spans="1:11">
      <c r="A74" s="508" t="s">
        <v>139</v>
      </c>
      <c r="B74" s="508" t="s">
        <v>30</v>
      </c>
      <c r="C74" s="508" t="s">
        <v>30</v>
      </c>
      <c r="D74" s="508"/>
      <c r="E74" s="508"/>
      <c r="F74" s="516"/>
      <c r="G74" s="518"/>
      <c r="H74" s="508" t="s">
        <v>30</v>
      </c>
      <c r="I74" s="508" t="s">
        <v>30</v>
      </c>
      <c r="J74" s="508"/>
      <c r="K74" s="508"/>
    </row>
    <row r="75" spans="1:11">
      <c r="A75" s="95">
        <f>A69+1</f>
        <v>44659</v>
      </c>
      <c r="B75" s="508" t="s">
        <v>34</v>
      </c>
      <c r="C75" s="508" t="s">
        <v>131</v>
      </c>
      <c r="D75" s="508" t="s">
        <v>192</v>
      </c>
      <c r="E75" s="508" t="s">
        <v>132</v>
      </c>
      <c r="F75" s="516"/>
      <c r="G75" s="96" t="s">
        <v>135</v>
      </c>
      <c r="H75" s="508" t="s">
        <v>34</v>
      </c>
      <c r="I75" s="508" t="s">
        <v>131</v>
      </c>
      <c r="J75" s="508" t="s">
        <v>192</v>
      </c>
      <c r="K75" s="508" t="s">
        <v>132</v>
      </c>
    </row>
    <row r="76" spans="1:11">
      <c r="A76" s="518" t="s">
        <v>191</v>
      </c>
      <c r="B76" s="255">
        <v>0</v>
      </c>
      <c r="C76" s="255">
        <v>0</v>
      </c>
      <c r="D76" s="255">
        <v>5125</v>
      </c>
      <c r="E76" s="255">
        <f>SUM(B76:D76)</f>
        <v>5125</v>
      </c>
      <c r="F76" s="516"/>
      <c r="G76" s="518" t="s">
        <v>191</v>
      </c>
      <c r="H76" s="508">
        <f>B76+H70</f>
        <v>0</v>
      </c>
      <c r="I76" s="508">
        <f t="shared" ref="I76:I78" si="56">C76+I70</f>
        <v>0</v>
      </c>
      <c r="J76" s="508">
        <f t="shared" ref="J76:J78" si="57">D76+J70</f>
        <v>64454</v>
      </c>
      <c r="K76" s="508">
        <f t="shared" ref="K76:K78" si="58">E76+K70</f>
        <v>64454</v>
      </c>
    </row>
    <row r="77" spans="1:11">
      <c r="A77" s="518" t="s">
        <v>134</v>
      </c>
      <c r="B77" s="508">
        <v>0</v>
      </c>
      <c r="C77" s="508">
        <v>2241</v>
      </c>
      <c r="D77" s="508"/>
      <c r="E77" s="508">
        <f>SUM(B77:D77)</f>
        <v>2241</v>
      </c>
      <c r="F77" s="516"/>
      <c r="G77" s="518" t="s">
        <v>134</v>
      </c>
      <c r="H77" s="508">
        <f t="shared" ref="H77:H78" si="59">B77+H71</f>
        <v>809</v>
      </c>
      <c r="I77" s="508">
        <f t="shared" si="56"/>
        <v>27316</v>
      </c>
      <c r="J77" s="508">
        <f t="shared" si="57"/>
        <v>0</v>
      </c>
      <c r="K77" s="508">
        <f t="shared" si="58"/>
        <v>28688</v>
      </c>
    </row>
    <row r="78" spans="1:11">
      <c r="A78" s="518" t="s">
        <v>86</v>
      </c>
      <c r="B78" s="508">
        <f>B76-B77</f>
        <v>0</v>
      </c>
      <c r="C78" s="508">
        <f t="shared" ref="C78:D78" si="60">C76-C77</f>
        <v>-2241</v>
      </c>
      <c r="D78" s="508">
        <f t="shared" si="60"/>
        <v>5125</v>
      </c>
      <c r="E78" s="508">
        <f>SUM(B78:D78)</f>
        <v>2884</v>
      </c>
      <c r="F78" s="516"/>
      <c r="G78" s="518" t="s">
        <v>86</v>
      </c>
      <c r="H78" s="508">
        <f t="shared" si="59"/>
        <v>-809</v>
      </c>
      <c r="I78" s="508">
        <f t="shared" si="56"/>
        <v>-27879</v>
      </c>
      <c r="J78" s="508">
        <f t="shared" si="57"/>
        <v>64454</v>
      </c>
      <c r="K78" s="508">
        <f t="shared" si="58"/>
        <v>35766</v>
      </c>
    </row>
    <row r="80" spans="1:11">
      <c r="A80" s="508" t="s">
        <v>140</v>
      </c>
      <c r="B80" s="508" t="s">
        <v>30</v>
      </c>
      <c r="C80" s="508" t="s">
        <v>30</v>
      </c>
      <c r="D80" s="508"/>
      <c r="E80" s="508"/>
      <c r="F80" s="516"/>
      <c r="G80" s="518"/>
      <c r="H80" s="508" t="s">
        <v>30</v>
      </c>
      <c r="I80" s="508" t="s">
        <v>30</v>
      </c>
      <c r="J80" s="508"/>
      <c r="K80" s="508"/>
    </row>
    <row r="81" spans="1:11">
      <c r="A81" s="95">
        <f>A75+1</f>
        <v>44660</v>
      </c>
      <c r="B81" s="508" t="s">
        <v>34</v>
      </c>
      <c r="C81" s="508" t="s">
        <v>131</v>
      </c>
      <c r="D81" s="508" t="s">
        <v>192</v>
      </c>
      <c r="E81" s="508" t="s">
        <v>132</v>
      </c>
      <c r="F81" s="516"/>
      <c r="G81" s="96" t="s">
        <v>135</v>
      </c>
      <c r="H81" s="508" t="s">
        <v>34</v>
      </c>
      <c r="I81" s="508" t="s">
        <v>131</v>
      </c>
      <c r="J81" s="508" t="s">
        <v>192</v>
      </c>
      <c r="K81" s="508" t="s">
        <v>132</v>
      </c>
    </row>
    <row r="82" spans="1:11">
      <c r="A82" s="518" t="s">
        <v>191</v>
      </c>
      <c r="B82" s="255">
        <v>0</v>
      </c>
      <c r="C82" s="255">
        <v>0</v>
      </c>
      <c r="D82" s="255">
        <v>3550</v>
      </c>
      <c r="E82" s="255">
        <f>SUM(B82:D82)</f>
        <v>3550</v>
      </c>
      <c r="F82" s="516"/>
      <c r="G82" s="518" t="s">
        <v>191</v>
      </c>
      <c r="H82" s="508">
        <f>B82+H76</f>
        <v>0</v>
      </c>
      <c r="I82" s="508">
        <f t="shared" ref="I82:I84" si="61">C82+I76</f>
        <v>0</v>
      </c>
      <c r="J82" s="508">
        <f t="shared" ref="J82:J84" si="62">D82+J76</f>
        <v>68004</v>
      </c>
      <c r="K82" s="508">
        <f t="shared" ref="K82:K84" si="63">E82+K76</f>
        <v>68004</v>
      </c>
    </row>
    <row r="83" spans="1:11">
      <c r="A83" s="518" t="s">
        <v>134</v>
      </c>
      <c r="B83" s="508">
        <v>833</v>
      </c>
      <c r="C83" s="508">
        <v>2643</v>
      </c>
      <c r="D83" s="508"/>
      <c r="E83" s="508">
        <f>SUM(B83:D83)</f>
        <v>3476</v>
      </c>
      <c r="F83" s="516"/>
      <c r="G83" s="518" t="s">
        <v>134</v>
      </c>
      <c r="H83" s="508">
        <f t="shared" ref="H83:H84" si="64">B83+H77</f>
        <v>1642</v>
      </c>
      <c r="I83" s="508">
        <f t="shared" si="61"/>
        <v>29959</v>
      </c>
      <c r="J83" s="508">
        <f t="shared" si="62"/>
        <v>0</v>
      </c>
      <c r="K83" s="508">
        <f t="shared" si="63"/>
        <v>32164</v>
      </c>
    </row>
    <row r="84" spans="1:11">
      <c r="A84" s="518" t="s">
        <v>86</v>
      </c>
      <c r="B84" s="508">
        <f>B82-B83</f>
        <v>-833</v>
      </c>
      <c r="C84" s="508">
        <f t="shared" ref="C84:D84" si="65">C82-C83</f>
        <v>-2643</v>
      </c>
      <c r="D84" s="508">
        <f t="shared" si="65"/>
        <v>3550</v>
      </c>
      <c r="E84" s="508">
        <f>SUM(B84:D84)</f>
        <v>74</v>
      </c>
      <c r="F84" s="516"/>
      <c r="G84" s="518" t="s">
        <v>86</v>
      </c>
      <c r="H84" s="508">
        <f t="shared" si="64"/>
        <v>-1642</v>
      </c>
      <c r="I84" s="508">
        <f t="shared" si="61"/>
        <v>-30522</v>
      </c>
      <c r="J84" s="508">
        <f t="shared" si="62"/>
        <v>68004</v>
      </c>
      <c r="K84" s="508">
        <f t="shared" si="63"/>
        <v>35840</v>
      </c>
    </row>
    <row r="86" spans="1:11">
      <c r="A86" s="508" t="s">
        <v>141</v>
      </c>
      <c r="B86" s="508" t="s">
        <v>30</v>
      </c>
      <c r="C86" s="508" t="s">
        <v>30</v>
      </c>
      <c r="D86" s="508"/>
      <c r="E86" s="508"/>
      <c r="F86" s="516"/>
      <c r="G86" s="518"/>
      <c r="H86" s="508" t="s">
        <v>30</v>
      </c>
      <c r="I86" s="508" t="s">
        <v>30</v>
      </c>
      <c r="J86" s="508"/>
      <c r="K86" s="508"/>
    </row>
    <row r="87" spans="1:11">
      <c r="A87" s="95">
        <f>A81+1</f>
        <v>44661</v>
      </c>
      <c r="B87" s="508" t="s">
        <v>34</v>
      </c>
      <c r="C87" s="508" t="s">
        <v>131</v>
      </c>
      <c r="D87" s="508" t="s">
        <v>192</v>
      </c>
      <c r="E87" s="508" t="s">
        <v>132</v>
      </c>
      <c r="F87" s="516"/>
      <c r="G87" s="96" t="s">
        <v>135</v>
      </c>
      <c r="H87" s="508" t="s">
        <v>34</v>
      </c>
      <c r="I87" s="508" t="s">
        <v>131</v>
      </c>
      <c r="J87" s="508" t="s">
        <v>192</v>
      </c>
      <c r="K87" s="508" t="s">
        <v>132</v>
      </c>
    </row>
    <row r="88" spans="1:11">
      <c r="A88" s="518" t="s">
        <v>191</v>
      </c>
      <c r="B88" s="255">
        <v>0</v>
      </c>
      <c r="C88" s="255">
        <v>0</v>
      </c>
      <c r="D88" s="255">
        <v>3254</v>
      </c>
      <c r="E88" s="255">
        <f>SUM(B88:D88)</f>
        <v>3254</v>
      </c>
      <c r="F88" s="516"/>
      <c r="G88" s="518" t="s">
        <v>191</v>
      </c>
      <c r="H88" s="508">
        <f>B88+H82</f>
        <v>0</v>
      </c>
      <c r="I88" s="508">
        <f t="shared" ref="I88:I90" si="66">C88+I82</f>
        <v>0</v>
      </c>
      <c r="J88" s="508">
        <f t="shared" ref="J88:J90" si="67">D88+J82</f>
        <v>71258</v>
      </c>
      <c r="K88" s="508">
        <f t="shared" ref="K88:K90" si="68">E88+K82</f>
        <v>71258</v>
      </c>
    </row>
    <row r="89" spans="1:11">
      <c r="A89" s="518" t="s">
        <v>134</v>
      </c>
      <c r="B89" s="508">
        <v>714</v>
      </c>
      <c r="C89" s="508">
        <v>2384</v>
      </c>
      <c r="D89" s="508"/>
      <c r="E89" s="508">
        <f>SUM(B89:D89)</f>
        <v>3098</v>
      </c>
      <c r="F89" s="516"/>
      <c r="G89" s="518" t="s">
        <v>134</v>
      </c>
      <c r="H89" s="508">
        <f t="shared" ref="H89:H90" si="69">B89+H83</f>
        <v>2356</v>
      </c>
      <c r="I89" s="508">
        <f t="shared" si="66"/>
        <v>32343</v>
      </c>
      <c r="J89" s="508">
        <f t="shared" si="67"/>
        <v>0</v>
      </c>
      <c r="K89" s="508">
        <f t="shared" si="68"/>
        <v>35262</v>
      </c>
    </row>
    <row r="90" spans="1:11">
      <c r="A90" s="518" t="s">
        <v>86</v>
      </c>
      <c r="B90" s="508">
        <f>B88-B89</f>
        <v>-714</v>
      </c>
      <c r="C90" s="508">
        <f t="shared" ref="C90:D90" si="70">C88-C89</f>
        <v>-2384</v>
      </c>
      <c r="D90" s="508">
        <f t="shared" si="70"/>
        <v>3254</v>
      </c>
      <c r="E90" s="508">
        <f>SUM(B90:D90)</f>
        <v>156</v>
      </c>
      <c r="F90" s="516"/>
      <c r="G90" s="518" t="s">
        <v>86</v>
      </c>
      <c r="H90" s="508">
        <f t="shared" si="69"/>
        <v>-2356</v>
      </c>
      <c r="I90" s="508">
        <f t="shared" si="66"/>
        <v>-32906</v>
      </c>
      <c r="J90" s="508">
        <f t="shared" si="67"/>
        <v>71258</v>
      </c>
      <c r="K90" s="508">
        <f t="shared" si="68"/>
        <v>35996</v>
      </c>
    </row>
    <row r="92" spans="1:11">
      <c r="A92" s="508" t="s">
        <v>142</v>
      </c>
      <c r="B92" s="508" t="s">
        <v>30</v>
      </c>
      <c r="C92" s="508" t="s">
        <v>30</v>
      </c>
      <c r="D92" s="508"/>
      <c r="E92" s="508"/>
      <c r="F92" s="516"/>
      <c r="G92" s="518"/>
      <c r="H92" s="508" t="s">
        <v>30</v>
      </c>
      <c r="I92" s="508" t="s">
        <v>30</v>
      </c>
      <c r="J92" s="508"/>
      <c r="K92" s="508"/>
    </row>
    <row r="93" spans="1:11">
      <c r="A93" s="95">
        <f>A87+1</f>
        <v>44662</v>
      </c>
      <c r="B93" s="508" t="s">
        <v>34</v>
      </c>
      <c r="C93" s="508" t="s">
        <v>131</v>
      </c>
      <c r="D93" s="508" t="s">
        <v>192</v>
      </c>
      <c r="E93" s="508" t="s">
        <v>132</v>
      </c>
      <c r="F93" s="516"/>
      <c r="G93" s="96" t="s">
        <v>135</v>
      </c>
      <c r="H93" s="508" t="s">
        <v>34</v>
      </c>
      <c r="I93" s="508" t="s">
        <v>131</v>
      </c>
      <c r="J93" s="508" t="s">
        <v>192</v>
      </c>
      <c r="K93" s="508" t="s">
        <v>132</v>
      </c>
    </row>
    <row r="94" spans="1:11">
      <c r="A94" s="518" t="s">
        <v>191</v>
      </c>
      <c r="B94" s="255">
        <v>0</v>
      </c>
      <c r="C94" s="255">
        <v>0</v>
      </c>
      <c r="D94" s="255">
        <v>5812</v>
      </c>
      <c r="E94" s="255">
        <f>SUM(B94:D94)</f>
        <v>5812</v>
      </c>
      <c r="F94" s="516"/>
      <c r="G94" s="518" t="s">
        <v>191</v>
      </c>
      <c r="H94" s="508">
        <f>B94+H88</f>
        <v>0</v>
      </c>
      <c r="I94" s="508">
        <f t="shared" ref="I94:I96" si="71">C94+I88</f>
        <v>0</v>
      </c>
      <c r="J94" s="508">
        <f t="shared" ref="J94:J96" si="72">D94+J88</f>
        <v>77070</v>
      </c>
      <c r="K94" s="508">
        <f t="shared" ref="K94:K96" si="73">E94+K88</f>
        <v>77070</v>
      </c>
    </row>
    <row r="95" spans="1:11">
      <c r="A95" s="518" t="s">
        <v>134</v>
      </c>
      <c r="B95" s="508">
        <v>0</v>
      </c>
      <c r="C95" s="508">
        <v>1842</v>
      </c>
      <c r="D95" s="508"/>
      <c r="E95" s="508">
        <f>SUM(B95:D95)</f>
        <v>1842</v>
      </c>
      <c r="F95" s="516"/>
      <c r="G95" s="518" t="s">
        <v>134</v>
      </c>
      <c r="H95" s="508">
        <f t="shared" ref="H95:H96" si="74">B95+H89</f>
        <v>2356</v>
      </c>
      <c r="I95" s="508">
        <f t="shared" si="71"/>
        <v>34185</v>
      </c>
      <c r="J95" s="508">
        <f t="shared" si="72"/>
        <v>0</v>
      </c>
      <c r="K95" s="508">
        <f t="shared" si="73"/>
        <v>37104</v>
      </c>
    </row>
    <row r="96" spans="1:11">
      <c r="A96" s="518" t="s">
        <v>86</v>
      </c>
      <c r="B96" s="508">
        <f>B94-B95</f>
        <v>0</v>
      </c>
      <c r="C96" s="508">
        <f t="shared" ref="C96:D96" si="75">C94-C95</f>
        <v>-1842</v>
      </c>
      <c r="D96" s="508">
        <f t="shared" si="75"/>
        <v>5812</v>
      </c>
      <c r="E96" s="508">
        <f>SUM(B96:D96)</f>
        <v>3970</v>
      </c>
      <c r="F96" s="516"/>
      <c r="G96" s="518" t="s">
        <v>86</v>
      </c>
      <c r="H96" s="508">
        <f t="shared" si="74"/>
        <v>-2356</v>
      </c>
      <c r="I96" s="508">
        <f t="shared" si="71"/>
        <v>-34748</v>
      </c>
      <c r="J96" s="508">
        <f t="shared" si="72"/>
        <v>77070</v>
      </c>
      <c r="K96" s="508">
        <f t="shared" si="73"/>
        <v>39966</v>
      </c>
    </row>
    <row r="98" spans="1:11">
      <c r="A98" s="508" t="s">
        <v>136</v>
      </c>
      <c r="B98" s="508" t="s">
        <v>30</v>
      </c>
      <c r="C98" s="508" t="s">
        <v>30</v>
      </c>
      <c r="D98" s="508"/>
      <c r="E98" s="508"/>
      <c r="F98" s="516"/>
      <c r="G98" s="518"/>
      <c r="H98" s="508" t="s">
        <v>30</v>
      </c>
      <c r="I98" s="508" t="s">
        <v>30</v>
      </c>
      <c r="J98" s="508"/>
      <c r="K98" s="508"/>
    </row>
    <row r="99" spans="1:11">
      <c r="A99" s="95">
        <f>A93+1</f>
        <v>44663</v>
      </c>
      <c r="B99" s="508" t="s">
        <v>34</v>
      </c>
      <c r="C99" s="508" t="s">
        <v>131</v>
      </c>
      <c r="D99" s="508" t="s">
        <v>192</v>
      </c>
      <c r="E99" s="508" t="s">
        <v>132</v>
      </c>
      <c r="F99" s="516"/>
      <c r="G99" s="96" t="s">
        <v>135</v>
      </c>
      <c r="H99" s="508" t="s">
        <v>34</v>
      </c>
      <c r="I99" s="508" t="s">
        <v>131</v>
      </c>
      <c r="J99" s="508" t="s">
        <v>192</v>
      </c>
      <c r="K99" s="508" t="s">
        <v>132</v>
      </c>
    </row>
    <row r="100" spans="1:11">
      <c r="A100" s="518" t="s">
        <v>191</v>
      </c>
      <c r="B100" s="255">
        <v>0</v>
      </c>
      <c r="C100" s="255">
        <v>0</v>
      </c>
      <c r="D100" s="255">
        <v>7340</v>
      </c>
      <c r="E100" s="255">
        <f>SUM(B100:D100)</f>
        <v>7340</v>
      </c>
      <c r="F100" s="516"/>
      <c r="G100" s="518" t="s">
        <v>191</v>
      </c>
      <c r="H100" s="508">
        <f>B100+H94</f>
        <v>0</v>
      </c>
      <c r="I100" s="508">
        <f t="shared" ref="I100:I102" si="76">C100+I94</f>
        <v>0</v>
      </c>
      <c r="J100" s="508">
        <f t="shared" ref="J100:J102" si="77">D100+J94</f>
        <v>84410</v>
      </c>
      <c r="K100" s="508">
        <f t="shared" ref="K100:K102" si="78">E100+K94</f>
        <v>84410</v>
      </c>
    </row>
    <row r="101" spans="1:11">
      <c r="A101" s="518" t="s">
        <v>134</v>
      </c>
      <c r="B101" s="508">
        <v>0</v>
      </c>
      <c r="C101" s="508">
        <v>2882</v>
      </c>
      <c r="D101" s="508"/>
      <c r="E101" s="508">
        <f>SUM(B101:D101)</f>
        <v>2882</v>
      </c>
      <c r="F101" s="516"/>
      <c r="G101" s="518" t="s">
        <v>134</v>
      </c>
      <c r="H101" s="508">
        <f t="shared" ref="H101:H102" si="79">B101+H95</f>
        <v>2356</v>
      </c>
      <c r="I101" s="508">
        <f t="shared" si="76"/>
        <v>37067</v>
      </c>
      <c r="J101" s="508">
        <f t="shared" si="77"/>
        <v>0</v>
      </c>
      <c r="K101" s="508">
        <f t="shared" si="78"/>
        <v>39986</v>
      </c>
    </row>
    <row r="102" spans="1:11">
      <c r="A102" s="518" t="s">
        <v>86</v>
      </c>
      <c r="B102" s="508">
        <f>B100-B101</f>
        <v>0</v>
      </c>
      <c r="C102" s="508">
        <f t="shared" ref="C102:D102" si="80">C100-C101</f>
        <v>-2882</v>
      </c>
      <c r="D102" s="508">
        <f t="shared" si="80"/>
        <v>7340</v>
      </c>
      <c r="E102" s="508">
        <f>SUM(B102:D102)</f>
        <v>4458</v>
      </c>
      <c r="F102" s="516"/>
      <c r="G102" s="518" t="s">
        <v>86</v>
      </c>
      <c r="H102" s="508">
        <f t="shared" si="79"/>
        <v>-2356</v>
      </c>
      <c r="I102" s="508">
        <f t="shared" si="76"/>
        <v>-37630</v>
      </c>
      <c r="J102" s="508">
        <f t="shared" si="77"/>
        <v>84410</v>
      </c>
      <c r="K102" s="508">
        <f t="shared" si="78"/>
        <v>44424</v>
      </c>
    </row>
    <row r="104" spans="1:11">
      <c r="A104" s="508" t="s">
        <v>137</v>
      </c>
      <c r="B104" s="508" t="s">
        <v>30</v>
      </c>
      <c r="C104" s="508" t="s">
        <v>30</v>
      </c>
      <c r="D104" s="508"/>
      <c r="E104" s="508"/>
      <c r="F104" s="516"/>
      <c r="G104" s="518"/>
      <c r="H104" s="508" t="s">
        <v>30</v>
      </c>
      <c r="I104" s="508" t="s">
        <v>30</v>
      </c>
      <c r="J104" s="508"/>
      <c r="K104" s="508"/>
    </row>
    <row r="105" spans="1:11">
      <c r="A105" s="95">
        <f>A99+1</f>
        <v>44664</v>
      </c>
      <c r="B105" s="508" t="s">
        <v>34</v>
      </c>
      <c r="C105" s="508" t="s">
        <v>131</v>
      </c>
      <c r="D105" s="508" t="s">
        <v>192</v>
      </c>
      <c r="E105" s="508" t="s">
        <v>132</v>
      </c>
      <c r="F105" s="516"/>
      <c r="G105" s="96" t="s">
        <v>135</v>
      </c>
      <c r="H105" s="508" t="s">
        <v>34</v>
      </c>
      <c r="I105" s="508" t="s">
        <v>131</v>
      </c>
      <c r="J105" s="508" t="s">
        <v>192</v>
      </c>
      <c r="K105" s="508" t="s">
        <v>132</v>
      </c>
    </row>
    <row r="106" spans="1:11">
      <c r="A106" s="518" t="s">
        <v>191</v>
      </c>
      <c r="B106" s="255">
        <v>0</v>
      </c>
      <c r="C106" s="255">
        <v>0</v>
      </c>
      <c r="D106" s="255">
        <v>6308</v>
      </c>
      <c r="E106" s="255">
        <f>SUM(B106:D106)</f>
        <v>6308</v>
      </c>
      <c r="F106" s="516"/>
      <c r="G106" s="518" t="s">
        <v>191</v>
      </c>
      <c r="H106" s="508">
        <f>B106+H100</f>
        <v>0</v>
      </c>
      <c r="I106" s="508">
        <f t="shared" ref="I106:I108" si="81">C106+I100</f>
        <v>0</v>
      </c>
      <c r="J106" s="508">
        <f t="shared" ref="J106:J108" si="82">D106+J100</f>
        <v>90718</v>
      </c>
      <c r="K106" s="508">
        <f t="shared" ref="K106:K108" si="83">E106+K100</f>
        <v>90718</v>
      </c>
    </row>
    <row r="107" spans="1:11">
      <c r="A107" s="518" t="s">
        <v>134</v>
      </c>
      <c r="B107" s="508">
        <v>0</v>
      </c>
      <c r="C107" s="508">
        <v>1881</v>
      </c>
      <c r="D107" s="508"/>
      <c r="E107" s="508">
        <f>SUM(B107:D107)</f>
        <v>1881</v>
      </c>
      <c r="F107" s="516"/>
      <c r="G107" s="518" t="s">
        <v>134</v>
      </c>
      <c r="H107" s="508">
        <f t="shared" ref="H107:H108" si="84">B107+H101</f>
        <v>2356</v>
      </c>
      <c r="I107" s="508">
        <f t="shared" si="81"/>
        <v>38948</v>
      </c>
      <c r="J107" s="508">
        <f t="shared" si="82"/>
        <v>0</v>
      </c>
      <c r="K107" s="508">
        <f t="shared" si="83"/>
        <v>41867</v>
      </c>
    </row>
    <row r="108" spans="1:11">
      <c r="A108" s="518" t="s">
        <v>86</v>
      </c>
      <c r="B108" s="508">
        <f>B106-B107</f>
        <v>0</v>
      </c>
      <c r="C108" s="508">
        <f t="shared" ref="C108:D108" si="85">C106-C107</f>
        <v>-1881</v>
      </c>
      <c r="D108" s="508">
        <f t="shared" si="85"/>
        <v>6308</v>
      </c>
      <c r="E108" s="508">
        <f>SUM(B108:D108)</f>
        <v>4427</v>
      </c>
      <c r="F108" s="516"/>
      <c r="G108" s="518" t="s">
        <v>86</v>
      </c>
      <c r="H108" s="508">
        <f t="shared" si="84"/>
        <v>-2356</v>
      </c>
      <c r="I108" s="508">
        <f t="shared" si="81"/>
        <v>-39511</v>
      </c>
      <c r="J108" s="508">
        <f t="shared" si="82"/>
        <v>90718</v>
      </c>
      <c r="K108" s="508">
        <f t="shared" si="83"/>
        <v>48851</v>
      </c>
    </row>
    <row r="110" spans="1:11">
      <c r="A110" s="508" t="s">
        <v>138</v>
      </c>
      <c r="B110" s="508" t="s">
        <v>30</v>
      </c>
      <c r="C110" s="508" t="s">
        <v>30</v>
      </c>
      <c r="D110" s="508"/>
      <c r="E110" s="508"/>
      <c r="F110" s="516"/>
      <c r="G110" s="518"/>
      <c r="H110" s="508" t="s">
        <v>30</v>
      </c>
      <c r="I110" s="508" t="s">
        <v>30</v>
      </c>
      <c r="J110" s="508"/>
      <c r="K110" s="508"/>
    </row>
    <row r="111" spans="1:11">
      <c r="A111" s="95">
        <f>A105+1</f>
        <v>44665</v>
      </c>
      <c r="B111" s="508" t="s">
        <v>34</v>
      </c>
      <c r="C111" s="508" t="s">
        <v>131</v>
      </c>
      <c r="D111" s="508" t="s">
        <v>192</v>
      </c>
      <c r="E111" s="508" t="s">
        <v>132</v>
      </c>
      <c r="F111" s="516"/>
      <c r="G111" s="96" t="s">
        <v>135</v>
      </c>
      <c r="H111" s="508" t="s">
        <v>34</v>
      </c>
      <c r="I111" s="508" t="s">
        <v>131</v>
      </c>
      <c r="J111" s="508" t="s">
        <v>192</v>
      </c>
      <c r="K111" s="508" t="s">
        <v>132</v>
      </c>
    </row>
    <row r="112" spans="1:11">
      <c r="A112" s="518" t="s">
        <v>191</v>
      </c>
      <c r="B112" s="255">
        <v>0</v>
      </c>
      <c r="C112" s="255">
        <v>0</v>
      </c>
      <c r="D112" s="255">
        <v>6623</v>
      </c>
      <c r="E112" s="255">
        <f>SUM(B112:D112)</f>
        <v>6623</v>
      </c>
      <c r="F112" s="516"/>
      <c r="G112" s="518" t="s">
        <v>191</v>
      </c>
      <c r="H112" s="508">
        <f>B112+H106</f>
        <v>0</v>
      </c>
      <c r="I112" s="508">
        <f t="shared" ref="I112:I114" si="86">C112+I106</f>
        <v>0</v>
      </c>
      <c r="J112" s="508">
        <f t="shared" ref="J112:J114" si="87">D112+J106</f>
        <v>97341</v>
      </c>
      <c r="K112" s="508">
        <f t="shared" ref="K112:K114" si="88">E112+K106</f>
        <v>97341</v>
      </c>
    </row>
    <row r="113" spans="1:11">
      <c r="A113" s="518" t="s">
        <v>134</v>
      </c>
      <c r="B113" s="508">
        <v>0</v>
      </c>
      <c r="C113" s="508">
        <v>2482</v>
      </c>
      <c r="D113" s="508"/>
      <c r="E113" s="508">
        <f>SUM(B113:D113)</f>
        <v>2482</v>
      </c>
      <c r="F113" s="516"/>
      <c r="G113" s="518" t="s">
        <v>134</v>
      </c>
      <c r="H113" s="508">
        <f t="shared" ref="H113:H114" si="89">B113+H107</f>
        <v>2356</v>
      </c>
      <c r="I113" s="508">
        <f t="shared" si="86"/>
        <v>41430</v>
      </c>
      <c r="J113" s="508">
        <f t="shared" si="87"/>
        <v>0</v>
      </c>
      <c r="K113" s="508">
        <f t="shared" si="88"/>
        <v>44349</v>
      </c>
    </row>
    <row r="114" spans="1:11">
      <c r="A114" s="518" t="s">
        <v>86</v>
      </c>
      <c r="B114" s="508">
        <f>B112-B113</f>
        <v>0</v>
      </c>
      <c r="C114" s="508">
        <f t="shared" ref="C114:D114" si="90">C112-C113</f>
        <v>-2482</v>
      </c>
      <c r="D114" s="508">
        <f t="shared" si="90"/>
        <v>6623</v>
      </c>
      <c r="E114" s="508">
        <f>SUM(B114:D114)</f>
        <v>4141</v>
      </c>
      <c r="F114" s="516"/>
      <c r="G114" s="518" t="s">
        <v>86</v>
      </c>
      <c r="H114" s="508">
        <f t="shared" si="89"/>
        <v>-2356</v>
      </c>
      <c r="I114" s="508">
        <f t="shared" si="86"/>
        <v>-41993</v>
      </c>
      <c r="J114" s="508">
        <f t="shared" si="87"/>
        <v>97341</v>
      </c>
      <c r="K114" s="508">
        <f t="shared" si="88"/>
        <v>52992</v>
      </c>
    </row>
    <row r="116" spans="1:11">
      <c r="A116" s="508" t="s">
        <v>139</v>
      </c>
      <c r="B116" s="508" t="s">
        <v>30</v>
      </c>
      <c r="C116" s="508" t="s">
        <v>30</v>
      </c>
      <c r="D116" s="508"/>
      <c r="E116" s="508"/>
      <c r="F116" s="516"/>
      <c r="G116" s="518"/>
      <c r="H116" s="508" t="s">
        <v>30</v>
      </c>
      <c r="I116" s="508" t="s">
        <v>30</v>
      </c>
      <c r="J116" s="508"/>
      <c r="K116" s="508"/>
    </row>
    <row r="117" spans="1:11">
      <c r="A117" s="95">
        <f>A111+1</f>
        <v>44666</v>
      </c>
      <c r="B117" s="508" t="s">
        <v>34</v>
      </c>
      <c r="C117" s="508" t="s">
        <v>131</v>
      </c>
      <c r="D117" s="508" t="s">
        <v>192</v>
      </c>
      <c r="E117" s="508" t="s">
        <v>132</v>
      </c>
      <c r="F117" s="516"/>
      <c r="G117" s="96" t="s">
        <v>135</v>
      </c>
      <c r="H117" s="508" t="s">
        <v>34</v>
      </c>
      <c r="I117" s="508" t="s">
        <v>131</v>
      </c>
      <c r="J117" s="508" t="s">
        <v>192</v>
      </c>
      <c r="K117" s="508" t="s">
        <v>132</v>
      </c>
    </row>
    <row r="118" spans="1:11">
      <c r="A118" s="518" t="s">
        <v>191</v>
      </c>
      <c r="B118" s="255">
        <v>0</v>
      </c>
      <c r="C118" s="255">
        <v>0</v>
      </c>
      <c r="D118" s="255">
        <v>4824</v>
      </c>
      <c r="E118" s="255">
        <f>SUM(B118:D118)</f>
        <v>4824</v>
      </c>
      <c r="F118" s="516"/>
      <c r="G118" s="518" t="s">
        <v>191</v>
      </c>
      <c r="H118" s="508">
        <f>B118+H112</f>
        <v>0</v>
      </c>
      <c r="I118" s="508">
        <f t="shared" ref="I118:I120" si="91">C118+I112</f>
        <v>0</v>
      </c>
      <c r="J118" s="508">
        <f t="shared" ref="J118:J120" si="92">D118+J112</f>
        <v>102165</v>
      </c>
      <c r="K118" s="508">
        <f t="shared" ref="K118:K120" si="93">E118+K112</f>
        <v>102165</v>
      </c>
    </row>
    <row r="119" spans="1:11">
      <c r="A119" s="518" t="s">
        <v>134</v>
      </c>
      <c r="B119" s="508">
        <v>0</v>
      </c>
      <c r="C119" s="508">
        <v>1869</v>
      </c>
      <c r="D119" s="508"/>
      <c r="E119" s="508">
        <f>SUM(B119:D119)</f>
        <v>1869</v>
      </c>
      <c r="F119" s="516"/>
      <c r="G119" s="518" t="s">
        <v>134</v>
      </c>
      <c r="H119" s="508">
        <f t="shared" ref="H119:H120" si="94">B119+H113</f>
        <v>2356</v>
      </c>
      <c r="I119" s="508">
        <f t="shared" si="91"/>
        <v>43299</v>
      </c>
      <c r="J119" s="508">
        <f t="shared" si="92"/>
        <v>0</v>
      </c>
      <c r="K119" s="508">
        <f t="shared" si="93"/>
        <v>46218</v>
      </c>
    </row>
    <row r="120" spans="1:11">
      <c r="A120" s="518" t="s">
        <v>86</v>
      </c>
      <c r="B120" s="508">
        <f>B118-B119</f>
        <v>0</v>
      </c>
      <c r="C120" s="508">
        <f t="shared" ref="C120:D120" si="95">C118-C119</f>
        <v>-1869</v>
      </c>
      <c r="D120" s="508">
        <f t="shared" si="95"/>
        <v>4824</v>
      </c>
      <c r="E120" s="508">
        <f>SUM(B120:D120)</f>
        <v>2955</v>
      </c>
      <c r="F120" s="516"/>
      <c r="G120" s="518" t="s">
        <v>86</v>
      </c>
      <c r="H120" s="508">
        <f t="shared" si="94"/>
        <v>-2356</v>
      </c>
      <c r="I120" s="508">
        <f t="shared" si="91"/>
        <v>-43862</v>
      </c>
      <c r="J120" s="508">
        <f t="shared" si="92"/>
        <v>102165</v>
      </c>
      <c r="K120" s="508">
        <f t="shared" si="93"/>
        <v>55947</v>
      </c>
    </row>
    <row r="122" spans="1:11">
      <c r="A122" s="508" t="s">
        <v>140</v>
      </c>
      <c r="B122" s="508" t="s">
        <v>30</v>
      </c>
      <c r="C122" s="508" t="s">
        <v>30</v>
      </c>
      <c r="D122" s="508"/>
      <c r="E122" s="508"/>
      <c r="F122" s="516"/>
      <c r="G122" s="518"/>
      <c r="H122" s="508" t="s">
        <v>30</v>
      </c>
      <c r="I122" s="508" t="s">
        <v>30</v>
      </c>
      <c r="J122" s="508"/>
      <c r="K122" s="508"/>
    </row>
    <row r="123" spans="1:11">
      <c r="A123" s="95">
        <f>A117+1</f>
        <v>44667</v>
      </c>
      <c r="B123" s="508" t="s">
        <v>34</v>
      </c>
      <c r="C123" s="508" t="s">
        <v>131</v>
      </c>
      <c r="D123" s="508" t="s">
        <v>192</v>
      </c>
      <c r="E123" s="508" t="s">
        <v>132</v>
      </c>
      <c r="F123" s="516"/>
      <c r="G123" s="96" t="s">
        <v>135</v>
      </c>
      <c r="H123" s="508" t="s">
        <v>34</v>
      </c>
      <c r="I123" s="508" t="s">
        <v>131</v>
      </c>
      <c r="J123" s="508" t="s">
        <v>192</v>
      </c>
      <c r="K123" s="508" t="s">
        <v>132</v>
      </c>
    </row>
    <row r="124" spans="1:11">
      <c r="A124" s="518" t="s">
        <v>191</v>
      </c>
      <c r="B124" s="255">
        <v>0</v>
      </c>
      <c r="C124" s="255">
        <v>0</v>
      </c>
      <c r="D124" s="255">
        <v>2689</v>
      </c>
      <c r="E124" s="255">
        <f>SUM(B124:D124)</f>
        <v>2689</v>
      </c>
      <c r="F124" s="516"/>
      <c r="G124" s="518" t="s">
        <v>191</v>
      </c>
      <c r="H124" s="508">
        <f>B124+H118</f>
        <v>0</v>
      </c>
      <c r="I124" s="508">
        <f t="shared" ref="I124:I126" si="96">C124+I118</f>
        <v>0</v>
      </c>
      <c r="J124" s="508">
        <f t="shared" ref="J124:J126" si="97">D124+J118</f>
        <v>104854</v>
      </c>
      <c r="K124" s="508">
        <f t="shared" ref="K124:K126" si="98">E124+K118</f>
        <v>104854</v>
      </c>
    </row>
    <row r="125" spans="1:11">
      <c r="A125" s="518" t="s">
        <v>134</v>
      </c>
      <c r="B125" s="508">
        <v>587</v>
      </c>
      <c r="C125" s="508">
        <v>1994</v>
      </c>
      <c r="D125" s="508"/>
      <c r="E125" s="508">
        <f>SUM(B125:D125)</f>
        <v>2581</v>
      </c>
      <c r="F125" s="516"/>
      <c r="G125" s="518" t="s">
        <v>134</v>
      </c>
      <c r="H125" s="508">
        <f t="shared" ref="H125:H126" si="99">B125+H119</f>
        <v>2943</v>
      </c>
      <c r="I125" s="508">
        <f t="shared" si="96"/>
        <v>45293</v>
      </c>
      <c r="J125" s="508">
        <f t="shared" si="97"/>
        <v>0</v>
      </c>
      <c r="K125" s="508">
        <f t="shared" si="98"/>
        <v>48799</v>
      </c>
    </row>
    <row r="126" spans="1:11">
      <c r="A126" s="518" t="s">
        <v>86</v>
      </c>
      <c r="B126" s="508">
        <f>B124-B125</f>
        <v>-587</v>
      </c>
      <c r="C126" s="508">
        <f t="shared" ref="C126:D126" si="100">C124-C125</f>
        <v>-1994</v>
      </c>
      <c r="D126" s="508">
        <f t="shared" si="100"/>
        <v>2689</v>
      </c>
      <c r="E126" s="508">
        <f>SUM(B126:D126)</f>
        <v>108</v>
      </c>
      <c r="F126" s="516"/>
      <c r="G126" s="518" t="s">
        <v>86</v>
      </c>
      <c r="H126" s="508">
        <f t="shared" si="99"/>
        <v>-2943</v>
      </c>
      <c r="I126" s="508">
        <f t="shared" si="96"/>
        <v>-45856</v>
      </c>
      <c r="J126" s="508">
        <f t="shared" si="97"/>
        <v>104854</v>
      </c>
      <c r="K126" s="508">
        <f t="shared" si="98"/>
        <v>56055</v>
      </c>
    </row>
    <row r="128" spans="1:11">
      <c r="A128" s="508" t="s">
        <v>141</v>
      </c>
      <c r="B128" s="508" t="s">
        <v>30</v>
      </c>
      <c r="C128" s="508" t="s">
        <v>30</v>
      </c>
      <c r="D128" s="508"/>
      <c r="E128" s="508"/>
      <c r="F128" s="516"/>
      <c r="G128" s="518"/>
      <c r="H128" s="508" t="s">
        <v>30</v>
      </c>
      <c r="I128" s="508" t="s">
        <v>30</v>
      </c>
      <c r="J128" s="508"/>
      <c r="K128" s="508"/>
    </row>
    <row r="129" spans="1:11">
      <c r="A129" s="95">
        <f>A123+1</f>
        <v>44668</v>
      </c>
      <c r="B129" s="508" t="s">
        <v>34</v>
      </c>
      <c r="C129" s="508" t="s">
        <v>131</v>
      </c>
      <c r="D129" s="508" t="s">
        <v>192</v>
      </c>
      <c r="E129" s="508" t="s">
        <v>132</v>
      </c>
      <c r="F129" s="516"/>
      <c r="G129" s="96" t="s">
        <v>135</v>
      </c>
      <c r="H129" s="508" t="s">
        <v>34</v>
      </c>
      <c r="I129" s="508" t="s">
        <v>131</v>
      </c>
      <c r="J129" s="508" t="s">
        <v>192</v>
      </c>
      <c r="K129" s="508" t="s">
        <v>132</v>
      </c>
    </row>
    <row r="130" spans="1:11">
      <c r="A130" s="518" t="s">
        <v>191</v>
      </c>
      <c r="B130" s="255">
        <v>0</v>
      </c>
      <c r="C130" s="255">
        <v>0</v>
      </c>
      <c r="D130" s="255">
        <v>2903</v>
      </c>
      <c r="E130" s="255">
        <f>SUM(B130:D130)</f>
        <v>2903</v>
      </c>
      <c r="F130" s="516"/>
      <c r="G130" s="518" t="s">
        <v>191</v>
      </c>
      <c r="H130" s="508">
        <f>B130+H124</f>
        <v>0</v>
      </c>
      <c r="I130" s="508">
        <f t="shared" ref="I130:I132" si="101">C130+I124</f>
        <v>0</v>
      </c>
      <c r="J130" s="508">
        <f t="shared" ref="J130:J132" si="102">D130+J124</f>
        <v>107757</v>
      </c>
      <c r="K130" s="508">
        <f t="shared" ref="K130:K132" si="103">E130+K124</f>
        <v>107757</v>
      </c>
    </row>
    <row r="131" spans="1:11">
      <c r="A131" s="518" t="s">
        <v>134</v>
      </c>
      <c r="B131" s="508">
        <v>870</v>
      </c>
      <c r="C131" s="508">
        <v>1744</v>
      </c>
      <c r="D131" s="508"/>
      <c r="E131" s="508">
        <f>SUM(B131:D131)</f>
        <v>2614</v>
      </c>
      <c r="F131" s="516"/>
      <c r="G131" s="518" t="s">
        <v>134</v>
      </c>
      <c r="H131" s="508">
        <f t="shared" ref="H131:H132" si="104">B131+H125</f>
        <v>3813</v>
      </c>
      <c r="I131" s="508">
        <f t="shared" si="101"/>
        <v>47037</v>
      </c>
      <c r="J131" s="508">
        <f t="shared" si="102"/>
        <v>0</v>
      </c>
      <c r="K131" s="508">
        <f t="shared" si="103"/>
        <v>51413</v>
      </c>
    </row>
    <row r="132" spans="1:11">
      <c r="A132" s="518" t="s">
        <v>86</v>
      </c>
      <c r="B132" s="508">
        <f>B130-B131</f>
        <v>-870</v>
      </c>
      <c r="C132" s="508">
        <f t="shared" ref="C132:D132" si="105">C130-C131</f>
        <v>-1744</v>
      </c>
      <c r="D132" s="508">
        <f t="shared" si="105"/>
        <v>2903</v>
      </c>
      <c r="E132" s="508">
        <f>SUM(B132:D132)</f>
        <v>289</v>
      </c>
      <c r="F132" s="516"/>
      <c r="G132" s="518" t="s">
        <v>86</v>
      </c>
      <c r="H132" s="508">
        <f t="shared" si="104"/>
        <v>-3813</v>
      </c>
      <c r="I132" s="508">
        <f t="shared" si="101"/>
        <v>-47600</v>
      </c>
      <c r="J132" s="508">
        <f t="shared" si="102"/>
        <v>107757</v>
      </c>
      <c r="K132" s="508">
        <f t="shared" si="103"/>
        <v>56344</v>
      </c>
    </row>
    <row r="134" spans="1:11">
      <c r="A134" s="508" t="s">
        <v>142</v>
      </c>
      <c r="B134" s="508" t="s">
        <v>30</v>
      </c>
      <c r="C134" s="508" t="s">
        <v>30</v>
      </c>
      <c r="D134" s="508"/>
      <c r="E134" s="508"/>
      <c r="F134" s="516"/>
      <c r="G134" s="518"/>
      <c r="H134" s="508" t="s">
        <v>30</v>
      </c>
      <c r="I134" s="508" t="s">
        <v>30</v>
      </c>
      <c r="J134" s="508"/>
      <c r="K134" s="508"/>
    </row>
    <row r="135" spans="1:11">
      <c r="A135" s="95">
        <f>A129+1</f>
        <v>44669</v>
      </c>
      <c r="B135" s="508" t="s">
        <v>34</v>
      </c>
      <c r="C135" s="508" t="s">
        <v>131</v>
      </c>
      <c r="D135" s="508" t="s">
        <v>192</v>
      </c>
      <c r="E135" s="508" t="s">
        <v>132</v>
      </c>
      <c r="F135" s="516"/>
      <c r="G135" s="96" t="s">
        <v>135</v>
      </c>
      <c r="H135" s="508" t="s">
        <v>34</v>
      </c>
      <c r="I135" s="508" t="s">
        <v>131</v>
      </c>
      <c r="J135" s="508" t="s">
        <v>192</v>
      </c>
      <c r="K135" s="508" t="s">
        <v>132</v>
      </c>
    </row>
    <row r="136" spans="1:11">
      <c r="A136" s="518" t="s">
        <v>191</v>
      </c>
      <c r="B136" s="255">
        <v>0</v>
      </c>
      <c r="C136" s="255">
        <v>0</v>
      </c>
      <c r="D136" s="255">
        <v>5573</v>
      </c>
      <c r="E136" s="255">
        <f>SUM(B136:D136)</f>
        <v>5573</v>
      </c>
      <c r="F136" s="516"/>
      <c r="G136" s="518" t="s">
        <v>191</v>
      </c>
      <c r="H136" s="508">
        <f>B136+H130</f>
        <v>0</v>
      </c>
      <c r="I136" s="508">
        <f t="shared" ref="I136:I138" si="106">C136+I130</f>
        <v>0</v>
      </c>
      <c r="J136" s="508">
        <f t="shared" ref="J136:J138" si="107">D136+J130</f>
        <v>113330</v>
      </c>
      <c r="K136" s="508">
        <f t="shared" ref="K136:K138" si="108">E136+K130</f>
        <v>113330</v>
      </c>
    </row>
    <row r="137" spans="1:11">
      <c r="A137" s="518" t="s">
        <v>134</v>
      </c>
      <c r="B137" s="508">
        <v>0</v>
      </c>
      <c r="C137" s="508">
        <v>1765</v>
      </c>
      <c r="D137" s="508"/>
      <c r="E137" s="508">
        <f>SUM(B137:D137)</f>
        <v>1765</v>
      </c>
      <c r="F137" s="516"/>
      <c r="G137" s="518" t="s">
        <v>134</v>
      </c>
      <c r="H137" s="508">
        <f t="shared" ref="H137:H138" si="109">B137+H131</f>
        <v>3813</v>
      </c>
      <c r="I137" s="508">
        <f t="shared" si="106"/>
        <v>48802</v>
      </c>
      <c r="J137" s="508">
        <f t="shared" si="107"/>
        <v>0</v>
      </c>
      <c r="K137" s="508">
        <f t="shared" si="108"/>
        <v>53178</v>
      </c>
    </row>
    <row r="138" spans="1:11">
      <c r="A138" s="518" t="s">
        <v>86</v>
      </c>
      <c r="B138" s="508">
        <f>B136-B137</f>
        <v>0</v>
      </c>
      <c r="C138" s="508">
        <f t="shared" ref="C138:D138" si="110">C136-C137</f>
        <v>-1765</v>
      </c>
      <c r="D138" s="508">
        <f t="shared" si="110"/>
        <v>5573</v>
      </c>
      <c r="E138" s="508">
        <f>SUM(B138:D138)</f>
        <v>3808</v>
      </c>
      <c r="F138" s="516"/>
      <c r="G138" s="518" t="s">
        <v>86</v>
      </c>
      <c r="H138" s="508">
        <f t="shared" si="109"/>
        <v>-3813</v>
      </c>
      <c r="I138" s="508">
        <f t="shared" si="106"/>
        <v>-49365</v>
      </c>
      <c r="J138" s="508">
        <f t="shared" si="107"/>
        <v>113330</v>
      </c>
      <c r="K138" s="508">
        <f t="shared" si="108"/>
        <v>60152</v>
      </c>
    </row>
    <row r="140" spans="1:11">
      <c r="A140" s="508" t="s">
        <v>136</v>
      </c>
      <c r="B140" s="508" t="s">
        <v>30</v>
      </c>
      <c r="C140" s="508" t="s">
        <v>30</v>
      </c>
      <c r="D140" s="508"/>
      <c r="E140" s="508"/>
      <c r="F140" s="516"/>
      <c r="G140" s="518"/>
      <c r="H140" s="508" t="s">
        <v>30</v>
      </c>
      <c r="I140" s="508" t="s">
        <v>30</v>
      </c>
      <c r="J140" s="508"/>
      <c r="K140" s="508"/>
    </row>
    <row r="141" spans="1:11">
      <c r="A141" s="95">
        <f>A135+1</f>
        <v>44670</v>
      </c>
      <c r="B141" s="508" t="s">
        <v>34</v>
      </c>
      <c r="C141" s="508" t="s">
        <v>131</v>
      </c>
      <c r="D141" s="508" t="s">
        <v>192</v>
      </c>
      <c r="E141" s="508" t="s">
        <v>132</v>
      </c>
      <c r="F141" s="516"/>
      <c r="G141" s="96" t="s">
        <v>135</v>
      </c>
      <c r="H141" s="508" t="s">
        <v>34</v>
      </c>
      <c r="I141" s="508" t="s">
        <v>131</v>
      </c>
      <c r="J141" s="508" t="s">
        <v>192</v>
      </c>
      <c r="K141" s="508" t="s">
        <v>132</v>
      </c>
    </row>
    <row r="142" spans="1:11">
      <c r="A142" s="518" t="s">
        <v>191</v>
      </c>
      <c r="B142" s="255">
        <v>0</v>
      </c>
      <c r="C142" s="255">
        <v>0</v>
      </c>
      <c r="D142" s="255">
        <v>6635</v>
      </c>
      <c r="E142" s="255">
        <f>SUM(B142:D142)</f>
        <v>6635</v>
      </c>
      <c r="F142" s="516"/>
      <c r="G142" s="518" t="s">
        <v>191</v>
      </c>
      <c r="H142" s="508">
        <f>B142+H136</f>
        <v>0</v>
      </c>
      <c r="I142" s="508">
        <f t="shared" ref="I142:I144" si="111">C142+I136</f>
        <v>0</v>
      </c>
      <c r="J142" s="508">
        <f t="shared" ref="J142:J144" si="112">D142+J136</f>
        <v>119965</v>
      </c>
      <c r="K142" s="508">
        <f t="shared" ref="K142:K144" si="113">E142+K136</f>
        <v>119965</v>
      </c>
    </row>
    <row r="143" spans="1:11">
      <c r="A143" s="518" t="s">
        <v>134</v>
      </c>
      <c r="B143" s="508">
        <v>0</v>
      </c>
      <c r="C143" s="508">
        <v>2112</v>
      </c>
      <c r="D143" s="508"/>
      <c r="E143" s="508">
        <f>SUM(B143:D143)</f>
        <v>2112</v>
      </c>
      <c r="F143" s="516"/>
      <c r="G143" s="518" t="s">
        <v>134</v>
      </c>
      <c r="H143" s="508">
        <f t="shared" ref="H143:H144" si="114">B143+H137</f>
        <v>3813</v>
      </c>
      <c r="I143" s="508">
        <f t="shared" si="111"/>
        <v>50914</v>
      </c>
      <c r="J143" s="508">
        <f t="shared" si="112"/>
        <v>0</v>
      </c>
      <c r="K143" s="508">
        <f t="shared" si="113"/>
        <v>55290</v>
      </c>
    </row>
    <row r="144" spans="1:11">
      <c r="A144" s="518" t="s">
        <v>86</v>
      </c>
      <c r="B144" s="508">
        <f>B142-B143</f>
        <v>0</v>
      </c>
      <c r="C144" s="508">
        <f t="shared" ref="C144:D144" si="115">C142-C143</f>
        <v>-2112</v>
      </c>
      <c r="D144" s="508">
        <f t="shared" si="115"/>
        <v>6635</v>
      </c>
      <c r="E144" s="508">
        <f>SUM(B144:D144)</f>
        <v>4523</v>
      </c>
      <c r="F144" s="516"/>
      <c r="G144" s="518" t="s">
        <v>86</v>
      </c>
      <c r="H144" s="508">
        <f t="shared" si="114"/>
        <v>-3813</v>
      </c>
      <c r="I144" s="508">
        <f t="shared" si="111"/>
        <v>-51477</v>
      </c>
      <c r="J144" s="508">
        <f t="shared" si="112"/>
        <v>119965</v>
      </c>
      <c r="K144" s="508">
        <f t="shared" si="113"/>
        <v>64675</v>
      </c>
    </row>
    <row r="146" spans="1:11">
      <c r="A146" s="508" t="s">
        <v>137</v>
      </c>
      <c r="B146" s="508" t="s">
        <v>30</v>
      </c>
      <c r="C146" s="508" t="s">
        <v>30</v>
      </c>
      <c r="D146" s="508"/>
      <c r="E146" s="508"/>
      <c r="F146" s="516"/>
      <c r="G146" s="518"/>
      <c r="H146" s="508" t="s">
        <v>30</v>
      </c>
      <c r="I146" s="508" t="s">
        <v>30</v>
      </c>
      <c r="J146" s="508"/>
      <c r="K146" s="508"/>
    </row>
    <row r="147" spans="1:11">
      <c r="A147" s="95">
        <f>A141+1</f>
        <v>44671</v>
      </c>
      <c r="B147" s="508" t="s">
        <v>34</v>
      </c>
      <c r="C147" s="508" t="s">
        <v>131</v>
      </c>
      <c r="D147" s="508" t="s">
        <v>192</v>
      </c>
      <c r="E147" s="508" t="s">
        <v>132</v>
      </c>
      <c r="F147" s="516"/>
      <c r="G147" s="96" t="s">
        <v>135</v>
      </c>
      <c r="H147" s="508" t="s">
        <v>34</v>
      </c>
      <c r="I147" s="508" t="s">
        <v>131</v>
      </c>
      <c r="J147" s="508" t="s">
        <v>192</v>
      </c>
      <c r="K147" s="508" t="s">
        <v>132</v>
      </c>
    </row>
    <row r="148" spans="1:11">
      <c r="A148" s="518" t="s">
        <v>191</v>
      </c>
      <c r="B148" s="255">
        <v>0</v>
      </c>
      <c r="C148" s="255">
        <v>0</v>
      </c>
      <c r="D148" s="255">
        <v>5408</v>
      </c>
      <c r="E148" s="255">
        <f>SUM(B148:D148)</f>
        <v>5408</v>
      </c>
      <c r="F148" s="516"/>
      <c r="G148" s="518" t="s">
        <v>191</v>
      </c>
      <c r="H148" s="508">
        <f>B148+H142</f>
        <v>0</v>
      </c>
      <c r="I148" s="508">
        <f t="shared" ref="I148:I150" si="116">C148+I142</f>
        <v>0</v>
      </c>
      <c r="J148" s="508">
        <f t="shared" ref="J148:J150" si="117">D148+J142</f>
        <v>125373</v>
      </c>
      <c r="K148" s="508">
        <f t="shared" ref="K148:K150" si="118">E148+K142</f>
        <v>125373</v>
      </c>
    </row>
    <row r="149" spans="1:11">
      <c r="A149" s="518" t="s">
        <v>134</v>
      </c>
      <c r="B149" s="508">
        <v>0</v>
      </c>
      <c r="C149" s="508">
        <v>1735</v>
      </c>
      <c r="D149" s="508"/>
      <c r="E149" s="508">
        <f>SUM(B149:D149)</f>
        <v>1735</v>
      </c>
      <c r="F149" s="516"/>
      <c r="G149" s="518" t="s">
        <v>134</v>
      </c>
      <c r="H149" s="508">
        <f t="shared" ref="H149:H150" si="119">B149+H143</f>
        <v>3813</v>
      </c>
      <c r="I149" s="508">
        <f t="shared" si="116"/>
        <v>52649</v>
      </c>
      <c r="J149" s="508">
        <f t="shared" si="117"/>
        <v>0</v>
      </c>
      <c r="K149" s="508">
        <f t="shared" si="118"/>
        <v>57025</v>
      </c>
    </row>
    <row r="150" spans="1:11">
      <c r="A150" s="518" t="s">
        <v>86</v>
      </c>
      <c r="B150" s="508">
        <f>B148-B149</f>
        <v>0</v>
      </c>
      <c r="C150" s="508">
        <f t="shared" ref="C150:D150" si="120">C148-C149</f>
        <v>-1735</v>
      </c>
      <c r="D150" s="508">
        <f t="shared" si="120"/>
        <v>5408</v>
      </c>
      <c r="E150" s="508">
        <f>SUM(B150:D150)</f>
        <v>3673</v>
      </c>
      <c r="F150" s="516"/>
      <c r="G150" s="518" t="s">
        <v>86</v>
      </c>
      <c r="H150" s="508">
        <f t="shared" si="119"/>
        <v>-3813</v>
      </c>
      <c r="I150" s="508">
        <f t="shared" si="116"/>
        <v>-53212</v>
      </c>
      <c r="J150" s="508">
        <f t="shared" si="117"/>
        <v>125373</v>
      </c>
      <c r="K150" s="508">
        <f t="shared" si="118"/>
        <v>68348</v>
      </c>
    </row>
    <row r="152" spans="1:11">
      <c r="A152" s="508" t="s">
        <v>138</v>
      </c>
      <c r="B152" s="508" t="s">
        <v>30</v>
      </c>
      <c r="C152" s="508" t="s">
        <v>30</v>
      </c>
      <c r="D152" s="508"/>
      <c r="E152" s="508"/>
      <c r="F152" s="516"/>
      <c r="G152" s="518"/>
      <c r="H152" s="508" t="s">
        <v>30</v>
      </c>
      <c r="I152" s="508" t="s">
        <v>30</v>
      </c>
      <c r="J152" s="508"/>
      <c r="K152" s="508"/>
    </row>
    <row r="153" spans="1:11">
      <c r="A153" s="95">
        <f>A147+1</f>
        <v>44672</v>
      </c>
      <c r="B153" s="508" t="s">
        <v>34</v>
      </c>
      <c r="C153" s="508" t="s">
        <v>131</v>
      </c>
      <c r="D153" s="508" t="s">
        <v>192</v>
      </c>
      <c r="E153" s="508" t="s">
        <v>132</v>
      </c>
      <c r="F153" s="516"/>
      <c r="G153" s="96" t="s">
        <v>135</v>
      </c>
      <c r="H153" s="508" t="s">
        <v>34</v>
      </c>
      <c r="I153" s="508" t="s">
        <v>131</v>
      </c>
      <c r="J153" s="508" t="s">
        <v>192</v>
      </c>
      <c r="K153" s="508" t="s">
        <v>132</v>
      </c>
    </row>
    <row r="154" spans="1:11">
      <c r="A154" s="518" t="s">
        <v>191</v>
      </c>
      <c r="B154" s="255">
        <v>0</v>
      </c>
      <c r="C154" s="255">
        <v>0</v>
      </c>
      <c r="D154" s="255">
        <v>6224</v>
      </c>
      <c r="E154" s="255">
        <f>SUM(B154:D154)</f>
        <v>6224</v>
      </c>
      <c r="F154" s="516"/>
      <c r="G154" s="518" t="s">
        <v>191</v>
      </c>
      <c r="H154" s="508">
        <f>B154+H148</f>
        <v>0</v>
      </c>
      <c r="I154" s="508">
        <f t="shared" ref="I154:I156" si="121">C154+I148</f>
        <v>0</v>
      </c>
      <c r="J154" s="508">
        <f t="shared" ref="J154:J156" si="122">D154+J148</f>
        <v>131597</v>
      </c>
      <c r="K154" s="508">
        <f t="shared" ref="K154:K156" si="123">E154+K148</f>
        <v>131597</v>
      </c>
    </row>
    <row r="155" spans="1:11">
      <c r="A155" s="518" t="s">
        <v>134</v>
      </c>
      <c r="B155" s="508">
        <v>0</v>
      </c>
      <c r="C155" s="508">
        <v>2727</v>
      </c>
      <c r="D155" s="508"/>
      <c r="E155" s="508">
        <f>SUM(B155:D155)</f>
        <v>2727</v>
      </c>
      <c r="F155" s="516"/>
      <c r="G155" s="518" t="s">
        <v>134</v>
      </c>
      <c r="H155" s="508">
        <f t="shared" ref="H155:H156" si="124">B155+H149</f>
        <v>3813</v>
      </c>
      <c r="I155" s="508">
        <f t="shared" si="121"/>
        <v>55376</v>
      </c>
      <c r="J155" s="508">
        <f t="shared" si="122"/>
        <v>0</v>
      </c>
      <c r="K155" s="508">
        <f t="shared" si="123"/>
        <v>59752</v>
      </c>
    </row>
    <row r="156" spans="1:11">
      <c r="A156" s="518" t="s">
        <v>86</v>
      </c>
      <c r="B156" s="508">
        <f>B154-B155</f>
        <v>0</v>
      </c>
      <c r="C156" s="508">
        <f t="shared" ref="C156:D156" si="125">C154-C155</f>
        <v>-2727</v>
      </c>
      <c r="D156" s="508">
        <f t="shared" si="125"/>
        <v>6224</v>
      </c>
      <c r="E156" s="508">
        <f>SUM(B156:D156)</f>
        <v>3497</v>
      </c>
      <c r="F156" s="516"/>
      <c r="G156" s="518" t="s">
        <v>86</v>
      </c>
      <c r="H156" s="508">
        <f t="shared" si="124"/>
        <v>-3813</v>
      </c>
      <c r="I156" s="508">
        <f t="shared" si="121"/>
        <v>-55939</v>
      </c>
      <c r="J156" s="508">
        <f t="shared" si="122"/>
        <v>131597</v>
      </c>
      <c r="K156" s="508">
        <f t="shared" si="123"/>
        <v>71845</v>
      </c>
    </row>
    <row r="158" spans="1:11">
      <c r="A158" s="508" t="s">
        <v>139</v>
      </c>
      <c r="B158" s="508" t="s">
        <v>30</v>
      </c>
      <c r="C158" s="508" t="s">
        <v>30</v>
      </c>
      <c r="D158" s="508"/>
      <c r="E158" s="508"/>
      <c r="F158" s="516"/>
      <c r="G158" s="518"/>
      <c r="H158" s="508" t="s">
        <v>30</v>
      </c>
      <c r="I158" s="508" t="s">
        <v>30</v>
      </c>
      <c r="J158" s="508"/>
      <c r="K158" s="508"/>
    </row>
    <row r="159" spans="1:11">
      <c r="A159" s="95">
        <f>A153+1</f>
        <v>44673</v>
      </c>
      <c r="B159" s="508" t="s">
        <v>34</v>
      </c>
      <c r="C159" s="508" t="s">
        <v>131</v>
      </c>
      <c r="D159" s="508" t="s">
        <v>192</v>
      </c>
      <c r="E159" s="508" t="s">
        <v>132</v>
      </c>
      <c r="F159" s="516"/>
      <c r="G159" s="96" t="s">
        <v>135</v>
      </c>
      <c r="H159" s="508" t="s">
        <v>34</v>
      </c>
      <c r="I159" s="508" t="s">
        <v>131</v>
      </c>
      <c r="J159" s="508" t="s">
        <v>192</v>
      </c>
      <c r="K159" s="508" t="s">
        <v>132</v>
      </c>
    </row>
    <row r="160" spans="1:11">
      <c r="A160" s="518" t="s">
        <v>191</v>
      </c>
      <c r="B160" s="255">
        <v>0</v>
      </c>
      <c r="C160" s="255">
        <v>0</v>
      </c>
      <c r="D160" s="255">
        <v>5093</v>
      </c>
      <c r="E160" s="255">
        <f>SUM(B160:D160)</f>
        <v>5093</v>
      </c>
      <c r="F160" s="516"/>
      <c r="G160" s="518" t="s">
        <v>191</v>
      </c>
      <c r="H160" s="508">
        <f>B160+H154</f>
        <v>0</v>
      </c>
      <c r="I160" s="508">
        <f t="shared" ref="I160:I162" si="126">C160+I154</f>
        <v>0</v>
      </c>
      <c r="J160" s="508">
        <f t="shared" ref="J160:J162" si="127">D160+J154</f>
        <v>136690</v>
      </c>
      <c r="K160" s="508">
        <f t="shared" ref="K160:K162" si="128">E160+K154</f>
        <v>136690</v>
      </c>
    </row>
    <row r="161" spans="1:11">
      <c r="A161" s="518" t="s">
        <v>134</v>
      </c>
      <c r="B161" s="508">
        <v>0</v>
      </c>
      <c r="C161" s="508">
        <v>2244</v>
      </c>
      <c r="D161" s="508"/>
      <c r="E161" s="508">
        <f>SUM(B161:D161)</f>
        <v>2244</v>
      </c>
      <c r="F161" s="516"/>
      <c r="G161" s="518" t="s">
        <v>134</v>
      </c>
      <c r="H161" s="508">
        <f t="shared" ref="H161:H162" si="129">B161+H155</f>
        <v>3813</v>
      </c>
      <c r="I161" s="508">
        <f t="shared" si="126"/>
        <v>57620</v>
      </c>
      <c r="J161" s="508">
        <f t="shared" si="127"/>
        <v>0</v>
      </c>
      <c r="K161" s="508">
        <f t="shared" si="128"/>
        <v>61996</v>
      </c>
    </row>
    <row r="162" spans="1:11">
      <c r="A162" s="518" t="s">
        <v>86</v>
      </c>
      <c r="B162" s="508">
        <f>B160-B161</f>
        <v>0</v>
      </c>
      <c r="C162" s="508">
        <f t="shared" ref="C162:D162" si="130">C160-C161</f>
        <v>-2244</v>
      </c>
      <c r="D162" s="508">
        <f t="shared" si="130"/>
        <v>5093</v>
      </c>
      <c r="E162" s="508">
        <f>SUM(B162:D162)</f>
        <v>2849</v>
      </c>
      <c r="F162" s="516"/>
      <c r="G162" s="518" t="s">
        <v>86</v>
      </c>
      <c r="H162" s="508">
        <f t="shared" si="129"/>
        <v>-3813</v>
      </c>
      <c r="I162" s="508">
        <f t="shared" si="126"/>
        <v>-58183</v>
      </c>
      <c r="J162" s="508">
        <f t="shared" si="127"/>
        <v>136690</v>
      </c>
      <c r="K162" s="508">
        <f t="shared" si="128"/>
        <v>74694</v>
      </c>
    </row>
    <row r="164" spans="1:11">
      <c r="A164" s="508" t="s">
        <v>140</v>
      </c>
      <c r="B164" s="508" t="s">
        <v>30</v>
      </c>
      <c r="C164" s="508" t="s">
        <v>30</v>
      </c>
      <c r="D164" s="508"/>
      <c r="E164" s="508"/>
      <c r="F164" s="516"/>
      <c r="G164" s="518"/>
      <c r="H164" s="508" t="s">
        <v>30</v>
      </c>
      <c r="I164" s="508" t="s">
        <v>30</v>
      </c>
      <c r="J164" s="508"/>
      <c r="K164" s="508"/>
    </row>
    <row r="165" spans="1:11">
      <c r="A165" s="95">
        <f>A159+1</f>
        <v>44674</v>
      </c>
      <c r="B165" s="508" t="s">
        <v>34</v>
      </c>
      <c r="C165" s="508" t="s">
        <v>131</v>
      </c>
      <c r="D165" s="508" t="s">
        <v>192</v>
      </c>
      <c r="E165" s="508" t="s">
        <v>132</v>
      </c>
      <c r="F165" s="516"/>
      <c r="G165" s="96" t="s">
        <v>135</v>
      </c>
      <c r="H165" s="508" t="s">
        <v>34</v>
      </c>
      <c r="I165" s="508" t="s">
        <v>131</v>
      </c>
      <c r="J165" s="508" t="s">
        <v>192</v>
      </c>
      <c r="K165" s="508" t="s">
        <v>132</v>
      </c>
    </row>
    <row r="166" spans="1:11">
      <c r="A166" s="518" t="s">
        <v>191</v>
      </c>
      <c r="B166" s="255">
        <v>0</v>
      </c>
      <c r="C166" s="255">
        <v>0</v>
      </c>
      <c r="D166" s="255">
        <v>2349</v>
      </c>
      <c r="E166" s="255">
        <f>SUM(B166:D166)</f>
        <v>2349</v>
      </c>
      <c r="F166" s="516"/>
      <c r="G166" s="518" t="s">
        <v>191</v>
      </c>
      <c r="H166" s="508">
        <f>B166+H160</f>
        <v>0</v>
      </c>
      <c r="I166" s="508">
        <f t="shared" ref="I166:I168" si="131">C166+I160</f>
        <v>0</v>
      </c>
      <c r="J166" s="508">
        <f t="shared" ref="J166:J168" si="132">D166+J160</f>
        <v>139039</v>
      </c>
      <c r="K166" s="508">
        <f t="shared" ref="K166:K168" si="133">E166+K160</f>
        <v>139039</v>
      </c>
    </row>
    <row r="167" spans="1:11">
      <c r="A167" s="518" t="s">
        <v>134</v>
      </c>
      <c r="B167" s="508">
        <v>781</v>
      </c>
      <c r="C167" s="508">
        <v>1593</v>
      </c>
      <c r="D167" s="508"/>
      <c r="E167" s="508">
        <f>SUM(B167:D167)</f>
        <v>2374</v>
      </c>
      <c r="F167" s="516"/>
      <c r="G167" s="518" t="s">
        <v>134</v>
      </c>
      <c r="H167" s="508">
        <f t="shared" ref="H167:H168" si="134">B167+H161</f>
        <v>4594</v>
      </c>
      <c r="I167" s="508">
        <f t="shared" si="131"/>
        <v>59213</v>
      </c>
      <c r="J167" s="508">
        <f t="shared" si="132"/>
        <v>0</v>
      </c>
      <c r="K167" s="508">
        <f t="shared" si="133"/>
        <v>64370</v>
      </c>
    </row>
    <row r="168" spans="1:11">
      <c r="A168" s="518" t="s">
        <v>86</v>
      </c>
      <c r="B168" s="508">
        <f>B166-B167</f>
        <v>-781</v>
      </c>
      <c r="C168" s="508">
        <f t="shared" ref="C168:D168" si="135">C166-C167</f>
        <v>-1593</v>
      </c>
      <c r="D168" s="508">
        <f t="shared" si="135"/>
        <v>2349</v>
      </c>
      <c r="E168" s="508">
        <f>SUM(B168:D168)</f>
        <v>-25</v>
      </c>
      <c r="F168" s="516"/>
      <c r="G168" s="518" t="s">
        <v>86</v>
      </c>
      <c r="H168" s="508">
        <f t="shared" si="134"/>
        <v>-4594</v>
      </c>
      <c r="I168" s="508">
        <f t="shared" si="131"/>
        <v>-59776</v>
      </c>
      <c r="J168" s="508">
        <f t="shared" si="132"/>
        <v>139039</v>
      </c>
      <c r="K168" s="508">
        <f t="shared" si="133"/>
        <v>74669</v>
      </c>
    </row>
    <row r="170" spans="1:11">
      <c r="A170" s="508" t="s">
        <v>141</v>
      </c>
      <c r="B170" s="508" t="s">
        <v>30</v>
      </c>
      <c r="C170" s="508" t="s">
        <v>30</v>
      </c>
      <c r="D170" s="508"/>
      <c r="E170" s="508"/>
      <c r="F170" s="516"/>
      <c r="G170" s="518"/>
      <c r="H170" s="508" t="s">
        <v>30</v>
      </c>
      <c r="I170" s="508" t="s">
        <v>30</v>
      </c>
      <c r="J170" s="508"/>
      <c r="K170" s="508"/>
    </row>
    <row r="171" spans="1:11">
      <c r="A171" s="95">
        <f>A165+1</f>
        <v>44675</v>
      </c>
      <c r="B171" s="508" t="s">
        <v>34</v>
      </c>
      <c r="C171" s="508" t="s">
        <v>131</v>
      </c>
      <c r="D171" s="508" t="s">
        <v>192</v>
      </c>
      <c r="E171" s="508" t="s">
        <v>132</v>
      </c>
      <c r="F171" s="516"/>
      <c r="G171" s="96" t="s">
        <v>135</v>
      </c>
      <c r="H171" s="508" t="s">
        <v>34</v>
      </c>
      <c r="I171" s="508" t="s">
        <v>131</v>
      </c>
      <c r="J171" s="508" t="s">
        <v>192</v>
      </c>
      <c r="K171" s="508" t="s">
        <v>132</v>
      </c>
    </row>
    <row r="172" spans="1:11">
      <c r="A172" s="518" t="s">
        <v>191</v>
      </c>
      <c r="B172" s="255">
        <v>0</v>
      </c>
      <c r="C172" s="255">
        <v>0</v>
      </c>
      <c r="D172" s="255">
        <v>2985</v>
      </c>
      <c r="E172" s="255">
        <f>SUM(B172:D172)</f>
        <v>2985</v>
      </c>
      <c r="F172" s="516"/>
      <c r="G172" s="518" t="s">
        <v>191</v>
      </c>
      <c r="H172" s="508">
        <f>B172+H166</f>
        <v>0</v>
      </c>
      <c r="I172" s="508">
        <f t="shared" ref="I172:I174" si="136">C172+I166</f>
        <v>0</v>
      </c>
      <c r="J172" s="508">
        <f t="shared" ref="J172:J174" si="137">D172+J166</f>
        <v>142024</v>
      </c>
      <c r="K172" s="508">
        <f t="shared" ref="K172:K174" si="138">E172+K166</f>
        <v>142024</v>
      </c>
    </row>
    <row r="173" spans="1:11">
      <c r="A173" s="518" t="s">
        <v>134</v>
      </c>
      <c r="B173" s="508">
        <v>946</v>
      </c>
      <c r="C173" s="508">
        <v>1924</v>
      </c>
      <c r="D173" s="508"/>
      <c r="E173" s="508">
        <f>SUM(B173:D173)</f>
        <v>2870</v>
      </c>
      <c r="F173" s="516"/>
      <c r="G173" s="518" t="s">
        <v>134</v>
      </c>
      <c r="H173" s="508">
        <f t="shared" ref="H173:H174" si="139">B173+H167</f>
        <v>5540</v>
      </c>
      <c r="I173" s="508">
        <f t="shared" si="136"/>
        <v>61137</v>
      </c>
      <c r="J173" s="508">
        <f t="shared" si="137"/>
        <v>0</v>
      </c>
      <c r="K173" s="508">
        <f t="shared" si="138"/>
        <v>67240</v>
      </c>
    </row>
    <row r="174" spans="1:11">
      <c r="A174" s="518" t="s">
        <v>86</v>
      </c>
      <c r="B174" s="508">
        <f>B172-B173</f>
        <v>-946</v>
      </c>
      <c r="C174" s="508">
        <f t="shared" ref="C174:D174" si="140">C172-C173</f>
        <v>-1924</v>
      </c>
      <c r="D174" s="508">
        <f t="shared" si="140"/>
        <v>2985</v>
      </c>
      <c r="E174" s="508">
        <f>SUM(B174:D174)</f>
        <v>115</v>
      </c>
      <c r="F174" s="516"/>
      <c r="G174" s="518" t="s">
        <v>86</v>
      </c>
      <c r="H174" s="508">
        <f t="shared" si="139"/>
        <v>-5540</v>
      </c>
      <c r="I174" s="508">
        <f t="shared" si="136"/>
        <v>-61700</v>
      </c>
      <c r="J174" s="508">
        <f t="shared" si="137"/>
        <v>142024</v>
      </c>
      <c r="K174" s="508">
        <f t="shared" si="138"/>
        <v>74784</v>
      </c>
    </row>
    <row r="176" spans="1:11">
      <c r="A176" s="508" t="s">
        <v>142</v>
      </c>
      <c r="B176" s="508" t="s">
        <v>30</v>
      </c>
      <c r="C176" s="508" t="s">
        <v>30</v>
      </c>
      <c r="D176" s="508"/>
      <c r="E176" s="508"/>
      <c r="F176" s="516"/>
      <c r="G176" s="518"/>
      <c r="H176" s="508" t="s">
        <v>30</v>
      </c>
      <c r="I176" s="508" t="s">
        <v>30</v>
      </c>
      <c r="J176" s="508"/>
      <c r="K176" s="508"/>
    </row>
    <row r="177" spans="1:11">
      <c r="A177" s="95">
        <f>A171+1</f>
        <v>44676</v>
      </c>
      <c r="B177" s="508" t="s">
        <v>34</v>
      </c>
      <c r="C177" s="508" t="s">
        <v>131</v>
      </c>
      <c r="D177" s="508" t="s">
        <v>192</v>
      </c>
      <c r="E177" s="508" t="s">
        <v>132</v>
      </c>
      <c r="F177" s="516"/>
      <c r="G177" s="96" t="s">
        <v>135</v>
      </c>
      <c r="H177" s="508" t="s">
        <v>34</v>
      </c>
      <c r="I177" s="508" t="s">
        <v>131</v>
      </c>
      <c r="J177" s="508" t="s">
        <v>192</v>
      </c>
      <c r="K177" s="508" t="s">
        <v>132</v>
      </c>
    </row>
    <row r="178" spans="1:11">
      <c r="A178" s="518" t="s">
        <v>191</v>
      </c>
      <c r="B178" s="255">
        <v>0</v>
      </c>
      <c r="C178" s="255">
        <v>0</v>
      </c>
      <c r="D178" s="255">
        <v>6028</v>
      </c>
      <c r="E178" s="255">
        <f>SUM(B178:D178)</f>
        <v>6028</v>
      </c>
      <c r="F178" s="516"/>
      <c r="G178" s="518" t="s">
        <v>191</v>
      </c>
      <c r="H178" s="508">
        <f>B178+H172</f>
        <v>0</v>
      </c>
      <c r="I178" s="508">
        <f t="shared" ref="I178:I180" si="141">C178+I172</f>
        <v>0</v>
      </c>
      <c r="J178" s="508">
        <f t="shared" ref="J178:J180" si="142">D178+J172</f>
        <v>148052</v>
      </c>
      <c r="K178" s="508">
        <f t="shared" ref="K178:K180" si="143">E178+K172</f>
        <v>148052</v>
      </c>
    </row>
    <row r="179" spans="1:11">
      <c r="A179" s="518" t="s">
        <v>134</v>
      </c>
      <c r="B179" s="508">
        <v>0</v>
      </c>
      <c r="C179" s="508">
        <v>2176</v>
      </c>
      <c r="D179" s="508"/>
      <c r="E179" s="508">
        <f>SUM(B179:D179)</f>
        <v>2176</v>
      </c>
      <c r="F179" s="516"/>
      <c r="G179" s="518" t="s">
        <v>134</v>
      </c>
      <c r="H179" s="508">
        <f t="shared" ref="H179:H180" si="144">B179+H173</f>
        <v>5540</v>
      </c>
      <c r="I179" s="508">
        <f t="shared" si="141"/>
        <v>63313</v>
      </c>
      <c r="J179" s="508">
        <f t="shared" si="142"/>
        <v>0</v>
      </c>
      <c r="K179" s="508">
        <f t="shared" si="143"/>
        <v>69416</v>
      </c>
    </row>
    <row r="180" spans="1:11">
      <c r="A180" s="518" t="s">
        <v>86</v>
      </c>
      <c r="B180" s="508">
        <f>B178-B179</f>
        <v>0</v>
      </c>
      <c r="C180" s="508">
        <f t="shared" ref="C180:D180" si="145">C178-C179</f>
        <v>-2176</v>
      </c>
      <c r="D180" s="508">
        <f t="shared" si="145"/>
        <v>6028</v>
      </c>
      <c r="E180" s="508">
        <f>SUM(B180:D180)</f>
        <v>3852</v>
      </c>
      <c r="F180" s="516"/>
      <c r="G180" s="518" t="s">
        <v>86</v>
      </c>
      <c r="H180" s="508">
        <f t="shared" si="144"/>
        <v>-5540</v>
      </c>
      <c r="I180" s="508">
        <f t="shared" si="141"/>
        <v>-63876</v>
      </c>
      <c r="J180" s="508">
        <f t="shared" si="142"/>
        <v>148052</v>
      </c>
      <c r="K180" s="508">
        <f t="shared" si="143"/>
        <v>78636</v>
      </c>
    </row>
    <row r="182" spans="1:11">
      <c r="A182" s="508" t="s">
        <v>136</v>
      </c>
      <c r="B182" s="508" t="s">
        <v>30</v>
      </c>
      <c r="C182" s="508" t="s">
        <v>30</v>
      </c>
      <c r="D182" s="508"/>
      <c r="E182" s="508"/>
      <c r="F182" s="516"/>
      <c r="G182" s="518"/>
      <c r="H182" s="508" t="s">
        <v>30</v>
      </c>
      <c r="I182" s="508" t="s">
        <v>30</v>
      </c>
      <c r="J182" s="508"/>
      <c r="K182" s="508"/>
    </row>
    <row r="183" spans="1:11">
      <c r="A183" s="95">
        <f>A177+1</f>
        <v>44677</v>
      </c>
      <c r="B183" s="508" t="s">
        <v>34</v>
      </c>
      <c r="C183" s="508" t="s">
        <v>131</v>
      </c>
      <c r="D183" s="508" t="s">
        <v>192</v>
      </c>
      <c r="E183" s="508" t="s">
        <v>132</v>
      </c>
      <c r="F183" s="516"/>
      <c r="G183" s="96" t="s">
        <v>135</v>
      </c>
      <c r="H183" s="508" t="s">
        <v>34</v>
      </c>
      <c r="I183" s="508" t="s">
        <v>131</v>
      </c>
      <c r="J183" s="508" t="s">
        <v>192</v>
      </c>
      <c r="K183" s="508" t="s">
        <v>132</v>
      </c>
    </row>
    <row r="184" spans="1:11">
      <c r="A184" s="518" t="s">
        <v>191</v>
      </c>
      <c r="B184" s="255">
        <v>0</v>
      </c>
      <c r="C184" s="255">
        <v>0</v>
      </c>
      <c r="D184" s="255">
        <v>7163</v>
      </c>
      <c r="E184" s="255">
        <f>SUM(B184:D184)</f>
        <v>7163</v>
      </c>
      <c r="F184" s="516"/>
      <c r="G184" s="518" t="s">
        <v>191</v>
      </c>
      <c r="H184" s="508">
        <f>B184+H178</f>
        <v>0</v>
      </c>
      <c r="I184" s="508">
        <f t="shared" ref="I184:I186" si="146">C184+I178</f>
        <v>0</v>
      </c>
      <c r="J184" s="508">
        <f t="shared" ref="J184:J186" si="147">D184+J178</f>
        <v>155215</v>
      </c>
      <c r="K184" s="508">
        <f t="shared" ref="K184:K186" si="148">E184+K178</f>
        <v>155215</v>
      </c>
    </row>
    <row r="185" spans="1:11">
      <c r="A185" s="518" t="s">
        <v>134</v>
      </c>
      <c r="B185" s="508">
        <v>0</v>
      </c>
      <c r="C185" s="508">
        <v>2628</v>
      </c>
      <c r="D185" s="508"/>
      <c r="E185" s="508">
        <f>SUM(B185:D185)</f>
        <v>2628</v>
      </c>
      <c r="F185" s="516"/>
      <c r="G185" s="518" t="s">
        <v>134</v>
      </c>
      <c r="H185" s="508">
        <f t="shared" ref="H185:H186" si="149">B185+H179</f>
        <v>5540</v>
      </c>
      <c r="I185" s="508">
        <f t="shared" si="146"/>
        <v>65941</v>
      </c>
      <c r="J185" s="508">
        <f t="shared" si="147"/>
        <v>0</v>
      </c>
      <c r="K185" s="508">
        <f t="shared" si="148"/>
        <v>72044</v>
      </c>
    </row>
    <row r="186" spans="1:11">
      <c r="A186" s="518" t="s">
        <v>86</v>
      </c>
      <c r="B186" s="508">
        <f>B184-B185</f>
        <v>0</v>
      </c>
      <c r="C186" s="508">
        <f t="shared" ref="C186:D186" si="150">C184-C185</f>
        <v>-2628</v>
      </c>
      <c r="D186" s="508">
        <f t="shared" si="150"/>
        <v>7163</v>
      </c>
      <c r="E186" s="508">
        <f>SUM(B186:D186)</f>
        <v>4535</v>
      </c>
      <c r="F186" s="516"/>
      <c r="G186" s="518" t="s">
        <v>86</v>
      </c>
      <c r="H186" s="508">
        <f t="shared" si="149"/>
        <v>-5540</v>
      </c>
      <c r="I186" s="508">
        <f t="shared" si="146"/>
        <v>-66504</v>
      </c>
      <c r="J186" s="508">
        <f t="shared" si="147"/>
        <v>155215</v>
      </c>
      <c r="K186" s="508">
        <f t="shared" si="148"/>
        <v>83171</v>
      </c>
    </row>
    <row r="188" spans="1:11">
      <c r="A188" s="508" t="s">
        <v>137</v>
      </c>
      <c r="B188" s="508" t="s">
        <v>30</v>
      </c>
      <c r="C188" s="508" t="s">
        <v>30</v>
      </c>
      <c r="D188" s="508"/>
      <c r="E188" s="508"/>
      <c r="F188" s="516"/>
      <c r="G188" s="518"/>
      <c r="H188" s="508" t="s">
        <v>30</v>
      </c>
      <c r="I188" s="508" t="s">
        <v>30</v>
      </c>
      <c r="J188" s="508"/>
      <c r="K188" s="508"/>
    </row>
    <row r="189" spans="1:11">
      <c r="A189" s="95">
        <f>A183+1</f>
        <v>44678</v>
      </c>
      <c r="B189" s="508" t="s">
        <v>34</v>
      </c>
      <c r="C189" s="508" t="s">
        <v>131</v>
      </c>
      <c r="D189" s="508" t="s">
        <v>192</v>
      </c>
      <c r="E189" s="508" t="s">
        <v>132</v>
      </c>
      <c r="F189" s="516"/>
      <c r="G189" s="96" t="s">
        <v>135</v>
      </c>
      <c r="H189" s="508" t="s">
        <v>34</v>
      </c>
      <c r="I189" s="508" t="s">
        <v>131</v>
      </c>
      <c r="J189" s="508" t="s">
        <v>192</v>
      </c>
      <c r="K189" s="508" t="s">
        <v>132</v>
      </c>
    </row>
    <row r="190" spans="1:11">
      <c r="A190" s="518" t="s">
        <v>191</v>
      </c>
      <c r="B190" s="255">
        <v>0</v>
      </c>
      <c r="C190" s="255">
        <v>0</v>
      </c>
      <c r="D190" s="255">
        <v>6633</v>
      </c>
      <c r="E190" s="255">
        <f>SUM(B190:D190)</f>
        <v>6633</v>
      </c>
      <c r="F190" s="516"/>
      <c r="G190" s="518" t="s">
        <v>191</v>
      </c>
      <c r="H190" s="508">
        <f>B190+H184</f>
        <v>0</v>
      </c>
      <c r="I190" s="508">
        <f t="shared" ref="I190:I192" si="151">C190+I184</f>
        <v>0</v>
      </c>
      <c r="J190" s="508">
        <f t="shared" ref="J190:J192" si="152">D190+J184</f>
        <v>161848</v>
      </c>
      <c r="K190" s="508">
        <f t="shared" ref="K190:K192" si="153">E190+K184</f>
        <v>161848</v>
      </c>
    </row>
    <row r="191" spans="1:11">
      <c r="A191" s="518" t="s">
        <v>134</v>
      </c>
      <c r="B191" s="508">
        <v>0</v>
      </c>
      <c r="C191" s="508">
        <v>2230</v>
      </c>
      <c r="D191" s="508"/>
      <c r="E191" s="508">
        <f>SUM(B191:D191)</f>
        <v>2230</v>
      </c>
      <c r="F191" s="516"/>
      <c r="G191" s="518" t="s">
        <v>134</v>
      </c>
      <c r="H191" s="508">
        <f t="shared" ref="H191:H192" si="154">B191+H185</f>
        <v>5540</v>
      </c>
      <c r="I191" s="508">
        <f t="shared" si="151"/>
        <v>68171</v>
      </c>
      <c r="J191" s="508">
        <f t="shared" si="152"/>
        <v>0</v>
      </c>
      <c r="K191" s="508">
        <f t="shared" si="153"/>
        <v>74274</v>
      </c>
    </row>
    <row r="192" spans="1:11">
      <c r="A192" s="518" t="s">
        <v>86</v>
      </c>
      <c r="B192" s="508">
        <f>B190-B191</f>
        <v>0</v>
      </c>
      <c r="C192" s="508">
        <f t="shared" ref="C192:D192" si="155">C190-C191</f>
        <v>-2230</v>
      </c>
      <c r="D192" s="508">
        <f t="shared" si="155"/>
        <v>6633</v>
      </c>
      <c r="E192" s="508">
        <f>SUM(B192:D192)</f>
        <v>4403</v>
      </c>
      <c r="F192" s="516"/>
      <c r="G192" s="518" t="s">
        <v>86</v>
      </c>
      <c r="H192" s="508">
        <f t="shared" si="154"/>
        <v>-5540</v>
      </c>
      <c r="I192" s="508">
        <f t="shared" si="151"/>
        <v>-68734</v>
      </c>
      <c r="J192" s="508">
        <f t="shared" si="152"/>
        <v>161848</v>
      </c>
      <c r="K192" s="508">
        <f t="shared" si="153"/>
        <v>87574</v>
      </c>
    </row>
    <row r="194" spans="1:13">
      <c r="A194" s="508" t="s">
        <v>138</v>
      </c>
      <c r="B194" s="508" t="s">
        <v>30</v>
      </c>
      <c r="C194" s="508" t="s">
        <v>30</v>
      </c>
      <c r="D194" s="508"/>
      <c r="E194" s="508"/>
      <c r="F194" s="516"/>
      <c r="G194" s="518"/>
      <c r="H194" s="508" t="s">
        <v>30</v>
      </c>
      <c r="I194" s="508" t="s">
        <v>30</v>
      </c>
      <c r="J194" s="508"/>
      <c r="K194" s="508"/>
    </row>
    <row r="195" spans="1:13">
      <c r="A195" s="95">
        <f>A189+1</f>
        <v>44679</v>
      </c>
      <c r="B195" s="508" t="s">
        <v>34</v>
      </c>
      <c r="C195" s="508" t="s">
        <v>131</v>
      </c>
      <c r="D195" s="508" t="s">
        <v>192</v>
      </c>
      <c r="E195" s="508" t="s">
        <v>132</v>
      </c>
      <c r="F195" s="516"/>
      <c r="G195" s="96" t="s">
        <v>135</v>
      </c>
      <c r="H195" s="508" t="s">
        <v>34</v>
      </c>
      <c r="I195" s="508" t="s">
        <v>131</v>
      </c>
      <c r="J195" s="508" t="s">
        <v>192</v>
      </c>
      <c r="K195" s="508" t="s">
        <v>132</v>
      </c>
    </row>
    <row r="196" spans="1:13">
      <c r="A196" s="518" t="s">
        <v>191</v>
      </c>
      <c r="B196" s="255">
        <v>0</v>
      </c>
      <c r="C196" s="255">
        <v>0</v>
      </c>
      <c r="D196" s="255">
        <v>6518</v>
      </c>
      <c r="E196" s="255">
        <f>SUM(B196:D196)</f>
        <v>6518</v>
      </c>
      <c r="F196" s="516"/>
      <c r="G196" s="518" t="s">
        <v>191</v>
      </c>
      <c r="H196" s="508">
        <f>B196+H190</f>
        <v>0</v>
      </c>
      <c r="I196" s="508">
        <f t="shared" ref="I196:I198" si="156">C196+I190</f>
        <v>0</v>
      </c>
      <c r="J196" s="508">
        <f t="shared" ref="J196:J198" si="157">D196+J190</f>
        <v>168366</v>
      </c>
      <c r="K196" s="508">
        <f t="shared" ref="K196:K198" si="158">E196+K190</f>
        <v>168366</v>
      </c>
    </row>
    <row r="197" spans="1:13">
      <c r="A197" s="518" t="s">
        <v>134</v>
      </c>
      <c r="B197" s="508">
        <v>0</v>
      </c>
      <c r="C197" s="508">
        <v>2594</v>
      </c>
      <c r="D197" s="508"/>
      <c r="E197" s="508">
        <f>SUM(B197:D197)</f>
        <v>2594</v>
      </c>
      <c r="F197" s="516"/>
      <c r="G197" s="518" t="s">
        <v>134</v>
      </c>
      <c r="H197" s="508">
        <f t="shared" ref="H197:H198" si="159">B197+H191</f>
        <v>5540</v>
      </c>
      <c r="I197" s="508">
        <f t="shared" si="156"/>
        <v>70765</v>
      </c>
      <c r="J197" s="508">
        <f t="shared" si="157"/>
        <v>0</v>
      </c>
      <c r="K197" s="508">
        <f t="shared" si="158"/>
        <v>76868</v>
      </c>
    </row>
    <row r="198" spans="1:13">
      <c r="A198" s="518" t="s">
        <v>86</v>
      </c>
      <c r="B198" s="508">
        <f>B196-B197</f>
        <v>0</v>
      </c>
      <c r="C198" s="508">
        <f t="shared" ref="C198:D198" si="160">C196-C197</f>
        <v>-2594</v>
      </c>
      <c r="D198" s="508">
        <f t="shared" si="160"/>
        <v>6518</v>
      </c>
      <c r="E198" s="508">
        <f>SUM(B198:D198)</f>
        <v>3924</v>
      </c>
      <c r="F198" s="516"/>
      <c r="G198" s="518" t="s">
        <v>86</v>
      </c>
      <c r="H198" s="508">
        <f t="shared" si="159"/>
        <v>-5540</v>
      </c>
      <c r="I198" s="508">
        <f t="shared" si="156"/>
        <v>-71328</v>
      </c>
      <c r="J198" s="508">
        <f t="shared" si="157"/>
        <v>168366</v>
      </c>
      <c r="K198" s="508">
        <f t="shared" si="158"/>
        <v>91498</v>
      </c>
    </row>
    <row r="200" spans="1:13">
      <c r="A200" s="508" t="s">
        <v>139</v>
      </c>
      <c r="B200" s="508" t="s">
        <v>30</v>
      </c>
      <c r="C200" s="508" t="s">
        <v>30</v>
      </c>
      <c r="D200" s="508"/>
      <c r="E200" s="508"/>
      <c r="F200" s="516"/>
      <c r="G200" s="518"/>
      <c r="H200" s="508" t="s">
        <v>30</v>
      </c>
      <c r="I200" s="508" t="s">
        <v>30</v>
      </c>
      <c r="J200" s="508"/>
      <c r="K200" s="508"/>
    </row>
    <row r="201" spans="1:13">
      <c r="A201" s="95">
        <f>A195+1</f>
        <v>44680</v>
      </c>
      <c r="B201" s="508" t="s">
        <v>34</v>
      </c>
      <c r="C201" s="508" t="s">
        <v>131</v>
      </c>
      <c r="D201" s="508" t="s">
        <v>192</v>
      </c>
      <c r="E201" s="508" t="s">
        <v>132</v>
      </c>
      <c r="F201" s="516"/>
      <c r="G201" s="96" t="s">
        <v>135</v>
      </c>
      <c r="H201" s="508" t="s">
        <v>34</v>
      </c>
      <c r="I201" s="508" t="s">
        <v>131</v>
      </c>
      <c r="J201" s="508" t="s">
        <v>192</v>
      </c>
      <c r="K201" s="508" t="s">
        <v>132</v>
      </c>
    </row>
    <row r="202" spans="1:13">
      <c r="A202" s="518" t="s">
        <v>191</v>
      </c>
      <c r="B202" s="255">
        <v>0</v>
      </c>
      <c r="C202" s="255">
        <v>0</v>
      </c>
      <c r="D202" s="255">
        <v>5126</v>
      </c>
      <c r="E202" s="255">
        <f>SUM(B202:D202)</f>
        <v>5126</v>
      </c>
      <c r="F202" s="516"/>
      <c r="G202" s="518" t="s">
        <v>191</v>
      </c>
      <c r="H202" s="508">
        <f>B202+H196</f>
        <v>0</v>
      </c>
      <c r="I202" s="508">
        <f t="shared" ref="I202:I204" si="161">C202+I196</f>
        <v>0</v>
      </c>
      <c r="J202" s="508">
        <f t="shared" ref="J202:J204" si="162">D202+J196</f>
        <v>173492</v>
      </c>
      <c r="K202" s="508">
        <f t="shared" ref="K202:K204" si="163">E202+K196</f>
        <v>173492</v>
      </c>
    </row>
    <row r="203" spans="1:13">
      <c r="A203" s="518" t="s">
        <v>134</v>
      </c>
      <c r="B203" s="508">
        <v>0</v>
      </c>
      <c r="C203" s="508">
        <v>2241</v>
      </c>
      <c r="D203" s="508"/>
      <c r="E203" s="508">
        <f>SUM(B203:D203)</f>
        <v>2241</v>
      </c>
      <c r="F203" s="516"/>
      <c r="G203" s="518" t="s">
        <v>134</v>
      </c>
      <c r="H203" s="508">
        <f t="shared" ref="H203:H204" si="164">B203+H197</f>
        <v>5540</v>
      </c>
      <c r="I203" s="508">
        <f t="shared" si="161"/>
        <v>73006</v>
      </c>
      <c r="J203" s="508">
        <f t="shared" si="162"/>
        <v>0</v>
      </c>
      <c r="K203" s="508">
        <f t="shared" si="163"/>
        <v>79109</v>
      </c>
    </row>
    <row r="204" spans="1:13">
      <c r="A204" s="518" t="s">
        <v>86</v>
      </c>
      <c r="B204" s="508">
        <f>B202-B203</f>
        <v>0</v>
      </c>
      <c r="C204" s="508">
        <f t="shared" ref="C204:D204" si="165">C202-C203</f>
        <v>-2241</v>
      </c>
      <c r="D204" s="508">
        <f t="shared" si="165"/>
        <v>5126</v>
      </c>
      <c r="E204" s="508">
        <f>SUM(B204:D204)</f>
        <v>2885</v>
      </c>
      <c r="F204" s="516"/>
      <c r="G204" s="518" t="s">
        <v>86</v>
      </c>
      <c r="H204" s="508">
        <f t="shared" si="164"/>
        <v>-5540</v>
      </c>
      <c r="I204" s="508">
        <f t="shared" si="161"/>
        <v>-73569</v>
      </c>
      <c r="J204" s="508">
        <f t="shared" si="162"/>
        <v>173492</v>
      </c>
      <c r="K204" s="508">
        <f t="shared" si="163"/>
        <v>94383</v>
      </c>
    </row>
    <row r="206" spans="1:13">
      <c r="A206" s="508" t="s">
        <v>140</v>
      </c>
      <c r="B206" s="508" t="s">
        <v>30</v>
      </c>
      <c r="C206" s="508" t="s">
        <v>30</v>
      </c>
      <c r="D206" s="508"/>
      <c r="E206" s="508"/>
      <c r="F206" s="516"/>
      <c r="G206" s="518"/>
      <c r="H206" s="508" t="s">
        <v>30</v>
      </c>
      <c r="I206" s="508" t="s">
        <v>30</v>
      </c>
      <c r="J206" s="508"/>
      <c r="K206" s="508"/>
    </row>
    <row r="207" spans="1:13">
      <c r="A207" s="95">
        <f>A201+1</f>
        <v>44681</v>
      </c>
      <c r="B207" s="508" t="s">
        <v>34</v>
      </c>
      <c r="C207" s="508" t="s">
        <v>131</v>
      </c>
      <c r="D207" s="508" t="s">
        <v>192</v>
      </c>
      <c r="E207" s="508" t="s">
        <v>132</v>
      </c>
      <c r="F207" s="516"/>
      <c r="G207" s="96" t="s">
        <v>135</v>
      </c>
      <c r="H207" s="508" t="s">
        <v>34</v>
      </c>
      <c r="I207" s="508" t="s">
        <v>131</v>
      </c>
      <c r="J207" s="508" t="s">
        <v>192</v>
      </c>
      <c r="K207" s="508" t="s">
        <v>132</v>
      </c>
    </row>
    <row r="208" spans="1:13">
      <c r="A208" s="518" t="s">
        <v>191</v>
      </c>
      <c r="B208" s="255">
        <v>0</v>
      </c>
      <c r="C208" s="255">
        <v>0</v>
      </c>
      <c r="D208" s="255">
        <v>2882</v>
      </c>
      <c r="E208" s="255">
        <f>SUM(B208:D208)</f>
        <v>2882</v>
      </c>
      <c r="F208" s="516"/>
      <c r="G208" s="518" t="s">
        <v>191</v>
      </c>
      <c r="H208" s="508">
        <f>B208+H202</f>
        <v>0</v>
      </c>
      <c r="I208" s="508">
        <f t="shared" ref="I208:I210" si="166">C208+I202</f>
        <v>0</v>
      </c>
      <c r="J208" s="508">
        <f t="shared" ref="J208:J210" si="167">D208+J202</f>
        <v>176374</v>
      </c>
      <c r="K208" s="508">
        <f t="shared" ref="K208:K210" si="168">E208+K202</f>
        <v>176374</v>
      </c>
      <c r="M208" s="739">
        <f>SUM(D34+D40+D46+D52+D58+D64+D70+D76+D82+D88+D94+D100+D106+D112+D118+D124+D130+D136+D142+D148+D154+D160+D166+D172+D178+D184+D190+D196+D202+D208)</f>
        <v>154778</v>
      </c>
    </row>
    <row r="209" spans="1:11">
      <c r="A209" s="518" t="s">
        <v>134</v>
      </c>
      <c r="B209" s="508">
        <v>719</v>
      </c>
      <c r="C209" s="508">
        <v>2072</v>
      </c>
      <c r="D209" s="508"/>
      <c r="E209" s="508">
        <f>SUM(B209:D209)</f>
        <v>2791</v>
      </c>
      <c r="F209" s="516"/>
      <c r="G209" s="518" t="s">
        <v>134</v>
      </c>
      <c r="H209" s="508">
        <f t="shared" ref="H209:H210" si="169">B209+H203</f>
        <v>6259</v>
      </c>
      <c r="I209" s="508">
        <f t="shared" si="166"/>
        <v>75078</v>
      </c>
      <c r="J209" s="508">
        <f t="shared" si="167"/>
        <v>0</v>
      </c>
      <c r="K209" s="508">
        <f t="shared" si="168"/>
        <v>81900</v>
      </c>
    </row>
    <row r="210" spans="1:11">
      <c r="A210" s="518" t="s">
        <v>86</v>
      </c>
      <c r="B210" s="508">
        <f>B208-B209</f>
        <v>-719</v>
      </c>
      <c r="C210" s="508">
        <f t="shared" ref="C210:D210" si="170">C208-C209</f>
        <v>-2072</v>
      </c>
      <c r="D210" s="508">
        <f t="shared" si="170"/>
        <v>2882</v>
      </c>
      <c r="E210" s="508">
        <f>SUM(B210:D210)</f>
        <v>91</v>
      </c>
      <c r="F210" s="516"/>
      <c r="G210" s="518" t="s">
        <v>86</v>
      </c>
      <c r="H210" s="508">
        <f t="shared" si="169"/>
        <v>-6259</v>
      </c>
      <c r="I210" s="508">
        <f t="shared" si="166"/>
        <v>-75641</v>
      </c>
      <c r="J210" s="508">
        <f t="shared" si="167"/>
        <v>176374</v>
      </c>
      <c r="K210" s="508">
        <f t="shared" si="168"/>
        <v>94474</v>
      </c>
    </row>
    <row r="212" spans="1:11">
      <c r="A212" s="508" t="s">
        <v>141</v>
      </c>
      <c r="B212" s="508" t="s">
        <v>30</v>
      </c>
      <c r="C212" s="508" t="s">
        <v>30</v>
      </c>
      <c r="D212" s="508"/>
      <c r="E212" s="508"/>
      <c r="F212" s="516"/>
      <c r="G212" s="518"/>
      <c r="H212" s="508" t="s">
        <v>30</v>
      </c>
      <c r="I212" s="508" t="s">
        <v>30</v>
      </c>
      <c r="J212" s="508"/>
      <c r="K212" s="508"/>
    </row>
    <row r="213" spans="1:11">
      <c r="A213" s="95">
        <f>A207+1</f>
        <v>44682</v>
      </c>
      <c r="B213" s="508" t="s">
        <v>34</v>
      </c>
      <c r="C213" s="508" t="s">
        <v>131</v>
      </c>
      <c r="D213" s="508" t="s">
        <v>192</v>
      </c>
      <c r="E213" s="508" t="s">
        <v>132</v>
      </c>
      <c r="F213" s="516"/>
      <c r="G213" s="96" t="s">
        <v>135</v>
      </c>
      <c r="H213" s="508" t="s">
        <v>34</v>
      </c>
      <c r="I213" s="508" t="s">
        <v>131</v>
      </c>
      <c r="J213" s="508" t="s">
        <v>192</v>
      </c>
      <c r="K213" s="508" t="s">
        <v>132</v>
      </c>
    </row>
    <row r="214" spans="1:11">
      <c r="A214" s="518" t="s">
        <v>191</v>
      </c>
      <c r="B214" s="255">
        <v>0</v>
      </c>
      <c r="C214" s="255">
        <v>0</v>
      </c>
      <c r="D214" s="255">
        <v>2987</v>
      </c>
      <c r="E214" s="255">
        <f>SUM(B214:D214)</f>
        <v>2987</v>
      </c>
      <c r="F214" s="516"/>
      <c r="G214" s="518" t="s">
        <v>191</v>
      </c>
      <c r="H214" s="508">
        <f>B214+H208</f>
        <v>0</v>
      </c>
      <c r="I214" s="508">
        <f t="shared" ref="I214:I216" si="171">C214+I208</f>
        <v>0</v>
      </c>
      <c r="J214" s="508">
        <f>D214+J208</f>
        <v>179361</v>
      </c>
      <c r="K214" s="508">
        <f t="shared" ref="K214:K216" si="172">E214+K208</f>
        <v>179361</v>
      </c>
    </row>
    <row r="215" spans="1:11">
      <c r="A215" s="518" t="s">
        <v>134</v>
      </c>
      <c r="B215" s="508">
        <v>689</v>
      </c>
      <c r="C215" s="508">
        <v>1989</v>
      </c>
      <c r="D215" s="508"/>
      <c r="E215" s="508">
        <f>SUM(B215:D215)</f>
        <v>2678</v>
      </c>
      <c r="F215" s="516"/>
      <c r="G215" s="518" t="s">
        <v>134</v>
      </c>
      <c r="H215" s="508">
        <f t="shared" ref="H215:H216" si="173">B215+H209</f>
        <v>6948</v>
      </c>
      <c r="I215" s="508">
        <f t="shared" si="171"/>
        <v>77067</v>
      </c>
      <c r="J215" s="508">
        <f t="shared" ref="J215:J216" si="174">D215+J209</f>
        <v>0</v>
      </c>
      <c r="K215" s="508">
        <f t="shared" si="172"/>
        <v>84578</v>
      </c>
    </row>
    <row r="216" spans="1:11">
      <c r="A216" s="518" t="s">
        <v>86</v>
      </c>
      <c r="B216" s="508">
        <f>B214-B215</f>
        <v>-689</v>
      </c>
      <c r="C216" s="508">
        <f t="shared" ref="C216:D216" si="175">C214-C215</f>
        <v>-1989</v>
      </c>
      <c r="D216" s="508">
        <f t="shared" si="175"/>
        <v>2987</v>
      </c>
      <c r="E216" s="508">
        <f>SUM(B216:D216)</f>
        <v>309</v>
      </c>
      <c r="F216" s="516"/>
      <c r="G216" s="518" t="s">
        <v>86</v>
      </c>
      <c r="H216" s="508">
        <f t="shared" si="173"/>
        <v>-6948</v>
      </c>
      <c r="I216" s="508">
        <f t="shared" si="171"/>
        <v>-77630</v>
      </c>
      <c r="J216" s="508">
        <f t="shared" si="174"/>
        <v>179361</v>
      </c>
      <c r="K216" s="508">
        <f t="shared" si="172"/>
        <v>94783</v>
      </c>
    </row>
    <row r="218" spans="1:11" s="744" customFormat="1">
      <c r="A218" s="747" t="s">
        <v>141</v>
      </c>
      <c r="B218" s="747" t="s">
        <v>30</v>
      </c>
      <c r="C218" s="747" t="s">
        <v>30</v>
      </c>
      <c r="D218" s="747"/>
      <c r="E218" s="747"/>
      <c r="G218" s="745"/>
      <c r="H218" s="747" t="s">
        <v>30</v>
      </c>
      <c r="I218" s="747" t="s">
        <v>30</v>
      </c>
      <c r="J218" s="747"/>
      <c r="K218" s="747"/>
    </row>
    <row r="219" spans="1:11" s="744" customFormat="1">
      <c r="A219" s="95">
        <f>A213+1</f>
        <v>44683</v>
      </c>
      <c r="B219" s="747" t="s">
        <v>34</v>
      </c>
      <c r="C219" s="747" t="s">
        <v>131</v>
      </c>
      <c r="D219" s="747" t="s">
        <v>192</v>
      </c>
      <c r="E219" s="747" t="s">
        <v>132</v>
      </c>
      <c r="G219" s="96" t="s">
        <v>135</v>
      </c>
      <c r="H219" s="747" t="s">
        <v>34</v>
      </c>
      <c r="I219" s="747" t="s">
        <v>131</v>
      </c>
      <c r="J219" s="747" t="s">
        <v>192</v>
      </c>
      <c r="K219" s="747" t="s">
        <v>132</v>
      </c>
    </row>
    <row r="220" spans="1:11" s="744" customFormat="1">
      <c r="A220" s="745" t="s">
        <v>191</v>
      </c>
      <c r="B220" s="255">
        <v>0</v>
      </c>
      <c r="C220" s="255">
        <v>0</v>
      </c>
      <c r="D220" s="255">
        <v>6720</v>
      </c>
      <c r="E220" s="255">
        <f>SUM(B220:D220)</f>
        <v>6720</v>
      </c>
      <c r="G220" s="745" t="s">
        <v>191</v>
      </c>
      <c r="H220" s="747">
        <f>B220+H214</f>
        <v>0</v>
      </c>
      <c r="I220" s="747">
        <f t="shared" ref="I220:I222" si="176">C220+I214</f>
        <v>0</v>
      </c>
      <c r="J220" s="747">
        <f>D220+J214</f>
        <v>186081</v>
      </c>
      <c r="K220" s="747">
        <f t="shared" ref="K220:K221" si="177">E220+K214</f>
        <v>186081</v>
      </c>
    </row>
    <row r="221" spans="1:11" s="744" customFormat="1">
      <c r="A221" s="745" t="s">
        <v>134</v>
      </c>
      <c r="B221" s="747">
        <v>396</v>
      </c>
      <c r="C221" s="747">
        <v>2580</v>
      </c>
      <c r="D221" s="747"/>
      <c r="E221" s="747">
        <f>SUM(B221:D221)</f>
        <v>2976</v>
      </c>
      <c r="G221" s="745" t="s">
        <v>134</v>
      </c>
      <c r="H221" s="747">
        <f t="shared" ref="H221:H222" si="178">B221+H215</f>
        <v>7344</v>
      </c>
      <c r="I221" s="747">
        <f t="shared" si="176"/>
        <v>79647</v>
      </c>
      <c r="J221" s="747">
        <f t="shared" ref="J221" si="179">D221+J215</f>
        <v>0</v>
      </c>
      <c r="K221" s="747">
        <f t="shared" si="177"/>
        <v>87554</v>
      </c>
    </row>
    <row r="222" spans="1:11" s="744" customFormat="1">
      <c r="A222" s="745" t="s">
        <v>86</v>
      </c>
      <c r="B222" s="747">
        <f>B220-B221</f>
        <v>-396</v>
      </c>
      <c r="C222" s="747">
        <f>C220-C221</f>
        <v>-2580</v>
      </c>
      <c r="D222" s="747">
        <f t="shared" ref="D222" si="180">D220-D221</f>
        <v>6720</v>
      </c>
      <c r="E222" s="747">
        <f>SUM(B222:D222)</f>
        <v>3744</v>
      </c>
      <c r="G222" s="745" t="s">
        <v>86</v>
      </c>
      <c r="H222" s="747">
        <f t="shared" si="178"/>
        <v>-7344</v>
      </c>
      <c r="I222" s="747">
        <f t="shared" si="176"/>
        <v>-80210</v>
      </c>
      <c r="J222" s="747">
        <f>D222+J216</f>
        <v>186081</v>
      </c>
      <c r="K222" s="747">
        <f>E222+K216</f>
        <v>98527</v>
      </c>
    </row>
    <row r="224" spans="1:11" s="753" customFormat="1">
      <c r="A224" s="756" t="s">
        <v>141</v>
      </c>
      <c r="B224" s="756" t="s">
        <v>30</v>
      </c>
      <c r="C224" s="756" t="s">
        <v>30</v>
      </c>
      <c r="D224" s="756"/>
      <c r="E224" s="756"/>
      <c r="G224" s="754"/>
      <c r="H224" s="756" t="s">
        <v>30</v>
      </c>
      <c r="I224" s="756" t="s">
        <v>30</v>
      </c>
      <c r="J224" s="756"/>
      <c r="K224" s="756"/>
    </row>
    <row r="225" spans="1:11" s="753" customFormat="1">
      <c r="A225" s="95">
        <f>A219+1</f>
        <v>44684</v>
      </c>
      <c r="B225" s="756" t="s">
        <v>34</v>
      </c>
      <c r="C225" s="756" t="s">
        <v>131</v>
      </c>
      <c r="D225" s="756" t="s">
        <v>192</v>
      </c>
      <c r="E225" s="756" t="s">
        <v>132</v>
      </c>
      <c r="G225" s="96" t="s">
        <v>135</v>
      </c>
      <c r="H225" s="756" t="s">
        <v>34</v>
      </c>
      <c r="I225" s="756" t="s">
        <v>131</v>
      </c>
      <c r="J225" s="756" t="s">
        <v>192</v>
      </c>
      <c r="K225" s="756" t="s">
        <v>132</v>
      </c>
    </row>
    <row r="226" spans="1:11" s="753" customFormat="1">
      <c r="A226" s="754" t="s">
        <v>191</v>
      </c>
      <c r="B226" s="255">
        <v>0</v>
      </c>
      <c r="C226" s="255">
        <v>0</v>
      </c>
      <c r="D226" s="255">
        <v>6993</v>
      </c>
      <c r="E226" s="255">
        <f>SUM(B226:D226)</f>
        <v>6993</v>
      </c>
      <c r="G226" s="754" t="s">
        <v>191</v>
      </c>
      <c r="H226" s="756">
        <f>B226+H220</f>
        <v>0</v>
      </c>
      <c r="I226" s="756">
        <f t="shared" ref="I226:I228" si="181">C226+I220</f>
        <v>0</v>
      </c>
      <c r="J226" s="756">
        <f>D226+J220</f>
        <v>193074</v>
      </c>
      <c r="K226" s="756">
        <f t="shared" ref="K226:K227" si="182">E226+K220</f>
        <v>193074</v>
      </c>
    </row>
    <row r="227" spans="1:11" s="753" customFormat="1">
      <c r="A227" s="754" t="s">
        <v>134</v>
      </c>
      <c r="B227" s="756">
        <v>373</v>
      </c>
      <c r="C227" s="756">
        <v>2493</v>
      </c>
      <c r="D227" s="756"/>
      <c r="E227" s="756">
        <f>SUM(B227:D227)</f>
        <v>2866</v>
      </c>
      <c r="G227" s="754" t="s">
        <v>134</v>
      </c>
      <c r="H227" s="756">
        <f t="shared" ref="H227:H228" si="183">B227+H221</f>
        <v>7717</v>
      </c>
      <c r="I227" s="756">
        <f t="shared" si="181"/>
        <v>82140</v>
      </c>
      <c r="J227" s="756">
        <f t="shared" ref="J227" si="184">D227+J221</f>
        <v>0</v>
      </c>
      <c r="K227" s="756">
        <f t="shared" si="182"/>
        <v>90420</v>
      </c>
    </row>
    <row r="228" spans="1:11" s="753" customFormat="1">
      <c r="A228" s="754" t="s">
        <v>86</v>
      </c>
      <c r="B228" s="756">
        <f>B226-B227</f>
        <v>-373</v>
      </c>
      <c r="C228" s="756">
        <f>C226-C227</f>
        <v>-2493</v>
      </c>
      <c r="D228" s="756">
        <f t="shared" ref="D228" si="185">D226-D227</f>
        <v>6993</v>
      </c>
      <c r="E228" s="756">
        <f>SUM(B228:D228)</f>
        <v>4127</v>
      </c>
      <c r="G228" s="754" t="s">
        <v>86</v>
      </c>
      <c r="H228" s="756">
        <f t="shared" si="183"/>
        <v>-7717</v>
      </c>
      <c r="I228" s="756">
        <f t="shared" si="181"/>
        <v>-82703</v>
      </c>
      <c r="J228" s="756">
        <f>D228+J222</f>
        <v>193074</v>
      </c>
      <c r="K228" s="756">
        <f>E228+K222</f>
        <v>102654</v>
      </c>
    </row>
    <row r="229" spans="1:11" s="753" customFormat="1">
      <c r="B229" s="659"/>
      <c r="C229" s="659"/>
      <c r="D229" s="659"/>
      <c r="E229" s="659"/>
    </row>
    <row r="230" spans="1:11" s="753" customFormat="1">
      <c r="A230" s="756" t="s">
        <v>141</v>
      </c>
      <c r="B230" s="756" t="s">
        <v>30</v>
      </c>
      <c r="C230" s="756" t="s">
        <v>30</v>
      </c>
      <c r="D230" s="756"/>
      <c r="E230" s="756"/>
      <c r="G230" s="754"/>
      <c r="H230" s="756" t="s">
        <v>30</v>
      </c>
      <c r="I230" s="756" t="s">
        <v>30</v>
      </c>
      <c r="J230" s="756"/>
      <c r="K230" s="756"/>
    </row>
    <row r="231" spans="1:11" s="753" customFormat="1">
      <c r="A231" s="95">
        <f>A225+1</f>
        <v>44685</v>
      </c>
      <c r="B231" s="756" t="s">
        <v>34</v>
      </c>
      <c r="C231" s="756" t="s">
        <v>131</v>
      </c>
      <c r="D231" s="756" t="s">
        <v>192</v>
      </c>
      <c r="E231" s="756" t="s">
        <v>132</v>
      </c>
      <c r="G231" s="96" t="s">
        <v>135</v>
      </c>
      <c r="H231" s="756" t="s">
        <v>34</v>
      </c>
      <c r="I231" s="756" t="s">
        <v>131</v>
      </c>
      <c r="J231" s="756" t="s">
        <v>192</v>
      </c>
      <c r="K231" s="756" t="s">
        <v>132</v>
      </c>
    </row>
    <row r="232" spans="1:11" s="753" customFormat="1">
      <c r="A232" s="754" t="s">
        <v>191</v>
      </c>
      <c r="B232" s="255">
        <v>0</v>
      </c>
      <c r="C232" s="255">
        <v>0</v>
      </c>
      <c r="D232" s="255">
        <v>6900</v>
      </c>
      <c r="E232" s="255">
        <f>SUM(B232:D232)</f>
        <v>6900</v>
      </c>
      <c r="G232" s="754" t="s">
        <v>191</v>
      </c>
      <c r="H232" s="756">
        <f>B232+H226</f>
        <v>0</v>
      </c>
      <c r="I232" s="756">
        <f t="shared" ref="I232:I234" si="186">C232+I226</f>
        <v>0</v>
      </c>
      <c r="J232" s="756">
        <f>D232+J226</f>
        <v>199974</v>
      </c>
      <c r="K232" s="756">
        <f t="shared" ref="K232:K233" si="187">E232+K226</f>
        <v>199974</v>
      </c>
    </row>
    <row r="233" spans="1:11" s="753" customFormat="1">
      <c r="A233" s="754" t="s">
        <v>134</v>
      </c>
      <c r="B233" s="756">
        <v>302</v>
      </c>
      <c r="C233" s="756">
        <v>2152</v>
      </c>
      <c r="D233" s="756"/>
      <c r="E233" s="756">
        <f>SUM(B233:D233)</f>
        <v>2454</v>
      </c>
      <c r="G233" s="754" t="s">
        <v>134</v>
      </c>
      <c r="H233" s="756">
        <f t="shared" ref="H233:H234" si="188">B233+H227</f>
        <v>8019</v>
      </c>
      <c r="I233" s="756">
        <f t="shared" si="186"/>
        <v>84292</v>
      </c>
      <c r="J233" s="756">
        <f t="shared" ref="J233" si="189">D233+J227</f>
        <v>0</v>
      </c>
      <c r="K233" s="756">
        <f t="shared" si="187"/>
        <v>92874</v>
      </c>
    </row>
    <row r="234" spans="1:11" s="753" customFormat="1">
      <c r="A234" s="754" t="s">
        <v>86</v>
      </c>
      <c r="B234" s="756">
        <f>B232-B233</f>
        <v>-302</v>
      </c>
      <c r="C234" s="756">
        <f>C232-C233</f>
        <v>-2152</v>
      </c>
      <c r="D234" s="756">
        <f t="shared" ref="D234" si="190">D232-D233</f>
        <v>6900</v>
      </c>
      <c r="E234" s="756">
        <f>SUM(B234:D234)</f>
        <v>4446</v>
      </c>
      <c r="G234" s="754" t="s">
        <v>86</v>
      </c>
      <c r="H234" s="756">
        <f t="shared" si="188"/>
        <v>-8019</v>
      </c>
      <c r="I234" s="756">
        <f t="shared" si="186"/>
        <v>-84855</v>
      </c>
      <c r="J234" s="756">
        <f>D234+J228</f>
        <v>199974</v>
      </c>
      <c r="K234" s="756">
        <f>E234+K228</f>
        <v>107100</v>
      </c>
    </row>
    <row r="235" spans="1:11" s="753" customFormat="1">
      <c r="B235" s="659"/>
      <c r="C235" s="659"/>
      <c r="D235" s="659"/>
      <c r="E235" s="659"/>
    </row>
    <row r="236" spans="1:11" s="753" customFormat="1">
      <c r="A236" s="756" t="s">
        <v>141</v>
      </c>
      <c r="B236" s="756" t="s">
        <v>30</v>
      </c>
      <c r="C236" s="756" t="s">
        <v>30</v>
      </c>
      <c r="D236" s="756"/>
      <c r="E236" s="756"/>
      <c r="G236" s="754"/>
      <c r="H236" s="756" t="s">
        <v>30</v>
      </c>
      <c r="I236" s="756" t="s">
        <v>30</v>
      </c>
      <c r="J236" s="756"/>
      <c r="K236" s="756"/>
    </row>
    <row r="237" spans="1:11" s="753" customFormat="1">
      <c r="A237" s="95">
        <f>A231+1</f>
        <v>44686</v>
      </c>
      <c r="B237" s="756" t="s">
        <v>34</v>
      </c>
      <c r="C237" s="756" t="s">
        <v>131</v>
      </c>
      <c r="D237" s="756" t="s">
        <v>192</v>
      </c>
      <c r="E237" s="756" t="s">
        <v>132</v>
      </c>
      <c r="G237" s="96" t="s">
        <v>135</v>
      </c>
      <c r="H237" s="756" t="s">
        <v>34</v>
      </c>
      <c r="I237" s="756" t="s">
        <v>131</v>
      </c>
      <c r="J237" s="756" t="s">
        <v>192</v>
      </c>
      <c r="K237" s="756" t="s">
        <v>132</v>
      </c>
    </row>
    <row r="238" spans="1:11" s="753" customFormat="1">
      <c r="A238" s="754" t="s">
        <v>191</v>
      </c>
      <c r="B238" s="255">
        <v>0</v>
      </c>
      <c r="C238" s="255">
        <v>0</v>
      </c>
      <c r="D238" s="255">
        <v>6140</v>
      </c>
      <c r="E238" s="255">
        <f>SUM(B238:D238)</f>
        <v>6140</v>
      </c>
      <c r="G238" s="754" t="s">
        <v>191</v>
      </c>
      <c r="H238" s="756">
        <f>B238+H232</f>
        <v>0</v>
      </c>
      <c r="I238" s="756">
        <f t="shared" ref="I238:I240" si="191">C238+I232</f>
        <v>0</v>
      </c>
      <c r="J238" s="756">
        <f>D238+J232</f>
        <v>206114</v>
      </c>
      <c r="K238" s="756">
        <f t="shared" ref="K238:K239" si="192">E238+K232</f>
        <v>206114</v>
      </c>
    </row>
    <row r="239" spans="1:11" s="753" customFormat="1">
      <c r="A239" s="754" t="s">
        <v>134</v>
      </c>
      <c r="B239" s="756">
        <v>376</v>
      </c>
      <c r="C239" s="756">
        <v>1981</v>
      </c>
      <c r="D239" s="756"/>
      <c r="E239" s="756">
        <f>SUM(B239:D239)</f>
        <v>2357</v>
      </c>
      <c r="G239" s="754" t="s">
        <v>134</v>
      </c>
      <c r="H239" s="756">
        <f t="shared" ref="H239:H240" si="193">B239+H233</f>
        <v>8395</v>
      </c>
      <c r="I239" s="756">
        <f t="shared" si="191"/>
        <v>86273</v>
      </c>
      <c r="J239" s="756">
        <f t="shared" ref="J239" si="194">D239+J233</f>
        <v>0</v>
      </c>
      <c r="K239" s="756">
        <f t="shared" si="192"/>
        <v>95231</v>
      </c>
    </row>
    <row r="240" spans="1:11" s="753" customFormat="1">
      <c r="A240" s="754" t="s">
        <v>86</v>
      </c>
      <c r="B240" s="756">
        <f>B238-B239</f>
        <v>-376</v>
      </c>
      <c r="C240" s="756">
        <f>C238-C239</f>
        <v>-1981</v>
      </c>
      <c r="D240" s="756">
        <f t="shared" ref="D240" si="195">D238-D239</f>
        <v>6140</v>
      </c>
      <c r="E240" s="756">
        <f>SUM(B240:D240)</f>
        <v>3783</v>
      </c>
      <c r="G240" s="754" t="s">
        <v>86</v>
      </c>
      <c r="H240" s="756">
        <f t="shared" si="193"/>
        <v>-8395</v>
      </c>
      <c r="I240" s="756">
        <f t="shared" si="191"/>
        <v>-86836</v>
      </c>
      <c r="J240" s="756">
        <f>D240+J234</f>
        <v>206114</v>
      </c>
      <c r="K240" s="756">
        <f>E240+K234</f>
        <v>110883</v>
      </c>
    </row>
    <row r="241" spans="1:11" s="753" customFormat="1">
      <c r="B241" s="659"/>
      <c r="C241" s="659"/>
      <c r="D241" s="659"/>
      <c r="E241" s="659"/>
    </row>
    <row r="242" spans="1:11" s="753" customFormat="1">
      <c r="A242" s="756" t="s">
        <v>141</v>
      </c>
      <c r="B242" s="756" t="s">
        <v>30</v>
      </c>
      <c r="C242" s="756" t="s">
        <v>30</v>
      </c>
      <c r="D242" s="756"/>
      <c r="E242" s="756"/>
      <c r="G242" s="754"/>
      <c r="H242" s="756" t="s">
        <v>30</v>
      </c>
      <c r="I242" s="756" t="s">
        <v>30</v>
      </c>
      <c r="J242" s="756"/>
      <c r="K242" s="756"/>
    </row>
    <row r="243" spans="1:11" s="753" customFormat="1">
      <c r="A243" s="95">
        <f>A237+1</f>
        <v>44687</v>
      </c>
      <c r="B243" s="756" t="s">
        <v>34</v>
      </c>
      <c r="C243" s="756" t="s">
        <v>131</v>
      </c>
      <c r="D243" s="756" t="s">
        <v>192</v>
      </c>
      <c r="E243" s="756" t="s">
        <v>132</v>
      </c>
      <c r="G243" s="96" t="s">
        <v>135</v>
      </c>
      <c r="H243" s="756" t="s">
        <v>34</v>
      </c>
      <c r="I243" s="756" t="s">
        <v>131</v>
      </c>
      <c r="J243" s="756" t="s">
        <v>192</v>
      </c>
      <c r="K243" s="756" t="s">
        <v>132</v>
      </c>
    </row>
    <row r="244" spans="1:11" s="753" customFormat="1">
      <c r="A244" s="754" t="s">
        <v>191</v>
      </c>
      <c r="B244" s="255">
        <v>0</v>
      </c>
      <c r="C244" s="255">
        <v>0</v>
      </c>
      <c r="D244" s="255">
        <v>5093</v>
      </c>
      <c r="E244" s="255">
        <f>SUM(B244:D244)</f>
        <v>5093</v>
      </c>
      <c r="G244" s="754" t="s">
        <v>191</v>
      </c>
      <c r="H244" s="756">
        <f>B244+H238</f>
        <v>0</v>
      </c>
      <c r="I244" s="756">
        <f t="shared" ref="I244:I246" si="196">C244+I238</f>
        <v>0</v>
      </c>
      <c r="J244" s="756">
        <f>D244+J238</f>
        <v>211207</v>
      </c>
      <c r="K244" s="756">
        <f t="shared" ref="K244:K245" si="197">E244+K238</f>
        <v>211207</v>
      </c>
    </row>
    <row r="245" spans="1:11" s="753" customFormat="1">
      <c r="A245" s="754" t="s">
        <v>134</v>
      </c>
      <c r="B245" s="756">
        <v>0</v>
      </c>
      <c r="C245" s="756">
        <v>2303</v>
      </c>
      <c r="D245" s="756"/>
      <c r="E245" s="756">
        <f>SUM(B245:D245)</f>
        <v>2303</v>
      </c>
      <c r="G245" s="754" t="s">
        <v>134</v>
      </c>
      <c r="H245" s="756">
        <f t="shared" ref="H245:H246" si="198">B245+H239</f>
        <v>8395</v>
      </c>
      <c r="I245" s="756">
        <f t="shared" si="196"/>
        <v>88576</v>
      </c>
      <c r="J245" s="756">
        <f t="shared" ref="J245" si="199">D245+J239</f>
        <v>0</v>
      </c>
      <c r="K245" s="756">
        <f t="shared" si="197"/>
        <v>97534</v>
      </c>
    </row>
    <row r="246" spans="1:11" s="753" customFormat="1">
      <c r="A246" s="754" t="s">
        <v>86</v>
      </c>
      <c r="B246" s="756">
        <f>B244-B245</f>
        <v>0</v>
      </c>
      <c r="C246" s="756">
        <f>C244-C245</f>
        <v>-2303</v>
      </c>
      <c r="D246" s="756">
        <f t="shared" ref="D246" si="200">D244-D245</f>
        <v>5093</v>
      </c>
      <c r="E246" s="756">
        <f>SUM(B246:D246)</f>
        <v>2790</v>
      </c>
      <c r="G246" s="754" t="s">
        <v>86</v>
      </c>
      <c r="H246" s="756">
        <f t="shared" si="198"/>
        <v>-8395</v>
      </c>
      <c r="I246" s="756">
        <f t="shared" si="196"/>
        <v>-89139</v>
      </c>
      <c r="J246" s="756">
        <f>D246+J240</f>
        <v>211207</v>
      </c>
      <c r="K246" s="756">
        <f>E246+K240</f>
        <v>113673</v>
      </c>
    </row>
    <row r="247" spans="1:11" s="753" customFormat="1">
      <c r="B247" s="659"/>
      <c r="C247" s="659"/>
      <c r="D247" s="659"/>
      <c r="E247" s="659"/>
    </row>
    <row r="248" spans="1:11" s="753" customFormat="1">
      <c r="A248" s="756" t="s">
        <v>141</v>
      </c>
      <c r="B248" s="756" t="s">
        <v>30</v>
      </c>
      <c r="C248" s="756" t="s">
        <v>30</v>
      </c>
      <c r="D248" s="756"/>
      <c r="E248" s="756"/>
      <c r="G248" s="754"/>
      <c r="H248" s="756" t="s">
        <v>30</v>
      </c>
      <c r="I248" s="756" t="s">
        <v>30</v>
      </c>
      <c r="J248" s="756"/>
      <c r="K248" s="756"/>
    </row>
    <row r="249" spans="1:11" s="753" customFormat="1">
      <c r="A249" s="95">
        <f>A243+1</f>
        <v>44688</v>
      </c>
      <c r="B249" s="756" t="s">
        <v>34</v>
      </c>
      <c r="C249" s="756" t="s">
        <v>131</v>
      </c>
      <c r="D249" s="756" t="s">
        <v>192</v>
      </c>
      <c r="E249" s="756" t="s">
        <v>132</v>
      </c>
      <c r="G249" s="96" t="s">
        <v>135</v>
      </c>
      <c r="H249" s="756" t="s">
        <v>34</v>
      </c>
      <c r="I249" s="756" t="s">
        <v>131</v>
      </c>
      <c r="J249" s="756" t="s">
        <v>192</v>
      </c>
      <c r="K249" s="756" t="s">
        <v>132</v>
      </c>
    </row>
    <row r="250" spans="1:11" s="753" customFormat="1">
      <c r="A250" s="754" t="s">
        <v>191</v>
      </c>
      <c r="B250" s="255">
        <v>0</v>
      </c>
      <c r="C250" s="255">
        <v>0</v>
      </c>
      <c r="D250" s="255">
        <v>9</v>
      </c>
      <c r="E250" s="255">
        <f>SUM(B250:D250)</f>
        <v>9</v>
      </c>
      <c r="G250" s="754" t="s">
        <v>191</v>
      </c>
      <c r="H250" s="756">
        <f>B250+H244</f>
        <v>0</v>
      </c>
      <c r="I250" s="756">
        <f t="shared" ref="I250:I252" si="201">C250+I244</f>
        <v>0</v>
      </c>
      <c r="J250" s="756">
        <f>D250+J244</f>
        <v>211216</v>
      </c>
      <c r="K250" s="756">
        <f t="shared" ref="K250:K251" si="202">E250+K244</f>
        <v>211216</v>
      </c>
    </row>
    <row r="251" spans="1:11" s="753" customFormat="1">
      <c r="A251" s="754" t="s">
        <v>134</v>
      </c>
      <c r="B251" s="756">
        <v>0</v>
      </c>
      <c r="C251" s="756">
        <v>0</v>
      </c>
      <c r="D251" s="756"/>
      <c r="E251" s="756">
        <f>SUM(B251:D251)</f>
        <v>0</v>
      </c>
      <c r="G251" s="754" t="s">
        <v>134</v>
      </c>
      <c r="H251" s="756">
        <f t="shared" ref="H251:H252" si="203">B251+H245</f>
        <v>8395</v>
      </c>
      <c r="I251" s="756">
        <f t="shared" si="201"/>
        <v>88576</v>
      </c>
      <c r="J251" s="756">
        <f t="shared" ref="J251" si="204">D251+J245</f>
        <v>0</v>
      </c>
      <c r="K251" s="756">
        <f t="shared" si="202"/>
        <v>97534</v>
      </c>
    </row>
    <row r="252" spans="1:11" s="753" customFormat="1">
      <c r="A252" s="754" t="s">
        <v>86</v>
      </c>
      <c r="B252" s="756">
        <f>B250-B251</f>
        <v>0</v>
      </c>
      <c r="C252" s="756">
        <f>C250-C251</f>
        <v>0</v>
      </c>
      <c r="D252" s="756">
        <f t="shared" ref="D252" si="205">D250-D251</f>
        <v>9</v>
      </c>
      <c r="E252" s="756">
        <f>SUM(B252:D252)</f>
        <v>9</v>
      </c>
      <c r="G252" s="754" t="s">
        <v>86</v>
      </c>
      <c r="H252" s="756">
        <f t="shared" si="203"/>
        <v>-8395</v>
      </c>
      <c r="I252" s="756">
        <f t="shared" si="201"/>
        <v>-89139</v>
      </c>
      <c r="J252" s="756">
        <f>D252+J246</f>
        <v>211216</v>
      </c>
      <c r="K252" s="756">
        <f>E252+K246</f>
        <v>113682</v>
      </c>
    </row>
    <row r="253" spans="1:11" s="753" customFormat="1">
      <c r="B253" s="659"/>
      <c r="C253" s="659"/>
      <c r="D253" s="659"/>
      <c r="E253" s="659"/>
    </row>
    <row r="254" spans="1:11" s="753" customFormat="1">
      <c r="A254" s="756" t="s">
        <v>141</v>
      </c>
      <c r="B254" s="756" t="s">
        <v>30</v>
      </c>
      <c r="C254" s="756" t="s">
        <v>30</v>
      </c>
      <c r="D254" s="756"/>
      <c r="E254" s="756"/>
      <c r="G254" s="754"/>
      <c r="H254" s="756" t="s">
        <v>30</v>
      </c>
      <c r="I254" s="756" t="s">
        <v>30</v>
      </c>
      <c r="J254" s="756"/>
      <c r="K254" s="756"/>
    </row>
    <row r="255" spans="1:11" s="753" customFormat="1">
      <c r="A255" s="95">
        <f>A249+1</f>
        <v>44689</v>
      </c>
      <c r="B255" s="756" t="s">
        <v>34</v>
      </c>
      <c r="C255" s="756" t="s">
        <v>131</v>
      </c>
      <c r="D255" s="756" t="s">
        <v>192</v>
      </c>
      <c r="E255" s="756" t="s">
        <v>132</v>
      </c>
      <c r="G255" s="96" t="s">
        <v>135</v>
      </c>
      <c r="H255" s="756" t="s">
        <v>34</v>
      </c>
      <c r="I255" s="756" t="s">
        <v>131</v>
      </c>
      <c r="J255" s="756" t="s">
        <v>192</v>
      </c>
      <c r="K255" s="756" t="s">
        <v>132</v>
      </c>
    </row>
    <row r="256" spans="1:11" s="753" customFormat="1">
      <c r="A256" s="754" t="s">
        <v>191</v>
      </c>
      <c r="B256" s="255">
        <v>0</v>
      </c>
      <c r="C256" s="255">
        <v>0</v>
      </c>
      <c r="D256" s="255">
        <v>5</v>
      </c>
      <c r="E256" s="255">
        <f>SUM(B256:D256)</f>
        <v>5</v>
      </c>
      <c r="G256" s="754" t="s">
        <v>191</v>
      </c>
      <c r="H256" s="756">
        <f>B256+H250</f>
        <v>0</v>
      </c>
      <c r="I256" s="756">
        <f t="shared" ref="I256:I258" si="206">C256+I250</f>
        <v>0</v>
      </c>
      <c r="J256" s="756">
        <f>D256+J250</f>
        <v>211221</v>
      </c>
      <c r="K256" s="756">
        <f t="shared" ref="K256:K257" si="207">E256+K250</f>
        <v>211221</v>
      </c>
    </row>
    <row r="257" spans="1:11" s="753" customFormat="1">
      <c r="A257" s="754" t="s">
        <v>134</v>
      </c>
      <c r="B257" s="756">
        <v>0</v>
      </c>
      <c r="C257" s="756">
        <v>0</v>
      </c>
      <c r="D257" s="756"/>
      <c r="E257" s="756">
        <f>SUM(B257:D257)</f>
        <v>0</v>
      </c>
      <c r="G257" s="754" t="s">
        <v>134</v>
      </c>
      <c r="H257" s="756">
        <f t="shared" ref="H257:H258" si="208">B257+H251</f>
        <v>8395</v>
      </c>
      <c r="I257" s="756">
        <f t="shared" si="206"/>
        <v>88576</v>
      </c>
      <c r="J257" s="756">
        <f t="shared" ref="J257" si="209">D257+J251</f>
        <v>0</v>
      </c>
      <c r="K257" s="756">
        <f t="shared" si="207"/>
        <v>97534</v>
      </c>
    </row>
    <row r="258" spans="1:11" s="753" customFormat="1">
      <c r="A258" s="754" t="s">
        <v>86</v>
      </c>
      <c r="B258" s="756">
        <f>B256-B257</f>
        <v>0</v>
      </c>
      <c r="C258" s="756">
        <f>C256-C257</f>
        <v>0</v>
      </c>
      <c r="D258" s="756">
        <f t="shared" ref="D258" si="210">D256-D257</f>
        <v>5</v>
      </c>
      <c r="E258" s="756">
        <f>SUM(B258:D258)</f>
        <v>5</v>
      </c>
      <c r="G258" s="754" t="s">
        <v>86</v>
      </c>
      <c r="H258" s="756">
        <f t="shared" si="208"/>
        <v>-8395</v>
      </c>
      <c r="I258" s="756">
        <f t="shared" si="206"/>
        <v>-89139</v>
      </c>
      <c r="J258" s="756">
        <f>D258+J252</f>
        <v>211221</v>
      </c>
      <c r="K258" s="756">
        <f>E258+K252</f>
        <v>113687</v>
      </c>
    </row>
    <row r="259" spans="1:11" s="753" customFormat="1">
      <c r="B259" s="659"/>
      <c r="C259" s="659"/>
      <c r="D259" s="659"/>
      <c r="E259" s="659"/>
    </row>
    <row r="260" spans="1:11" s="753" customFormat="1">
      <c r="A260" s="756" t="s">
        <v>141</v>
      </c>
      <c r="B260" s="756" t="s">
        <v>30</v>
      </c>
      <c r="C260" s="756" t="s">
        <v>30</v>
      </c>
      <c r="D260" s="756"/>
      <c r="E260" s="756"/>
      <c r="G260" s="754"/>
      <c r="H260" s="756" t="s">
        <v>30</v>
      </c>
      <c r="I260" s="756" t="s">
        <v>30</v>
      </c>
      <c r="J260" s="756"/>
      <c r="K260" s="756"/>
    </row>
    <row r="261" spans="1:11" s="753" customFormat="1">
      <c r="A261" s="95">
        <f>A255+1</f>
        <v>44690</v>
      </c>
      <c r="B261" s="756" t="s">
        <v>34</v>
      </c>
      <c r="C261" s="756" t="s">
        <v>131</v>
      </c>
      <c r="D261" s="756" t="s">
        <v>192</v>
      </c>
      <c r="E261" s="756" t="s">
        <v>132</v>
      </c>
      <c r="G261" s="96" t="s">
        <v>135</v>
      </c>
      <c r="H261" s="756" t="s">
        <v>34</v>
      </c>
      <c r="I261" s="756" t="s">
        <v>131</v>
      </c>
      <c r="J261" s="756" t="s">
        <v>192</v>
      </c>
      <c r="K261" s="756" t="s">
        <v>132</v>
      </c>
    </row>
    <row r="262" spans="1:11" s="753" customFormat="1">
      <c r="A262" s="754" t="s">
        <v>191</v>
      </c>
      <c r="B262" s="255">
        <v>0</v>
      </c>
      <c r="C262" s="255">
        <v>0</v>
      </c>
      <c r="D262" s="255">
        <v>5642</v>
      </c>
      <c r="E262" s="255">
        <f>SUM(B262:D262)</f>
        <v>5642</v>
      </c>
      <c r="G262" s="754" t="s">
        <v>191</v>
      </c>
      <c r="H262" s="756">
        <f>B262+H256</f>
        <v>0</v>
      </c>
      <c r="I262" s="756">
        <f t="shared" ref="I262:I264" si="211">C262+I256</f>
        <v>0</v>
      </c>
      <c r="J262" s="756">
        <f>D262+J256</f>
        <v>216863</v>
      </c>
      <c r="K262" s="756">
        <f t="shared" ref="K262:K263" si="212">E262+K256</f>
        <v>216863</v>
      </c>
    </row>
    <row r="263" spans="1:11" s="753" customFormat="1">
      <c r="A263" s="754" t="s">
        <v>134</v>
      </c>
      <c r="B263" s="756">
        <v>0</v>
      </c>
      <c r="C263" s="756">
        <v>1882</v>
      </c>
      <c r="D263" s="756"/>
      <c r="E263" s="756">
        <f>SUM(B263:D263)</f>
        <v>1882</v>
      </c>
      <c r="G263" s="754" t="s">
        <v>134</v>
      </c>
      <c r="H263" s="756">
        <f t="shared" ref="H263:H264" si="213">B263+H257</f>
        <v>8395</v>
      </c>
      <c r="I263" s="756">
        <f t="shared" si="211"/>
        <v>90458</v>
      </c>
      <c r="J263" s="756">
        <f t="shared" ref="J263" si="214">D263+J257</f>
        <v>0</v>
      </c>
      <c r="K263" s="756">
        <f t="shared" si="212"/>
        <v>99416</v>
      </c>
    </row>
    <row r="264" spans="1:11" s="753" customFormat="1">
      <c r="A264" s="754" t="s">
        <v>86</v>
      </c>
      <c r="B264" s="756">
        <f>B262-B263</f>
        <v>0</v>
      </c>
      <c r="C264" s="756">
        <f>C262-C263</f>
        <v>-1882</v>
      </c>
      <c r="D264" s="756">
        <f t="shared" ref="D264" si="215">D262-D263</f>
        <v>5642</v>
      </c>
      <c r="E264" s="756">
        <f>SUM(B264:D264)</f>
        <v>3760</v>
      </c>
      <c r="G264" s="754" t="s">
        <v>86</v>
      </c>
      <c r="H264" s="756">
        <f t="shared" si="213"/>
        <v>-8395</v>
      </c>
      <c r="I264" s="756">
        <f t="shared" si="211"/>
        <v>-91021</v>
      </c>
      <c r="J264" s="756">
        <f>D264+J258</f>
        <v>216863</v>
      </c>
      <c r="K264" s="756">
        <f>E264+K258</f>
        <v>117447</v>
      </c>
    </row>
    <row r="265" spans="1:11" s="753" customFormat="1">
      <c r="B265" s="659"/>
      <c r="C265" s="659"/>
      <c r="D265" s="659"/>
      <c r="E265" s="659"/>
    </row>
    <row r="266" spans="1:11" s="753" customFormat="1">
      <c r="A266" s="756" t="s">
        <v>141</v>
      </c>
      <c r="B266" s="756" t="s">
        <v>30</v>
      </c>
      <c r="C266" s="756" t="s">
        <v>30</v>
      </c>
      <c r="D266" s="756"/>
      <c r="E266" s="756"/>
      <c r="G266" s="754"/>
      <c r="H266" s="756" t="s">
        <v>30</v>
      </c>
      <c r="I266" s="756" t="s">
        <v>30</v>
      </c>
      <c r="J266" s="756"/>
      <c r="K266" s="756"/>
    </row>
    <row r="267" spans="1:11" s="753" customFormat="1">
      <c r="A267" s="95">
        <f>A261+1</f>
        <v>44691</v>
      </c>
      <c r="B267" s="756" t="s">
        <v>34</v>
      </c>
      <c r="C267" s="756" t="s">
        <v>131</v>
      </c>
      <c r="D267" s="756" t="s">
        <v>192</v>
      </c>
      <c r="E267" s="756" t="s">
        <v>132</v>
      </c>
      <c r="G267" s="96" t="s">
        <v>135</v>
      </c>
      <c r="H267" s="756" t="s">
        <v>34</v>
      </c>
      <c r="I267" s="756" t="s">
        <v>131</v>
      </c>
      <c r="J267" s="756" t="s">
        <v>192</v>
      </c>
      <c r="K267" s="756" t="s">
        <v>132</v>
      </c>
    </row>
    <row r="268" spans="1:11" s="753" customFormat="1">
      <c r="A268" s="754" t="s">
        <v>191</v>
      </c>
      <c r="B268" s="255">
        <v>0</v>
      </c>
      <c r="C268" s="255">
        <v>0</v>
      </c>
      <c r="D268" s="255">
        <v>7137</v>
      </c>
      <c r="E268" s="255">
        <f>SUM(B268:D268)</f>
        <v>7137</v>
      </c>
      <c r="G268" s="754" t="s">
        <v>191</v>
      </c>
      <c r="H268" s="756">
        <f>B268+H262</f>
        <v>0</v>
      </c>
      <c r="I268" s="756">
        <f t="shared" ref="I268:I270" si="216">C268+I262</f>
        <v>0</v>
      </c>
      <c r="J268" s="756">
        <f>D268+J262</f>
        <v>224000</v>
      </c>
      <c r="K268" s="756">
        <f t="shared" ref="K268:K269" si="217">E268+K262</f>
        <v>224000</v>
      </c>
    </row>
    <row r="269" spans="1:11" s="753" customFormat="1">
      <c r="A269" s="754" t="s">
        <v>134</v>
      </c>
      <c r="B269" s="756">
        <v>0</v>
      </c>
      <c r="C269" s="756">
        <v>2769</v>
      </c>
      <c r="D269" s="756"/>
      <c r="E269" s="756">
        <f>SUM(B269:D269)</f>
        <v>2769</v>
      </c>
      <c r="G269" s="754" t="s">
        <v>134</v>
      </c>
      <c r="H269" s="756">
        <f t="shared" ref="H269:H270" si="218">B269+H263</f>
        <v>8395</v>
      </c>
      <c r="I269" s="756">
        <f t="shared" si="216"/>
        <v>93227</v>
      </c>
      <c r="J269" s="756">
        <f t="shared" ref="J269" si="219">D269+J263</f>
        <v>0</v>
      </c>
      <c r="K269" s="756">
        <f t="shared" si="217"/>
        <v>102185</v>
      </c>
    </row>
    <row r="270" spans="1:11" s="753" customFormat="1">
      <c r="A270" s="754" t="s">
        <v>86</v>
      </c>
      <c r="B270" s="756">
        <f>B268-B269</f>
        <v>0</v>
      </c>
      <c r="C270" s="756">
        <f>C268-C269</f>
        <v>-2769</v>
      </c>
      <c r="D270" s="756">
        <f t="shared" ref="D270" si="220">D268-D269</f>
        <v>7137</v>
      </c>
      <c r="E270" s="756">
        <f>SUM(B270:D270)</f>
        <v>4368</v>
      </c>
      <c r="G270" s="754" t="s">
        <v>86</v>
      </c>
      <c r="H270" s="756">
        <f t="shared" si="218"/>
        <v>-8395</v>
      </c>
      <c r="I270" s="756">
        <f t="shared" si="216"/>
        <v>-93790</v>
      </c>
      <c r="J270" s="756">
        <f>D270+J264</f>
        <v>224000</v>
      </c>
      <c r="K270" s="756">
        <f>E270+K264</f>
        <v>121815</v>
      </c>
    </row>
    <row r="271" spans="1:11" s="753" customFormat="1">
      <c r="B271" s="659"/>
      <c r="C271" s="659"/>
      <c r="D271" s="659"/>
      <c r="E271" s="659"/>
    </row>
    <row r="272" spans="1:11" s="753" customFormat="1">
      <c r="A272" s="756" t="s">
        <v>141</v>
      </c>
      <c r="B272" s="756" t="s">
        <v>30</v>
      </c>
      <c r="C272" s="756" t="s">
        <v>30</v>
      </c>
      <c r="D272" s="756"/>
      <c r="E272" s="756"/>
      <c r="G272" s="754"/>
      <c r="H272" s="756" t="s">
        <v>30</v>
      </c>
      <c r="I272" s="756" t="s">
        <v>30</v>
      </c>
      <c r="J272" s="756"/>
      <c r="K272" s="756"/>
    </row>
    <row r="273" spans="1:11" s="753" customFormat="1">
      <c r="A273" s="95">
        <f>A267+1</f>
        <v>44692</v>
      </c>
      <c r="B273" s="756" t="s">
        <v>34</v>
      </c>
      <c r="C273" s="756" t="s">
        <v>131</v>
      </c>
      <c r="D273" s="756" t="s">
        <v>192</v>
      </c>
      <c r="E273" s="756" t="s">
        <v>132</v>
      </c>
      <c r="G273" s="96" t="s">
        <v>135</v>
      </c>
      <c r="H273" s="756" t="s">
        <v>34</v>
      </c>
      <c r="I273" s="756" t="s">
        <v>131</v>
      </c>
      <c r="J273" s="756" t="s">
        <v>192</v>
      </c>
      <c r="K273" s="756" t="s">
        <v>132</v>
      </c>
    </row>
    <row r="274" spans="1:11" s="753" customFormat="1">
      <c r="A274" s="754" t="s">
        <v>191</v>
      </c>
      <c r="B274" s="255">
        <v>0</v>
      </c>
      <c r="C274" s="255">
        <v>0</v>
      </c>
      <c r="D274" s="255">
        <v>6117</v>
      </c>
      <c r="E274" s="255">
        <f>SUM(B274:D274)</f>
        <v>6117</v>
      </c>
      <c r="G274" s="754" t="s">
        <v>191</v>
      </c>
      <c r="H274" s="756">
        <f>B274+H268</f>
        <v>0</v>
      </c>
      <c r="I274" s="756">
        <f t="shared" ref="I274:I276" si="221">C274+I268</f>
        <v>0</v>
      </c>
      <c r="J274" s="756">
        <f>D274+J268</f>
        <v>230117</v>
      </c>
      <c r="K274" s="756">
        <f t="shared" ref="K274:K275" si="222">E274+K268</f>
        <v>230117</v>
      </c>
    </row>
    <row r="275" spans="1:11" s="753" customFormat="1">
      <c r="A275" s="754" t="s">
        <v>134</v>
      </c>
      <c r="B275" s="756">
        <v>0</v>
      </c>
      <c r="C275" s="756">
        <v>1789</v>
      </c>
      <c r="D275" s="756"/>
      <c r="E275" s="756">
        <f>SUM(B275:D275)</f>
        <v>1789</v>
      </c>
      <c r="G275" s="754" t="s">
        <v>134</v>
      </c>
      <c r="H275" s="756">
        <f t="shared" ref="H275:H276" si="223">B275+H269</f>
        <v>8395</v>
      </c>
      <c r="I275" s="756">
        <f t="shared" si="221"/>
        <v>95016</v>
      </c>
      <c r="J275" s="756">
        <f t="shared" ref="J275" si="224">D275+J269</f>
        <v>0</v>
      </c>
      <c r="K275" s="756">
        <f t="shared" si="222"/>
        <v>103974</v>
      </c>
    </row>
    <row r="276" spans="1:11" s="753" customFormat="1">
      <c r="A276" s="754" t="s">
        <v>86</v>
      </c>
      <c r="B276" s="756">
        <f>B274-B275</f>
        <v>0</v>
      </c>
      <c r="C276" s="756">
        <f>C274-C275</f>
        <v>-1789</v>
      </c>
      <c r="D276" s="756">
        <f t="shared" ref="D276" si="225">D274-D275</f>
        <v>6117</v>
      </c>
      <c r="E276" s="756">
        <f>SUM(B276:D276)</f>
        <v>4328</v>
      </c>
      <c r="G276" s="754" t="s">
        <v>86</v>
      </c>
      <c r="H276" s="756">
        <f t="shared" si="223"/>
        <v>-8395</v>
      </c>
      <c r="I276" s="756">
        <f t="shared" si="221"/>
        <v>-95579</v>
      </c>
      <c r="J276" s="756">
        <f>D276+J270</f>
        <v>230117</v>
      </c>
      <c r="K276" s="756">
        <f>E276+K270</f>
        <v>126143</v>
      </c>
    </row>
    <row r="277" spans="1:11" s="753" customFormat="1">
      <c r="B277" s="659"/>
      <c r="C277" s="659"/>
      <c r="D277" s="659"/>
      <c r="E277" s="659"/>
    </row>
    <row r="278" spans="1:11" s="753" customFormat="1">
      <c r="A278" s="756" t="s">
        <v>141</v>
      </c>
      <c r="B278" s="756" t="s">
        <v>30</v>
      </c>
      <c r="C278" s="756" t="s">
        <v>30</v>
      </c>
      <c r="D278" s="756"/>
      <c r="E278" s="756"/>
      <c r="G278" s="754"/>
      <c r="H278" s="756" t="s">
        <v>30</v>
      </c>
      <c r="I278" s="756" t="s">
        <v>30</v>
      </c>
      <c r="J278" s="756"/>
      <c r="K278" s="756"/>
    </row>
    <row r="279" spans="1:11" s="753" customFormat="1">
      <c r="A279" s="95">
        <f>A273+1</f>
        <v>44693</v>
      </c>
      <c r="B279" s="756" t="s">
        <v>34</v>
      </c>
      <c r="C279" s="756" t="s">
        <v>131</v>
      </c>
      <c r="D279" s="756" t="s">
        <v>192</v>
      </c>
      <c r="E279" s="756" t="s">
        <v>132</v>
      </c>
      <c r="G279" s="96" t="s">
        <v>135</v>
      </c>
      <c r="H279" s="756" t="s">
        <v>34</v>
      </c>
      <c r="I279" s="756" t="s">
        <v>131</v>
      </c>
      <c r="J279" s="756" t="s">
        <v>192</v>
      </c>
      <c r="K279" s="756" t="s">
        <v>132</v>
      </c>
    </row>
    <row r="280" spans="1:11" s="753" customFormat="1">
      <c r="A280" s="754" t="s">
        <v>191</v>
      </c>
      <c r="B280" s="255">
        <v>0</v>
      </c>
      <c r="C280" s="255">
        <v>0</v>
      </c>
      <c r="D280" s="785">
        <v>6558</v>
      </c>
      <c r="E280" s="255">
        <f>SUM(B280:D280)</f>
        <v>6558</v>
      </c>
      <c r="G280" s="754" t="s">
        <v>191</v>
      </c>
      <c r="H280" s="756">
        <f>B280+H274</f>
        <v>0</v>
      </c>
      <c r="I280" s="756">
        <f t="shared" ref="I280:I282" si="226">C280+I274</f>
        <v>0</v>
      </c>
      <c r="J280" s="756">
        <f>D280+J274</f>
        <v>236675</v>
      </c>
      <c r="K280" s="756">
        <f t="shared" ref="K280:K281" si="227">E280+K274</f>
        <v>236675</v>
      </c>
    </row>
    <row r="281" spans="1:11" s="753" customFormat="1">
      <c r="A281" s="754" t="s">
        <v>134</v>
      </c>
      <c r="B281" s="756">
        <v>0</v>
      </c>
      <c r="C281" s="756">
        <v>2569</v>
      </c>
      <c r="D281" s="756"/>
      <c r="E281" s="756">
        <f>SUM(B281:D281)</f>
        <v>2569</v>
      </c>
      <c r="G281" s="754" t="s">
        <v>134</v>
      </c>
      <c r="H281" s="756">
        <f t="shared" ref="H281:H282" si="228">B281+H275</f>
        <v>8395</v>
      </c>
      <c r="I281" s="756">
        <f t="shared" si="226"/>
        <v>97585</v>
      </c>
      <c r="J281" s="756">
        <f t="shared" ref="J281" si="229">D281+J275</f>
        <v>0</v>
      </c>
      <c r="K281" s="756">
        <f t="shared" si="227"/>
        <v>106543</v>
      </c>
    </row>
    <row r="282" spans="1:11" s="753" customFormat="1">
      <c r="A282" s="754" t="s">
        <v>86</v>
      </c>
      <c r="B282" s="756">
        <f>B280-B281</f>
        <v>0</v>
      </c>
      <c r="C282" s="756">
        <f>C280-C281</f>
        <v>-2569</v>
      </c>
      <c r="D282" s="756">
        <f t="shared" ref="D282" si="230">D280-D281</f>
        <v>6558</v>
      </c>
      <c r="E282" s="756">
        <f>SUM(B282:D282)</f>
        <v>3989</v>
      </c>
      <c r="G282" s="754" t="s">
        <v>86</v>
      </c>
      <c r="H282" s="756">
        <f t="shared" si="228"/>
        <v>-8395</v>
      </c>
      <c r="I282" s="756">
        <f t="shared" si="226"/>
        <v>-98148</v>
      </c>
      <c r="J282" s="756">
        <f>D282+J276</f>
        <v>236675</v>
      </c>
      <c r="K282" s="756">
        <f>E282+K276</f>
        <v>130132</v>
      </c>
    </row>
    <row r="283" spans="1:11" s="753" customFormat="1">
      <c r="B283" s="659"/>
      <c r="C283" s="659"/>
      <c r="D283" s="659"/>
      <c r="E283" s="659"/>
    </row>
    <row r="284" spans="1:11" s="753" customFormat="1">
      <c r="A284" s="756" t="s">
        <v>141</v>
      </c>
      <c r="B284" s="756" t="s">
        <v>30</v>
      </c>
      <c r="C284" s="756" t="s">
        <v>30</v>
      </c>
      <c r="D284" s="756"/>
      <c r="E284" s="756"/>
      <c r="G284" s="754"/>
      <c r="H284" s="756" t="s">
        <v>30</v>
      </c>
      <c r="I284" s="756" t="s">
        <v>30</v>
      </c>
      <c r="J284" s="756"/>
      <c r="K284" s="756"/>
    </row>
    <row r="285" spans="1:11" s="753" customFormat="1">
      <c r="A285" s="95">
        <f>A279+1</f>
        <v>44694</v>
      </c>
      <c r="B285" s="756" t="s">
        <v>34</v>
      </c>
      <c r="C285" s="756" t="s">
        <v>131</v>
      </c>
      <c r="D285" s="756" t="s">
        <v>192</v>
      </c>
      <c r="E285" s="756" t="s">
        <v>132</v>
      </c>
      <c r="G285" s="96" t="s">
        <v>135</v>
      </c>
      <c r="H285" s="756" t="s">
        <v>34</v>
      </c>
      <c r="I285" s="756" t="s">
        <v>131</v>
      </c>
      <c r="J285" s="756" t="s">
        <v>192</v>
      </c>
      <c r="K285" s="756" t="s">
        <v>132</v>
      </c>
    </row>
    <row r="286" spans="1:11" s="753" customFormat="1">
      <c r="A286" s="754" t="s">
        <v>191</v>
      </c>
      <c r="B286" s="255">
        <v>0</v>
      </c>
      <c r="C286" s="255">
        <v>0</v>
      </c>
      <c r="D286" s="786">
        <v>5319</v>
      </c>
      <c r="E286" s="255">
        <f>SUM(B286:D286)</f>
        <v>5319</v>
      </c>
      <c r="G286" s="754" t="s">
        <v>191</v>
      </c>
      <c r="H286" s="756">
        <f>B286+H280</f>
        <v>0</v>
      </c>
      <c r="I286" s="756">
        <f t="shared" ref="I286:I288" si="231">C286+I280</f>
        <v>0</v>
      </c>
      <c r="J286" s="756">
        <f>D286+J280</f>
        <v>241994</v>
      </c>
      <c r="K286" s="756">
        <f t="shared" ref="K286:K287" si="232">E286+K280</f>
        <v>241994</v>
      </c>
    </row>
    <row r="287" spans="1:11" s="753" customFormat="1">
      <c r="A287" s="754" t="s">
        <v>134</v>
      </c>
      <c r="B287" s="756">
        <v>0</v>
      </c>
      <c r="C287" s="756">
        <v>2390</v>
      </c>
      <c r="D287" s="756"/>
      <c r="E287" s="756">
        <f>SUM(B287:D287)</f>
        <v>2390</v>
      </c>
      <c r="G287" s="754" t="s">
        <v>134</v>
      </c>
      <c r="H287" s="756">
        <f t="shared" ref="H287:H288" si="233">B287+H281</f>
        <v>8395</v>
      </c>
      <c r="I287" s="756">
        <f t="shared" si="231"/>
        <v>99975</v>
      </c>
      <c r="J287" s="756">
        <f t="shared" ref="J287" si="234">D287+J281</f>
        <v>0</v>
      </c>
      <c r="K287" s="756">
        <f t="shared" si="232"/>
        <v>108933</v>
      </c>
    </row>
    <row r="288" spans="1:11" s="753" customFormat="1">
      <c r="A288" s="754" t="s">
        <v>86</v>
      </c>
      <c r="B288" s="756">
        <f>B286-B287</f>
        <v>0</v>
      </c>
      <c r="C288" s="756">
        <f>C286-C287</f>
        <v>-2390</v>
      </c>
      <c r="D288" s="756">
        <f t="shared" ref="D288" si="235">D286-D287</f>
        <v>5319</v>
      </c>
      <c r="E288" s="756">
        <f>SUM(B288:D288)</f>
        <v>2929</v>
      </c>
      <c r="G288" s="754" t="s">
        <v>86</v>
      </c>
      <c r="H288" s="756">
        <f t="shared" si="233"/>
        <v>-8395</v>
      </c>
      <c r="I288" s="756">
        <f t="shared" si="231"/>
        <v>-100538</v>
      </c>
      <c r="J288" s="756">
        <f>D288+J282</f>
        <v>241994</v>
      </c>
      <c r="K288" s="756">
        <f>E288+K282</f>
        <v>133061</v>
      </c>
    </row>
    <row r="289" spans="1:11" s="753" customFormat="1">
      <c r="B289" s="659"/>
      <c r="C289" s="659"/>
      <c r="D289" s="659"/>
      <c r="E289" s="659"/>
    </row>
    <row r="290" spans="1:11" s="753" customFormat="1">
      <c r="A290" s="756" t="s">
        <v>141</v>
      </c>
      <c r="B290" s="756" t="s">
        <v>30</v>
      </c>
      <c r="C290" s="756" t="s">
        <v>30</v>
      </c>
      <c r="D290" s="756"/>
      <c r="E290" s="756"/>
      <c r="G290" s="754"/>
      <c r="H290" s="756" t="s">
        <v>30</v>
      </c>
      <c r="I290" s="756" t="s">
        <v>30</v>
      </c>
      <c r="J290" s="756"/>
      <c r="K290" s="756"/>
    </row>
    <row r="291" spans="1:11" s="753" customFormat="1">
      <c r="A291" s="95">
        <f>A285+1</f>
        <v>44695</v>
      </c>
      <c r="B291" s="756" t="s">
        <v>34</v>
      </c>
      <c r="C291" s="756" t="s">
        <v>131</v>
      </c>
      <c r="D291" s="756" t="s">
        <v>192</v>
      </c>
      <c r="E291" s="756" t="s">
        <v>132</v>
      </c>
      <c r="G291" s="96" t="s">
        <v>135</v>
      </c>
      <c r="H291" s="756" t="s">
        <v>34</v>
      </c>
      <c r="I291" s="756" t="s">
        <v>131</v>
      </c>
      <c r="J291" s="756" t="s">
        <v>192</v>
      </c>
      <c r="K291" s="756" t="s">
        <v>132</v>
      </c>
    </row>
    <row r="292" spans="1:11" s="753" customFormat="1">
      <c r="A292" s="754" t="s">
        <v>191</v>
      </c>
      <c r="B292" s="255">
        <v>0</v>
      </c>
      <c r="C292" s="255">
        <v>0</v>
      </c>
      <c r="D292" s="787">
        <v>2013</v>
      </c>
      <c r="E292" s="255">
        <f>SUM(B292:D292)</f>
        <v>2013</v>
      </c>
      <c r="G292" s="754" t="s">
        <v>191</v>
      </c>
      <c r="H292" s="756">
        <f>B292+H286</f>
        <v>0</v>
      </c>
      <c r="I292" s="756">
        <f t="shared" ref="I292:I294" si="236">C292+I286</f>
        <v>0</v>
      </c>
      <c r="J292" s="756">
        <f>D292+J286</f>
        <v>244007</v>
      </c>
      <c r="K292" s="756">
        <f t="shared" ref="K292:K293" si="237">E292+K286</f>
        <v>244007</v>
      </c>
    </row>
    <row r="293" spans="1:11" s="753" customFormat="1">
      <c r="A293" s="754" t="s">
        <v>134</v>
      </c>
      <c r="B293" s="756">
        <v>381</v>
      </c>
      <c r="C293" s="756">
        <v>1469</v>
      </c>
      <c r="D293" s="756"/>
      <c r="E293" s="756">
        <f>SUM(B293:D293)</f>
        <v>1850</v>
      </c>
      <c r="G293" s="754" t="s">
        <v>134</v>
      </c>
      <c r="H293" s="756">
        <f t="shared" ref="H293:H294" si="238">B293+H287</f>
        <v>8776</v>
      </c>
      <c r="I293" s="756">
        <f t="shared" si="236"/>
        <v>101444</v>
      </c>
      <c r="J293" s="756">
        <f t="shared" ref="J293" si="239">D293+J287</f>
        <v>0</v>
      </c>
      <c r="K293" s="756">
        <f t="shared" si="237"/>
        <v>110783</v>
      </c>
    </row>
    <row r="294" spans="1:11" s="753" customFormat="1">
      <c r="A294" s="754" t="s">
        <v>86</v>
      </c>
      <c r="B294" s="756">
        <f>B292-B293</f>
        <v>-381</v>
      </c>
      <c r="C294" s="756">
        <f>C292-C293</f>
        <v>-1469</v>
      </c>
      <c r="D294" s="756">
        <f t="shared" ref="D294" si="240">D292-D293</f>
        <v>2013</v>
      </c>
      <c r="E294" s="756">
        <f>SUM(B294:D294)</f>
        <v>163</v>
      </c>
      <c r="G294" s="754" t="s">
        <v>86</v>
      </c>
      <c r="H294" s="756">
        <f t="shared" si="238"/>
        <v>-8776</v>
      </c>
      <c r="I294" s="756">
        <f t="shared" si="236"/>
        <v>-102007</v>
      </c>
      <c r="J294" s="756">
        <f>D294+J288</f>
        <v>244007</v>
      </c>
      <c r="K294" s="756">
        <f>E294+K288</f>
        <v>133224</v>
      </c>
    </row>
    <row r="295" spans="1:11" s="753" customFormat="1">
      <c r="B295" s="659"/>
      <c r="C295" s="659"/>
      <c r="D295" s="659"/>
      <c r="E295" s="659"/>
    </row>
    <row r="296" spans="1:11" s="753" customFormat="1">
      <c r="A296" s="756" t="s">
        <v>141</v>
      </c>
      <c r="B296" s="756" t="s">
        <v>30</v>
      </c>
      <c r="C296" s="756" t="s">
        <v>30</v>
      </c>
      <c r="D296" s="756"/>
      <c r="E296" s="756"/>
      <c r="G296" s="754"/>
      <c r="H296" s="756" t="s">
        <v>30</v>
      </c>
      <c r="I296" s="756" t="s">
        <v>30</v>
      </c>
      <c r="J296" s="756"/>
      <c r="K296" s="756"/>
    </row>
    <row r="297" spans="1:11" s="753" customFormat="1">
      <c r="A297" s="95">
        <f>A291+1</f>
        <v>44696</v>
      </c>
      <c r="B297" s="756" t="s">
        <v>34</v>
      </c>
      <c r="C297" s="756" t="s">
        <v>131</v>
      </c>
      <c r="D297" s="756" t="s">
        <v>192</v>
      </c>
      <c r="E297" s="756" t="s">
        <v>132</v>
      </c>
      <c r="G297" s="96" t="s">
        <v>135</v>
      </c>
      <c r="H297" s="756" t="s">
        <v>34</v>
      </c>
      <c r="I297" s="756" t="s">
        <v>131</v>
      </c>
      <c r="J297" s="756" t="s">
        <v>192</v>
      </c>
      <c r="K297" s="756" t="s">
        <v>132</v>
      </c>
    </row>
    <row r="298" spans="1:11" s="753" customFormat="1">
      <c r="A298" s="754" t="s">
        <v>191</v>
      </c>
      <c r="B298" s="255">
        <v>0</v>
      </c>
      <c r="C298" s="255">
        <v>0</v>
      </c>
      <c r="D298" s="788">
        <v>2574</v>
      </c>
      <c r="E298" s="255">
        <f>SUM(B298:D298)</f>
        <v>2574</v>
      </c>
      <c r="G298" s="754" t="s">
        <v>191</v>
      </c>
      <c r="H298" s="756">
        <f>B298+H292</f>
        <v>0</v>
      </c>
      <c r="I298" s="756">
        <f t="shared" ref="I298:I300" si="241">C298+I292</f>
        <v>0</v>
      </c>
      <c r="J298" s="756">
        <f>D298+J292</f>
        <v>246581</v>
      </c>
      <c r="K298" s="756">
        <f t="shared" ref="K298:K299" si="242">E298+K292</f>
        <v>246581</v>
      </c>
    </row>
    <row r="299" spans="1:11" s="753" customFormat="1">
      <c r="A299" s="754" t="s">
        <v>134</v>
      </c>
      <c r="B299" s="756">
        <v>334</v>
      </c>
      <c r="C299" s="756">
        <v>2042</v>
      </c>
      <c r="D299" s="756"/>
      <c r="E299" s="756">
        <f>SUM(B299:D299)</f>
        <v>2376</v>
      </c>
      <c r="G299" s="754" t="s">
        <v>134</v>
      </c>
      <c r="H299" s="756">
        <f t="shared" ref="H299:H300" si="243">B299+H293</f>
        <v>9110</v>
      </c>
      <c r="I299" s="756">
        <f t="shared" si="241"/>
        <v>103486</v>
      </c>
      <c r="J299" s="756">
        <f t="shared" ref="J299" si="244">D299+J293</f>
        <v>0</v>
      </c>
      <c r="K299" s="756">
        <f t="shared" si="242"/>
        <v>113159</v>
      </c>
    </row>
    <row r="300" spans="1:11" s="753" customFormat="1">
      <c r="A300" s="754" t="s">
        <v>86</v>
      </c>
      <c r="B300" s="756">
        <f>B298-B299</f>
        <v>-334</v>
      </c>
      <c r="C300" s="756">
        <f>C298-C299</f>
        <v>-2042</v>
      </c>
      <c r="D300" s="756">
        <f t="shared" ref="D300" si="245">D298-D299</f>
        <v>2574</v>
      </c>
      <c r="E300" s="756">
        <f>SUM(B300:D300)</f>
        <v>198</v>
      </c>
      <c r="G300" s="754" t="s">
        <v>86</v>
      </c>
      <c r="H300" s="756">
        <f t="shared" si="243"/>
        <v>-9110</v>
      </c>
      <c r="I300" s="756">
        <f t="shared" si="241"/>
        <v>-104049</v>
      </c>
      <c r="J300" s="756">
        <f>D300+J294</f>
        <v>246581</v>
      </c>
      <c r="K300" s="756">
        <f>E300+K294</f>
        <v>133422</v>
      </c>
    </row>
    <row r="301" spans="1:11" s="753" customFormat="1">
      <c r="B301" s="659"/>
      <c r="C301" s="659"/>
      <c r="D301" s="659"/>
      <c r="E301" s="659"/>
    </row>
    <row r="302" spans="1:11" s="753" customFormat="1">
      <c r="A302" s="756" t="s">
        <v>141</v>
      </c>
      <c r="B302" s="756" t="s">
        <v>30</v>
      </c>
      <c r="C302" s="756" t="s">
        <v>30</v>
      </c>
      <c r="D302" s="756"/>
      <c r="E302" s="756"/>
      <c r="G302" s="754"/>
      <c r="H302" s="756" t="s">
        <v>30</v>
      </c>
      <c r="I302" s="756" t="s">
        <v>30</v>
      </c>
      <c r="J302" s="756"/>
      <c r="K302" s="756"/>
    </row>
    <row r="303" spans="1:11" s="753" customFormat="1">
      <c r="A303" s="95">
        <f>A297+1</f>
        <v>44697</v>
      </c>
      <c r="B303" s="756" t="s">
        <v>34</v>
      </c>
      <c r="C303" s="756" t="s">
        <v>131</v>
      </c>
      <c r="D303" s="756" t="s">
        <v>192</v>
      </c>
      <c r="E303" s="756" t="s">
        <v>132</v>
      </c>
      <c r="G303" s="96" t="s">
        <v>135</v>
      </c>
      <c r="H303" s="756" t="s">
        <v>34</v>
      </c>
      <c r="I303" s="756" t="s">
        <v>131</v>
      </c>
      <c r="J303" s="756" t="s">
        <v>192</v>
      </c>
      <c r="K303" s="756" t="s">
        <v>132</v>
      </c>
    </row>
    <row r="304" spans="1:11" s="753" customFormat="1">
      <c r="A304" s="754" t="s">
        <v>191</v>
      </c>
      <c r="B304" s="255">
        <v>0</v>
      </c>
      <c r="C304" s="255">
        <v>0</v>
      </c>
      <c r="D304" s="255">
        <v>6280</v>
      </c>
      <c r="E304" s="255">
        <f>SUM(B304:D304)</f>
        <v>6280</v>
      </c>
      <c r="G304" s="754" t="s">
        <v>191</v>
      </c>
      <c r="H304" s="756">
        <f>B304+H298</f>
        <v>0</v>
      </c>
      <c r="I304" s="756">
        <f t="shared" ref="I304:I306" si="246">C304+I298</f>
        <v>0</v>
      </c>
      <c r="J304" s="756">
        <f>D304+J298</f>
        <v>252861</v>
      </c>
      <c r="K304" s="756">
        <f t="shared" ref="K304:K305" si="247">E304+K298</f>
        <v>252861</v>
      </c>
    </row>
    <row r="305" spans="1:11" s="753" customFormat="1">
      <c r="A305" s="754" t="s">
        <v>134</v>
      </c>
      <c r="B305" s="756">
        <v>0</v>
      </c>
      <c r="C305" s="756">
        <v>2382</v>
      </c>
      <c r="D305" s="756"/>
      <c r="E305" s="756">
        <f>SUM(B305:D305)</f>
        <v>2382</v>
      </c>
      <c r="G305" s="754" t="s">
        <v>134</v>
      </c>
      <c r="H305" s="756">
        <f t="shared" ref="H305:H306" si="248">B305+H299</f>
        <v>9110</v>
      </c>
      <c r="I305" s="756">
        <f t="shared" si="246"/>
        <v>105868</v>
      </c>
      <c r="J305" s="756">
        <f t="shared" ref="J305" si="249">D305+J299</f>
        <v>0</v>
      </c>
      <c r="K305" s="756">
        <f t="shared" si="247"/>
        <v>115541</v>
      </c>
    </row>
    <row r="306" spans="1:11" s="753" customFormat="1">
      <c r="A306" s="754" t="s">
        <v>86</v>
      </c>
      <c r="B306" s="756">
        <f>B304-B305</f>
        <v>0</v>
      </c>
      <c r="C306" s="756">
        <f>C304-C305</f>
        <v>-2382</v>
      </c>
      <c r="D306" s="756">
        <f t="shared" ref="D306" si="250">D304-D305</f>
        <v>6280</v>
      </c>
      <c r="E306" s="756">
        <f>SUM(B306:D306)</f>
        <v>3898</v>
      </c>
      <c r="G306" s="754" t="s">
        <v>86</v>
      </c>
      <c r="H306" s="756">
        <f t="shared" si="248"/>
        <v>-9110</v>
      </c>
      <c r="I306" s="756">
        <f t="shared" si="246"/>
        <v>-106431</v>
      </c>
      <c r="J306" s="756">
        <f>D306+J300</f>
        <v>252861</v>
      </c>
      <c r="K306" s="756">
        <f>E306+K300</f>
        <v>137320</v>
      </c>
    </row>
    <row r="307" spans="1:11" s="753" customFormat="1">
      <c r="B307" s="659"/>
      <c r="C307" s="659"/>
      <c r="D307" s="659"/>
      <c r="E307" s="659"/>
    </row>
    <row r="308" spans="1:11" s="753" customFormat="1">
      <c r="A308" s="756" t="s">
        <v>141</v>
      </c>
      <c r="B308" s="756" t="s">
        <v>30</v>
      </c>
      <c r="C308" s="756" t="s">
        <v>30</v>
      </c>
      <c r="D308" s="756"/>
      <c r="E308" s="756"/>
      <c r="G308" s="754"/>
      <c r="H308" s="756" t="s">
        <v>30</v>
      </c>
      <c r="I308" s="756" t="s">
        <v>30</v>
      </c>
      <c r="J308" s="756"/>
      <c r="K308" s="756"/>
    </row>
    <row r="309" spans="1:11" s="753" customFormat="1">
      <c r="A309" s="95">
        <f>A303+1</f>
        <v>44698</v>
      </c>
      <c r="B309" s="756" t="s">
        <v>34</v>
      </c>
      <c r="C309" s="756" t="s">
        <v>131</v>
      </c>
      <c r="D309" s="756" t="s">
        <v>192</v>
      </c>
      <c r="E309" s="756" t="s">
        <v>132</v>
      </c>
      <c r="G309" s="96" t="s">
        <v>135</v>
      </c>
      <c r="H309" s="756" t="s">
        <v>34</v>
      </c>
      <c r="I309" s="756" t="s">
        <v>131</v>
      </c>
      <c r="J309" s="756" t="s">
        <v>192</v>
      </c>
      <c r="K309" s="756" t="s">
        <v>132</v>
      </c>
    </row>
    <row r="310" spans="1:11" s="753" customFormat="1">
      <c r="A310" s="754" t="s">
        <v>191</v>
      </c>
      <c r="B310" s="255">
        <v>0</v>
      </c>
      <c r="C310" s="255">
        <v>0</v>
      </c>
      <c r="D310" s="255">
        <v>6967</v>
      </c>
      <c r="E310" s="255">
        <f>SUM(B310:D310)</f>
        <v>6967</v>
      </c>
      <c r="G310" s="754" t="s">
        <v>191</v>
      </c>
      <c r="H310" s="756">
        <f>B310+H304</f>
        <v>0</v>
      </c>
      <c r="I310" s="756">
        <f t="shared" ref="I310:I312" si="251">C310+I304</f>
        <v>0</v>
      </c>
      <c r="J310" s="756">
        <f>D310+J304</f>
        <v>259828</v>
      </c>
      <c r="K310" s="756">
        <f t="shared" ref="K310:K311" si="252">E310+K304</f>
        <v>259828</v>
      </c>
    </row>
    <row r="311" spans="1:11" s="753" customFormat="1">
      <c r="A311" s="754" t="s">
        <v>134</v>
      </c>
      <c r="B311" s="756">
        <v>0</v>
      </c>
      <c r="C311" s="756">
        <v>2350</v>
      </c>
      <c r="D311" s="756"/>
      <c r="E311" s="756">
        <f>SUM(B311:D311)</f>
        <v>2350</v>
      </c>
      <c r="G311" s="754" t="s">
        <v>134</v>
      </c>
      <c r="H311" s="756">
        <f t="shared" ref="H311:H312" si="253">B311+H305</f>
        <v>9110</v>
      </c>
      <c r="I311" s="756">
        <f t="shared" si="251"/>
        <v>108218</v>
      </c>
      <c r="J311" s="756">
        <f t="shared" ref="J311" si="254">D311+J305</f>
        <v>0</v>
      </c>
      <c r="K311" s="756">
        <f t="shared" si="252"/>
        <v>117891</v>
      </c>
    </row>
    <row r="312" spans="1:11" s="753" customFormat="1">
      <c r="A312" s="754" t="s">
        <v>86</v>
      </c>
      <c r="B312" s="756">
        <f>B310-B311</f>
        <v>0</v>
      </c>
      <c r="C312" s="756">
        <f>C310-C311</f>
        <v>-2350</v>
      </c>
      <c r="D312" s="756">
        <f t="shared" ref="D312" si="255">D310-D311</f>
        <v>6967</v>
      </c>
      <c r="E312" s="756">
        <f>SUM(B312:D312)</f>
        <v>4617</v>
      </c>
      <c r="G312" s="754" t="s">
        <v>86</v>
      </c>
      <c r="H312" s="756">
        <f t="shared" si="253"/>
        <v>-9110</v>
      </c>
      <c r="I312" s="756">
        <f t="shared" si="251"/>
        <v>-108781</v>
      </c>
      <c r="J312" s="756">
        <f>D312+J306</f>
        <v>259828</v>
      </c>
      <c r="K312" s="756">
        <f>E312+K306</f>
        <v>141937</v>
      </c>
    </row>
    <row r="313" spans="1:11" s="753" customFormat="1">
      <c r="B313" s="659"/>
      <c r="C313" s="659"/>
      <c r="D313" s="659"/>
      <c r="E313" s="659"/>
    </row>
    <row r="314" spans="1:11" s="753" customFormat="1">
      <c r="A314" s="756" t="s">
        <v>141</v>
      </c>
      <c r="B314" s="756" t="s">
        <v>30</v>
      </c>
      <c r="C314" s="756" t="s">
        <v>30</v>
      </c>
      <c r="D314" s="756"/>
      <c r="E314" s="756"/>
      <c r="G314" s="754"/>
      <c r="H314" s="756" t="s">
        <v>30</v>
      </c>
      <c r="I314" s="756" t="s">
        <v>30</v>
      </c>
      <c r="J314" s="756"/>
      <c r="K314" s="756"/>
    </row>
    <row r="315" spans="1:11" s="753" customFormat="1">
      <c r="A315" s="95">
        <f>A309+1</f>
        <v>44699</v>
      </c>
      <c r="B315" s="756" t="s">
        <v>34</v>
      </c>
      <c r="C315" s="756" t="s">
        <v>131</v>
      </c>
      <c r="D315" s="756" t="s">
        <v>192</v>
      </c>
      <c r="E315" s="756" t="s">
        <v>132</v>
      </c>
      <c r="G315" s="96" t="s">
        <v>135</v>
      </c>
      <c r="H315" s="756" t="s">
        <v>34</v>
      </c>
      <c r="I315" s="756" t="s">
        <v>131</v>
      </c>
      <c r="J315" s="756" t="s">
        <v>192</v>
      </c>
      <c r="K315" s="756" t="s">
        <v>132</v>
      </c>
    </row>
    <row r="316" spans="1:11" s="753" customFormat="1">
      <c r="A316" s="754" t="s">
        <v>191</v>
      </c>
      <c r="B316" s="255">
        <v>0</v>
      </c>
      <c r="C316" s="255">
        <v>0</v>
      </c>
      <c r="D316" s="753">
        <v>6946</v>
      </c>
      <c r="E316" s="255">
        <f>SUM(B316:D316)</f>
        <v>6946</v>
      </c>
      <c r="G316" s="754" t="s">
        <v>191</v>
      </c>
      <c r="H316" s="756">
        <f>B316+H310</f>
        <v>0</v>
      </c>
      <c r="I316" s="756">
        <f t="shared" ref="I316:I318" si="256">C316+I310</f>
        <v>0</v>
      </c>
      <c r="J316" s="756">
        <f>D316+J310</f>
        <v>266774</v>
      </c>
      <c r="K316" s="756">
        <f t="shared" ref="K316:K317" si="257">E316+K310</f>
        <v>266774</v>
      </c>
    </row>
    <row r="317" spans="1:11" s="753" customFormat="1">
      <c r="A317" s="754" t="s">
        <v>134</v>
      </c>
      <c r="B317" s="756">
        <v>0</v>
      </c>
      <c r="C317" s="756">
        <v>2545</v>
      </c>
      <c r="D317" s="756"/>
      <c r="E317" s="756">
        <f>SUM(B317:D317)</f>
        <v>2545</v>
      </c>
      <c r="G317" s="754" t="s">
        <v>134</v>
      </c>
      <c r="H317" s="756">
        <f t="shared" ref="H317:H318" si="258">B317+H311</f>
        <v>9110</v>
      </c>
      <c r="I317" s="756">
        <f t="shared" si="256"/>
        <v>110763</v>
      </c>
      <c r="J317" s="756">
        <f t="shared" ref="J317" si="259">D317+J311</f>
        <v>0</v>
      </c>
      <c r="K317" s="756">
        <f t="shared" si="257"/>
        <v>120436</v>
      </c>
    </row>
    <row r="318" spans="1:11" s="753" customFormat="1">
      <c r="A318" s="754" t="s">
        <v>86</v>
      </c>
      <c r="B318" s="756">
        <f>B316-B317</f>
        <v>0</v>
      </c>
      <c r="C318" s="756">
        <f>C316-C317</f>
        <v>-2545</v>
      </c>
      <c r="D318" s="756">
        <f t="shared" ref="D318" si="260">D316-D317</f>
        <v>6946</v>
      </c>
      <c r="E318" s="756">
        <f>SUM(B318:D318)</f>
        <v>4401</v>
      </c>
      <c r="G318" s="754" t="s">
        <v>86</v>
      </c>
      <c r="H318" s="756">
        <f t="shared" si="258"/>
        <v>-9110</v>
      </c>
      <c r="I318" s="756">
        <f t="shared" si="256"/>
        <v>-111326</v>
      </c>
      <c r="J318" s="756">
        <f>D318+J312</f>
        <v>266774</v>
      </c>
      <c r="K318" s="756">
        <f>E318+K312</f>
        <v>146338</v>
      </c>
    </row>
    <row r="320" spans="1:11">
      <c r="A320" s="756" t="s">
        <v>141</v>
      </c>
      <c r="B320" s="756" t="s">
        <v>30</v>
      </c>
      <c r="C320" s="756" t="s">
        <v>30</v>
      </c>
      <c r="D320" s="756"/>
      <c r="E320" s="756"/>
      <c r="F320" s="753"/>
      <c r="G320" s="754"/>
      <c r="H320" s="756" t="s">
        <v>30</v>
      </c>
      <c r="I320" s="756" t="s">
        <v>30</v>
      </c>
      <c r="J320" s="756"/>
      <c r="K320" s="756"/>
    </row>
    <row r="321" spans="1:11">
      <c r="A321" s="95">
        <f>A315+1</f>
        <v>44700</v>
      </c>
      <c r="B321" s="756" t="s">
        <v>34</v>
      </c>
      <c r="C321" s="756" t="s">
        <v>131</v>
      </c>
      <c r="D321" s="756" t="s">
        <v>192</v>
      </c>
      <c r="E321" s="756" t="s">
        <v>132</v>
      </c>
      <c r="F321" s="753"/>
      <c r="G321" s="96" t="s">
        <v>135</v>
      </c>
      <c r="H321" s="756" t="s">
        <v>34</v>
      </c>
      <c r="I321" s="756" t="s">
        <v>131</v>
      </c>
      <c r="J321" s="756" t="s">
        <v>192</v>
      </c>
      <c r="K321" s="756" t="s">
        <v>132</v>
      </c>
    </row>
    <row r="322" spans="1:11">
      <c r="A322" s="754" t="s">
        <v>191</v>
      </c>
      <c r="B322" s="788">
        <v>0</v>
      </c>
      <c r="C322" s="788">
        <v>0</v>
      </c>
      <c r="D322" s="753">
        <v>6546</v>
      </c>
      <c r="E322" s="788">
        <f>SUM(B322:D322)</f>
        <v>6546</v>
      </c>
      <c r="F322" s="753"/>
      <c r="G322" s="754" t="s">
        <v>191</v>
      </c>
      <c r="H322" s="756">
        <f>B322+H316</f>
        <v>0</v>
      </c>
      <c r="I322" s="756">
        <f t="shared" ref="I322:I324" si="261">C322+I316</f>
        <v>0</v>
      </c>
      <c r="J322" s="756">
        <f>D322+J316</f>
        <v>273320</v>
      </c>
      <c r="K322" s="756">
        <f t="shared" ref="K322:K323" si="262">E322+K316</f>
        <v>273320</v>
      </c>
    </row>
    <row r="323" spans="1:11">
      <c r="A323" s="754" t="s">
        <v>134</v>
      </c>
      <c r="B323" s="756">
        <v>0</v>
      </c>
      <c r="C323" s="756">
        <v>3002</v>
      </c>
      <c r="D323" s="756"/>
      <c r="E323" s="756">
        <f>SUM(B323:D323)</f>
        <v>3002</v>
      </c>
      <c r="F323" s="753"/>
      <c r="G323" s="754" t="s">
        <v>134</v>
      </c>
      <c r="H323" s="756">
        <f t="shared" ref="H323:H324" si="263">B323+H317</f>
        <v>9110</v>
      </c>
      <c r="I323" s="756">
        <f t="shared" si="261"/>
        <v>113765</v>
      </c>
      <c r="J323" s="756">
        <f t="shared" ref="J323" si="264">D323+J317</f>
        <v>0</v>
      </c>
      <c r="K323" s="756">
        <f t="shared" si="262"/>
        <v>123438</v>
      </c>
    </row>
    <row r="324" spans="1:11">
      <c r="A324" s="754" t="s">
        <v>86</v>
      </c>
      <c r="B324" s="756">
        <f>B322-B323</f>
        <v>0</v>
      </c>
      <c r="C324" s="756">
        <f>C322-C323</f>
        <v>-3002</v>
      </c>
      <c r="D324" s="756">
        <f t="shared" ref="D324" si="265">D322-D323</f>
        <v>6546</v>
      </c>
      <c r="E324" s="756">
        <f>SUM(B324:D324)</f>
        <v>3544</v>
      </c>
      <c r="F324" s="753"/>
      <c r="G324" s="754" t="s">
        <v>86</v>
      </c>
      <c r="H324" s="756">
        <f t="shared" si="263"/>
        <v>-9110</v>
      </c>
      <c r="I324" s="756">
        <f t="shared" si="261"/>
        <v>-114328</v>
      </c>
      <c r="J324" s="756">
        <f>D324+J318</f>
        <v>273320</v>
      </c>
      <c r="K324" s="756">
        <f>E324+K318</f>
        <v>149882</v>
      </c>
    </row>
    <row r="326" spans="1:11">
      <c r="A326" s="756" t="s">
        <v>141</v>
      </c>
      <c r="B326" s="756" t="s">
        <v>30</v>
      </c>
      <c r="C326" s="756" t="s">
        <v>30</v>
      </c>
      <c r="D326" s="756"/>
      <c r="E326" s="756"/>
      <c r="F326" s="753"/>
      <c r="G326" s="754"/>
      <c r="H326" s="756" t="s">
        <v>30</v>
      </c>
      <c r="I326" s="756" t="s">
        <v>30</v>
      </c>
      <c r="J326" s="756"/>
      <c r="K326" s="756"/>
    </row>
    <row r="327" spans="1:11">
      <c r="A327" s="95">
        <f>A321+1</f>
        <v>44701</v>
      </c>
      <c r="B327" s="756" t="s">
        <v>34</v>
      </c>
      <c r="C327" s="756" t="s">
        <v>131</v>
      </c>
      <c r="D327" s="756" t="s">
        <v>192</v>
      </c>
      <c r="E327" s="756" t="s">
        <v>132</v>
      </c>
      <c r="F327" s="753"/>
      <c r="G327" s="96" t="s">
        <v>135</v>
      </c>
      <c r="H327" s="756" t="s">
        <v>34</v>
      </c>
      <c r="I327" s="756" t="s">
        <v>131</v>
      </c>
      <c r="J327" s="756" t="s">
        <v>192</v>
      </c>
      <c r="K327" s="756" t="s">
        <v>132</v>
      </c>
    </row>
    <row r="328" spans="1:11">
      <c r="A328" s="754" t="s">
        <v>191</v>
      </c>
      <c r="B328" s="788">
        <v>0</v>
      </c>
      <c r="C328" s="788">
        <v>0</v>
      </c>
      <c r="D328" s="753">
        <v>4862</v>
      </c>
      <c r="E328" s="788">
        <f>SUM(B328:D328)</f>
        <v>4862</v>
      </c>
      <c r="F328" s="753"/>
      <c r="G328" s="754" t="s">
        <v>191</v>
      </c>
      <c r="H328" s="756">
        <f>B328+H322</f>
        <v>0</v>
      </c>
      <c r="I328" s="756">
        <f t="shared" ref="I328:I330" si="266">C328+I322</f>
        <v>0</v>
      </c>
      <c r="J328" s="756">
        <f>D328+J322</f>
        <v>278182</v>
      </c>
      <c r="K328" s="756">
        <f t="shared" ref="K328:K329" si="267">E328+K322</f>
        <v>278182</v>
      </c>
    </row>
    <row r="329" spans="1:11">
      <c r="A329" s="754" t="s">
        <v>134</v>
      </c>
      <c r="B329" s="756">
        <v>0</v>
      </c>
      <c r="C329" s="756">
        <v>1975</v>
      </c>
      <c r="D329" s="756"/>
      <c r="E329" s="756">
        <f>SUM(B329:D329)</f>
        <v>1975</v>
      </c>
      <c r="F329" s="753"/>
      <c r="G329" s="754" t="s">
        <v>134</v>
      </c>
      <c r="H329" s="756">
        <f t="shared" ref="H329:H330" si="268">B329+H323</f>
        <v>9110</v>
      </c>
      <c r="I329" s="756">
        <f t="shared" si="266"/>
        <v>115740</v>
      </c>
      <c r="J329" s="756">
        <f t="shared" ref="J329" si="269">D329+J323</f>
        <v>0</v>
      </c>
      <c r="K329" s="756">
        <f t="shared" si="267"/>
        <v>125413</v>
      </c>
    </row>
    <row r="330" spans="1:11">
      <c r="A330" s="754" t="s">
        <v>86</v>
      </c>
      <c r="B330" s="756">
        <f>B328-B329</f>
        <v>0</v>
      </c>
      <c r="C330" s="756">
        <f>C328-C329</f>
        <v>-1975</v>
      </c>
      <c r="D330" s="756">
        <f t="shared" ref="D330" si="270">D328-D329</f>
        <v>4862</v>
      </c>
      <c r="E330" s="756">
        <f>SUM(B330:D330)</f>
        <v>2887</v>
      </c>
      <c r="F330" s="753"/>
      <c r="G330" s="754" t="s">
        <v>86</v>
      </c>
      <c r="H330" s="756">
        <f t="shared" si="268"/>
        <v>-9110</v>
      </c>
      <c r="I330" s="756">
        <f t="shared" si="266"/>
        <v>-116303</v>
      </c>
      <c r="J330" s="756">
        <f>D330+J324</f>
        <v>278182</v>
      </c>
      <c r="K330" s="756">
        <f>E330+K324</f>
        <v>152769</v>
      </c>
    </row>
    <row r="332" spans="1:11">
      <c r="A332" s="756" t="s">
        <v>141</v>
      </c>
      <c r="B332" s="756" t="s">
        <v>30</v>
      </c>
      <c r="C332" s="756" t="s">
        <v>30</v>
      </c>
      <c r="D332" s="756"/>
      <c r="E332" s="756"/>
      <c r="F332" s="753"/>
      <c r="G332" s="754"/>
      <c r="H332" s="756" t="s">
        <v>30</v>
      </c>
      <c r="I332" s="756" t="s">
        <v>30</v>
      </c>
      <c r="J332" s="756"/>
      <c r="K332" s="756"/>
    </row>
    <row r="333" spans="1:11">
      <c r="A333" s="95">
        <f>A327+1</f>
        <v>44702</v>
      </c>
      <c r="B333" s="756" t="s">
        <v>34</v>
      </c>
      <c r="C333" s="756" t="s">
        <v>131</v>
      </c>
      <c r="D333" s="756" t="s">
        <v>192</v>
      </c>
      <c r="E333" s="756" t="s">
        <v>132</v>
      </c>
      <c r="F333" s="753"/>
      <c r="G333" s="96" t="s">
        <v>135</v>
      </c>
      <c r="H333" s="756" t="s">
        <v>34</v>
      </c>
      <c r="I333" s="756" t="s">
        <v>131</v>
      </c>
      <c r="J333" s="756" t="s">
        <v>192</v>
      </c>
      <c r="K333" s="756" t="s">
        <v>132</v>
      </c>
    </row>
    <row r="334" spans="1:11">
      <c r="A334" s="754" t="s">
        <v>191</v>
      </c>
      <c r="B334" s="788">
        <v>0</v>
      </c>
      <c r="C334" s="788">
        <v>0</v>
      </c>
      <c r="D334" s="753">
        <v>2477</v>
      </c>
      <c r="E334" s="788">
        <f>SUM(B334:D334)</f>
        <v>2477</v>
      </c>
      <c r="F334" s="753"/>
      <c r="G334" s="754" t="s">
        <v>191</v>
      </c>
      <c r="H334" s="756">
        <f>B334+H328</f>
        <v>0</v>
      </c>
      <c r="I334" s="756">
        <f t="shared" ref="I334:I336" si="271">C334+I328</f>
        <v>0</v>
      </c>
      <c r="J334" s="756">
        <f>D334+J328</f>
        <v>280659</v>
      </c>
      <c r="K334" s="756">
        <f t="shared" ref="K334:K335" si="272">E334+K328</f>
        <v>280659</v>
      </c>
    </row>
    <row r="335" spans="1:11">
      <c r="A335" s="754" t="s">
        <v>134</v>
      </c>
      <c r="B335" s="756">
        <v>400</v>
      </c>
      <c r="C335" s="756">
        <v>1891</v>
      </c>
      <c r="D335" s="756"/>
      <c r="E335" s="756">
        <f>SUM(B335:D335)</f>
        <v>2291</v>
      </c>
      <c r="F335" s="753"/>
      <c r="G335" s="754" t="s">
        <v>134</v>
      </c>
      <c r="H335" s="756">
        <f t="shared" ref="H335:H336" si="273">B335+H329</f>
        <v>9510</v>
      </c>
      <c r="I335" s="756">
        <f t="shared" si="271"/>
        <v>117631</v>
      </c>
      <c r="J335" s="756">
        <f t="shared" ref="J335" si="274">D335+J329</f>
        <v>0</v>
      </c>
      <c r="K335" s="756">
        <f t="shared" si="272"/>
        <v>127704</v>
      </c>
    </row>
    <row r="336" spans="1:11">
      <c r="A336" s="754" t="s">
        <v>86</v>
      </c>
      <c r="B336" s="756">
        <f>B334-B335</f>
        <v>-400</v>
      </c>
      <c r="C336" s="756">
        <f>C334-C335</f>
        <v>-1891</v>
      </c>
      <c r="D336" s="756">
        <f t="shared" ref="D336" si="275">D334-D335</f>
        <v>2477</v>
      </c>
      <c r="E336" s="756">
        <f>SUM(B336:D336)</f>
        <v>186</v>
      </c>
      <c r="F336" s="753"/>
      <c r="G336" s="754" t="s">
        <v>86</v>
      </c>
      <c r="H336" s="756">
        <f t="shared" si="273"/>
        <v>-9510</v>
      </c>
      <c r="I336" s="756">
        <f t="shared" si="271"/>
        <v>-118194</v>
      </c>
      <c r="J336" s="756">
        <f>D336+J330</f>
        <v>280659</v>
      </c>
      <c r="K336" s="756">
        <f>E336+K330</f>
        <v>152955</v>
      </c>
    </row>
    <row r="338" spans="1:11">
      <c r="A338" s="756" t="s">
        <v>141</v>
      </c>
      <c r="B338" s="756" t="s">
        <v>30</v>
      </c>
      <c r="C338" s="756" t="s">
        <v>30</v>
      </c>
      <c r="D338" s="756"/>
      <c r="E338" s="756"/>
      <c r="F338" s="753"/>
      <c r="G338" s="754"/>
      <c r="H338" s="756" t="s">
        <v>30</v>
      </c>
      <c r="I338" s="756" t="s">
        <v>30</v>
      </c>
      <c r="J338" s="756"/>
      <c r="K338" s="756"/>
    </row>
    <row r="339" spans="1:11">
      <c r="A339" s="95">
        <f>A333+1</f>
        <v>44703</v>
      </c>
      <c r="B339" s="756" t="s">
        <v>34</v>
      </c>
      <c r="C339" s="756" t="s">
        <v>131</v>
      </c>
      <c r="D339" s="756" t="s">
        <v>192</v>
      </c>
      <c r="E339" s="756" t="s">
        <v>132</v>
      </c>
      <c r="F339" s="753"/>
      <c r="G339" s="96" t="s">
        <v>135</v>
      </c>
      <c r="H339" s="756" t="s">
        <v>34</v>
      </c>
      <c r="I339" s="756" t="s">
        <v>131</v>
      </c>
      <c r="J339" s="756" t="s">
        <v>192</v>
      </c>
      <c r="K339" s="756" t="s">
        <v>132</v>
      </c>
    </row>
    <row r="340" spans="1:11">
      <c r="A340" s="754" t="s">
        <v>191</v>
      </c>
      <c r="B340" s="788">
        <v>0</v>
      </c>
      <c r="C340" s="788">
        <v>0</v>
      </c>
      <c r="D340" s="753">
        <v>2520</v>
      </c>
      <c r="E340" s="788">
        <f>SUM(B340:D340)</f>
        <v>2520</v>
      </c>
      <c r="F340" s="753"/>
      <c r="G340" s="754" t="s">
        <v>191</v>
      </c>
      <c r="H340" s="756">
        <f>B340+H334</f>
        <v>0</v>
      </c>
      <c r="I340" s="756">
        <f t="shared" ref="I340:I342" si="276">C340+I334</f>
        <v>0</v>
      </c>
      <c r="J340" s="756">
        <f>D340+J334</f>
        <v>283179</v>
      </c>
      <c r="K340" s="756">
        <f t="shared" ref="K340:K341" si="277">E340+K334</f>
        <v>283179</v>
      </c>
    </row>
    <row r="341" spans="1:11">
      <c r="A341" s="754" t="s">
        <v>134</v>
      </c>
      <c r="B341" s="756">
        <v>349</v>
      </c>
      <c r="C341" s="756">
        <v>1905</v>
      </c>
      <c r="D341" s="756"/>
      <c r="E341" s="756">
        <f>SUM(B341:D341)</f>
        <v>2254</v>
      </c>
      <c r="F341" s="753"/>
      <c r="G341" s="754" t="s">
        <v>134</v>
      </c>
      <c r="H341" s="756">
        <f t="shared" ref="H341:H342" si="278">B341+H335</f>
        <v>9859</v>
      </c>
      <c r="I341" s="756">
        <f t="shared" si="276"/>
        <v>119536</v>
      </c>
      <c r="J341" s="756">
        <f t="shared" ref="J341" si="279">D341+J335</f>
        <v>0</v>
      </c>
      <c r="K341" s="756">
        <f t="shared" si="277"/>
        <v>129958</v>
      </c>
    </row>
    <row r="342" spans="1:11">
      <c r="A342" s="754" t="s">
        <v>86</v>
      </c>
      <c r="B342" s="756">
        <f>B340-B341</f>
        <v>-349</v>
      </c>
      <c r="C342" s="756">
        <f>C340-C341</f>
        <v>-1905</v>
      </c>
      <c r="D342" s="756">
        <f t="shared" ref="D342" si="280">D340-D341</f>
        <v>2520</v>
      </c>
      <c r="E342" s="756">
        <f>SUM(B342:D342)</f>
        <v>266</v>
      </c>
      <c r="F342" s="753"/>
      <c r="G342" s="754" t="s">
        <v>86</v>
      </c>
      <c r="H342" s="756">
        <f t="shared" si="278"/>
        <v>-9859</v>
      </c>
      <c r="I342" s="756">
        <f t="shared" si="276"/>
        <v>-120099</v>
      </c>
      <c r="J342" s="756">
        <f>D342+J336</f>
        <v>283179</v>
      </c>
      <c r="K342" s="756">
        <f>E342+K336</f>
        <v>153221</v>
      </c>
    </row>
    <row r="344" spans="1:11">
      <c r="A344" s="756" t="s">
        <v>141</v>
      </c>
      <c r="B344" s="756" t="s">
        <v>30</v>
      </c>
      <c r="C344" s="756" t="s">
        <v>30</v>
      </c>
      <c r="D344" s="756"/>
      <c r="E344" s="756"/>
      <c r="F344" s="753"/>
      <c r="G344" s="754"/>
      <c r="H344" s="756" t="s">
        <v>30</v>
      </c>
      <c r="I344" s="756" t="s">
        <v>30</v>
      </c>
      <c r="J344" s="756"/>
      <c r="K344" s="756"/>
    </row>
    <row r="345" spans="1:11">
      <c r="A345" s="95">
        <f>A339+1</f>
        <v>44704</v>
      </c>
      <c r="B345" s="756" t="s">
        <v>34</v>
      </c>
      <c r="C345" s="756" t="s">
        <v>131</v>
      </c>
      <c r="D345" s="756" t="s">
        <v>192</v>
      </c>
      <c r="E345" s="756" t="s">
        <v>132</v>
      </c>
      <c r="F345" s="753"/>
      <c r="G345" s="96" t="s">
        <v>135</v>
      </c>
      <c r="H345" s="756" t="s">
        <v>34</v>
      </c>
      <c r="I345" s="756" t="s">
        <v>131</v>
      </c>
      <c r="J345" s="756" t="s">
        <v>192</v>
      </c>
      <c r="K345" s="756" t="s">
        <v>132</v>
      </c>
    </row>
    <row r="346" spans="1:11">
      <c r="A346" s="754" t="s">
        <v>191</v>
      </c>
      <c r="B346" s="788">
        <v>0</v>
      </c>
      <c r="C346" s="788">
        <v>0</v>
      </c>
      <c r="D346" s="753">
        <v>5905</v>
      </c>
      <c r="E346" s="788">
        <f>SUM(B346:D346)</f>
        <v>5905</v>
      </c>
      <c r="F346" s="753"/>
      <c r="G346" s="754" t="s">
        <v>191</v>
      </c>
      <c r="H346" s="756">
        <f>B346+H340</f>
        <v>0</v>
      </c>
      <c r="I346" s="756">
        <f t="shared" ref="I346:I348" si="281">C346+I340</f>
        <v>0</v>
      </c>
      <c r="J346" s="756">
        <f>D346+J340</f>
        <v>289084</v>
      </c>
      <c r="K346" s="756">
        <f t="shared" ref="K346:K347" si="282">E346+K340</f>
        <v>289084</v>
      </c>
    </row>
    <row r="347" spans="1:11">
      <c r="A347" s="754" t="s">
        <v>134</v>
      </c>
      <c r="B347" s="756">
        <v>0</v>
      </c>
      <c r="C347" s="756">
        <v>2237</v>
      </c>
      <c r="D347" s="756"/>
      <c r="E347" s="756">
        <f>SUM(B347:D347)</f>
        <v>2237</v>
      </c>
      <c r="F347" s="753"/>
      <c r="G347" s="754" t="s">
        <v>134</v>
      </c>
      <c r="H347" s="756">
        <f t="shared" ref="H347:H348" si="283">B347+H341</f>
        <v>9859</v>
      </c>
      <c r="I347" s="756">
        <f t="shared" si="281"/>
        <v>121773</v>
      </c>
      <c r="J347" s="756">
        <f t="shared" ref="J347" si="284">D347+J341</f>
        <v>0</v>
      </c>
      <c r="K347" s="756">
        <f t="shared" si="282"/>
        <v>132195</v>
      </c>
    </row>
    <row r="348" spans="1:11">
      <c r="A348" s="754" t="s">
        <v>86</v>
      </c>
      <c r="B348" s="756">
        <f>B346-B347</f>
        <v>0</v>
      </c>
      <c r="C348" s="756">
        <f>C346-C347</f>
        <v>-2237</v>
      </c>
      <c r="D348" s="756">
        <f t="shared" ref="D348" si="285">D346-D347</f>
        <v>5905</v>
      </c>
      <c r="E348" s="756">
        <f>SUM(B348:D348)</f>
        <v>3668</v>
      </c>
      <c r="F348" s="753"/>
      <c r="G348" s="754" t="s">
        <v>86</v>
      </c>
      <c r="H348" s="756">
        <f t="shared" si="283"/>
        <v>-9859</v>
      </c>
      <c r="I348" s="756">
        <f t="shared" si="281"/>
        <v>-122336</v>
      </c>
      <c r="J348" s="756">
        <f>D348+J342</f>
        <v>289084</v>
      </c>
      <c r="K348" s="756">
        <f>E348+K342</f>
        <v>156889</v>
      </c>
    </row>
    <row r="350" spans="1:11">
      <c r="A350" s="756" t="s">
        <v>141</v>
      </c>
      <c r="B350" s="756" t="s">
        <v>30</v>
      </c>
      <c r="C350" s="756" t="s">
        <v>30</v>
      </c>
      <c r="D350" s="756"/>
      <c r="E350" s="756"/>
      <c r="F350" s="753"/>
      <c r="G350" s="754"/>
      <c r="H350" s="756" t="s">
        <v>30</v>
      </c>
      <c r="I350" s="756" t="s">
        <v>30</v>
      </c>
      <c r="J350" s="756"/>
      <c r="K350" s="756"/>
    </row>
    <row r="351" spans="1:11">
      <c r="A351" s="95">
        <f>A345+1</f>
        <v>44705</v>
      </c>
      <c r="B351" s="756" t="s">
        <v>34</v>
      </c>
      <c r="C351" s="756" t="s">
        <v>131</v>
      </c>
      <c r="D351" s="756" t="s">
        <v>192</v>
      </c>
      <c r="E351" s="756" t="s">
        <v>132</v>
      </c>
      <c r="F351" s="753"/>
      <c r="G351" s="96" t="s">
        <v>135</v>
      </c>
      <c r="H351" s="756" t="s">
        <v>34</v>
      </c>
      <c r="I351" s="756" t="s">
        <v>131</v>
      </c>
      <c r="J351" s="756" t="s">
        <v>192</v>
      </c>
      <c r="K351" s="756" t="s">
        <v>132</v>
      </c>
    </row>
    <row r="352" spans="1:11">
      <c r="A352" s="754" t="s">
        <v>191</v>
      </c>
      <c r="B352" s="788">
        <v>0</v>
      </c>
      <c r="C352" s="788">
        <v>0</v>
      </c>
      <c r="D352" s="753">
        <v>7199</v>
      </c>
      <c r="E352" s="788">
        <f>SUM(B352:D352)</f>
        <v>7199</v>
      </c>
      <c r="F352" s="753"/>
      <c r="G352" s="754" t="s">
        <v>191</v>
      </c>
      <c r="H352" s="756">
        <f>B352+H346</f>
        <v>0</v>
      </c>
      <c r="I352" s="756">
        <f t="shared" ref="I352:I354" si="286">C352+I346</f>
        <v>0</v>
      </c>
      <c r="J352" s="756">
        <f>D352+J346</f>
        <v>296283</v>
      </c>
      <c r="K352" s="756">
        <f t="shared" ref="K352:K353" si="287">E352+K346</f>
        <v>296283</v>
      </c>
    </row>
    <row r="353" spans="1:11">
      <c r="A353" s="754" t="s">
        <v>134</v>
      </c>
      <c r="B353" s="756">
        <v>0</v>
      </c>
      <c r="C353" s="756">
        <v>2762</v>
      </c>
      <c r="D353" s="756"/>
      <c r="E353" s="756">
        <f>SUM(B353:D353)</f>
        <v>2762</v>
      </c>
      <c r="F353" s="753"/>
      <c r="G353" s="754" t="s">
        <v>134</v>
      </c>
      <c r="H353" s="756">
        <f t="shared" ref="H353:H354" si="288">B353+H347</f>
        <v>9859</v>
      </c>
      <c r="I353" s="756">
        <f t="shared" si="286"/>
        <v>124535</v>
      </c>
      <c r="J353" s="756">
        <f t="shared" ref="J353" si="289">D353+J347</f>
        <v>0</v>
      </c>
      <c r="K353" s="756">
        <f t="shared" si="287"/>
        <v>134957</v>
      </c>
    </row>
    <row r="354" spans="1:11">
      <c r="A354" s="754" t="s">
        <v>86</v>
      </c>
      <c r="B354" s="756">
        <f>B352-B353</f>
        <v>0</v>
      </c>
      <c r="C354" s="756">
        <f>C352-C353</f>
        <v>-2762</v>
      </c>
      <c r="D354" s="756">
        <f t="shared" ref="D354" si="290">D352-D353</f>
        <v>7199</v>
      </c>
      <c r="E354" s="756">
        <f>SUM(B354:D354)</f>
        <v>4437</v>
      </c>
      <c r="F354" s="753"/>
      <c r="G354" s="754" t="s">
        <v>86</v>
      </c>
      <c r="H354" s="756">
        <f t="shared" si="288"/>
        <v>-9859</v>
      </c>
      <c r="I354" s="756">
        <f t="shared" si="286"/>
        <v>-125098</v>
      </c>
      <c r="J354" s="756">
        <f>D354+J348</f>
        <v>296283</v>
      </c>
      <c r="K354" s="756">
        <f>E354+K348</f>
        <v>161326</v>
      </c>
    </row>
    <row r="356" spans="1:11">
      <c r="A356" s="756" t="s">
        <v>141</v>
      </c>
      <c r="B356" s="756" t="s">
        <v>30</v>
      </c>
      <c r="C356" s="756" t="s">
        <v>30</v>
      </c>
      <c r="D356" s="756"/>
      <c r="E356" s="756"/>
      <c r="F356" s="753"/>
      <c r="G356" s="754"/>
      <c r="H356" s="756" t="s">
        <v>30</v>
      </c>
      <c r="I356" s="756" t="s">
        <v>30</v>
      </c>
      <c r="J356" s="756"/>
      <c r="K356" s="756"/>
    </row>
    <row r="357" spans="1:11">
      <c r="A357" s="95">
        <f>A351+1</f>
        <v>44706</v>
      </c>
      <c r="B357" s="756" t="s">
        <v>34</v>
      </c>
      <c r="C357" s="756" t="s">
        <v>131</v>
      </c>
      <c r="D357" s="756" t="s">
        <v>192</v>
      </c>
      <c r="E357" s="756" t="s">
        <v>132</v>
      </c>
      <c r="F357" s="753"/>
      <c r="G357" s="96" t="s">
        <v>135</v>
      </c>
      <c r="H357" s="756" t="s">
        <v>34</v>
      </c>
      <c r="I357" s="756" t="s">
        <v>131</v>
      </c>
      <c r="J357" s="756" t="s">
        <v>192</v>
      </c>
      <c r="K357" s="756" t="s">
        <v>132</v>
      </c>
    </row>
    <row r="358" spans="1:11">
      <c r="A358" s="754" t="s">
        <v>191</v>
      </c>
      <c r="B358" s="788">
        <v>0</v>
      </c>
      <c r="C358" s="788">
        <v>0</v>
      </c>
      <c r="D358" s="753">
        <v>6229</v>
      </c>
      <c r="E358" s="788">
        <f>SUM(B358:D358)</f>
        <v>6229</v>
      </c>
      <c r="F358" s="753"/>
      <c r="G358" s="754" t="s">
        <v>191</v>
      </c>
      <c r="H358" s="756">
        <f>B358+H352</f>
        <v>0</v>
      </c>
      <c r="I358" s="756">
        <f t="shared" ref="I358:I360" si="291">C358+I352</f>
        <v>0</v>
      </c>
      <c r="J358" s="756">
        <f>D358+J352</f>
        <v>302512</v>
      </c>
      <c r="K358" s="756">
        <f t="shared" ref="K358:K359" si="292">E358+K352</f>
        <v>302512</v>
      </c>
    </row>
    <row r="359" spans="1:11">
      <c r="A359" s="754" t="s">
        <v>134</v>
      </c>
      <c r="B359" s="756">
        <v>0</v>
      </c>
      <c r="C359" s="756">
        <v>1850</v>
      </c>
      <c r="D359" s="756"/>
      <c r="E359" s="756">
        <f>SUM(B359:D359)</f>
        <v>1850</v>
      </c>
      <c r="F359" s="753"/>
      <c r="G359" s="754" t="s">
        <v>134</v>
      </c>
      <c r="H359" s="756">
        <f t="shared" ref="H359:H360" si="293">B359+H353</f>
        <v>9859</v>
      </c>
      <c r="I359" s="756">
        <f t="shared" si="291"/>
        <v>126385</v>
      </c>
      <c r="J359" s="756">
        <f t="shared" ref="J359" si="294">D359+J353</f>
        <v>0</v>
      </c>
      <c r="K359" s="756">
        <f t="shared" si="292"/>
        <v>136807</v>
      </c>
    </row>
    <row r="360" spans="1:11">
      <c r="A360" s="754" t="s">
        <v>86</v>
      </c>
      <c r="B360" s="756">
        <f>B358-B359</f>
        <v>0</v>
      </c>
      <c r="C360" s="756">
        <f>C358-C359</f>
        <v>-1850</v>
      </c>
      <c r="D360" s="756">
        <f t="shared" ref="D360" si="295">D358-D359</f>
        <v>6229</v>
      </c>
      <c r="E360" s="756">
        <f>SUM(B360:D360)</f>
        <v>4379</v>
      </c>
      <c r="F360" s="753"/>
      <c r="G360" s="754" t="s">
        <v>86</v>
      </c>
      <c r="H360" s="756">
        <f t="shared" si="293"/>
        <v>-9859</v>
      </c>
      <c r="I360" s="756">
        <f t="shared" si="291"/>
        <v>-126948</v>
      </c>
      <c r="J360" s="756">
        <f>D360+J354</f>
        <v>302512</v>
      </c>
      <c r="K360" s="756">
        <f>E360+K354</f>
        <v>165705</v>
      </c>
    </row>
    <row r="362" spans="1:11">
      <c r="A362" s="756" t="s">
        <v>141</v>
      </c>
      <c r="B362" s="756" t="s">
        <v>30</v>
      </c>
      <c r="C362" s="756" t="s">
        <v>30</v>
      </c>
      <c r="D362" s="756"/>
      <c r="E362" s="756"/>
      <c r="F362" s="753"/>
      <c r="G362" s="754"/>
      <c r="H362" s="756" t="s">
        <v>30</v>
      </c>
      <c r="I362" s="756" t="s">
        <v>30</v>
      </c>
      <c r="J362" s="756"/>
      <c r="K362" s="756"/>
    </row>
    <row r="363" spans="1:11">
      <c r="A363" s="95">
        <f>A357+1</f>
        <v>44707</v>
      </c>
      <c r="B363" s="756" t="s">
        <v>34</v>
      </c>
      <c r="C363" s="756" t="s">
        <v>131</v>
      </c>
      <c r="D363" s="756" t="s">
        <v>192</v>
      </c>
      <c r="E363" s="756" t="s">
        <v>132</v>
      </c>
      <c r="F363" s="753"/>
      <c r="G363" s="96" t="s">
        <v>135</v>
      </c>
      <c r="H363" s="756" t="s">
        <v>34</v>
      </c>
      <c r="I363" s="756" t="s">
        <v>131</v>
      </c>
      <c r="J363" s="756" t="s">
        <v>192</v>
      </c>
      <c r="K363" s="756" t="s">
        <v>132</v>
      </c>
    </row>
    <row r="364" spans="1:11">
      <c r="A364" s="754" t="s">
        <v>191</v>
      </c>
      <c r="B364" s="788">
        <v>0</v>
      </c>
      <c r="C364" s="788">
        <v>0</v>
      </c>
      <c r="D364" s="788">
        <v>7126</v>
      </c>
      <c r="E364" s="788">
        <f>SUM(B364:D364)</f>
        <v>7126</v>
      </c>
      <c r="F364" s="753"/>
      <c r="G364" s="754" t="s">
        <v>191</v>
      </c>
      <c r="H364" s="756">
        <f>B364+H358</f>
        <v>0</v>
      </c>
      <c r="I364" s="756">
        <f t="shared" ref="I364:I366" si="296">C364+I358</f>
        <v>0</v>
      </c>
      <c r="J364" s="756">
        <f>D364+J358</f>
        <v>309638</v>
      </c>
      <c r="K364" s="756">
        <f t="shared" ref="K364:K365" si="297">E364+K358</f>
        <v>309638</v>
      </c>
    </row>
    <row r="365" spans="1:11">
      <c r="A365" s="754" t="s">
        <v>134</v>
      </c>
      <c r="B365" s="756">
        <v>0</v>
      </c>
      <c r="C365" s="756">
        <v>3167</v>
      </c>
      <c r="D365" s="756"/>
      <c r="E365" s="756">
        <f>SUM(B365:D365)</f>
        <v>3167</v>
      </c>
      <c r="F365" s="753"/>
      <c r="G365" s="754" t="s">
        <v>134</v>
      </c>
      <c r="H365" s="756">
        <f t="shared" ref="H365:H366" si="298">B365+H359</f>
        <v>9859</v>
      </c>
      <c r="I365" s="756">
        <f t="shared" si="296"/>
        <v>129552</v>
      </c>
      <c r="J365" s="756">
        <f t="shared" ref="J365" si="299">D365+J359</f>
        <v>0</v>
      </c>
      <c r="K365" s="756">
        <f t="shared" si="297"/>
        <v>139974</v>
      </c>
    </row>
    <row r="366" spans="1:11">
      <c r="A366" s="754" t="s">
        <v>86</v>
      </c>
      <c r="B366" s="756">
        <f>B364-B365</f>
        <v>0</v>
      </c>
      <c r="C366" s="756">
        <f>C364-C365</f>
        <v>-3167</v>
      </c>
      <c r="D366" s="756">
        <f t="shared" ref="D366" si="300">D364-D365</f>
        <v>7126</v>
      </c>
      <c r="E366" s="756">
        <f>SUM(B366:D366)</f>
        <v>3959</v>
      </c>
      <c r="F366" s="753"/>
      <c r="G366" s="754" t="s">
        <v>86</v>
      </c>
      <c r="H366" s="756">
        <f t="shared" si="298"/>
        <v>-9859</v>
      </c>
      <c r="I366" s="756">
        <f t="shared" si="296"/>
        <v>-130115</v>
      </c>
      <c r="J366" s="756">
        <f>D366+J360</f>
        <v>309638</v>
      </c>
      <c r="K366" s="756">
        <f>E366+K360</f>
        <v>169664</v>
      </c>
    </row>
    <row r="368" spans="1:11">
      <c r="A368" s="756" t="s">
        <v>141</v>
      </c>
      <c r="B368" s="756" t="s">
        <v>30</v>
      </c>
      <c r="C368" s="756" t="s">
        <v>30</v>
      </c>
      <c r="D368" s="756"/>
      <c r="E368" s="756"/>
      <c r="F368" s="753"/>
      <c r="G368" s="754"/>
      <c r="H368" s="756" t="s">
        <v>30</v>
      </c>
      <c r="I368" s="756" t="s">
        <v>30</v>
      </c>
      <c r="J368" s="756"/>
      <c r="K368" s="756"/>
    </row>
    <row r="369" spans="1:11">
      <c r="A369" s="95">
        <f>A363+1</f>
        <v>44708</v>
      </c>
      <c r="B369" s="756" t="s">
        <v>34</v>
      </c>
      <c r="C369" s="756" t="s">
        <v>131</v>
      </c>
      <c r="D369" s="756" t="s">
        <v>192</v>
      </c>
      <c r="E369" s="756" t="s">
        <v>132</v>
      </c>
      <c r="F369" s="753"/>
      <c r="G369" s="96" t="s">
        <v>135</v>
      </c>
      <c r="H369" s="756" t="s">
        <v>34</v>
      </c>
      <c r="I369" s="756" t="s">
        <v>131</v>
      </c>
      <c r="J369" s="756" t="s">
        <v>192</v>
      </c>
      <c r="K369" s="756" t="s">
        <v>132</v>
      </c>
    </row>
    <row r="370" spans="1:11">
      <c r="A370" s="754" t="s">
        <v>191</v>
      </c>
      <c r="B370" s="788">
        <v>0</v>
      </c>
      <c r="C370" s="788">
        <v>0</v>
      </c>
      <c r="D370" s="829">
        <v>4952</v>
      </c>
      <c r="E370" s="788">
        <f>SUM(B370:D370)</f>
        <v>4952</v>
      </c>
      <c r="F370" s="753"/>
      <c r="G370" s="754" t="s">
        <v>191</v>
      </c>
      <c r="H370" s="756">
        <f>B370+H364</f>
        <v>0</v>
      </c>
      <c r="I370" s="756">
        <f t="shared" ref="I370:I372" si="301">C370+I364</f>
        <v>0</v>
      </c>
      <c r="J370" s="756">
        <f>D370+J364</f>
        <v>314590</v>
      </c>
      <c r="K370" s="756">
        <f t="shared" ref="K370:K371" si="302">E370+K364</f>
        <v>314590</v>
      </c>
    </row>
    <row r="371" spans="1:11">
      <c r="A371" s="754" t="s">
        <v>134</v>
      </c>
      <c r="B371" s="756">
        <v>0</v>
      </c>
      <c r="C371" s="756">
        <v>2268</v>
      </c>
      <c r="D371" s="756"/>
      <c r="E371" s="756">
        <f>SUM(B371:D371)</f>
        <v>2268</v>
      </c>
      <c r="F371" s="753"/>
      <c r="G371" s="754" t="s">
        <v>134</v>
      </c>
      <c r="H371" s="756">
        <f t="shared" ref="H371:H372" si="303">B371+H365</f>
        <v>9859</v>
      </c>
      <c r="I371" s="756">
        <f t="shared" si="301"/>
        <v>131820</v>
      </c>
      <c r="J371" s="756">
        <f t="shared" ref="J371" si="304">D371+J365</f>
        <v>0</v>
      </c>
      <c r="K371" s="756">
        <f t="shared" si="302"/>
        <v>142242</v>
      </c>
    </row>
    <row r="372" spans="1:11">
      <c r="A372" s="754" t="s">
        <v>86</v>
      </c>
      <c r="B372" s="756">
        <f>B370-B371</f>
        <v>0</v>
      </c>
      <c r="C372" s="756">
        <f>C370-C371</f>
        <v>-2268</v>
      </c>
      <c r="D372" s="756">
        <f t="shared" ref="D372" si="305">D370-D371</f>
        <v>4952</v>
      </c>
      <c r="E372" s="756">
        <f>SUM(B372:D372)</f>
        <v>2684</v>
      </c>
      <c r="F372" s="753"/>
      <c r="G372" s="754" t="s">
        <v>86</v>
      </c>
      <c r="H372" s="756">
        <f t="shared" si="303"/>
        <v>-9859</v>
      </c>
      <c r="I372" s="756">
        <f t="shared" si="301"/>
        <v>-132383</v>
      </c>
      <c r="J372" s="756">
        <f>D372+J366</f>
        <v>314590</v>
      </c>
      <c r="K372" s="756">
        <f>E372+K366</f>
        <v>172348</v>
      </c>
    </row>
    <row r="374" spans="1:11">
      <c r="A374" s="756" t="s">
        <v>141</v>
      </c>
      <c r="B374" s="756" t="s">
        <v>30</v>
      </c>
      <c r="C374" s="756" t="s">
        <v>30</v>
      </c>
      <c r="D374" s="756"/>
      <c r="E374" s="756"/>
      <c r="F374" s="753"/>
      <c r="G374" s="754"/>
      <c r="H374" s="756" t="s">
        <v>30</v>
      </c>
      <c r="I374" s="756" t="s">
        <v>30</v>
      </c>
      <c r="J374" s="756"/>
      <c r="K374" s="756"/>
    </row>
    <row r="375" spans="1:11">
      <c r="A375" s="95">
        <f>A369+1</f>
        <v>44709</v>
      </c>
      <c r="B375" s="756" t="s">
        <v>34</v>
      </c>
      <c r="C375" s="756" t="s">
        <v>131</v>
      </c>
      <c r="D375" s="756" t="s">
        <v>192</v>
      </c>
      <c r="E375" s="756" t="s">
        <v>132</v>
      </c>
      <c r="F375" s="753"/>
      <c r="G375" s="96" t="s">
        <v>135</v>
      </c>
      <c r="H375" s="756" t="s">
        <v>34</v>
      </c>
      <c r="I375" s="756" t="s">
        <v>131</v>
      </c>
      <c r="J375" s="756" t="s">
        <v>192</v>
      </c>
      <c r="K375" s="756" t="s">
        <v>132</v>
      </c>
    </row>
    <row r="376" spans="1:11">
      <c r="A376" s="754" t="s">
        <v>191</v>
      </c>
      <c r="B376" s="788">
        <v>0</v>
      </c>
      <c r="C376" s="788">
        <v>0</v>
      </c>
      <c r="D376" s="788">
        <v>12</v>
      </c>
      <c r="E376" s="788">
        <f>SUM(B376:D376)</f>
        <v>12</v>
      </c>
      <c r="F376" s="753"/>
      <c r="G376" s="754" t="s">
        <v>191</v>
      </c>
      <c r="H376" s="756">
        <f>B376+H370</f>
        <v>0</v>
      </c>
      <c r="I376" s="756">
        <f t="shared" ref="I376:I378" si="306">C376+I370</f>
        <v>0</v>
      </c>
      <c r="J376" s="756">
        <f>D376+J370</f>
        <v>314602</v>
      </c>
      <c r="K376" s="756">
        <f t="shared" ref="K376:K377" si="307">E376+K370</f>
        <v>314602</v>
      </c>
    </row>
    <row r="377" spans="1:11">
      <c r="A377" s="754" t="s">
        <v>134</v>
      </c>
      <c r="B377" s="756">
        <v>0</v>
      </c>
      <c r="C377" s="756">
        <v>0</v>
      </c>
      <c r="D377" s="756"/>
      <c r="E377" s="756">
        <f>SUM(B377:D377)</f>
        <v>0</v>
      </c>
      <c r="F377" s="753"/>
      <c r="G377" s="754" t="s">
        <v>134</v>
      </c>
      <c r="H377" s="756">
        <f t="shared" ref="H377:H378" si="308">B377+H371</f>
        <v>9859</v>
      </c>
      <c r="I377" s="756">
        <f t="shared" si="306"/>
        <v>131820</v>
      </c>
      <c r="J377" s="756">
        <f t="shared" ref="J377" si="309">D377+J371</f>
        <v>0</v>
      </c>
      <c r="K377" s="756">
        <f t="shared" si="307"/>
        <v>142242</v>
      </c>
    </row>
    <row r="378" spans="1:11">
      <c r="A378" s="754" t="s">
        <v>86</v>
      </c>
      <c r="B378" s="756">
        <f>B376-B377</f>
        <v>0</v>
      </c>
      <c r="C378" s="756">
        <f>C376-C377</f>
        <v>0</v>
      </c>
      <c r="D378" s="756">
        <f t="shared" ref="D378" si="310">D376-D377</f>
        <v>12</v>
      </c>
      <c r="E378" s="756">
        <f>SUM(B378:D378)</f>
        <v>12</v>
      </c>
      <c r="F378" s="753"/>
      <c r="G378" s="754" t="s">
        <v>86</v>
      </c>
      <c r="H378" s="756">
        <f t="shared" si="308"/>
        <v>-9859</v>
      </c>
      <c r="I378" s="756">
        <f t="shared" si="306"/>
        <v>-132383</v>
      </c>
      <c r="J378" s="756">
        <f>D378+J372</f>
        <v>314602</v>
      </c>
      <c r="K378" s="756">
        <f>E378+K372</f>
        <v>172360</v>
      </c>
    </row>
    <row r="380" spans="1:11">
      <c r="A380" s="756" t="s">
        <v>141</v>
      </c>
      <c r="B380" s="756" t="s">
        <v>30</v>
      </c>
      <c r="C380" s="756" t="s">
        <v>30</v>
      </c>
      <c r="D380" s="756"/>
      <c r="E380" s="756"/>
      <c r="F380" s="753"/>
      <c r="G380" s="754"/>
      <c r="H380" s="756" t="s">
        <v>30</v>
      </c>
      <c r="I380" s="756" t="s">
        <v>30</v>
      </c>
      <c r="J380" s="756"/>
      <c r="K380" s="756"/>
    </row>
    <row r="381" spans="1:11">
      <c r="A381" s="95">
        <f>A375+1</f>
        <v>44710</v>
      </c>
      <c r="B381" s="756" t="s">
        <v>34</v>
      </c>
      <c r="C381" s="756" t="s">
        <v>131</v>
      </c>
      <c r="D381" s="756" t="s">
        <v>192</v>
      </c>
      <c r="E381" s="756" t="s">
        <v>132</v>
      </c>
      <c r="F381" s="753"/>
      <c r="G381" s="96" t="s">
        <v>135</v>
      </c>
      <c r="H381" s="756" t="s">
        <v>34</v>
      </c>
      <c r="I381" s="756" t="s">
        <v>131</v>
      </c>
      <c r="J381" s="756" t="s">
        <v>192</v>
      </c>
      <c r="K381" s="756" t="s">
        <v>132</v>
      </c>
    </row>
    <row r="382" spans="1:11">
      <c r="A382" s="754" t="s">
        <v>191</v>
      </c>
      <c r="B382" s="788">
        <v>0</v>
      </c>
      <c r="C382" s="788">
        <v>0</v>
      </c>
      <c r="D382" s="788">
        <v>3</v>
      </c>
      <c r="E382" s="788">
        <f>SUM(B382:D382)</f>
        <v>3</v>
      </c>
      <c r="F382" s="753"/>
      <c r="G382" s="754" t="s">
        <v>191</v>
      </c>
      <c r="H382" s="756">
        <f>B382+H376</f>
        <v>0</v>
      </c>
      <c r="I382" s="756">
        <f t="shared" ref="I382:I384" si="311">C382+I376</f>
        <v>0</v>
      </c>
      <c r="J382" s="756">
        <f>D382+J376</f>
        <v>314605</v>
      </c>
      <c r="K382" s="756">
        <f t="shared" ref="K382:K383" si="312">E382+K376</f>
        <v>314605</v>
      </c>
    </row>
    <row r="383" spans="1:11">
      <c r="A383" s="754" t="s">
        <v>134</v>
      </c>
      <c r="B383" s="756">
        <v>0</v>
      </c>
      <c r="C383" s="756">
        <v>0</v>
      </c>
      <c r="D383" s="756"/>
      <c r="E383" s="756">
        <f>SUM(B383:D383)</f>
        <v>0</v>
      </c>
      <c r="F383" s="753"/>
      <c r="G383" s="754" t="s">
        <v>134</v>
      </c>
      <c r="H383" s="756">
        <f t="shared" ref="H383:H384" si="313">B383+H377</f>
        <v>9859</v>
      </c>
      <c r="I383" s="756">
        <f t="shared" si="311"/>
        <v>131820</v>
      </c>
      <c r="J383" s="756">
        <f t="shared" ref="J383" si="314">D383+J377</f>
        <v>0</v>
      </c>
      <c r="K383" s="756">
        <f t="shared" si="312"/>
        <v>142242</v>
      </c>
    </row>
    <row r="384" spans="1:11">
      <c r="A384" s="754" t="s">
        <v>86</v>
      </c>
      <c r="B384" s="756">
        <f>B382-B383</f>
        <v>0</v>
      </c>
      <c r="C384" s="756">
        <f>C382-C383</f>
        <v>0</v>
      </c>
      <c r="D384" s="756">
        <f t="shared" ref="D384" si="315">D382-D383</f>
        <v>3</v>
      </c>
      <c r="E384" s="756">
        <f>SUM(B384:D384)</f>
        <v>3</v>
      </c>
      <c r="F384" s="753"/>
      <c r="G384" s="754" t="s">
        <v>86</v>
      </c>
      <c r="H384" s="756">
        <f t="shared" si="313"/>
        <v>-9859</v>
      </c>
      <c r="I384" s="756">
        <f t="shared" si="311"/>
        <v>-132383</v>
      </c>
      <c r="J384" s="756">
        <f>D384+J378</f>
        <v>314605</v>
      </c>
      <c r="K384" s="756">
        <f>E384+K378</f>
        <v>172363</v>
      </c>
    </row>
    <row r="386" spans="1:13">
      <c r="A386" s="756" t="s">
        <v>141</v>
      </c>
      <c r="B386" s="756" t="s">
        <v>30</v>
      </c>
      <c r="C386" s="756" t="s">
        <v>30</v>
      </c>
      <c r="D386" s="756"/>
      <c r="E386" s="756"/>
      <c r="F386" s="753"/>
      <c r="G386" s="754"/>
      <c r="H386" s="756" t="s">
        <v>30</v>
      </c>
      <c r="I386" s="756" t="s">
        <v>30</v>
      </c>
      <c r="J386" s="756"/>
      <c r="K386" s="756"/>
    </row>
    <row r="387" spans="1:13">
      <c r="A387" s="95">
        <f>A381+1</f>
        <v>44711</v>
      </c>
      <c r="B387" s="756" t="s">
        <v>34</v>
      </c>
      <c r="C387" s="756" t="s">
        <v>131</v>
      </c>
      <c r="D387" s="756" t="s">
        <v>192</v>
      </c>
      <c r="E387" s="756" t="s">
        <v>132</v>
      </c>
      <c r="F387" s="753"/>
      <c r="G387" s="96" t="s">
        <v>135</v>
      </c>
      <c r="H387" s="756" t="s">
        <v>34</v>
      </c>
      <c r="I387" s="756" t="s">
        <v>131</v>
      </c>
      <c r="J387" s="756" t="s">
        <v>192</v>
      </c>
      <c r="K387" s="756" t="s">
        <v>132</v>
      </c>
    </row>
    <row r="388" spans="1:13">
      <c r="A388" s="754" t="s">
        <v>191</v>
      </c>
      <c r="B388" s="788">
        <v>0</v>
      </c>
      <c r="C388" s="788">
        <v>0</v>
      </c>
      <c r="D388" s="885">
        <v>3338</v>
      </c>
      <c r="E388" s="788">
        <f>SUM(B388:D388)</f>
        <v>3338</v>
      </c>
      <c r="F388" s="753"/>
      <c r="G388" s="754" t="s">
        <v>191</v>
      </c>
      <c r="H388" s="756">
        <f>B388+H382</f>
        <v>0</v>
      </c>
      <c r="I388" s="756">
        <f t="shared" ref="I388:I390" si="316">C388+I382</f>
        <v>0</v>
      </c>
      <c r="J388" s="756">
        <f>D388+J382</f>
        <v>317943</v>
      </c>
      <c r="K388" s="756">
        <f t="shared" ref="K388:K389" si="317">E388+K382</f>
        <v>317943</v>
      </c>
    </row>
    <row r="389" spans="1:13">
      <c r="A389" s="754" t="s">
        <v>134</v>
      </c>
      <c r="B389" s="756">
        <v>0</v>
      </c>
      <c r="C389" s="756">
        <v>3053</v>
      </c>
      <c r="D389" s="756"/>
      <c r="E389" s="756">
        <f>SUM(B389:D389)</f>
        <v>3053</v>
      </c>
      <c r="F389" s="753"/>
      <c r="G389" s="754" t="s">
        <v>134</v>
      </c>
      <c r="H389" s="756">
        <f t="shared" ref="H389:H390" si="318">B389+H383</f>
        <v>9859</v>
      </c>
      <c r="I389" s="756">
        <f t="shared" si="316"/>
        <v>134873</v>
      </c>
      <c r="J389" s="756">
        <f t="shared" ref="J389" si="319">D389+J383</f>
        <v>0</v>
      </c>
      <c r="K389" s="756">
        <f t="shared" si="317"/>
        <v>145295</v>
      </c>
    </row>
    <row r="390" spans="1:13">
      <c r="A390" s="754" t="s">
        <v>86</v>
      </c>
      <c r="B390" s="756">
        <f>B388-B389</f>
        <v>0</v>
      </c>
      <c r="C390" s="756">
        <f>C388-C389</f>
        <v>-3053</v>
      </c>
      <c r="D390" s="756">
        <f t="shared" ref="D390" si="320">D388-D389</f>
        <v>3338</v>
      </c>
      <c r="E390" s="756">
        <f>SUM(B390:D390)</f>
        <v>285</v>
      </c>
      <c r="F390" s="753"/>
      <c r="G390" s="754" t="s">
        <v>86</v>
      </c>
      <c r="H390" s="756">
        <f t="shared" si="318"/>
        <v>-9859</v>
      </c>
      <c r="I390" s="756">
        <f t="shared" si="316"/>
        <v>-135436</v>
      </c>
      <c r="J390" s="756">
        <f>D390+J384</f>
        <v>317943</v>
      </c>
      <c r="K390" s="756">
        <f>E390+K384</f>
        <v>172648</v>
      </c>
    </row>
    <row r="392" spans="1:13">
      <c r="A392" s="756" t="s">
        <v>141</v>
      </c>
      <c r="B392" s="756" t="s">
        <v>30</v>
      </c>
      <c r="C392" s="756" t="s">
        <v>30</v>
      </c>
      <c r="D392" s="756"/>
      <c r="E392" s="756"/>
      <c r="F392" s="753"/>
      <c r="G392" s="754"/>
      <c r="H392" s="756" t="s">
        <v>30</v>
      </c>
      <c r="I392" s="756" t="s">
        <v>30</v>
      </c>
      <c r="J392" s="756"/>
      <c r="K392" s="756"/>
    </row>
    <row r="393" spans="1:13">
      <c r="A393" s="95">
        <f>A387+1</f>
        <v>44712</v>
      </c>
      <c r="B393" s="756" t="s">
        <v>34</v>
      </c>
      <c r="C393" s="756" t="s">
        <v>131</v>
      </c>
      <c r="D393" s="756" t="s">
        <v>192</v>
      </c>
      <c r="E393" s="756" t="s">
        <v>132</v>
      </c>
      <c r="F393" s="753"/>
      <c r="G393" s="96" t="s">
        <v>135</v>
      </c>
      <c r="H393" s="756" t="s">
        <v>34</v>
      </c>
      <c r="I393" s="756" t="s">
        <v>131</v>
      </c>
      <c r="J393" s="756" t="s">
        <v>192</v>
      </c>
      <c r="K393" s="756" t="s">
        <v>132</v>
      </c>
    </row>
    <row r="394" spans="1:13">
      <c r="A394" s="754" t="s">
        <v>191</v>
      </c>
      <c r="B394" s="788">
        <v>0</v>
      </c>
      <c r="C394" s="788">
        <v>0</v>
      </c>
      <c r="D394" s="788">
        <v>7573</v>
      </c>
      <c r="E394" s="788">
        <f>SUM(B394:D394)</f>
        <v>7573</v>
      </c>
      <c r="F394" s="753"/>
      <c r="G394" s="754" t="s">
        <v>191</v>
      </c>
      <c r="H394" s="756">
        <f>B394+H388</f>
        <v>0</v>
      </c>
      <c r="I394" s="756">
        <f t="shared" ref="I394:I396" si="321">C394+I388</f>
        <v>0</v>
      </c>
      <c r="J394" s="756">
        <f>D394+J388</f>
        <v>325516</v>
      </c>
      <c r="K394" s="756">
        <f t="shared" ref="K394:K395" si="322">E394+K388</f>
        <v>325516</v>
      </c>
      <c r="M394" s="739">
        <f>D394+D388+D382+D376+D370+D364+D358+D352+D346+D340+D334+D328+D322+D316+D310+D304+D298+D292+D286+D280+D274+D268+D262+D256+D250+D244+D238+D232+D226+D220+D214</f>
        <v>149142</v>
      </c>
    </row>
    <row r="395" spans="1:13">
      <c r="A395" s="754" t="s">
        <v>134</v>
      </c>
      <c r="B395" s="756">
        <v>0</v>
      </c>
      <c r="C395" s="756">
        <v>2971</v>
      </c>
      <c r="D395" s="756"/>
      <c r="E395" s="756">
        <f>SUM(B395:D395)</f>
        <v>2971</v>
      </c>
      <c r="F395" s="753"/>
      <c r="G395" s="754" t="s">
        <v>134</v>
      </c>
      <c r="H395" s="756">
        <f t="shared" ref="H395:H396" si="323">B395+H389</f>
        <v>9859</v>
      </c>
      <c r="I395" s="756">
        <f t="shared" si="321"/>
        <v>137844</v>
      </c>
      <c r="J395" s="756">
        <f t="shared" ref="J395" si="324">D395+J389</f>
        <v>0</v>
      </c>
      <c r="K395" s="756">
        <f t="shared" si="322"/>
        <v>148266</v>
      </c>
    </row>
    <row r="396" spans="1:13">
      <c r="A396" s="754" t="s">
        <v>86</v>
      </c>
      <c r="B396" s="756">
        <f>B394-B395</f>
        <v>0</v>
      </c>
      <c r="C396" s="756">
        <f>C394-C395</f>
        <v>-2971</v>
      </c>
      <c r="D396" s="756">
        <f t="shared" ref="D396" si="325">D394-D395</f>
        <v>7573</v>
      </c>
      <c r="E396" s="756">
        <f>SUM(B396:D396)</f>
        <v>4602</v>
      </c>
      <c r="F396" s="753"/>
      <c r="G396" s="754" t="s">
        <v>86</v>
      </c>
      <c r="H396" s="756">
        <f t="shared" si="323"/>
        <v>-9859</v>
      </c>
      <c r="I396" s="756">
        <f t="shared" si="321"/>
        <v>-138407</v>
      </c>
      <c r="J396" s="756">
        <f>D396+J390</f>
        <v>325516</v>
      </c>
      <c r="K396" s="756">
        <f>E396+K390</f>
        <v>177250</v>
      </c>
    </row>
    <row r="398" spans="1:13">
      <c r="A398" s="756" t="s">
        <v>141</v>
      </c>
      <c r="B398" s="756" t="s">
        <v>30</v>
      </c>
      <c r="C398" s="756" t="s">
        <v>30</v>
      </c>
      <c r="D398" s="756"/>
      <c r="E398" s="756"/>
      <c r="F398" s="753"/>
      <c r="G398" s="754"/>
      <c r="H398" s="756" t="s">
        <v>30</v>
      </c>
      <c r="I398" s="756" t="s">
        <v>30</v>
      </c>
      <c r="J398" s="756"/>
      <c r="K398" s="756"/>
    </row>
    <row r="399" spans="1:13">
      <c r="A399" s="95">
        <f>A393+1</f>
        <v>44713</v>
      </c>
      <c r="B399" s="756" t="s">
        <v>34</v>
      </c>
      <c r="C399" s="756" t="s">
        <v>131</v>
      </c>
      <c r="D399" s="756" t="s">
        <v>192</v>
      </c>
      <c r="E399" s="756" t="s">
        <v>132</v>
      </c>
      <c r="F399" s="753"/>
      <c r="G399" s="96" t="s">
        <v>135</v>
      </c>
      <c r="H399" s="756" t="s">
        <v>34</v>
      </c>
      <c r="I399" s="756" t="s">
        <v>131</v>
      </c>
      <c r="J399" s="756" t="s">
        <v>192</v>
      </c>
      <c r="K399" s="756" t="s">
        <v>132</v>
      </c>
    </row>
    <row r="400" spans="1:13">
      <c r="A400" s="754" t="s">
        <v>191</v>
      </c>
      <c r="B400" s="788">
        <v>0</v>
      </c>
      <c r="C400" s="788">
        <v>0</v>
      </c>
      <c r="D400" s="882">
        <v>7531</v>
      </c>
      <c r="E400" s="788">
        <f>SUM(B400:D400)</f>
        <v>7531</v>
      </c>
      <c r="F400" s="753"/>
      <c r="G400" s="754" t="s">
        <v>191</v>
      </c>
      <c r="H400" s="756">
        <f>B400+H394</f>
        <v>0</v>
      </c>
      <c r="I400" s="756">
        <f t="shared" ref="I400:I402" si="326">C400+I394</f>
        <v>0</v>
      </c>
      <c r="J400" s="756">
        <f>D400+J394</f>
        <v>333047</v>
      </c>
      <c r="K400" s="756">
        <f t="shared" ref="K400:K401" si="327">E400+K394</f>
        <v>333047</v>
      </c>
    </row>
    <row r="401" spans="1:11">
      <c r="A401" s="754" t="s">
        <v>134</v>
      </c>
      <c r="B401" s="756">
        <v>0</v>
      </c>
      <c r="C401" s="756">
        <v>2678</v>
      </c>
      <c r="D401" s="756"/>
      <c r="E401" s="756">
        <f>SUM(B401:D401)</f>
        <v>2678</v>
      </c>
      <c r="F401" s="753"/>
      <c r="G401" s="754" t="s">
        <v>134</v>
      </c>
      <c r="H401" s="756">
        <f t="shared" ref="H401:H402" si="328">B401+H395</f>
        <v>9859</v>
      </c>
      <c r="I401" s="756">
        <f t="shared" si="326"/>
        <v>140522</v>
      </c>
      <c r="J401" s="756">
        <f t="shared" ref="J401" si="329">D401+J395</f>
        <v>0</v>
      </c>
      <c r="K401" s="756">
        <f t="shared" si="327"/>
        <v>150944</v>
      </c>
    </row>
    <row r="402" spans="1:11">
      <c r="A402" s="754" t="s">
        <v>86</v>
      </c>
      <c r="B402" s="756">
        <f>B400-B401</f>
        <v>0</v>
      </c>
      <c r="C402" s="756">
        <f>C400-C401</f>
        <v>-2678</v>
      </c>
      <c r="D402" s="756">
        <f t="shared" ref="D402" si="330">D400-D401</f>
        <v>7531</v>
      </c>
      <c r="E402" s="756">
        <f>SUM(B402:D402)</f>
        <v>4853</v>
      </c>
      <c r="F402" s="753"/>
      <c r="G402" s="754" t="s">
        <v>86</v>
      </c>
      <c r="H402" s="756">
        <f t="shared" si="328"/>
        <v>-9859</v>
      </c>
      <c r="I402" s="756">
        <f t="shared" si="326"/>
        <v>-141085</v>
      </c>
      <c r="J402" s="756">
        <f>D402+J396</f>
        <v>333047</v>
      </c>
      <c r="K402" s="756">
        <f>E402+K396</f>
        <v>182103</v>
      </c>
    </row>
    <row r="404" spans="1:11">
      <c r="A404" s="756" t="s">
        <v>141</v>
      </c>
      <c r="B404" s="756" t="s">
        <v>30</v>
      </c>
      <c r="C404" s="756" t="s">
        <v>30</v>
      </c>
      <c r="D404" s="756"/>
      <c r="E404" s="756"/>
      <c r="F404" s="753"/>
      <c r="G404" s="754"/>
      <c r="H404" s="756" t="s">
        <v>30</v>
      </c>
      <c r="I404" s="756" t="s">
        <v>30</v>
      </c>
      <c r="J404" s="756"/>
      <c r="K404" s="756"/>
    </row>
    <row r="405" spans="1:11">
      <c r="A405" s="95">
        <f>A399+1</f>
        <v>44714</v>
      </c>
      <c r="B405" s="756" t="s">
        <v>34</v>
      </c>
      <c r="C405" s="756" t="s">
        <v>131</v>
      </c>
      <c r="D405" s="756" t="s">
        <v>192</v>
      </c>
      <c r="E405" s="756" t="s">
        <v>132</v>
      </c>
      <c r="F405" s="753"/>
      <c r="G405" s="96" t="s">
        <v>135</v>
      </c>
      <c r="H405" s="756" t="s">
        <v>34</v>
      </c>
      <c r="I405" s="756" t="s">
        <v>131</v>
      </c>
      <c r="J405" s="756" t="s">
        <v>192</v>
      </c>
      <c r="K405" s="756" t="s">
        <v>132</v>
      </c>
    </row>
    <row r="406" spans="1:11">
      <c r="A406" s="754" t="s">
        <v>191</v>
      </c>
      <c r="B406" s="788">
        <v>0</v>
      </c>
      <c r="C406" s="788">
        <v>0</v>
      </c>
      <c r="D406" s="890">
        <v>6723</v>
      </c>
      <c r="E406" s="788">
        <f>SUM(B406:D406)</f>
        <v>6723</v>
      </c>
      <c r="F406" s="753"/>
      <c r="G406" s="754" t="s">
        <v>191</v>
      </c>
      <c r="H406" s="756">
        <f>B406+H400</f>
        <v>0</v>
      </c>
      <c r="I406" s="756">
        <f t="shared" ref="I406:I408" si="331">C406+I400</f>
        <v>0</v>
      </c>
      <c r="J406" s="756">
        <f>D406+J400</f>
        <v>339770</v>
      </c>
      <c r="K406" s="756">
        <f t="shared" ref="K406:K407" si="332">E406+K400</f>
        <v>339770</v>
      </c>
    </row>
    <row r="407" spans="1:11">
      <c r="A407" s="754" t="s">
        <v>134</v>
      </c>
      <c r="B407" s="756">
        <v>0</v>
      </c>
      <c r="C407" s="756">
        <v>2103</v>
      </c>
      <c r="D407" s="756"/>
      <c r="E407" s="756">
        <f>SUM(B407:D407)</f>
        <v>2103</v>
      </c>
      <c r="F407" s="753"/>
      <c r="G407" s="754" t="s">
        <v>134</v>
      </c>
      <c r="H407" s="756">
        <f t="shared" ref="H407:H408" si="333">B407+H401</f>
        <v>9859</v>
      </c>
      <c r="I407" s="756">
        <f t="shared" si="331"/>
        <v>142625</v>
      </c>
      <c r="J407" s="756">
        <f t="shared" ref="J407" si="334">D407+J401</f>
        <v>0</v>
      </c>
      <c r="K407" s="756">
        <f t="shared" si="332"/>
        <v>153047</v>
      </c>
    </row>
    <row r="408" spans="1:11">
      <c r="A408" s="754" t="s">
        <v>86</v>
      </c>
      <c r="B408" s="756">
        <f>B406-B407</f>
        <v>0</v>
      </c>
      <c r="C408" s="756">
        <f>C406-C407</f>
        <v>-2103</v>
      </c>
      <c r="D408" s="756">
        <f t="shared" ref="D408" si="335">D406-D407</f>
        <v>6723</v>
      </c>
      <c r="E408" s="756">
        <f>SUM(B408:D408)</f>
        <v>4620</v>
      </c>
      <c r="F408" s="753"/>
      <c r="G408" s="754" t="s">
        <v>86</v>
      </c>
      <c r="H408" s="756">
        <f t="shared" si="333"/>
        <v>-9859</v>
      </c>
      <c r="I408" s="756">
        <f t="shared" si="331"/>
        <v>-143188</v>
      </c>
      <c r="J408" s="756">
        <f>D408+J402</f>
        <v>339770</v>
      </c>
      <c r="K408" s="756">
        <f>E408+K402</f>
        <v>186723</v>
      </c>
    </row>
    <row r="410" spans="1:11">
      <c r="A410" s="756" t="s">
        <v>141</v>
      </c>
      <c r="B410" s="756" t="s">
        <v>30</v>
      </c>
      <c r="C410" s="756" t="s">
        <v>30</v>
      </c>
      <c r="D410" s="756"/>
      <c r="E410" s="756"/>
      <c r="F410" s="753"/>
      <c r="G410" s="754"/>
      <c r="H410" s="756" t="s">
        <v>30</v>
      </c>
      <c r="I410" s="756" t="s">
        <v>30</v>
      </c>
      <c r="J410" s="756"/>
      <c r="K410" s="756"/>
    </row>
    <row r="411" spans="1:11">
      <c r="A411" s="95">
        <f>A405+1</f>
        <v>44715</v>
      </c>
      <c r="B411" s="756" t="s">
        <v>34</v>
      </c>
      <c r="C411" s="756" t="s">
        <v>131</v>
      </c>
      <c r="D411" s="756" t="s">
        <v>192</v>
      </c>
      <c r="E411" s="756" t="s">
        <v>132</v>
      </c>
      <c r="F411" s="753"/>
      <c r="G411" s="96" t="s">
        <v>135</v>
      </c>
      <c r="H411" s="756" t="s">
        <v>34</v>
      </c>
      <c r="I411" s="756" t="s">
        <v>131</v>
      </c>
      <c r="J411" s="756" t="s">
        <v>192</v>
      </c>
      <c r="K411" s="756" t="s">
        <v>132</v>
      </c>
    </row>
    <row r="412" spans="1:11">
      <c r="A412" s="754" t="s">
        <v>191</v>
      </c>
      <c r="B412" s="788">
        <v>0</v>
      </c>
      <c r="C412" s="788">
        <v>0</v>
      </c>
      <c r="D412" s="897">
        <v>5935</v>
      </c>
      <c r="E412" s="788">
        <f>SUM(B412:D412)</f>
        <v>5935</v>
      </c>
      <c r="F412" s="753"/>
      <c r="G412" s="754" t="s">
        <v>191</v>
      </c>
      <c r="H412" s="756">
        <f>B412+H406</f>
        <v>0</v>
      </c>
      <c r="I412" s="756">
        <f t="shared" ref="I412:I414" si="336">C412+I406</f>
        <v>0</v>
      </c>
      <c r="J412" s="756">
        <f>D412+J406</f>
        <v>345705</v>
      </c>
      <c r="K412" s="756">
        <f t="shared" ref="K412:K413" si="337">E412+K406</f>
        <v>345705</v>
      </c>
    </row>
    <row r="413" spans="1:11">
      <c r="A413" s="754" t="s">
        <v>134</v>
      </c>
      <c r="B413" s="756">
        <v>0</v>
      </c>
      <c r="C413" s="756">
        <v>2205</v>
      </c>
      <c r="D413" s="756"/>
      <c r="E413" s="756">
        <f>SUM(B413:D413)</f>
        <v>2205</v>
      </c>
      <c r="F413" s="753"/>
      <c r="G413" s="754" t="s">
        <v>134</v>
      </c>
      <c r="H413" s="756">
        <f t="shared" ref="H413:H414" si="338">B413+H407</f>
        <v>9859</v>
      </c>
      <c r="I413" s="756">
        <f t="shared" si="336"/>
        <v>144830</v>
      </c>
      <c r="J413" s="756">
        <f t="shared" ref="J413" si="339">D413+J407</f>
        <v>0</v>
      </c>
      <c r="K413" s="756">
        <f t="shared" si="337"/>
        <v>155252</v>
      </c>
    </row>
    <row r="414" spans="1:11">
      <c r="A414" s="754" t="s">
        <v>86</v>
      </c>
      <c r="B414" s="756">
        <f>B412-B413</f>
        <v>0</v>
      </c>
      <c r="C414" s="756">
        <f>C412-C413</f>
        <v>-2205</v>
      </c>
      <c r="D414" s="756">
        <f t="shared" ref="D414" si="340">D412-D413</f>
        <v>5935</v>
      </c>
      <c r="E414" s="756">
        <f>SUM(B414:D414)</f>
        <v>3730</v>
      </c>
      <c r="F414" s="753"/>
      <c r="G414" s="754" t="s">
        <v>86</v>
      </c>
      <c r="H414" s="756">
        <f t="shared" si="338"/>
        <v>-9859</v>
      </c>
      <c r="I414" s="756">
        <f t="shared" si="336"/>
        <v>-145393</v>
      </c>
      <c r="J414" s="756">
        <f>D414+J408</f>
        <v>345705</v>
      </c>
      <c r="K414" s="756">
        <f>E414+K408</f>
        <v>190453</v>
      </c>
    </row>
    <row r="416" spans="1:11">
      <c r="A416" s="756" t="s">
        <v>141</v>
      </c>
      <c r="B416" s="756" t="s">
        <v>30</v>
      </c>
      <c r="C416" s="756" t="s">
        <v>30</v>
      </c>
      <c r="D416" s="756"/>
      <c r="E416" s="756"/>
      <c r="F416" s="753"/>
      <c r="G416" s="754"/>
      <c r="H416" s="756" t="s">
        <v>30</v>
      </c>
      <c r="I416" s="756" t="s">
        <v>30</v>
      </c>
      <c r="J416" s="756"/>
      <c r="K416" s="756"/>
    </row>
    <row r="417" spans="1:11">
      <c r="A417" s="95">
        <f>A411+1</f>
        <v>44716</v>
      </c>
      <c r="B417" s="756" t="s">
        <v>34</v>
      </c>
      <c r="C417" s="756" t="s">
        <v>131</v>
      </c>
      <c r="D417" s="756" t="s">
        <v>192</v>
      </c>
      <c r="E417" s="756" t="s">
        <v>132</v>
      </c>
      <c r="F417" s="753"/>
      <c r="G417" s="96" t="s">
        <v>135</v>
      </c>
      <c r="H417" s="756" t="s">
        <v>34</v>
      </c>
      <c r="I417" s="756" t="s">
        <v>131</v>
      </c>
      <c r="J417" s="756" t="s">
        <v>192</v>
      </c>
      <c r="K417" s="756" t="s">
        <v>132</v>
      </c>
    </row>
    <row r="418" spans="1:11">
      <c r="A418" s="754" t="s">
        <v>191</v>
      </c>
      <c r="B418" s="788">
        <v>0</v>
      </c>
      <c r="C418" s="788">
        <v>0</v>
      </c>
      <c r="D418" s="897">
        <v>2137</v>
      </c>
      <c r="E418" s="788">
        <f>SUM(B418:D418)</f>
        <v>2137</v>
      </c>
      <c r="F418" s="753"/>
      <c r="G418" s="754" t="s">
        <v>191</v>
      </c>
      <c r="H418" s="756">
        <f>B418+H412</f>
        <v>0</v>
      </c>
      <c r="I418" s="756">
        <f t="shared" ref="I418:I420" si="341">C418+I412</f>
        <v>0</v>
      </c>
      <c r="J418" s="756">
        <f>D418+J412</f>
        <v>347842</v>
      </c>
      <c r="K418" s="756">
        <f t="shared" ref="K418:K419" si="342">E418+K412</f>
        <v>347842</v>
      </c>
    </row>
    <row r="419" spans="1:11">
      <c r="A419" s="754" t="s">
        <v>134</v>
      </c>
      <c r="B419" s="756">
        <v>318</v>
      </c>
      <c r="C419" s="756">
        <v>1403</v>
      </c>
      <c r="D419" s="756"/>
      <c r="E419" s="756">
        <f>SUM(B419:D419)</f>
        <v>1721</v>
      </c>
      <c r="F419" s="753"/>
      <c r="G419" s="754" t="s">
        <v>134</v>
      </c>
      <c r="H419" s="756">
        <f t="shared" ref="H419:H420" si="343">B419+H413</f>
        <v>10177</v>
      </c>
      <c r="I419" s="756">
        <f t="shared" si="341"/>
        <v>146233</v>
      </c>
      <c r="J419" s="756">
        <f t="shared" ref="J419" si="344">D419+J413</f>
        <v>0</v>
      </c>
      <c r="K419" s="756">
        <f t="shared" si="342"/>
        <v>156973</v>
      </c>
    </row>
    <row r="420" spans="1:11">
      <c r="A420" s="754" t="s">
        <v>86</v>
      </c>
      <c r="B420" s="756">
        <f>B418-B419</f>
        <v>-318</v>
      </c>
      <c r="C420" s="756">
        <f>C418-C419</f>
        <v>-1403</v>
      </c>
      <c r="D420" s="756">
        <f t="shared" ref="D420" si="345">D418-D419</f>
        <v>2137</v>
      </c>
      <c r="E420" s="756">
        <f>SUM(B420:D420)</f>
        <v>416</v>
      </c>
      <c r="F420" s="753"/>
      <c r="G420" s="754" t="s">
        <v>86</v>
      </c>
      <c r="H420" s="756">
        <f t="shared" si="343"/>
        <v>-10177</v>
      </c>
      <c r="I420" s="756">
        <f t="shared" si="341"/>
        <v>-146796</v>
      </c>
      <c r="J420" s="756">
        <f>D420+J414</f>
        <v>347842</v>
      </c>
      <c r="K420" s="756">
        <f>E420+K414</f>
        <v>190869</v>
      </c>
    </row>
    <row r="422" spans="1:11">
      <c r="A422" s="756" t="s">
        <v>141</v>
      </c>
      <c r="B422" s="756" t="s">
        <v>30</v>
      </c>
      <c r="C422" s="756" t="s">
        <v>30</v>
      </c>
      <c r="D422" s="756"/>
      <c r="E422" s="756"/>
      <c r="F422" s="753"/>
      <c r="G422" s="754"/>
      <c r="H422" s="756" t="s">
        <v>30</v>
      </c>
      <c r="I422" s="756" t="s">
        <v>30</v>
      </c>
      <c r="J422" s="756"/>
      <c r="K422" s="756"/>
    </row>
    <row r="423" spans="1:11">
      <c r="A423" s="95">
        <f>A417+1</f>
        <v>44717</v>
      </c>
      <c r="B423" s="756" t="s">
        <v>34</v>
      </c>
      <c r="C423" s="756" t="s">
        <v>131</v>
      </c>
      <c r="D423" s="756" t="s">
        <v>192</v>
      </c>
      <c r="E423" s="756" t="s">
        <v>132</v>
      </c>
      <c r="F423" s="753"/>
      <c r="G423" s="96" t="s">
        <v>135</v>
      </c>
      <c r="H423" s="756" t="s">
        <v>34</v>
      </c>
      <c r="I423" s="756" t="s">
        <v>131</v>
      </c>
      <c r="J423" s="756" t="s">
        <v>192</v>
      </c>
      <c r="K423" s="756" t="s">
        <v>132</v>
      </c>
    </row>
    <row r="424" spans="1:11">
      <c r="A424" s="754" t="s">
        <v>191</v>
      </c>
      <c r="B424" s="788">
        <v>0</v>
      </c>
      <c r="C424" s="788">
        <v>0</v>
      </c>
      <c r="D424" s="897">
        <v>3017</v>
      </c>
      <c r="E424" s="788">
        <f>SUM(B424:D424)</f>
        <v>3017</v>
      </c>
      <c r="F424" s="753"/>
      <c r="G424" s="754" t="s">
        <v>191</v>
      </c>
      <c r="H424" s="756">
        <f>B424+H418</f>
        <v>0</v>
      </c>
      <c r="I424" s="756">
        <f t="shared" ref="I424:I426" si="346">C424+I418</f>
        <v>0</v>
      </c>
      <c r="J424" s="756">
        <f>D424+J418</f>
        <v>350859</v>
      </c>
      <c r="K424" s="756">
        <f t="shared" ref="K424:K425" si="347">E424+K418</f>
        <v>350859</v>
      </c>
    </row>
    <row r="425" spans="1:11">
      <c r="A425" s="754" t="s">
        <v>134</v>
      </c>
      <c r="B425" s="756">
        <v>808</v>
      </c>
      <c r="C425" s="756">
        <v>1483</v>
      </c>
      <c r="D425" s="756"/>
      <c r="E425" s="756">
        <f>SUM(B425:D425)</f>
        <v>2291</v>
      </c>
      <c r="F425" s="753"/>
      <c r="G425" s="754" t="s">
        <v>134</v>
      </c>
      <c r="H425" s="756">
        <f t="shared" ref="H425:H426" si="348">B425+H419</f>
        <v>10985</v>
      </c>
      <c r="I425" s="756">
        <f t="shared" si="346"/>
        <v>147716</v>
      </c>
      <c r="J425" s="756">
        <f t="shared" ref="J425" si="349">D425+J419</f>
        <v>0</v>
      </c>
      <c r="K425" s="756">
        <f t="shared" si="347"/>
        <v>159264</v>
      </c>
    </row>
    <row r="426" spans="1:11">
      <c r="A426" s="754" t="s">
        <v>86</v>
      </c>
      <c r="B426" s="756">
        <f>B424-B425</f>
        <v>-808</v>
      </c>
      <c r="C426" s="756">
        <f>C424-C425</f>
        <v>-1483</v>
      </c>
      <c r="D426" s="756">
        <f t="shared" ref="D426" si="350">D424-D425</f>
        <v>3017</v>
      </c>
      <c r="E426" s="756">
        <f>SUM(B426:D426)</f>
        <v>726</v>
      </c>
      <c r="F426" s="753"/>
      <c r="G426" s="754" t="s">
        <v>86</v>
      </c>
      <c r="H426" s="756">
        <f t="shared" si="348"/>
        <v>-10985</v>
      </c>
      <c r="I426" s="756">
        <f t="shared" si="346"/>
        <v>-148279</v>
      </c>
      <c r="J426" s="756">
        <f>D426+J420</f>
        <v>350859</v>
      </c>
      <c r="K426" s="756">
        <f>E426+K420</f>
        <v>191595</v>
      </c>
    </row>
    <row r="428" spans="1:11">
      <c r="A428" s="756" t="s">
        <v>141</v>
      </c>
      <c r="B428" s="756" t="s">
        <v>30</v>
      </c>
      <c r="C428" s="756" t="s">
        <v>30</v>
      </c>
      <c r="D428" s="756"/>
      <c r="E428" s="756"/>
      <c r="F428" s="753"/>
      <c r="G428" s="754"/>
      <c r="H428" s="756" t="s">
        <v>30</v>
      </c>
      <c r="I428" s="756" t="s">
        <v>30</v>
      </c>
      <c r="J428" s="756"/>
      <c r="K428" s="756"/>
    </row>
    <row r="429" spans="1:11">
      <c r="A429" s="95">
        <f>A423+1</f>
        <v>44718</v>
      </c>
      <c r="B429" s="756" t="s">
        <v>34</v>
      </c>
      <c r="C429" s="756" t="s">
        <v>131</v>
      </c>
      <c r="D429" s="756" t="s">
        <v>192</v>
      </c>
      <c r="E429" s="756" t="s">
        <v>132</v>
      </c>
      <c r="F429" s="753"/>
      <c r="G429" s="96" t="s">
        <v>135</v>
      </c>
      <c r="H429" s="756" t="s">
        <v>34</v>
      </c>
      <c r="I429" s="756" t="s">
        <v>131</v>
      </c>
      <c r="J429" s="756" t="s">
        <v>192</v>
      </c>
      <c r="K429" s="756" t="s">
        <v>132</v>
      </c>
    </row>
    <row r="430" spans="1:11">
      <c r="A430" s="754" t="s">
        <v>191</v>
      </c>
      <c r="B430" s="788">
        <v>0</v>
      </c>
      <c r="C430" s="788">
        <v>0</v>
      </c>
      <c r="D430" s="974">
        <v>5825</v>
      </c>
      <c r="E430" s="788">
        <f>SUM(B430:D430)</f>
        <v>5825</v>
      </c>
      <c r="F430" s="753"/>
      <c r="G430" s="754" t="s">
        <v>191</v>
      </c>
      <c r="H430" s="756">
        <f>B430+H424</f>
        <v>0</v>
      </c>
      <c r="I430" s="756">
        <f t="shared" ref="I430:I432" si="351">C430+I424</f>
        <v>0</v>
      </c>
      <c r="J430" s="756">
        <f>D430+J424</f>
        <v>356684</v>
      </c>
      <c r="K430" s="756">
        <f t="shared" ref="K430:K431" si="352">E430+K424</f>
        <v>356684</v>
      </c>
    </row>
    <row r="431" spans="1:11">
      <c r="A431" s="754" t="s">
        <v>134</v>
      </c>
      <c r="B431" s="756">
        <v>0</v>
      </c>
      <c r="C431" s="756">
        <v>2745</v>
      </c>
      <c r="D431" s="756"/>
      <c r="E431" s="756">
        <f>SUM(B431:D431)</f>
        <v>2745</v>
      </c>
      <c r="F431" s="753"/>
      <c r="G431" s="754" t="s">
        <v>134</v>
      </c>
      <c r="H431" s="756">
        <f t="shared" ref="H431:H432" si="353">B431+H425</f>
        <v>10985</v>
      </c>
      <c r="I431" s="756">
        <f t="shared" si="351"/>
        <v>150461</v>
      </c>
      <c r="J431" s="756">
        <f t="shared" ref="J431" si="354">D431+J425</f>
        <v>0</v>
      </c>
      <c r="K431" s="756">
        <f t="shared" si="352"/>
        <v>162009</v>
      </c>
    </row>
    <row r="432" spans="1:11">
      <c r="A432" s="754" t="s">
        <v>86</v>
      </c>
      <c r="B432" s="756">
        <f>B430-B431</f>
        <v>0</v>
      </c>
      <c r="C432" s="756">
        <f>C430-C431</f>
        <v>-2745</v>
      </c>
      <c r="D432" s="756">
        <f t="shared" ref="D432" si="355">D430-D431</f>
        <v>5825</v>
      </c>
      <c r="E432" s="756">
        <f>SUM(B432:D432)</f>
        <v>3080</v>
      </c>
      <c r="F432" s="753"/>
      <c r="G432" s="754" t="s">
        <v>86</v>
      </c>
      <c r="H432" s="756">
        <f t="shared" si="353"/>
        <v>-10985</v>
      </c>
      <c r="I432" s="756">
        <f t="shared" si="351"/>
        <v>-151024</v>
      </c>
      <c r="J432" s="756">
        <f>D432+J426</f>
        <v>356684</v>
      </c>
      <c r="K432" s="756">
        <f>E432+K426</f>
        <v>194675</v>
      </c>
    </row>
    <row r="434" spans="1:11">
      <c r="A434" s="756" t="s">
        <v>141</v>
      </c>
      <c r="B434" s="756" t="s">
        <v>30</v>
      </c>
      <c r="C434" s="756" t="s">
        <v>30</v>
      </c>
      <c r="D434" s="756"/>
      <c r="E434" s="756"/>
      <c r="F434" s="753"/>
      <c r="G434" s="754"/>
      <c r="H434" s="756" t="s">
        <v>30</v>
      </c>
      <c r="I434" s="756" t="s">
        <v>30</v>
      </c>
      <c r="J434" s="756"/>
      <c r="K434" s="756"/>
    </row>
    <row r="435" spans="1:11">
      <c r="A435" s="95">
        <f>A429+1</f>
        <v>44719</v>
      </c>
      <c r="B435" s="756" t="s">
        <v>34</v>
      </c>
      <c r="C435" s="756" t="s">
        <v>131</v>
      </c>
      <c r="D435" s="756" t="s">
        <v>192</v>
      </c>
      <c r="E435" s="756" t="s">
        <v>132</v>
      </c>
      <c r="F435" s="753"/>
      <c r="G435" s="96" t="s">
        <v>135</v>
      </c>
      <c r="H435" s="756" t="s">
        <v>34</v>
      </c>
      <c r="I435" s="756" t="s">
        <v>131</v>
      </c>
      <c r="J435" s="756" t="s">
        <v>192</v>
      </c>
      <c r="K435" s="756" t="s">
        <v>132</v>
      </c>
    </row>
    <row r="436" spans="1:11">
      <c r="A436" s="754" t="s">
        <v>191</v>
      </c>
      <c r="B436" s="788">
        <v>0</v>
      </c>
      <c r="C436" s="788">
        <v>0</v>
      </c>
      <c r="D436" s="974">
        <v>5767</v>
      </c>
      <c r="E436" s="788">
        <f>SUM(B436:D436)</f>
        <v>5767</v>
      </c>
      <c r="F436" s="753"/>
      <c r="G436" s="754" t="s">
        <v>191</v>
      </c>
      <c r="H436" s="756">
        <f>B436+H430</f>
        <v>0</v>
      </c>
      <c r="I436" s="756">
        <f t="shared" ref="I436:I438" si="356">C436+I430</f>
        <v>0</v>
      </c>
      <c r="J436" s="756">
        <f>D436+J430</f>
        <v>362451</v>
      </c>
      <c r="K436" s="756">
        <f t="shared" ref="K436:K437" si="357">E436+K430</f>
        <v>362451</v>
      </c>
    </row>
    <row r="437" spans="1:11">
      <c r="A437" s="754" t="s">
        <v>134</v>
      </c>
      <c r="B437" s="756">
        <v>0</v>
      </c>
      <c r="C437" s="756">
        <v>3196</v>
      </c>
      <c r="D437" s="756"/>
      <c r="E437" s="756">
        <f>SUM(B437:D437)</f>
        <v>3196</v>
      </c>
      <c r="F437" s="753"/>
      <c r="G437" s="754" t="s">
        <v>134</v>
      </c>
      <c r="H437" s="756">
        <f t="shared" ref="H437:H438" si="358">B437+H431</f>
        <v>10985</v>
      </c>
      <c r="I437" s="756">
        <f t="shared" si="356"/>
        <v>153657</v>
      </c>
      <c r="J437" s="756">
        <f t="shared" ref="J437" si="359">D437+J431</f>
        <v>0</v>
      </c>
      <c r="K437" s="756">
        <f t="shared" si="357"/>
        <v>165205</v>
      </c>
    </row>
    <row r="438" spans="1:11">
      <c r="A438" s="754" t="s">
        <v>86</v>
      </c>
      <c r="B438" s="756">
        <f>B436-B437</f>
        <v>0</v>
      </c>
      <c r="C438" s="756">
        <f>C436-C437</f>
        <v>-3196</v>
      </c>
      <c r="D438" s="756">
        <f t="shared" ref="D438" si="360">D436-D437</f>
        <v>5767</v>
      </c>
      <c r="E438" s="756">
        <f>SUM(B438:D438)</f>
        <v>2571</v>
      </c>
      <c r="F438" s="753"/>
      <c r="G438" s="754" t="s">
        <v>86</v>
      </c>
      <c r="H438" s="756">
        <f t="shared" si="358"/>
        <v>-10985</v>
      </c>
      <c r="I438" s="756">
        <f t="shared" si="356"/>
        <v>-154220</v>
      </c>
      <c r="J438" s="756">
        <f>D438+J432</f>
        <v>362451</v>
      </c>
      <c r="K438" s="756">
        <f>E438+K432</f>
        <v>197246</v>
      </c>
    </row>
    <row r="440" spans="1:11">
      <c r="A440" s="756" t="s">
        <v>141</v>
      </c>
      <c r="B440" s="756" t="s">
        <v>30</v>
      </c>
      <c r="C440" s="756" t="s">
        <v>30</v>
      </c>
      <c r="D440" s="756"/>
      <c r="E440" s="756"/>
      <c r="F440" s="753"/>
      <c r="G440" s="754"/>
      <c r="H440" s="756" t="s">
        <v>30</v>
      </c>
      <c r="I440" s="756" t="s">
        <v>30</v>
      </c>
      <c r="J440" s="756"/>
      <c r="K440" s="756"/>
    </row>
    <row r="441" spans="1:11">
      <c r="A441" s="95">
        <f>A435+1</f>
        <v>44720</v>
      </c>
      <c r="B441" s="756" t="s">
        <v>34</v>
      </c>
      <c r="C441" s="756" t="s">
        <v>131</v>
      </c>
      <c r="D441" s="756" t="s">
        <v>192</v>
      </c>
      <c r="E441" s="756" t="s">
        <v>132</v>
      </c>
      <c r="F441" s="753"/>
      <c r="G441" s="96" t="s">
        <v>135</v>
      </c>
      <c r="H441" s="756" t="s">
        <v>34</v>
      </c>
      <c r="I441" s="756" t="s">
        <v>131</v>
      </c>
      <c r="J441" s="756" t="s">
        <v>192</v>
      </c>
      <c r="K441" s="756" t="s">
        <v>132</v>
      </c>
    </row>
    <row r="442" spans="1:11">
      <c r="A442" s="754" t="s">
        <v>191</v>
      </c>
      <c r="B442" s="788">
        <v>0</v>
      </c>
      <c r="C442" s="788">
        <v>0</v>
      </c>
      <c r="D442" s="974">
        <v>4961</v>
      </c>
      <c r="E442" s="788">
        <f>SUM(B442:D442)</f>
        <v>4961</v>
      </c>
      <c r="F442" s="753"/>
      <c r="G442" s="754" t="s">
        <v>191</v>
      </c>
      <c r="H442" s="756">
        <f>B442+H436</f>
        <v>0</v>
      </c>
      <c r="I442" s="756">
        <f t="shared" ref="I442:I444" si="361">C442+I436</f>
        <v>0</v>
      </c>
      <c r="J442" s="756">
        <f>D442+J436</f>
        <v>367412</v>
      </c>
      <c r="K442" s="756">
        <f t="shared" ref="K442:K443" si="362">E442+K436</f>
        <v>367412</v>
      </c>
    </row>
    <row r="443" spans="1:11">
      <c r="A443" s="754" t="s">
        <v>134</v>
      </c>
      <c r="B443" s="756">
        <v>0</v>
      </c>
      <c r="C443" s="756"/>
      <c r="D443" s="756"/>
      <c r="E443" s="756">
        <f>SUM(B443:D443)</f>
        <v>0</v>
      </c>
      <c r="F443" s="753"/>
      <c r="G443" s="754" t="s">
        <v>134</v>
      </c>
      <c r="H443" s="756">
        <f t="shared" ref="H443:H444" si="363">B443+H437</f>
        <v>10985</v>
      </c>
      <c r="I443" s="756">
        <f t="shared" si="361"/>
        <v>153657</v>
      </c>
      <c r="J443" s="756">
        <f t="shared" ref="J443" si="364">D443+J437</f>
        <v>0</v>
      </c>
      <c r="K443" s="756">
        <f t="shared" si="362"/>
        <v>165205</v>
      </c>
    </row>
    <row r="444" spans="1:11">
      <c r="A444" s="754" t="s">
        <v>86</v>
      </c>
      <c r="B444" s="756">
        <f>B442-B443</f>
        <v>0</v>
      </c>
      <c r="C444" s="756">
        <f>C442-C443</f>
        <v>0</v>
      </c>
      <c r="D444" s="756">
        <f t="shared" ref="D444" si="365">D442-D443</f>
        <v>4961</v>
      </c>
      <c r="E444" s="756">
        <f>SUM(B444:D444)</f>
        <v>4961</v>
      </c>
      <c r="F444" s="753"/>
      <c r="G444" s="754" t="s">
        <v>86</v>
      </c>
      <c r="H444" s="756">
        <f t="shared" si="363"/>
        <v>-10985</v>
      </c>
      <c r="I444" s="756">
        <f t="shared" si="361"/>
        <v>-154220</v>
      </c>
      <c r="J444" s="756">
        <f>D444+J438</f>
        <v>367412</v>
      </c>
      <c r="K444" s="756">
        <f>E444+K438</f>
        <v>202207</v>
      </c>
    </row>
    <row r="446" spans="1:11">
      <c r="A446" s="756" t="s">
        <v>141</v>
      </c>
      <c r="B446" s="756" t="s">
        <v>30</v>
      </c>
      <c r="C446" s="756" t="s">
        <v>30</v>
      </c>
      <c r="D446" s="756"/>
      <c r="E446" s="756"/>
      <c r="F446" s="753"/>
      <c r="G446" s="754"/>
      <c r="H446" s="756" t="s">
        <v>30</v>
      </c>
      <c r="I446" s="756" t="s">
        <v>30</v>
      </c>
      <c r="J446" s="756"/>
      <c r="K446" s="756"/>
    </row>
    <row r="447" spans="1:11">
      <c r="A447" s="95">
        <f>A441+1</f>
        <v>44721</v>
      </c>
      <c r="B447" s="756" t="s">
        <v>34</v>
      </c>
      <c r="C447" s="756" t="s">
        <v>131</v>
      </c>
      <c r="D447" s="756" t="s">
        <v>192</v>
      </c>
      <c r="E447" s="756" t="s">
        <v>132</v>
      </c>
      <c r="F447" s="753"/>
      <c r="G447" s="96" t="s">
        <v>135</v>
      </c>
      <c r="H447" s="756" t="s">
        <v>34</v>
      </c>
      <c r="I447" s="756" t="s">
        <v>131</v>
      </c>
      <c r="J447" s="756" t="s">
        <v>192</v>
      </c>
      <c r="K447" s="756" t="s">
        <v>132</v>
      </c>
    </row>
    <row r="448" spans="1:11">
      <c r="A448" s="754" t="s">
        <v>191</v>
      </c>
      <c r="B448" s="788">
        <v>0</v>
      </c>
      <c r="C448" s="788">
        <v>0</v>
      </c>
      <c r="D448" s="788">
        <v>2094</v>
      </c>
      <c r="E448" s="788">
        <f>SUM(B448:D448)</f>
        <v>2094</v>
      </c>
      <c r="F448" s="753"/>
      <c r="G448" s="754" t="s">
        <v>191</v>
      </c>
      <c r="H448" s="756">
        <f>B448+H442</f>
        <v>0</v>
      </c>
      <c r="I448" s="756">
        <f t="shared" ref="I448:I450" si="366">C448+I442</f>
        <v>0</v>
      </c>
      <c r="J448" s="756">
        <f>D448+J442</f>
        <v>369506</v>
      </c>
      <c r="K448" s="756">
        <f t="shared" ref="K448:K449" si="367">E448+K442</f>
        <v>369506</v>
      </c>
    </row>
    <row r="449" spans="1:11">
      <c r="A449" s="754" t="s">
        <v>134</v>
      </c>
      <c r="B449" s="756">
        <v>0</v>
      </c>
      <c r="C449" s="756"/>
      <c r="D449" s="756"/>
      <c r="E449" s="756">
        <f>SUM(B449:D449)</f>
        <v>0</v>
      </c>
      <c r="F449" s="753"/>
      <c r="G449" s="754" t="s">
        <v>134</v>
      </c>
      <c r="H449" s="756">
        <f t="shared" ref="H449:H450" si="368">B449+H443</f>
        <v>10985</v>
      </c>
      <c r="I449" s="756">
        <f t="shared" si="366"/>
        <v>153657</v>
      </c>
      <c r="J449" s="756">
        <f t="shared" ref="J449" si="369">D449+J443</f>
        <v>0</v>
      </c>
      <c r="K449" s="756">
        <f t="shared" si="367"/>
        <v>165205</v>
      </c>
    </row>
    <row r="450" spans="1:11">
      <c r="A450" s="754" t="s">
        <v>86</v>
      </c>
      <c r="B450" s="756">
        <f>B448-B449</f>
        <v>0</v>
      </c>
      <c r="C450" s="756">
        <f>C448-C449</f>
        <v>0</v>
      </c>
      <c r="D450" s="756">
        <f t="shared" ref="D450" si="370">D448-D449</f>
        <v>2094</v>
      </c>
      <c r="E450" s="756">
        <f>SUM(B450:D450)</f>
        <v>2094</v>
      </c>
      <c r="F450" s="753"/>
      <c r="G450" s="754" t="s">
        <v>86</v>
      </c>
      <c r="H450" s="756">
        <f t="shared" si="368"/>
        <v>-10985</v>
      </c>
      <c r="I450" s="756">
        <f t="shared" si="366"/>
        <v>-154220</v>
      </c>
      <c r="J450" s="756">
        <f>D450+J444</f>
        <v>369506</v>
      </c>
      <c r="K450" s="756">
        <f>E450+K444</f>
        <v>204301</v>
      </c>
    </row>
    <row r="452" spans="1:11">
      <c r="A452" s="756" t="s">
        <v>141</v>
      </c>
      <c r="B452" s="756" t="s">
        <v>30</v>
      </c>
      <c r="C452" s="756" t="s">
        <v>30</v>
      </c>
      <c r="D452" s="756"/>
      <c r="E452" s="756"/>
      <c r="F452" s="753"/>
      <c r="G452" s="754"/>
      <c r="H452" s="756" t="s">
        <v>30</v>
      </c>
      <c r="I452" s="756" t="s">
        <v>30</v>
      </c>
      <c r="J452" s="756"/>
      <c r="K452" s="756"/>
    </row>
    <row r="453" spans="1:11">
      <c r="A453" s="95">
        <f>A447+1</f>
        <v>44722</v>
      </c>
      <c r="B453" s="756" t="s">
        <v>34</v>
      </c>
      <c r="C453" s="756" t="s">
        <v>131</v>
      </c>
      <c r="D453" s="756" t="s">
        <v>192</v>
      </c>
      <c r="E453" s="756" t="s">
        <v>132</v>
      </c>
      <c r="F453" s="753"/>
      <c r="G453" s="96" t="s">
        <v>135</v>
      </c>
      <c r="H453" s="756" t="s">
        <v>34</v>
      </c>
      <c r="I453" s="756" t="s">
        <v>131</v>
      </c>
      <c r="J453" s="756" t="s">
        <v>192</v>
      </c>
      <c r="K453" s="756" t="s">
        <v>132</v>
      </c>
    </row>
    <row r="454" spans="1:11">
      <c r="A454" s="754" t="s">
        <v>191</v>
      </c>
      <c r="B454" s="788">
        <v>0</v>
      </c>
      <c r="C454" s="788">
        <v>0</v>
      </c>
      <c r="D454" s="788">
        <v>1201</v>
      </c>
      <c r="E454" s="788">
        <f>SUM(B454:D454)</f>
        <v>1201</v>
      </c>
      <c r="F454" s="753"/>
      <c r="G454" s="754" t="s">
        <v>191</v>
      </c>
      <c r="H454" s="756">
        <f>B454+H448</f>
        <v>0</v>
      </c>
      <c r="I454" s="756">
        <f t="shared" ref="I454:I456" si="371">C454+I448</f>
        <v>0</v>
      </c>
      <c r="J454" s="756">
        <f>D454+J448</f>
        <v>370707</v>
      </c>
      <c r="K454" s="756">
        <f t="shared" ref="K454:K455" si="372">E454+K448</f>
        <v>370707</v>
      </c>
    </row>
    <row r="455" spans="1:11">
      <c r="A455" s="754" t="s">
        <v>134</v>
      </c>
      <c r="B455" s="756">
        <v>0</v>
      </c>
      <c r="C455" s="756"/>
      <c r="D455" s="756"/>
      <c r="E455" s="756">
        <f>SUM(B455:D455)</f>
        <v>0</v>
      </c>
      <c r="F455" s="753"/>
      <c r="G455" s="754" t="s">
        <v>134</v>
      </c>
      <c r="H455" s="756">
        <f t="shared" ref="H455:H456" si="373">B455+H449</f>
        <v>10985</v>
      </c>
      <c r="I455" s="756">
        <f t="shared" si="371"/>
        <v>153657</v>
      </c>
      <c r="J455" s="756">
        <f t="shared" ref="J455" si="374">D455+J449</f>
        <v>0</v>
      </c>
      <c r="K455" s="756">
        <f t="shared" si="372"/>
        <v>165205</v>
      </c>
    </row>
    <row r="456" spans="1:11">
      <c r="A456" s="754" t="s">
        <v>86</v>
      </c>
      <c r="B456" s="756">
        <f>B454-B455</f>
        <v>0</v>
      </c>
      <c r="C456" s="756">
        <f>C454-C455</f>
        <v>0</v>
      </c>
      <c r="D456" s="756">
        <f t="shared" ref="D456" si="375">D454-D455</f>
        <v>1201</v>
      </c>
      <c r="E456" s="756">
        <f>SUM(B456:D456)</f>
        <v>1201</v>
      </c>
      <c r="F456" s="753"/>
      <c r="G456" s="754" t="s">
        <v>86</v>
      </c>
      <c r="H456" s="756">
        <f t="shared" si="373"/>
        <v>-10985</v>
      </c>
      <c r="I456" s="756">
        <f t="shared" si="371"/>
        <v>-154220</v>
      </c>
      <c r="J456" s="756">
        <f>D456+J450</f>
        <v>370707</v>
      </c>
      <c r="K456" s="756">
        <f>E456+K450</f>
        <v>205502</v>
      </c>
    </row>
    <row r="458" spans="1:11">
      <c r="A458" s="756" t="s">
        <v>141</v>
      </c>
      <c r="B458" s="756" t="s">
        <v>30</v>
      </c>
      <c r="C458" s="756" t="s">
        <v>30</v>
      </c>
      <c r="D458" s="756"/>
      <c r="E458" s="756"/>
      <c r="F458" s="934"/>
      <c r="G458" s="937"/>
      <c r="H458" s="756" t="s">
        <v>30</v>
      </c>
      <c r="I458" s="756" t="s">
        <v>30</v>
      </c>
      <c r="J458" s="756"/>
      <c r="K458" s="756"/>
    </row>
    <row r="459" spans="1:11">
      <c r="A459" s="95">
        <f>A453+1</f>
        <v>44723</v>
      </c>
      <c r="B459" s="756" t="s">
        <v>34</v>
      </c>
      <c r="C459" s="756" t="s">
        <v>131</v>
      </c>
      <c r="D459" s="756" t="s">
        <v>192</v>
      </c>
      <c r="E459" s="756" t="s">
        <v>132</v>
      </c>
      <c r="F459" s="934"/>
      <c r="G459" s="96" t="s">
        <v>135</v>
      </c>
      <c r="H459" s="756" t="s">
        <v>34</v>
      </c>
      <c r="I459" s="756" t="s">
        <v>131</v>
      </c>
      <c r="J459" s="756" t="s">
        <v>192</v>
      </c>
      <c r="K459" s="756" t="s">
        <v>132</v>
      </c>
    </row>
    <row r="460" spans="1:11">
      <c r="A460" s="937" t="s">
        <v>191</v>
      </c>
      <c r="B460" s="788">
        <v>0</v>
      </c>
      <c r="C460" s="788">
        <v>0</v>
      </c>
      <c r="D460" s="788"/>
      <c r="E460" s="788">
        <f>SUM(B460:D460)</f>
        <v>0</v>
      </c>
      <c r="F460" s="934"/>
      <c r="G460" s="937" t="s">
        <v>191</v>
      </c>
      <c r="H460" s="756">
        <f>B460+H454</f>
        <v>0</v>
      </c>
      <c r="I460" s="756">
        <f t="shared" ref="I460:I462" si="376">C460+I454</f>
        <v>0</v>
      </c>
      <c r="J460" s="756">
        <f>D460+J454</f>
        <v>370707</v>
      </c>
      <c r="K460" s="756">
        <f t="shared" ref="K460:K461" si="377">E460+K454</f>
        <v>370707</v>
      </c>
    </row>
    <row r="461" spans="1:11">
      <c r="A461" s="937" t="s">
        <v>134</v>
      </c>
      <c r="B461" s="756">
        <v>0</v>
      </c>
      <c r="C461" s="756"/>
      <c r="D461" s="756"/>
      <c r="E461" s="756">
        <f>SUM(B461:D461)</f>
        <v>0</v>
      </c>
      <c r="F461" s="934"/>
      <c r="G461" s="937" t="s">
        <v>134</v>
      </c>
      <c r="H461" s="756">
        <f t="shared" ref="H461:H462" si="378">B461+H455</f>
        <v>10985</v>
      </c>
      <c r="I461" s="756">
        <f t="shared" si="376"/>
        <v>153657</v>
      </c>
      <c r="J461" s="756">
        <f t="shared" ref="J461" si="379">D461+J455</f>
        <v>0</v>
      </c>
      <c r="K461" s="756">
        <f t="shared" si="377"/>
        <v>165205</v>
      </c>
    </row>
    <row r="462" spans="1:11">
      <c r="A462" s="937" t="s">
        <v>86</v>
      </c>
      <c r="B462" s="756">
        <f>B460-B461</f>
        <v>0</v>
      </c>
      <c r="C462" s="756">
        <f>C460-C461</f>
        <v>0</v>
      </c>
      <c r="D462" s="756">
        <f t="shared" ref="D462" si="380">D460-D461</f>
        <v>0</v>
      </c>
      <c r="E462" s="756">
        <f>SUM(B462:D462)</f>
        <v>0</v>
      </c>
      <c r="F462" s="934"/>
      <c r="G462" s="937" t="s">
        <v>86</v>
      </c>
      <c r="H462" s="756">
        <f t="shared" si="378"/>
        <v>-10985</v>
      </c>
      <c r="I462" s="756">
        <f t="shared" si="376"/>
        <v>-154220</v>
      </c>
      <c r="J462" s="756">
        <f>D462+J456</f>
        <v>370707</v>
      </c>
      <c r="K462" s="756">
        <f>E462+K456</f>
        <v>205502</v>
      </c>
    </row>
    <row r="464" spans="1:11">
      <c r="A464" s="756" t="s">
        <v>141</v>
      </c>
      <c r="B464" s="756" t="s">
        <v>30</v>
      </c>
      <c r="C464" s="756" t="s">
        <v>30</v>
      </c>
      <c r="D464" s="756"/>
      <c r="E464" s="756"/>
      <c r="F464" s="934"/>
      <c r="G464" s="937"/>
      <c r="H464" s="756" t="s">
        <v>30</v>
      </c>
      <c r="I464" s="756" t="s">
        <v>30</v>
      </c>
      <c r="J464" s="756"/>
      <c r="K464" s="756"/>
    </row>
    <row r="465" spans="1:11">
      <c r="A465" s="95">
        <f>A459+1</f>
        <v>44724</v>
      </c>
      <c r="B465" s="756" t="s">
        <v>34</v>
      </c>
      <c r="C465" s="756" t="s">
        <v>131</v>
      </c>
      <c r="D465" s="756" t="s">
        <v>192</v>
      </c>
      <c r="E465" s="756" t="s">
        <v>132</v>
      </c>
      <c r="F465" s="934"/>
      <c r="G465" s="96" t="s">
        <v>135</v>
      </c>
      <c r="H465" s="756" t="s">
        <v>34</v>
      </c>
      <c r="I465" s="756" t="s">
        <v>131</v>
      </c>
      <c r="J465" s="756" t="s">
        <v>192</v>
      </c>
      <c r="K465" s="756" t="s">
        <v>132</v>
      </c>
    </row>
    <row r="466" spans="1:11">
      <c r="A466" s="937" t="s">
        <v>191</v>
      </c>
      <c r="B466" s="788">
        <v>0</v>
      </c>
      <c r="C466" s="788">
        <v>0</v>
      </c>
      <c r="D466" s="788"/>
      <c r="E466" s="788">
        <f>SUM(B466:D466)</f>
        <v>0</v>
      </c>
      <c r="F466" s="934"/>
      <c r="G466" s="937" t="s">
        <v>191</v>
      </c>
      <c r="H466" s="756">
        <f>B466+H460</f>
        <v>0</v>
      </c>
      <c r="I466" s="756">
        <f t="shared" ref="I466:I468" si="381">C466+I460</f>
        <v>0</v>
      </c>
      <c r="J466" s="756">
        <f>D466+J460</f>
        <v>370707</v>
      </c>
      <c r="K466" s="756">
        <f t="shared" ref="K466:K467" si="382">E466+K460</f>
        <v>370707</v>
      </c>
    </row>
    <row r="467" spans="1:11">
      <c r="A467" s="937" t="s">
        <v>134</v>
      </c>
      <c r="B467" s="756">
        <v>0</v>
      </c>
      <c r="C467" s="756"/>
      <c r="D467" s="756"/>
      <c r="E467" s="756">
        <f>SUM(B467:D467)</f>
        <v>0</v>
      </c>
      <c r="F467" s="934"/>
      <c r="G467" s="937" t="s">
        <v>134</v>
      </c>
      <c r="H467" s="756">
        <f t="shared" ref="H467:H468" si="383">B467+H461</f>
        <v>10985</v>
      </c>
      <c r="I467" s="756">
        <f t="shared" si="381"/>
        <v>153657</v>
      </c>
      <c r="J467" s="756">
        <f t="shared" ref="J467" si="384">D467+J461</f>
        <v>0</v>
      </c>
      <c r="K467" s="756">
        <f t="shared" si="382"/>
        <v>165205</v>
      </c>
    </row>
    <row r="468" spans="1:11">
      <c r="A468" s="937" t="s">
        <v>86</v>
      </c>
      <c r="B468" s="756">
        <f>B466-B467</f>
        <v>0</v>
      </c>
      <c r="C468" s="756">
        <f>C466-C467</f>
        <v>0</v>
      </c>
      <c r="D468" s="756">
        <f t="shared" ref="D468" si="385">D466-D467</f>
        <v>0</v>
      </c>
      <c r="E468" s="756">
        <f>SUM(B468:D468)</f>
        <v>0</v>
      </c>
      <c r="F468" s="934"/>
      <c r="G468" s="937" t="s">
        <v>86</v>
      </c>
      <c r="H468" s="756">
        <f t="shared" si="383"/>
        <v>-10985</v>
      </c>
      <c r="I468" s="756">
        <f t="shared" si="381"/>
        <v>-154220</v>
      </c>
      <c r="J468" s="756">
        <f>D468+J462</f>
        <v>370707</v>
      </c>
      <c r="K468" s="756">
        <f>E468+K462</f>
        <v>205502</v>
      </c>
    </row>
    <row r="470" spans="1:11">
      <c r="A470" s="756" t="s">
        <v>141</v>
      </c>
      <c r="B470" s="756" t="s">
        <v>30</v>
      </c>
      <c r="C470" s="756" t="s">
        <v>30</v>
      </c>
      <c r="D470" s="756"/>
      <c r="E470" s="756"/>
      <c r="F470" s="934"/>
      <c r="G470" s="937"/>
      <c r="H470" s="756" t="s">
        <v>30</v>
      </c>
      <c r="I470" s="756" t="s">
        <v>30</v>
      </c>
      <c r="J470" s="756"/>
      <c r="K470" s="756"/>
    </row>
    <row r="471" spans="1:11">
      <c r="A471" s="95">
        <f>A465+1</f>
        <v>44725</v>
      </c>
      <c r="B471" s="756" t="s">
        <v>34</v>
      </c>
      <c r="C471" s="756" t="s">
        <v>131</v>
      </c>
      <c r="D471" s="756" t="s">
        <v>192</v>
      </c>
      <c r="E471" s="756" t="s">
        <v>132</v>
      </c>
      <c r="F471" s="934"/>
      <c r="G471" s="96" t="s">
        <v>135</v>
      </c>
      <c r="H471" s="756" t="s">
        <v>34</v>
      </c>
      <c r="I471" s="756" t="s">
        <v>131</v>
      </c>
      <c r="J471" s="756" t="s">
        <v>192</v>
      </c>
      <c r="K471" s="756" t="s">
        <v>132</v>
      </c>
    </row>
    <row r="472" spans="1:11">
      <c r="A472" s="937" t="s">
        <v>191</v>
      </c>
      <c r="B472" s="788">
        <v>0</v>
      </c>
      <c r="C472" s="788">
        <v>0</v>
      </c>
      <c r="D472" s="788">
        <v>148</v>
      </c>
      <c r="E472" s="788">
        <f>SUM(B472:D472)</f>
        <v>148</v>
      </c>
      <c r="F472" s="934"/>
      <c r="G472" s="937" t="s">
        <v>191</v>
      </c>
      <c r="H472" s="756">
        <f>B472+H466</f>
        <v>0</v>
      </c>
      <c r="I472" s="756">
        <f t="shared" ref="I472:I474" si="386">C472+I466</f>
        <v>0</v>
      </c>
      <c r="J472" s="756">
        <f>D472+J466</f>
        <v>370855</v>
      </c>
      <c r="K472" s="756">
        <f t="shared" ref="K472:K473" si="387">E472+K466</f>
        <v>370855</v>
      </c>
    </row>
    <row r="473" spans="1:11">
      <c r="A473" s="937" t="s">
        <v>134</v>
      </c>
      <c r="B473" s="756">
        <v>0</v>
      </c>
      <c r="C473" s="756"/>
      <c r="D473" s="756"/>
      <c r="E473" s="756">
        <f>SUM(B473:D473)</f>
        <v>0</v>
      </c>
      <c r="F473" s="934"/>
      <c r="G473" s="937" t="s">
        <v>134</v>
      </c>
      <c r="H473" s="756">
        <f t="shared" ref="H473:H474" si="388">B473+H467</f>
        <v>10985</v>
      </c>
      <c r="I473" s="756">
        <f t="shared" si="386"/>
        <v>153657</v>
      </c>
      <c r="J473" s="756">
        <f t="shared" ref="J473" si="389">D473+J467</f>
        <v>0</v>
      </c>
      <c r="K473" s="756">
        <f t="shared" si="387"/>
        <v>165205</v>
      </c>
    </row>
    <row r="474" spans="1:11">
      <c r="A474" s="937" t="s">
        <v>86</v>
      </c>
      <c r="B474" s="756">
        <f>B472-B473</f>
        <v>0</v>
      </c>
      <c r="C474" s="756">
        <f>C472-C473</f>
        <v>0</v>
      </c>
      <c r="D474" s="756">
        <f t="shared" ref="D474" si="390">D472-D473</f>
        <v>148</v>
      </c>
      <c r="E474" s="756">
        <f>SUM(B474:D474)</f>
        <v>148</v>
      </c>
      <c r="F474" s="934"/>
      <c r="G474" s="937" t="s">
        <v>86</v>
      </c>
      <c r="H474" s="756">
        <f t="shared" si="388"/>
        <v>-10985</v>
      </c>
      <c r="I474" s="756">
        <f t="shared" si="386"/>
        <v>-154220</v>
      </c>
      <c r="J474" s="756">
        <f>D474+J468</f>
        <v>370855</v>
      </c>
      <c r="K474" s="756">
        <f>E474+K468</f>
        <v>205650</v>
      </c>
    </row>
    <row r="476" spans="1:11">
      <c r="A476" s="756" t="s">
        <v>141</v>
      </c>
      <c r="B476" s="756" t="s">
        <v>30</v>
      </c>
      <c r="C476" s="756" t="s">
        <v>30</v>
      </c>
      <c r="D476" s="756"/>
      <c r="E476" s="756"/>
      <c r="F476" s="934"/>
      <c r="G476" s="937"/>
      <c r="H476" s="756" t="s">
        <v>30</v>
      </c>
      <c r="I476" s="756" t="s">
        <v>30</v>
      </c>
      <c r="J476" s="756"/>
      <c r="K476" s="756"/>
    </row>
    <row r="477" spans="1:11">
      <c r="A477" s="95">
        <f>A471+1</f>
        <v>44726</v>
      </c>
      <c r="B477" s="756" t="s">
        <v>34</v>
      </c>
      <c r="C477" s="756" t="s">
        <v>131</v>
      </c>
      <c r="D477" s="756" t="s">
        <v>192</v>
      </c>
      <c r="E477" s="756" t="s">
        <v>132</v>
      </c>
      <c r="F477" s="934"/>
      <c r="G477" s="96" t="s">
        <v>135</v>
      </c>
      <c r="H477" s="756" t="s">
        <v>34</v>
      </c>
      <c r="I477" s="756" t="s">
        <v>131</v>
      </c>
      <c r="J477" s="756" t="s">
        <v>192</v>
      </c>
      <c r="K477" s="756" t="s">
        <v>132</v>
      </c>
    </row>
    <row r="478" spans="1:11">
      <c r="A478" s="937" t="s">
        <v>191</v>
      </c>
      <c r="B478" s="788">
        <v>0</v>
      </c>
      <c r="C478" s="788">
        <v>0</v>
      </c>
      <c r="D478" s="788">
        <v>243</v>
      </c>
      <c r="E478" s="788">
        <f>SUM(B478:D478)</f>
        <v>243</v>
      </c>
      <c r="F478" s="934"/>
      <c r="G478" s="937" t="s">
        <v>191</v>
      </c>
      <c r="H478" s="756">
        <f>B478+H472</f>
        <v>0</v>
      </c>
      <c r="I478" s="756">
        <f t="shared" ref="I478:I480" si="391">C478+I472</f>
        <v>0</v>
      </c>
      <c r="J478" s="756">
        <f>D478+J472</f>
        <v>371098</v>
      </c>
      <c r="K478" s="756">
        <f t="shared" ref="K478:K479" si="392">E478+K472</f>
        <v>371098</v>
      </c>
    </row>
    <row r="479" spans="1:11">
      <c r="A479" s="937" t="s">
        <v>134</v>
      </c>
      <c r="B479" s="756">
        <v>0</v>
      </c>
      <c r="C479" s="756"/>
      <c r="D479" s="756"/>
      <c r="E479" s="756">
        <f>SUM(B479:D479)</f>
        <v>0</v>
      </c>
      <c r="F479" s="934"/>
      <c r="G479" s="937" t="s">
        <v>134</v>
      </c>
      <c r="H479" s="756">
        <f t="shared" ref="H479:H480" si="393">B479+H473</f>
        <v>10985</v>
      </c>
      <c r="I479" s="756">
        <f t="shared" si="391"/>
        <v>153657</v>
      </c>
      <c r="J479" s="756">
        <f t="shared" ref="J479" si="394">D479+J473</f>
        <v>0</v>
      </c>
      <c r="K479" s="756">
        <f t="shared" si="392"/>
        <v>165205</v>
      </c>
    </row>
    <row r="480" spans="1:11">
      <c r="A480" s="937" t="s">
        <v>86</v>
      </c>
      <c r="B480" s="756">
        <f>B478-B479</f>
        <v>0</v>
      </c>
      <c r="C480" s="756">
        <f>C478-C479</f>
        <v>0</v>
      </c>
      <c r="D480" s="756">
        <f t="shared" ref="D480" si="395">D478-D479</f>
        <v>243</v>
      </c>
      <c r="E480" s="756">
        <f>SUM(B480:D480)</f>
        <v>243</v>
      </c>
      <c r="F480" s="934"/>
      <c r="G480" s="937" t="s">
        <v>86</v>
      </c>
      <c r="H480" s="756">
        <f t="shared" si="393"/>
        <v>-10985</v>
      </c>
      <c r="I480" s="756">
        <f t="shared" si="391"/>
        <v>-154220</v>
      </c>
      <c r="J480" s="756">
        <f>D480+J474</f>
        <v>371098</v>
      </c>
      <c r="K480" s="756">
        <f>E480+K474</f>
        <v>205893</v>
      </c>
    </row>
    <row r="482" spans="1:11">
      <c r="A482" s="756" t="s">
        <v>141</v>
      </c>
      <c r="B482" s="756" t="s">
        <v>30</v>
      </c>
      <c r="C482" s="756" t="s">
        <v>30</v>
      </c>
      <c r="D482" s="756"/>
      <c r="E482" s="756"/>
      <c r="F482" s="934"/>
      <c r="G482" s="937"/>
      <c r="H482" s="756" t="s">
        <v>30</v>
      </c>
      <c r="I482" s="756" t="s">
        <v>30</v>
      </c>
      <c r="J482" s="756"/>
      <c r="K482" s="756"/>
    </row>
    <row r="483" spans="1:11">
      <c r="A483" s="95">
        <f>A477+1</f>
        <v>44727</v>
      </c>
      <c r="B483" s="756" t="s">
        <v>34</v>
      </c>
      <c r="C483" s="756" t="s">
        <v>131</v>
      </c>
      <c r="D483" s="756" t="s">
        <v>192</v>
      </c>
      <c r="E483" s="756" t="s">
        <v>132</v>
      </c>
      <c r="F483" s="934"/>
      <c r="G483" s="96" t="s">
        <v>135</v>
      </c>
      <c r="H483" s="756" t="s">
        <v>34</v>
      </c>
      <c r="I483" s="756" t="s">
        <v>131</v>
      </c>
      <c r="J483" s="756" t="s">
        <v>192</v>
      </c>
      <c r="K483" s="756" t="s">
        <v>132</v>
      </c>
    </row>
    <row r="484" spans="1:11">
      <c r="A484" s="937" t="s">
        <v>191</v>
      </c>
      <c r="B484" s="788">
        <v>0</v>
      </c>
      <c r="C484" s="788">
        <v>0</v>
      </c>
      <c r="D484" s="788">
        <v>272</v>
      </c>
      <c r="E484" s="788">
        <f>SUM(B484:D484)</f>
        <v>272</v>
      </c>
      <c r="F484" s="934"/>
      <c r="G484" s="937" t="s">
        <v>191</v>
      </c>
      <c r="H484" s="756">
        <f>B484+H478</f>
        <v>0</v>
      </c>
      <c r="I484" s="756">
        <f t="shared" ref="I484:I486" si="396">C484+I478</f>
        <v>0</v>
      </c>
      <c r="J484" s="756">
        <f>D484+J478</f>
        <v>371370</v>
      </c>
      <c r="K484" s="756">
        <f t="shared" ref="K484:K485" si="397">E484+K478</f>
        <v>371370</v>
      </c>
    </row>
    <row r="485" spans="1:11">
      <c r="A485" s="937" t="s">
        <v>134</v>
      </c>
      <c r="B485" s="756">
        <v>0</v>
      </c>
      <c r="C485" s="756"/>
      <c r="D485" s="756"/>
      <c r="E485" s="756">
        <f>SUM(B485:D485)</f>
        <v>0</v>
      </c>
      <c r="F485" s="934"/>
      <c r="G485" s="937" t="s">
        <v>134</v>
      </c>
      <c r="H485" s="756">
        <f t="shared" ref="H485:H486" si="398">B485+H479</f>
        <v>10985</v>
      </c>
      <c r="I485" s="756">
        <f t="shared" si="396"/>
        <v>153657</v>
      </c>
      <c r="J485" s="756">
        <f t="shared" ref="J485" si="399">D485+J479</f>
        <v>0</v>
      </c>
      <c r="K485" s="756">
        <f t="shared" si="397"/>
        <v>165205</v>
      </c>
    </row>
    <row r="486" spans="1:11">
      <c r="A486" s="937" t="s">
        <v>86</v>
      </c>
      <c r="B486" s="756">
        <f>B484-B485</f>
        <v>0</v>
      </c>
      <c r="C486" s="756">
        <f>C484-C485</f>
        <v>0</v>
      </c>
      <c r="D486" s="756">
        <f t="shared" ref="D486" si="400">D484-D485</f>
        <v>272</v>
      </c>
      <c r="E486" s="756">
        <f>SUM(B486:D486)</f>
        <v>272</v>
      </c>
      <c r="F486" s="934"/>
      <c r="G486" s="937" t="s">
        <v>86</v>
      </c>
      <c r="H486" s="756">
        <f t="shared" si="398"/>
        <v>-10985</v>
      </c>
      <c r="I486" s="756">
        <f t="shared" si="396"/>
        <v>-154220</v>
      </c>
      <c r="J486" s="756">
        <f>D486+J480</f>
        <v>371370</v>
      </c>
      <c r="K486" s="756">
        <f>E486+K480</f>
        <v>206165</v>
      </c>
    </row>
    <row r="488" spans="1:11">
      <c r="A488" s="756" t="s">
        <v>141</v>
      </c>
      <c r="B488" s="756" t="s">
        <v>30</v>
      </c>
      <c r="C488" s="756" t="s">
        <v>30</v>
      </c>
      <c r="D488" s="756"/>
      <c r="E488" s="756"/>
      <c r="F488" s="934"/>
      <c r="G488" s="937"/>
      <c r="H488" s="756" t="s">
        <v>30</v>
      </c>
      <c r="I488" s="756" t="s">
        <v>30</v>
      </c>
      <c r="J488" s="756"/>
      <c r="K488" s="756"/>
    </row>
    <row r="489" spans="1:11">
      <c r="A489" s="95">
        <f>A483+1</f>
        <v>44728</v>
      </c>
      <c r="B489" s="756" t="s">
        <v>34</v>
      </c>
      <c r="C489" s="756" t="s">
        <v>131</v>
      </c>
      <c r="D489" s="756" t="s">
        <v>192</v>
      </c>
      <c r="E489" s="756" t="s">
        <v>132</v>
      </c>
      <c r="F489" s="934"/>
      <c r="G489" s="96" t="s">
        <v>135</v>
      </c>
      <c r="H489" s="756" t="s">
        <v>34</v>
      </c>
      <c r="I489" s="756" t="s">
        <v>131</v>
      </c>
      <c r="J489" s="756" t="s">
        <v>192</v>
      </c>
      <c r="K489" s="756" t="s">
        <v>132</v>
      </c>
    </row>
    <row r="490" spans="1:11">
      <c r="A490" s="937" t="s">
        <v>191</v>
      </c>
      <c r="B490" s="788">
        <v>0</v>
      </c>
      <c r="C490" s="788">
        <v>0</v>
      </c>
      <c r="D490" s="788">
        <v>686</v>
      </c>
      <c r="E490" s="788">
        <f>SUM(B490:D490)</f>
        <v>686</v>
      </c>
      <c r="F490" s="934"/>
      <c r="G490" s="937" t="s">
        <v>191</v>
      </c>
      <c r="H490" s="756">
        <f>B490+H484</f>
        <v>0</v>
      </c>
      <c r="I490" s="756">
        <f t="shared" ref="I490:I492" si="401">C490+I484</f>
        <v>0</v>
      </c>
      <c r="J490" s="756">
        <f>D490+J484</f>
        <v>372056</v>
      </c>
      <c r="K490" s="756">
        <f t="shared" ref="K490:K491" si="402">E490+K484</f>
        <v>372056</v>
      </c>
    </row>
    <row r="491" spans="1:11">
      <c r="A491" s="937" t="s">
        <v>134</v>
      </c>
      <c r="B491" s="756">
        <v>0</v>
      </c>
      <c r="C491" s="756"/>
      <c r="D491" s="756"/>
      <c r="E491" s="756">
        <f>SUM(B491:D491)</f>
        <v>0</v>
      </c>
      <c r="F491" s="934"/>
      <c r="G491" s="937" t="s">
        <v>134</v>
      </c>
      <c r="H491" s="756">
        <f t="shared" ref="H491:H492" si="403">B491+H485</f>
        <v>10985</v>
      </c>
      <c r="I491" s="756">
        <f t="shared" si="401"/>
        <v>153657</v>
      </c>
      <c r="J491" s="756">
        <f t="shared" ref="J491" si="404">D491+J485</f>
        <v>0</v>
      </c>
      <c r="K491" s="756">
        <f t="shared" si="402"/>
        <v>165205</v>
      </c>
    </row>
    <row r="492" spans="1:11">
      <c r="A492" s="937" t="s">
        <v>86</v>
      </c>
      <c r="B492" s="756">
        <f>B490-B491</f>
        <v>0</v>
      </c>
      <c r="C492" s="756">
        <f>C490-C491</f>
        <v>0</v>
      </c>
      <c r="D492" s="756">
        <f t="shared" ref="D492" si="405">D490-D491</f>
        <v>686</v>
      </c>
      <c r="E492" s="756">
        <f>SUM(B492:D492)</f>
        <v>686</v>
      </c>
      <c r="F492" s="934"/>
      <c r="G492" s="937" t="s">
        <v>86</v>
      </c>
      <c r="H492" s="756">
        <f t="shared" si="403"/>
        <v>-10985</v>
      </c>
      <c r="I492" s="756">
        <f t="shared" si="401"/>
        <v>-154220</v>
      </c>
      <c r="J492" s="756">
        <f>D492+J486</f>
        <v>372056</v>
      </c>
      <c r="K492" s="756">
        <f>E492+K486</f>
        <v>206851</v>
      </c>
    </row>
    <row r="494" spans="1:11">
      <c r="A494" s="756" t="s">
        <v>141</v>
      </c>
      <c r="B494" s="756" t="s">
        <v>30</v>
      </c>
      <c r="C494" s="756" t="s">
        <v>30</v>
      </c>
      <c r="D494" s="756"/>
      <c r="E494" s="756"/>
      <c r="F494" s="934"/>
      <c r="G494" s="937"/>
      <c r="H494" s="756" t="s">
        <v>30</v>
      </c>
      <c r="I494" s="756" t="s">
        <v>30</v>
      </c>
      <c r="J494" s="756"/>
      <c r="K494" s="756"/>
    </row>
    <row r="495" spans="1:11">
      <c r="A495" s="95">
        <f>A489+1</f>
        <v>44729</v>
      </c>
      <c r="B495" s="756" t="s">
        <v>34</v>
      </c>
      <c r="C495" s="756" t="s">
        <v>131</v>
      </c>
      <c r="D495" s="756" t="s">
        <v>192</v>
      </c>
      <c r="E495" s="756" t="s">
        <v>132</v>
      </c>
      <c r="F495" s="934"/>
      <c r="G495" s="96" t="s">
        <v>135</v>
      </c>
      <c r="H495" s="756" t="s">
        <v>34</v>
      </c>
      <c r="I495" s="756" t="s">
        <v>131</v>
      </c>
      <c r="J495" s="756" t="s">
        <v>192</v>
      </c>
      <c r="K495" s="756" t="s">
        <v>132</v>
      </c>
    </row>
    <row r="496" spans="1:11">
      <c r="A496" s="937" t="s">
        <v>191</v>
      </c>
      <c r="B496" s="788">
        <v>0</v>
      </c>
      <c r="C496" s="788">
        <v>0</v>
      </c>
      <c r="D496" s="788">
        <v>272</v>
      </c>
      <c r="E496" s="788">
        <f>SUM(B496:D496)</f>
        <v>272</v>
      </c>
      <c r="F496" s="934"/>
      <c r="G496" s="937" t="s">
        <v>191</v>
      </c>
      <c r="H496" s="756">
        <f>B496+H490</f>
        <v>0</v>
      </c>
      <c r="I496" s="756">
        <f t="shared" ref="I496:I498" si="406">C496+I490</f>
        <v>0</v>
      </c>
      <c r="J496" s="756">
        <f>D496+J490</f>
        <v>372328</v>
      </c>
      <c r="K496" s="756">
        <f t="shared" ref="K496:K497" si="407">E496+K490</f>
        <v>372328</v>
      </c>
    </row>
    <row r="497" spans="1:11">
      <c r="A497" s="937" t="s">
        <v>134</v>
      </c>
      <c r="B497" s="756">
        <v>0</v>
      </c>
      <c r="C497" s="756"/>
      <c r="D497" s="756"/>
      <c r="E497" s="756">
        <f>SUM(B497:D497)</f>
        <v>0</v>
      </c>
      <c r="F497" s="934"/>
      <c r="G497" s="937" t="s">
        <v>134</v>
      </c>
      <c r="H497" s="756">
        <f t="shared" ref="H497:H498" si="408">B497+H491</f>
        <v>10985</v>
      </c>
      <c r="I497" s="756">
        <f t="shared" si="406"/>
        <v>153657</v>
      </c>
      <c r="J497" s="756">
        <f t="shared" ref="J497" si="409">D497+J491</f>
        <v>0</v>
      </c>
      <c r="K497" s="756">
        <f t="shared" si="407"/>
        <v>165205</v>
      </c>
    </row>
    <row r="498" spans="1:11">
      <c r="A498" s="937" t="s">
        <v>86</v>
      </c>
      <c r="B498" s="756">
        <f>B496-B497</f>
        <v>0</v>
      </c>
      <c r="C498" s="756">
        <f>C496-C497</f>
        <v>0</v>
      </c>
      <c r="D498" s="756">
        <f t="shared" ref="D498" si="410">D496-D497</f>
        <v>272</v>
      </c>
      <c r="E498" s="756">
        <f>SUM(B498:D498)</f>
        <v>272</v>
      </c>
      <c r="F498" s="934"/>
      <c r="G498" s="937" t="s">
        <v>86</v>
      </c>
      <c r="H498" s="756">
        <f t="shared" si="408"/>
        <v>-10985</v>
      </c>
      <c r="I498" s="756">
        <f t="shared" si="406"/>
        <v>-154220</v>
      </c>
      <c r="J498" s="756">
        <f>D498+J492</f>
        <v>372328</v>
      </c>
      <c r="K498" s="756">
        <f>E498+K492</f>
        <v>207123</v>
      </c>
    </row>
  </sheetData>
  <pageMargins left="0.25" right="0.25" top="0.75" bottom="0.75" header="0.3" footer="0.3"/>
  <pageSetup paperSize="17" scale="91" fitToWidth="3" fitToHeight="3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5ED54-0646-4E08-90AA-DB892F06909E}">
  <sheetPr codeName="Sheet351"/>
  <dimension ref="A1:F274"/>
  <sheetViews>
    <sheetView topLeftCell="A264" workbookViewId="0">
      <selection activeCell="B271" sqref="B271"/>
    </sheetView>
  </sheetViews>
  <sheetFormatPr defaultRowHeight="15"/>
  <cols>
    <col min="1" max="2" width="15.140625" customWidth="1"/>
    <col min="3" max="3" width="9.5703125" bestFit="1" customWidth="1"/>
  </cols>
  <sheetData>
    <row r="1" spans="1:3" s="934" customFormat="1">
      <c r="A1" s="94">
        <v>44820</v>
      </c>
      <c r="B1" s="934">
        <v>1488</v>
      </c>
    </row>
    <row r="2" spans="1:3" s="934" customFormat="1">
      <c r="A2" s="1053">
        <v>44821</v>
      </c>
      <c r="B2" s="1054">
        <v>1929</v>
      </c>
      <c r="C2" s="1055"/>
    </row>
    <row r="3" spans="1:3">
      <c r="A3" s="1053">
        <v>44822</v>
      </c>
      <c r="B3" s="1054">
        <v>3908</v>
      </c>
      <c r="C3" s="1054"/>
    </row>
    <row r="4" spans="1:3">
      <c r="A4" s="94">
        <v>44823</v>
      </c>
      <c r="B4">
        <v>2364</v>
      </c>
    </row>
    <row r="5" spans="1:3">
      <c r="A5" s="94">
        <v>44824</v>
      </c>
      <c r="B5">
        <v>2655</v>
      </c>
    </row>
    <row r="6" spans="1:3">
      <c r="A6" s="94">
        <v>44825</v>
      </c>
      <c r="B6">
        <v>3338</v>
      </c>
    </row>
    <row r="7" spans="1:3">
      <c r="A7" s="94">
        <v>44826</v>
      </c>
      <c r="B7">
        <v>4825</v>
      </c>
    </row>
    <row r="8" spans="1:3">
      <c r="A8" s="94">
        <v>44827</v>
      </c>
      <c r="B8">
        <v>4795</v>
      </c>
    </row>
    <row r="9" spans="1:3">
      <c r="A9" s="94">
        <v>44828</v>
      </c>
      <c r="B9">
        <v>3918</v>
      </c>
    </row>
    <row r="10" spans="1:3">
      <c r="A10" s="94">
        <v>44829</v>
      </c>
      <c r="B10">
        <v>3874</v>
      </c>
    </row>
    <row r="11" spans="1:3">
      <c r="A11" s="94">
        <v>44830</v>
      </c>
      <c r="B11">
        <v>5953</v>
      </c>
    </row>
    <row r="12" spans="1:3">
      <c r="A12" s="94">
        <v>44831</v>
      </c>
      <c r="B12">
        <v>6687</v>
      </c>
    </row>
    <row r="13" spans="1:3">
      <c r="A13" s="94">
        <v>44832</v>
      </c>
      <c r="B13">
        <v>6452</v>
      </c>
    </row>
    <row r="14" spans="1:3">
      <c r="A14" s="94">
        <v>44833</v>
      </c>
      <c r="B14">
        <v>6417</v>
      </c>
    </row>
    <row r="15" spans="1:3" ht="15.75" thickBot="1">
      <c r="A15" s="984">
        <v>44834</v>
      </c>
      <c r="B15" s="985">
        <v>5691</v>
      </c>
      <c r="C15" s="985">
        <f>SUM(B1:B15)</f>
        <v>64294</v>
      </c>
    </row>
    <row r="16" spans="1:3">
      <c r="A16" s="94">
        <v>44835</v>
      </c>
      <c r="B16" s="1057">
        <v>3763</v>
      </c>
    </row>
    <row r="17" spans="1:2">
      <c r="A17" s="94">
        <v>44836</v>
      </c>
      <c r="B17" s="1057">
        <v>3649</v>
      </c>
    </row>
    <row r="18" spans="1:2">
      <c r="A18" s="94">
        <v>44837</v>
      </c>
      <c r="B18" s="1057">
        <v>6793</v>
      </c>
    </row>
    <row r="19" spans="1:2">
      <c r="A19" s="94">
        <v>44838</v>
      </c>
      <c r="B19" s="1057">
        <v>7395</v>
      </c>
    </row>
    <row r="20" spans="1:2">
      <c r="A20" s="94">
        <v>44839</v>
      </c>
      <c r="B20" s="1057">
        <v>7162</v>
      </c>
    </row>
    <row r="21" spans="1:2">
      <c r="A21" s="94">
        <v>44840</v>
      </c>
      <c r="B21" s="1057">
        <v>6828</v>
      </c>
    </row>
    <row r="22" spans="1:2">
      <c r="A22" s="94">
        <v>44841</v>
      </c>
      <c r="B22" s="1057">
        <v>5824</v>
      </c>
    </row>
    <row r="23" spans="1:2">
      <c r="A23" s="94">
        <v>44842</v>
      </c>
      <c r="B23" s="1057">
        <v>4422</v>
      </c>
    </row>
    <row r="24" spans="1:2">
      <c r="A24" s="94">
        <v>44843</v>
      </c>
      <c r="B24" s="1057">
        <v>4779</v>
      </c>
    </row>
    <row r="25" spans="1:2">
      <c r="A25" s="94">
        <v>44844</v>
      </c>
      <c r="B25" s="1057">
        <v>7579</v>
      </c>
    </row>
    <row r="26" spans="1:2">
      <c r="A26" s="94">
        <v>44845</v>
      </c>
      <c r="B26" s="1057">
        <v>7608</v>
      </c>
    </row>
    <row r="27" spans="1:2">
      <c r="A27" s="94">
        <v>44846</v>
      </c>
      <c r="B27" s="1057">
        <v>8175</v>
      </c>
    </row>
    <row r="28" spans="1:2">
      <c r="A28" s="94">
        <v>44847</v>
      </c>
      <c r="B28" s="1057">
        <v>7177</v>
      </c>
    </row>
    <row r="29" spans="1:2">
      <c r="A29" s="94">
        <v>44848</v>
      </c>
      <c r="B29">
        <v>6131</v>
      </c>
    </row>
    <row r="30" spans="1:2">
      <c r="A30" s="94">
        <v>44849</v>
      </c>
      <c r="B30">
        <v>4633</v>
      </c>
    </row>
    <row r="31" spans="1:2">
      <c r="A31" s="94">
        <v>44850</v>
      </c>
      <c r="B31">
        <v>5596</v>
      </c>
    </row>
    <row r="32" spans="1:2">
      <c r="A32" s="94">
        <v>44851</v>
      </c>
      <c r="B32">
        <v>7534</v>
      </c>
    </row>
    <row r="33" spans="1:3">
      <c r="A33" s="94">
        <v>44852</v>
      </c>
      <c r="B33">
        <v>7836</v>
      </c>
    </row>
    <row r="34" spans="1:3">
      <c r="A34" s="94">
        <v>44853</v>
      </c>
      <c r="B34">
        <v>7612</v>
      </c>
    </row>
    <row r="35" spans="1:3">
      <c r="A35" s="94">
        <v>44854</v>
      </c>
      <c r="B35">
        <v>8070</v>
      </c>
    </row>
    <row r="36" spans="1:3">
      <c r="A36" s="94">
        <v>44855</v>
      </c>
      <c r="B36">
        <v>6318</v>
      </c>
    </row>
    <row r="37" spans="1:3">
      <c r="A37" s="94">
        <v>44856</v>
      </c>
      <c r="B37">
        <v>4877</v>
      </c>
    </row>
    <row r="38" spans="1:3">
      <c r="A38" s="94">
        <v>44857</v>
      </c>
      <c r="B38">
        <v>5206</v>
      </c>
    </row>
    <row r="39" spans="1:3">
      <c r="A39" s="94">
        <v>44858</v>
      </c>
      <c r="B39">
        <v>7204</v>
      </c>
    </row>
    <row r="40" spans="1:3">
      <c r="A40" s="94">
        <v>44859</v>
      </c>
      <c r="B40">
        <v>8745</v>
      </c>
    </row>
    <row r="41" spans="1:3">
      <c r="A41" s="94">
        <v>44860</v>
      </c>
      <c r="B41">
        <v>7988</v>
      </c>
    </row>
    <row r="42" spans="1:3">
      <c r="A42" s="94">
        <v>44861</v>
      </c>
      <c r="B42">
        <v>7894</v>
      </c>
    </row>
    <row r="43" spans="1:3">
      <c r="A43" s="94">
        <v>44862</v>
      </c>
      <c r="B43">
        <v>6223</v>
      </c>
    </row>
    <row r="44" spans="1:3">
      <c r="A44" s="94">
        <v>44863</v>
      </c>
      <c r="B44">
        <v>5396</v>
      </c>
    </row>
    <row r="45" spans="1:3">
      <c r="A45" s="94">
        <v>44864</v>
      </c>
      <c r="B45">
        <v>5111</v>
      </c>
    </row>
    <row r="46" spans="1:3" ht="15.75" thickBot="1">
      <c r="A46" s="984">
        <v>44865</v>
      </c>
      <c r="B46" s="985">
        <v>7733</v>
      </c>
      <c r="C46" s="985">
        <f>SUM(B16:B46)</f>
        <v>201261</v>
      </c>
    </row>
    <row r="47" spans="1:3">
      <c r="A47" s="94">
        <v>44866</v>
      </c>
      <c r="B47" s="1057">
        <v>8373</v>
      </c>
    </row>
    <row r="48" spans="1:3">
      <c r="A48" s="94">
        <v>44867</v>
      </c>
      <c r="B48" s="1057">
        <v>8322</v>
      </c>
    </row>
    <row r="49" spans="1:2">
      <c r="A49" s="94">
        <v>44868</v>
      </c>
      <c r="B49" s="1057">
        <v>8610</v>
      </c>
    </row>
    <row r="50" spans="1:2">
      <c r="A50" s="94">
        <v>44869</v>
      </c>
      <c r="B50" s="1057">
        <v>6369</v>
      </c>
    </row>
    <row r="51" spans="1:2">
      <c r="A51" s="94">
        <v>44870</v>
      </c>
      <c r="B51">
        <v>5189</v>
      </c>
    </row>
    <row r="52" spans="1:2">
      <c r="A52" s="94">
        <v>44871</v>
      </c>
      <c r="B52">
        <v>4825</v>
      </c>
    </row>
    <row r="53" spans="1:2">
      <c r="A53" s="94">
        <v>44872</v>
      </c>
      <c r="B53">
        <v>7734</v>
      </c>
    </row>
    <row r="54" spans="1:2">
      <c r="A54" s="94">
        <v>44873</v>
      </c>
      <c r="B54">
        <v>8151</v>
      </c>
    </row>
    <row r="55" spans="1:2">
      <c r="A55" s="94">
        <v>44874</v>
      </c>
      <c r="B55">
        <v>8099</v>
      </c>
    </row>
    <row r="56" spans="1:2">
      <c r="A56" s="94">
        <v>44875</v>
      </c>
      <c r="B56">
        <v>7962</v>
      </c>
    </row>
    <row r="57" spans="1:2">
      <c r="A57" s="94">
        <v>44876</v>
      </c>
      <c r="B57">
        <v>4713</v>
      </c>
    </row>
    <row r="58" spans="1:2">
      <c r="A58" s="94">
        <v>44877</v>
      </c>
      <c r="B58">
        <v>4380</v>
      </c>
    </row>
    <row r="59" spans="1:2">
      <c r="A59" s="94">
        <v>44878</v>
      </c>
      <c r="B59">
        <v>5518</v>
      </c>
    </row>
    <row r="60" spans="1:2">
      <c r="A60" s="94">
        <v>44879</v>
      </c>
      <c r="B60">
        <v>7830</v>
      </c>
    </row>
    <row r="61" spans="1:2">
      <c r="A61" s="94">
        <v>44880</v>
      </c>
      <c r="B61">
        <v>7190</v>
      </c>
    </row>
    <row r="62" spans="1:2">
      <c r="A62" s="94">
        <v>44881</v>
      </c>
      <c r="B62">
        <v>8194</v>
      </c>
    </row>
    <row r="63" spans="1:2">
      <c r="A63" s="94">
        <v>44882</v>
      </c>
      <c r="B63">
        <v>6929</v>
      </c>
    </row>
    <row r="64" spans="1:2">
      <c r="A64" s="94">
        <v>44883</v>
      </c>
      <c r="B64">
        <v>6415</v>
      </c>
    </row>
    <row r="65" spans="1:3">
      <c r="A65" s="94">
        <v>44884</v>
      </c>
      <c r="B65">
        <v>5114</v>
      </c>
    </row>
    <row r="66" spans="1:3">
      <c r="A66" s="94">
        <v>44885</v>
      </c>
      <c r="B66">
        <v>5752</v>
      </c>
    </row>
    <row r="67" spans="1:3">
      <c r="A67" s="94">
        <v>44886</v>
      </c>
      <c r="B67">
        <v>6705</v>
      </c>
    </row>
    <row r="68" spans="1:3">
      <c r="A68" s="94">
        <v>44887</v>
      </c>
      <c r="B68">
        <v>6219</v>
      </c>
    </row>
    <row r="69" spans="1:3">
      <c r="A69" s="94">
        <v>44888</v>
      </c>
      <c r="B69">
        <v>1167</v>
      </c>
    </row>
    <row r="70" spans="1:3">
      <c r="A70" s="94">
        <v>44889</v>
      </c>
      <c r="B70">
        <v>1</v>
      </c>
    </row>
    <row r="71" spans="1:3">
      <c r="A71" s="94">
        <v>44890</v>
      </c>
      <c r="B71">
        <v>0</v>
      </c>
    </row>
    <row r="72" spans="1:3">
      <c r="A72" s="94">
        <v>44891</v>
      </c>
      <c r="B72">
        <v>0</v>
      </c>
    </row>
    <row r="73" spans="1:3">
      <c r="A73" s="94">
        <v>44892</v>
      </c>
      <c r="B73">
        <v>2018</v>
      </c>
    </row>
    <row r="74" spans="1:3">
      <c r="A74" s="94">
        <v>44893</v>
      </c>
      <c r="B74">
        <v>8241</v>
      </c>
    </row>
    <row r="75" spans="1:3">
      <c r="A75" s="94">
        <v>44894</v>
      </c>
      <c r="B75">
        <v>7968</v>
      </c>
    </row>
    <row r="76" spans="1:3" ht="15.75" thickBot="1">
      <c r="A76" s="984">
        <v>44895</v>
      </c>
      <c r="B76" s="985">
        <v>8728</v>
      </c>
      <c r="C76" s="985">
        <f>SUM(B47:B76)</f>
        <v>176716</v>
      </c>
    </row>
    <row r="77" spans="1:3">
      <c r="A77" s="94">
        <v>44896</v>
      </c>
      <c r="B77" s="1057">
        <v>8939</v>
      </c>
    </row>
    <row r="78" spans="1:3">
      <c r="A78" s="94">
        <v>44897</v>
      </c>
      <c r="B78" s="1057">
        <v>7162</v>
      </c>
    </row>
    <row r="79" spans="1:3">
      <c r="A79" s="94">
        <v>44898</v>
      </c>
      <c r="B79">
        <v>6147</v>
      </c>
    </row>
    <row r="80" spans="1:3">
      <c r="A80" s="94">
        <v>44899</v>
      </c>
      <c r="B80">
        <v>6834</v>
      </c>
    </row>
    <row r="81" spans="1:2">
      <c r="A81" s="94">
        <v>44900</v>
      </c>
      <c r="B81">
        <v>8869</v>
      </c>
    </row>
    <row r="82" spans="1:2">
      <c r="A82" s="94">
        <v>44901</v>
      </c>
      <c r="B82">
        <v>8038</v>
      </c>
    </row>
    <row r="83" spans="1:2">
      <c r="A83" s="94">
        <v>44902</v>
      </c>
      <c r="B83">
        <v>7681</v>
      </c>
    </row>
    <row r="84" spans="1:2">
      <c r="A84" s="94">
        <v>44903</v>
      </c>
      <c r="B84">
        <v>9339</v>
      </c>
    </row>
    <row r="85" spans="1:2">
      <c r="A85" s="94">
        <v>44904</v>
      </c>
      <c r="B85">
        <v>2521</v>
      </c>
    </row>
    <row r="86" spans="1:2">
      <c r="A86" s="94">
        <v>44905</v>
      </c>
      <c r="B86">
        <v>0</v>
      </c>
    </row>
    <row r="87" spans="1:2">
      <c r="A87" s="94">
        <v>44906</v>
      </c>
      <c r="B87">
        <v>0</v>
      </c>
    </row>
    <row r="88" spans="1:2">
      <c r="A88" s="94">
        <v>44907</v>
      </c>
      <c r="B88">
        <v>0</v>
      </c>
    </row>
    <row r="89" spans="1:2">
      <c r="A89" s="94">
        <v>44908</v>
      </c>
      <c r="B89">
        <v>0</v>
      </c>
    </row>
    <row r="90" spans="1:2">
      <c r="A90" s="94">
        <v>44909</v>
      </c>
      <c r="B90">
        <v>0</v>
      </c>
    </row>
    <row r="91" spans="1:2">
      <c r="A91" s="94">
        <v>44910</v>
      </c>
      <c r="B91">
        <v>0</v>
      </c>
    </row>
    <row r="92" spans="1:2">
      <c r="A92" s="94">
        <v>44911</v>
      </c>
      <c r="B92">
        <v>0</v>
      </c>
    </row>
    <row r="93" spans="1:2">
      <c r="A93" s="94">
        <v>44912</v>
      </c>
      <c r="B93">
        <v>0</v>
      </c>
    </row>
    <row r="94" spans="1:2">
      <c r="A94" s="94">
        <v>44913</v>
      </c>
      <c r="B94">
        <v>0</v>
      </c>
    </row>
    <row r="95" spans="1:2">
      <c r="A95" s="94">
        <v>44914</v>
      </c>
      <c r="B95">
        <v>0</v>
      </c>
    </row>
    <row r="96" spans="1:2">
      <c r="A96" s="94">
        <v>44915</v>
      </c>
      <c r="B96">
        <v>0</v>
      </c>
    </row>
    <row r="97" spans="1:3">
      <c r="A97" s="94">
        <v>44916</v>
      </c>
      <c r="B97">
        <v>0</v>
      </c>
    </row>
    <row r="98" spans="1:3">
      <c r="A98" s="94">
        <v>44917</v>
      </c>
      <c r="B98">
        <v>0</v>
      </c>
    </row>
    <row r="99" spans="1:3">
      <c r="A99" s="94">
        <v>44918</v>
      </c>
      <c r="B99">
        <v>0</v>
      </c>
    </row>
    <row r="100" spans="1:3">
      <c r="A100" s="94">
        <v>44919</v>
      </c>
      <c r="B100">
        <v>0</v>
      </c>
    </row>
    <row r="101" spans="1:3">
      <c r="A101" s="94">
        <v>44920</v>
      </c>
      <c r="B101">
        <v>0</v>
      </c>
    </row>
    <row r="102" spans="1:3">
      <c r="A102" s="94">
        <v>44921</v>
      </c>
      <c r="B102">
        <v>0</v>
      </c>
    </row>
    <row r="103" spans="1:3">
      <c r="A103" s="94">
        <v>44922</v>
      </c>
      <c r="B103">
        <v>0</v>
      </c>
    </row>
    <row r="104" spans="1:3">
      <c r="A104" s="94">
        <v>44923</v>
      </c>
      <c r="B104">
        <v>0</v>
      </c>
    </row>
    <row r="105" spans="1:3">
      <c r="A105" s="94">
        <v>44924</v>
      </c>
      <c r="B105">
        <v>0</v>
      </c>
    </row>
    <row r="106" spans="1:3">
      <c r="A106" s="94">
        <v>44925</v>
      </c>
      <c r="B106">
        <v>0</v>
      </c>
    </row>
    <row r="107" spans="1:3" ht="15.75" thickBot="1">
      <c r="A107" s="984">
        <v>44926</v>
      </c>
      <c r="B107" s="985">
        <v>0</v>
      </c>
      <c r="C107" s="985">
        <f>SUM(B77:B107)</f>
        <v>65530</v>
      </c>
    </row>
    <row r="108" spans="1:3">
      <c r="A108" s="94">
        <v>44927</v>
      </c>
      <c r="B108" s="1057">
        <v>0</v>
      </c>
    </row>
    <row r="109" spans="1:3">
      <c r="A109" s="94">
        <v>44928</v>
      </c>
      <c r="B109" s="1057">
        <v>0</v>
      </c>
    </row>
    <row r="110" spans="1:3">
      <c r="A110" s="94">
        <v>44929</v>
      </c>
      <c r="B110" s="1057">
        <v>0</v>
      </c>
    </row>
    <row r="111" spans="1:3">
      <c r="A111" s="94">
        <v>44930</v>
      </c>
      <c r="B111">
        <v>0</v>
      </c>
    </row>
    <row r="112" spans="1:3">
      <c r="A112" s="94">
        <v>44931</v>
      </c>
      <c r="B112">
        <v>0</v>
      </c>
    </row>
    <row r="113" spans="1:2">
      <c r="A113" s="94">
        <v>44932</v>
      </c>
      <c r="B113">
        <v>0</v>
      </c>
    </row>
    <row r="114" spans="1:2">
      <c r="A114" s="94">
        <v>44933</v>
      </c>
      <c r="B114">
        <v>0</v>
      </c>
    </row>
    <row r="115" spans="1:2">
      <c r="A115" s="94">
        <v>44934</v>
      </c>
      <c r="B115">
        <v>1904</v>
      </c>
    </row>
    <row r="116" spans="1:2">
      <c r="A116" s="94">
        <v>44935</v>
      </c>
      <c r="B116">
        <v>5925</v>
      </c>
    </row>
    <row r="117" spans="1:2">
      <c r="A117" s="94">
        <v>44936</v>
      </c>
      <c r="B117">
        <v>7564</v>
      </c>
    </row>
    <row r="118" spans="1:2">
      <c r="A118" s="94">
        <v>44937</v>
      </c>
      <c r="B118">
        <v>7495</v>
      </c>
    </row>
    <row r="119" spans="1:2">
      <c r="A119" s="94">
        <v>44938</v>
      </c>
      <c r="B119">
        <v>7853</v>
      </c>
    </row>
    <row r="120" spans="1:2">
      <c r="A120" s="94">
        <v>44939</v>
      </c>
      <c r="B120">
        <v>6367</v>
      </c>
    </row>
    <row r="121" spans="1:2">
      <c r="A121" s="94">
        <v>44940</v>
      </c>
      <c r="B121">
        <v>31</v>
      </c>
    </row>
    <row r="122" spans="1:2">
      <c r="A122" s="94">
        <v>44941</v>
      </c>
      <c r="B122">
        <v>31</v>
      </c>
    </row>
    <row r="123" spans="1:2">
      <c r="A123" s="94">
        <v>44942</v>
      </c>
      <c r="B123">
        <v>2586</v>
      </c>
    </row>
    <row r="124" spans="1:2">
      <c r="A124" s="94">
        <v>44943</v>
      </c>
      <c r="B124">
        <v>7741</v>
      </c>
    </row>
    <row r="125" spans="1:2">
      <c r="A125" s="94">
        <v>44944</v>
      </c>
      <c r="B125">
        <v>8453</v>
      </c>
    </row>
    <row r="126" spans="1:2">
      <c r="A126" s="94">
        <v>44945</v>
      </c>
      <c r="B126">
        <v>7791</v>
      </c>
    </row>
    <row r="127" spans="1:2">
      <c r="A127" s="94">
        <v>44946</v>
      </c>
      <c r="B127">
        <v>7063</v>
      </c>
    </row>
    <row r="128" spans="1:2">
      <c r="A128" s="94">
        <v>44947</v>
      </c>
      <c r="B128">
        <v>4192</v>
      </c>
    </row>
    <row r="129" spans="1:3">
      <c r="A129" s="94">
        <v>44948</v>
      </c>
      <c r="B129">
        <v>4070</v>
      </c>
    </row>
    <row r="130" spans="1:3">
      <c r="A130" s="94">
        <v>44949</v>
      </c>
      <c r="B130">
        <v>7795</v>
      </c>
    </row>
    <row r="131" spans="1:3">
      <c r="A131" s="94">
        <v>44950</v>
      </c>
      <c r="B131">
        <v>8605</v>
      </c>
    </row>
    <row r="132" spans="1:3">
      <c r="A132" s="94">
        <v>44951</v>
      </c>
      <c r="B132">
        <v>8972</v>
      </c>
    </row>
    <row r="133" spans="1:3">
      <c r="A133" s="94">
        <v>44952</v>
      </c>
      <c r="B133">
        <v>7605</v>
      </c>
    </row>
    <row r="134" spans="1:3">
      <c r="A134" s="94">
        <v>44953</v>
      </c>
      <c r="B134">
        <v>7240</v>
      </c>
    </row>
    <row r="135" spans="1:3">
      <c r="A135" s="94">
        <v>44954</v>
      </c>
      <c r="B135">
        <v>4564</v>
      </c>
    </row>
    <row r="136" spans="1:3">
      <c r="A136" s="94">
        <v>44955</v>
      </c>
      <c r="B136">
        <v>4535</v>
      </c>
    </row>
    <row r="137" spans="1:3">
      <c r="A137" s="94">
        <v>44956</v>
      </c>
      <c r="B137">
        <v>8153</v>
      </c>
    </row>
    <row r="138" spans="1:3" ht="15.75" thickBot="1">
      <c r="A138" s="984">
        <v>44957</v>
      </c>
      <c r="B138" s="985">
        <v>8906</v>
      </c>
      <c r="C138" s="985">
        <f>SUM(B108:B138)</f>
        <v>145441</v>
      </c>
    </row>
    <row r="139" spans="1:3">
      <c r="A139" s="94">
        <v>44958</v>
      </c>
      <c r="B139" s="1057">
        <v>8406</v>
      </c>
    </row>
    <row r="140" spans="1:3">
      <c r="A140" s="94">
        <v>44959</v>
      </c>
      <c r="B140" s="1057">
        <v>9472</v>
      </c>
    </row>
    <row r="141" spans="1:3">
      <c r="A141" s="94">
        <v>44960</v>
      </c>
      <c r="B141" s="1057">
        <v>7788</v>
      </c>
    </row>
    <row r="142" spans="1:3">
      <c r="A142" s="94">
        <v>44961</v>
      </c>
      <c r="B142">
        <v>4779</v>
      </c>
    </row>
    <row r="143" spans="1:3">
      <c r="A143" s="94">
        <v>44962</v>
      </c>
      <c r="B143">
        <v>4297</v>
      </c>
    </row>
    <row r="144" spans="1:3">
      <c r="A144" s="94">
        <v>44963</v>
      </c>
      <c r="B144">
        <v>8372</v>
      </c>
    </row>
    <row r="145" spans="1:2">
      <c r="A145" s="94">
        <v>44964</v>
      </c>
      <c r="B145">
        <v>9273</v>
      </c>
    </row>
    <row r="146" spans="1:2">
      <c r="A146" s="94">
        <v>44965</v>
      </c>
      <c r="B146">
        <v>9481</v>
      </c>
    </row>
    <row r="147" spans="1:2">
      <c r="A147" s="94">
        <v>44966</v>
      </c>
      <c r="B147">
        <v>8448</v>
      </c>
    </row>
    <row r="148" spans="1:2">
      <c r="A148" s="94">
        <v>44967</v>
      </c>
      <c r="B148">
        <v>7600</v>
      </c>
    </row>
    <row r="149" spans="1:2">
      <c r="A149" s="94">
        <v>44968</v>
      </c>
      <c r="B149">
        <v>4818</v>
      </c>
    </row>
    <row r="150" spans="1:2">
      <c r="A150" s="94">
        <v>44969</v>
      </c>
      <c r="B150">
        <v>4523</v>
      </c>
    </row>
    <row r="151" spans="1:2">
      <c r="A151" s="94">
        <v>44970</v>
      </c>
      <c r="B151">
        <v>8385</v>
      </c>
    </row>
    <row r="152" spans="1:2">
      <c r="A152" s="94">
        <v>44971</v>
      </c>
      <c r="B152">
        <v>8172</v>
      </c>
    </row>
    <row r="153" spans="1:2">
      <c r="A153" s="94">
        <v>44972</v>
      </c>
      <c r="B153">
        <v>8179</v>
      </c>
    </row>
    <row r="154" spans="1:2">
      <c r="A154" s="94">
        <v>44973</v>
      </c>
      <c r="B154">
        <v>7828</v>
      </c>
    </row>
    <row r="155" spans="1:2">
      <c r="A155" s="94">
        <v>44974</v>
      </c>
      <c r="B155">
        <v>6480</v>
      </c>
    </row>
    <row r="156" spans="1:2">
      <c r="A156" s="94">
        <v>44975</v>
      </c>
      <c r="B156">
        <v>27</v>
      </c>
    </row>
    <row r="157" spans="1:2">
      <c r="A157" s="94">
        <v>44976</v>
      </c>
      <c r="B157">
        <v>15</v>
      </c>
    </row>
    <row r="158" spans="1:2">
      <c r="A158" s="94">
        <v>44977</v>
      </c>
      <c r="B158">
        <v>2602</v>
      </c>
    </row>
    <row r="159" spans="1:2">
      <c r="A159" s="94">
        <v>44978</v>
      </c>
      <c r="B159">
        <v>8498</v>
      </c>
    </row>
    <row r="160" spans="1:2">
      <c r="A160" s="94">
        <v>44979</v>
      </c>
      <c r="B160">
        <v>7799</v>
      </c>
    </row>
    <row r="161" spans="1:3">
      <c r="A161" s="94">
        <v>44980</v>
      </c>
      <c r="B161">
        <v>8456</v>
      </c>
    </row>
    <row r="162" spans="1:3">
      <c r="A162" s="94">
        <v>44981</v>
      </c>
      <c r="B162">
        <v>4847</v>
      </c>
    </row>
    <row r="163" spans="1:3">
      <c r="A163" s="94">
        <v>44982</v>
      </c>
      <c r="B163">
        <v>3780</v>
      </c>
    </row>
    <row r="164" spans="1:3">
      <c r="A164" s="94">
        <v>44983</v>
      </c>
      <c r="B164">
        <v>4818</v>
      </c>
    </row>
    <row r="165" spans="1:3">
      <c r="A165" s="94">
        <v>44984</v>
      </c>
      <c r="B165">
        <v>7796</v>
      </c>
    </row>
    <row r="166" spans="1:3">
      <c r="A166" s="1191">
        <v>44985</v>
      </c>
      <c r="B166" s="1192">
        <v>8419</v>
      </c>
      <c r="C166" s="1192">
        <f>SUM(B139:B166)</f>
        <v>183358</v>
      </c>
    </row>
    <row r="167" spans="1:3">
      <c r="A167" s="94">
        <v>44986</v>
      </c>
      <c r="B167" s="1057">
        <v>9310</v>
      </c>
    </row>
    <row r="168" spans="1:3">
      <c r="A168" s="94">
        <v>44987</v>
      </c>
      <c r="B168" s="934">
        <v>10113</v>
      </c>
    </row>
    <row r="169" spans="1:3">
      <c r="A169" s="94">
        <v>44988</v>
      </c>
      <c r="B169">
        <v>6540</v>
      </c>
    </row>
    <row r="170" spans="1:3">
      <c r="A170" s="94">
        <v>44989</v>
      </c>
      <c r="B170">
        <v>5131</v>
      </c>
    </row>
    <row r="171" spans="1:3">
      <c r="A171" s="94">
        <v>44990</v>
      </c>
      <c r="B171">
        <v>5260</v>
      </c>
    </row>
    <row r="172" spans="1:3">
      <c r="A172" s="94">
        <v>44991</v>
      </c>
      <c r="B172">
        <v>8777</v>
      </c>
    </row>
    <row r="173" spans="1:3">
      <c r="A173" s="94">
        <v>44992</v>
      </c>
      <c r="B173">
        <v>8414</v>
      </c>
    </row>
    <row r="174" spans="1:3">
      <c r="A174" s="94">
        <v>44993</v>
      </c>
      <c r="B174">
        <v>9201</v>
      </c>
    </row>
    <row r="175" spans="1:3">
      <c r="A175" s="94">
        <v>44994</v>
      </c>
      <c r="B175">
        <v>8648</v>
      </c>
    </row>
    <row r="176" spans="1:3">
      <c r="A176" s="94">
        <v>44995</v>
      </c>
      <c r="B176">
        <v>6784</v>
      </c>
    </row>
    <row r="177" spans="1:2">
      <c r="A177" s="94">
        <v>44996</v>
      </c>
      <c r="B177">
        <v>5769</v>
      </c>
    </row>
    <row r="178" spans="1:2">
      <c r="A178" s="94">
        <v>44997</v>
      </c>
      <c r="B178">
        <v>5034</v>
      </c>
    </row>
    <row r="179" spans="1:2">
      <c r="A179" s="94">
        <v>44998</v>
      </c>
      <c r="B179">
        <v>9364</v>
      </c>
    </row>
    <row r="180" spans="1:2">
      <c r="A180" s="94">
        <v>44999</v>
      </c>
      <c r="B180">
        <v>8614</v>
      </c>
    </row>
    <row r="181" spans="1:2">
      <c r="A181" s="94">
        <v>45000</v>
      </c>
      <c r="B181">
        <v>9595</v>
      </c>
    </row>
    <row r="182" spans="1:2">
      <c r="A182" s="94">
        <v>45001</v>
      </c>
      <c r="B182">
        <v>10353</v>
      </c>
    </row>
    <row r="183" spans="1:2">
      <c r="A183" s="94">
        <v>45002</v>
      </c>
      <c r="B183">
        <v>9114</v>
      </c>
    </row>
    <row r="184" spans="1:2">
      <c r="A184" s="94">
        <v>45003</v>
      </c>
      <c r="B184">
        <v>6529</v>
      </c>
    </row>
    <row r="185" spans="1:2">
      <c r="A185" s="94">
        <v>45004</v>
      </c>
      <c r="B185">
        <v>5932</v>
      </c>
    </row>
    <row r="186" spans="1:2">
      <c r="A186" s="94">
        <v>45005</v>
      </c>
      <c r="B186">
        <v>8164</v>
      </c>
    </row>
    <row r="187" spans="1:2">
      <c r="A187" s="94">
        <v>45006</v>
      </c>
      <c r="B187">
        <v>7962</v>
      </c>
    </row>
    <row r="188" spans="1:2">
      <c r="A188" s="94">
        <v>45007</v>
      </c>
      <c r="B188">
        <v>7449</v>
      </c>
    </row>
    <row r="189" spans="1:2">
      <c r="A189" s="94">
        <v>45008</v>
      </c>
      <c r="B189">
        <v>6721</v>
      </c>
    </row>
    <row r="190" spans="1:2">
      <c r="A190" s="94">
        <v>45009</v>
      </c>
      <c r="B190">
        <v>1992</v>
      </c>
    </row>
    <row r="191" spans="1:2">
      <c r="A191" s="94">
        <v>45010</v>
      </c>
      <c r="B191">
        <v>0</v>
      </c>
    </row>
    <row r="192" spans="1:2">
      <c r="A192" s="94">
        <v>45011</v>
      </c>
      <c r="B192">
        <v>0</v>
      </c>
    </row>
    <row r="193" spans="1:4">
      <c r="A193" s="94">
        <v>45012</v>
      </c>
      <c r="B193">
        <v>0</v>
      </c>
    </row>
    <row r="194" spans="1:4">
      <c r="A194" s="94">
        <v>45013</v>
      </c>
      <c r="B194">
        <v>0</v>
      </c>
    </row>
    <row r="195" spans="1:4">
      <c r="A195" s="94">
        <v>45014</v>
      </c>
      <c r="B195">
        <v>0</v>
      </c>
    </row>
    <row r="196" spans="1:4">
      <c r="A196" s="94">
        <v>45015</v>
      </c>
      <c r="B196">
        <v>0</v>
      </c>
    </row>
    <row r="197" spans="1:4" ht="15.75" thickBot="1">
      <c r="A197" s="1225">
        <v>45016</v>
      </c>
      <c r="B197" s="388">
        <v>0</v>
      </c>
      <c r="C197" s="388">
        <f>SUM(B167:B197)</f>
        <v>180770</v>
      </c>
      <c r="D197" s="388"/>
    </row>
    <row r="198" spans="1:4" ht="15.75" thickTop="1">
      <c r="A198" s="94">
        <v>45017</v>
      </c>
      <c r="B198" s="1057">
        <v>0</v>
      </c>
    </row>
    <row r="199" spans="1:4">
      <c r="A199" s="94">
        <v>45018</v>
      </c>
      <c r="B199">
        <v>1117</v>
      </c>
    </row>
    <row r="200" spans="1:4">
      <c r="A200" s="94">
        <v>45019</v>
      </c>
      <c r="B200">
        <v>7545</v>
      </c>
    </row>
    <row r="201" spans="1:4">
      <c r="A201" s="94">
        <v>45020</v>
      </c>
      <c r="B201">
        <v>8733</v>
      </c>
    </row>
    <row r="202" spans="1:4">
      <c r="A202" s="94">
        <v>45021</v>
      </c>
      <c r="B202">
        <v>8041</v>
      </c>
    </row>
    <row r="203" spans="1:4">
      <c r="A203" s="94">
        <v>45022</v>
      </c>
      <c r="B203">
        <v>8925</v>
      </c>
    </row>
    <row r="204" spans="1:4">
      <c r="A204" s="94">
        <v>45023</v>
      </c>
      <c r="B204">
        <v>6091</v>
      </c>
    </row>
    <row r="205" spans="1:4">
      <c r="A205" s="94">
        <v>45024</v>
      </c>
      <c r="B205">
        <v>4745</v>
      </c>
    </row>
    <row r="206" spans="1:4">
      <c r="A206" s="94">
        <v>45025</v>
      </c>
      <c r="B206">
        <v>3412</v>
      </c>
    </row>
    <row r="207" spans="1:4">
      <c r="A207" s="94">
        <v>45026</v>
      </c>
      <c r="B207">
        <v>7872</v>
      </c>
    </row>
    <row r="208" spans="1:4">
      <c r="A208" s="94">
        <v>45027</v>
      </c>
      <c r="B208">
        <v>8329</v>
      </c>
    </row>
    <row r="209" spans="1:2">
      <c r="A209" s="94">
        <v>45028</v>
      </c>
      <c r="B209">
        <v>8225</v>
      </c>
    </row>
    <row r="210" spans="1:2">
      <c r="A210" s="94">
        <v>45029</v>
      </c>
      <c r="B210">
        <v>8261</v>
      </c>
    </row>
    <row r="211" spans="1:2">
      <c r="A211" s="94">
        <v>45030</v>
      </c>
      <c r="B211">
        <v>7378</v>
      </c>
    </row>
    <row r="212" spans="1:2">
      <c r="A212" s="94">
        <v>45031</v>
      </c>
      <c r="B212">
        <v>4531</v>
      </c>
    </row>
    <row r="213" spans="1:2">
      <c r="A213" s="94">
        <v>45032</v>
      </c>
      <c r="B213">
        <v>4904</v>
      </c>
    </row>
    <row r="214" spans="1:2">
      <c r="A214" s="94">
        <v>45033</v>
      </c>
      <c r="B214">
        <v>8473</v>
      </c>
    </row>
    <row r="215" spans="1:2">
      <c r="A215" s="94">
        <v>45034</v>
      </c>
      <c r="B215">
        <v>9049</v>
      </c>
    </row>
    <row r="216" spans="1:2">
      <c r="A216" s="94">
        <v>45035</v>
      </c>
      <c r="B216">
        <v>9203</v>
      </c>
    </row>
    <row r="217" spans="1:2">
      <c r="A217" s="94">
        <v>45036</v>
      </c>
      <c r="B217">
        <v>7550</v>
      </c>
    </row>
    <row r="218" spans="1:2">
      <c r="A218" s="94">
        <v>45037</v>
      </c>
      <c r="B218">
        <v>5877</v>
      </c>
    </row>
    <row r="219" spans="1:2">
      <c r="A219" s="94">
        <v>45038</v>
      </c>
      <c r="B219">
        <v>4240</v>
      </c>
    </row>
    <row r="220" spans="1:2">
      <c r="A220" s="94">
        <v>45039</v>
      </c>
      <c r="B220">
        <v>2917</v>
      </c>
    </row>
    <row r="221" spans="1:2">
      <c r="A221" s="94">
        <v>45040</v>
      </c>
      <c r="B221">
        <v>7626</v>
      </c>
    </row>
    <row r="222" spans="1:2">
      <c r="A222" s="94">
        <v>45041</v>
      </c>
      <c r="B222">
        <v>8512</v>
      </c>
    </row>
    <row r="223" spans="1:2">
      <c r="A223" s="94">
        <v>45042</v>
      </c>
      <c r="B223">
        <v>8021</v>
      </c>
    </row>
    <row r="224" spans="1:2">
      <c r="A224" s="94">
        <v>45043</v>
      </c>
      <c r="B224">
        <v>8429</v>
      </c>
    </row>
    <row r="225" spans="1:4">
      <c r="A225" s="94">
        <v>45044</v>
      </c>
      <c r="B225">
        <v>6844</v>
      </c>
    </row>
    <row r="226" spans="1:4">
      <c r="A226" s="94">
        <v>45045</v>
      </c>
      <c r="B226">
        <v>3737</v>
      </c>
    </row>
    <row r="227" spans="1:4" ht="15.75" thickBot="1">
      <c r="A227" s="1225">
        <v>45046</v>
      </c>
      <c r="B227" s="388">
        <v>3588</v>
      </c>
      <c r="C227" s="388">
        <f>SUM(B198:B227)</f>
        <v>192175</v>
      </c>
      <c r="D227" s="388"/>
    </row>
    <row r="228" spans="1:4" ht="15.75" thickTop="1">
      <c r="A228" s="94">
        <v>45047</v>
      </c>
      <c r="B228" s="1057">
        <v>8785</v>
      </c>
    </row>
    <row r="229" spans="1:4">
      <c r="A229" s="94">
        <v>45048</v>
      </c>
      <c r="B229" s="1057">
        <v>8249</v>
      </c>
    </row>
    <row r="230" spans="1:4">
      <c r="A230" s="94">
        <v>45049</v>
      </c>
      <c r="B230" s="1057">
        <v>8241</v>
      </c>
    </row>
    <row r="231" spans="1:4">
      <c r="A231" s="94">
        <v>45050</v>
      </c>
      <c r="B231" s="1057">
        <v>7920</v>
      </c>
    </row>
    <row r="232" spans="1:4">
      <c r="A232" s="94">
        <v>45051</v>
      </c>
      <c r="B232" s="1057">
        <v>6562</v>
      </c>
    </row>
    <row r="233" spans="1:4">
      <c r="A233" s="94">
        <v>45052</v>
      </c>
      <c r="B233">
        <v>3107</v>
      </c>
    </row>
    <row r="234" spans="1:4">
      <c r="A234" s="94">
        <v>45053</v>
      </c>
      <c r="B234">
        <v>3081</v>
      </c>
    </row>
    <row r="235" spans="1:4">
      <c r="A235" s="94">
        <v>45054</v>
      </c>
      <c r="B235">
        <v>7327</v>
      </c>
    </row>
    <row r="236" spans="1:4">
      <c r="A236" s="94">
        <v>45055</v>
      </c>
      <c r="B236">
        <v>7444</v>
      </c>
    </row>
    <row r="237" spans="1:4">
      <c r="A237" s="94">
        <v>45056</v>
      </c>
      <c r="B237">
        <v>8150</v>
      </c>
    </row>
    <row r="238" spans="1:4">
      <c r="A238" s="94">
        <v>45057</v>
      </c>
      <c r="B238">
        <v>8241</v>
      </c>
    </row>
    <row r="239" spans="1:4">
      <c r="A239" s="94">
        <v>45058</v>
      </c>
      <c r="B239">
        <v>5295</v>
      </c>
    </row>
    <row r="240" spans="1:4">
      <c r="A240" s="94">
        <v>45059</v>
      </c>
      <c r="B240">
        <v>2706</v>
      </c>
    </row>
    <row r="241" spans="1:2">
      <c r="A241" s="94">
        <v>45060</v>
      </c>
      <c r="B241">
        <v>2620</v>
      </c>
    </row>
    <row r="242" spans="1:2">
      <c r="A242" s="94">
        <v>45061</v>
      </c>
      <c r="B242">
        <v>7290</v>
      </c>
    </row>
    <row r="243" spans="1:2">
      <c r="A243" s="94">
        <v>45062</v>
      </c>
      <c r="B243">
        <v>9071</v>
      </c>
    </row>
    <row r="244" spans="1:2">
      <c r="A244" s="94">
        <v>45063</v>
      </c>
      <c r="B244">
        <v>8194</v>
      </c>
    </row>
    <row r="245" spans="1:2">
      <c r="A245" s="94">
        <v>45064</v>
      </c>
      <c r="B245">
        <v>8990</v>
      </c>
    </row>
    <row r="246" spans="1:2">
      <c r="A246" s="94">
        <v>45065</v>
      </c>
      <c r="B246">
        <v>7144</v>
      </c>
    </row>
    <row r="247" spans="1:2">
      <c r="A247" s="94">
        <v>45066</v>
      </c>
      <c r="B247">
        <v>3349</v>
      </c>
    </row>
    <row r="248" spans="1:2">
      <c r="A248" s="94">
        <v>45067</v>
      </c>
      <c r="B248">
        <v>3253</v>
      </c>
    </row>
    <row r="249" spans="1:2">
      <c r="A249" s="94">
        <v>45068</v>
      </c>
      <c r="B249">
        <v>8120</v>
      </c>
    </row>
    <row r="250" spans="1:2">
      <c r="A250" s="94">
        <v>45069</v>
      </c>
      <c r="B250">
        <v>9036</v>
      </c>
    </row>
    <row r="251" spans="1:2">
      <c r="A251" s="94">
        <v>45070</v>
      </c>
      <c r="B251">
        <v>8826</v>
      </c>
    </row>
    <row r="252" spans="1:2">
      <c r="A252" s="94">
        <v>45071</v>
      </c>
      <c r="B252">
        <v>9833</v>
      </c>
    </row>
    <row r="253" spans="1:2">
      <c r="A253" s="94">
        <v>45072</v>
      </c>
      <c r="B253">
        <v>6745</v>
      </c>
    </row>
    <row r="254" spans="1:2">
      <c r="A254" s="94">
        <v>45073</v>
      </c>
      <c r="B254">
        <v>805</v>
      </c>
    </row>
    <row r="255" spans="1:2">
      <c r="A255" s="94">
        <v>45074</v>
      </c>
      <c r="B255">
        <v>1127</v>
      </c>
    </row>
    <row r="256" spans="1:2">
      <c r="A256" s="94">
        <v>45075</v>
      </c>
      <c r="B256">
        <v>2271</v>
      </c>
    </row>
    <row r="257" spans="1:6">
      <c r="A257" s="94">
        <v>45076</v>
      </c>
      <c r="B257">
        <v>8509</v>
      </c>
    </row>
    <row r="258" spans="1:6" ht="15.75" thickBot="1">
      <c r="A258" s="1225">
        <v>45077</v>
      </c>
      <c r="B258" s="388">
        <v>9382</v>
      </c>
      <c r="C258" s="388">
        <f>SUM(B228:B258)</f>
        <v>199673</v>
      </c>
      <c r="D258" s="388"/>
    </row>
    <row r="259" spans="1:6" ht="15.75" thickTop="1">
      <c r="A259" s="94">
        <v>45078</v>
      </c>
      <c r="B259" s="1057">
        <v>9814</v>
      </c>
      <c r="E259">
        <v>3283</v>
      </c>
      <c r="F259">
        <f>B259-E259</f>
        <v>6531</v>
      </c>
    </row>
    <row r="260" spans="1:6">
      <c r="A260" s="94">
        <v>45079</v>
      </c>
      <c r="B260" s="1057">
        <v>7967</v>
      </c>
    </row>
    <row r="261" spans="1:6">
      <c r="A261" s="94">
        <v>45080</v>
      </c>
      <c r="B261">
        <v>3512</v>
      </c>
    </row>
    <row r="262" spans="1:6">
      <c r="A262" s="94">
        <v>45081</v>
      </c>
      <c r="B262">
        <v>3780</v>
      </c>
    </row>
    <row r="263" spans="1:6">
      <c r="A263" s="94">
        <v>45082</v>
      </c>
      <c r="B263">
        <v>9672</v>
      </c>
    </row>
    <row r="264" spans="1:6">
      <c r="A264" s="94">
        <v>45083</v>
      </c>
      <c r="B264">
        <v>11473</v>
      </c>
    </row>
    <row r="265" spans="1:6">
      <c r="A265" s="94">
        <v>45084</v>
      </c>
      <c r="B265">
        <v>11031</v>
      </c>
    </row>
    <row r="266" spans="1:6">
      <c r="A266" s="94">
        <v>45085</v>
      </c>
      <c r="B266">
        <v>11071</v>
      </c>
    </row>
    <row r="267" spans="1:6">
      <c r="A267" s="94">
        <v>45086</v>
      </c>
      <c r="B267">
        <v>8794</v>
      </c>
    </row>
    <row r="268" spans="1:6">
      <c r="A268" s="94">
        <v>45087</v>
      </c>
      <c r="B268">
        <v>4570</v>
      </c>
    </row>
    <row r="269" spans="1:6">
      <c r="A269" s="94">
        <v>45088</v>
      </c>
      <c r="B269">
        <v>3393</v>
      </c>
    </row>
    <row r="270" spans="1:6">
      <c r="A270" s="94">
        <v>45089</v>
      </c>
      <c r="B270">
        <v>9630</v>
      </c>
    </row>
    <row r="271" spans="1:6">
      <c r="A271" s="94">
        <v>45090</v>
      </c>
    </row>
    <row r="272" spans="1:6">
      <c r="A272" s="94">
        <v>45091</v>
      </c>
    </row>
    <row r="273" spans="1:4" ht="15.75" thickBot="1">
      <c r="A273" s="1225">
        <v>45092</v>
      </c>
      <c r="B273" s="388"/>
      <c r="C273" s="388">
        <f>SUM(B259:B273)</f>
        <v>94707</v>
      </c>
      <c r="D273" s="388"/>
    </row>
    <row r="274" spans="1:4" ht="15.75" thickTop="1"/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560EB-FCB3-4B1F-96E2-77AB898806E9}">
  <dimension ref="A1:BB71"/>
  <sheetViews>
    <sheetView workbookViewId="0">
      <pane xSplit="1" ySplit="2" topLeftCell="Z32" activePane="bottomRight" state="frozen"/>
      <selection pane="topRight" activeCell="B1" sqref="B1"/>
      <selection pane="bottomLeft" activeCell="A3" sqref="A3"/>
      <selection pane="bottomRight" activeCell="AG64" sqref="AG64"/>
    </sheetView>
  </sheetViews>
  <sheetFormatPr defaultColWidth="8.85546875" defaultRowHeight="15"/>
  <cols>
    <col min="1" max="1" width="21.85546875" style="974" bestFit="1" customWidth="1"/>
    <col min="2" max="27" width="8.5703125" style="974" bestFit="1" customWidth="1"/>
    <col min="28" max="29" width="8" style="974" customWidth="1"/>
    <col min="30" max="30" width="8.5703125" style="974" bestFit="1" customWidth="1"/>
    <col min="31" max="32" width="8" style="974" customWidth="1"/>
    <col min="33" max="33" width="12.28515625" style="934" customWidth="1"/>
    <col min="34" max="34" width="18" style="934" customWidth="1"/>
    <col min="35" max="35" width="18.28515625" style="934" customWidth="1"/>
    <col min="36" max="36" width="5.85546875" style="934" customWidth="1"/>
    <col min="37" max="37" width="9.7109375" style="934" customWidth="1"/>
    <col min="38" max="38" width="6.85546875" style="934" customWidth="1"/>
    <col min="39" max="40" width="5.85546875" style="934" customWidth="1"/>
    <col min="41" max="41" width="12.42578125" style="934" customWidth="1"/>
    <col min="42" max="42" width="6.5703125" style="934" customWidth="1"/>
    <col min="43" max="43" width="3.42578125" style="934" customWidth="1"/>
    <col min="44" max="44" width="8.28515625" style="974" customWidth="1"/>
    <col min="45" max="45" width="10.7109375" style="934" customWidth="1"/>
    <col min="46" max="46" width="21.28515625" style="934" bestFit="1" customWidth="1"/>
    <col min="47" max="16384" width="8.85546875" style="934"/>
  </cols>
  <sheetData>
    <row r="1" spans="1:46">
      <c r="A1" s="1251" t="s">
        <v>77</v>
      </c>
      <c r="B1" s="250" t="s">
        <v>87</v>
      </c>
      <c r="C1" s="250" t="s">
        <v>88</v>
      </c>
      <c r="D1" s="250" t="s">
        <v>89</v>
      </c>
      <c r="E1" s="250" t="s">
        <v>90</v>
      </c>
      <c r="F1" s="250" t="s">
        <v>91</v>
      </c>
      <c r="G1" s="250" t="s">
        <v>92</v>
      </c>
      <c r="H1" s="250" t="s">
        <v>93</v>
      </c>
      <c r="I1" s="250" t="s">
        <v>87</v>
      </c>
      <c r="J1" s="250" t="s">
        <v>88</v>
      </c>
      <c r="K1" s="250" t="s">
        <v>89</v>
      </c>
      <c r="L1" s="250" t="s">
        <v>90</v>
      </c>
      <c r="M1" s="250" t="s">
        <v>91</v>
      </c>
      <c r="N1" s="250" t="s">
        <v>92</v>
      </c>
      <c r="O1" s="250" t="s">
        <v>93</v>
      </c>
      <c r="P1" s="250" t="s">
        <v>87</v>
      </c>
      <c r="Q1" s="250" t="s">
        <v>88</v>
      </c>
      <c r="R1" s="250" t="s">
        <v>89</v>
      </c>
      <c r="S1" s="250" t="s">
        <v>90</v>
      </c>
      <c r="T1" s="250" t="s">
        <v>91</v>
      </c>
      <c r="U1" s="250" t="s">
        <v>92</v>
      </c>
      <c r="V1" s="250" t="s">
        <v>93</v>
      </c>
      <c r="W1" s="250" t="s">
        <v>87</v>
      </c>
      <c r="X1" s="250" t="s">
        <v>88</v>
      </c>
      <c r="Y1" s="250" t="s">
        <v>89</v>
      </c>
      <c r="Z1" s="250" t="s">
        <v>90</v>
      </c>
      <c r="AA1" s="250" t="s">
        <v>91</v>
      </c>
      <c r="AB1" s="250" t="s">
        <v>92</v>
      </c>
      <c r="AC1" s="250" t="s">
        <v>93</v>
      </c>
      <c r="AD1" s="250" t="s">
        <v>87</v>
      </c>
      <c r="AE1" s="250" t="s">
        <v>88</v>
      </c>
      <c r="AF1" s="250" t="s">
        <v>89</v>
      </c>
      <c r="AG1" s="1253" t="s">
        <v>31</v>
      </c>
      <c r="AH1" s="1282" t="s">
        <v>190</v>
      </c>
      <c r="AL1" s="1226">
        <v>45047</v>
      </c>
      <c r="AO1" s="974" t="s">
        <v>222</v>
      </c>
    </row>
    <row r="2" spans="1:46" ht="15.75" thickBot="1">
      <c r="A2" s="1280"/>
      <c r="B2" s="251">
        <v>45047</v>
      </c>
      <c r="C2" s="251">
        <v>45048</v>
      </c>
      <c r="D2" s="251">
        <v>45049</v>
      </c>
      <c r="E2" s="251">
        <v>45050</v>
      </c>
      <c r="F2" s="251">
        <v>45051</v>
      </c>
      <c r="G2" s="251">
        <v>45052</v>
      </c>
      <c r="H2" s="251">
        <v>45053</v>
      </c>
      <c r="I2" s="251">
        <v>45054</v>
      </c>
      <c r="J2" s="251">
        <v>45055</v>
      </c>
      <c r="K2" s="251">
        <v>45056</v>
      </c>
      <c r="L2" s="251">
        <v>45057</v>
      </c>
      <c r="M2" s="251">
        <v>45058</v>
      </c>
      <c r="N2" s="251">
        <v>45059</v>
      </c>
      <c r="O2" s="251">
        <v>45060</v>
      </c>
      <c r="P2" s="251">
        <v>45061</v>
      </c>
      <c r="Q2" s="251">
        <v>45062</v>
      </c>
      <c r="R2" s="251">
        <v>45063</v>
      </c>
      <c r="S2" s="251">
        <v>45064</v>
      </c>
      <c r="T2" s="251">
        <v>45065</v>
      </c>
      <c r="U2" s="251">
        <v>45066</v>
      </c>
      <c r="V2" s="251">
        <v>45067</v>
      </c>
      <c r="W2" s="251">
        <v>45068</v>
      </c>
      <c r="X2" s="251">
        <v>45069</v>
      </c>
      <c r="Y2" s="251">
        <v>45070</v>
      </c>
      <c r="Z2" s="251">
        <v>45071</v>
      </c>
      <c r="AA2" s="251">
        <v>45072</v>
      </c>
      <c r="AB2" s="251">
        <v>45073</v>
      </c>
      <c r="AC2" s="251">
        <v>45074</v>
      </c>
      <c r="AD2" s="251">
        <v>45075</v>
      </c>
      <c r="AE2" s="251">
        <v>45076</v>
      </c>
      <c r="AF2" s="251">
        <v>45077</v>
      </c>
      <c r="AG2" s="1281"/>
      <c r="AH2" s="1283"/>
      <c r="AJ2" s="974"/>
      <c r="AK2" s="974" t="s">
        <v>705</v>
      </c>
      <c r="AL2" s="974" t="s">
        <v>885</v>
      </c>
      <c r="AM2" s="974"/>
      <c r="AN2" s="974"/>
      <c r="AO2" s="974" t="s">
        <v>132</v>
      </c>
      <c r="AP2" s="974"/>
      <c r="AQ2" s="937"/>
      <c r="AR2" s="756" t="s">
        <v>316</v>
      </c>
      <c r="AS2" s="937" t="s">
        <v>906</v>
      </c>
      <c r="AT2" s="937"/>
    </row>
    <row r="3" spans="1:46" ht="10.5" customHeight="1">
      <c r="A3" s="194" t="s">
        <v>185</v>
      </c>
      <c r="B3" s="591"/>
      <c r="C3" s="591"/>
      <c r="D3" s="591">
        <f>'5.03.23'!E17+'5.03.23'!E27</f>
        <v>13566</v>
      </c>
      <c r="E3" s="591">
        <f>'5.04.23'!E18</f>
        <v>8464.5</v>
      </c>
      <c r="F3" s="591"/>
      <c r="G3" s="591"/>
      <c r="H3" s="591"/>
      <c r="I3" s="512"/>
      <c r="J3" s="512"/>
      <c r="K3" s="512"/>
      <c r="L3" s="512"/>
      <c r="M3" s="512"/>
      <c r="N3" s="512"/>
      <c r="O3" s="512"/>
      <c r="P3" s="701"/>
      <c r="Q3" s="701"/>
      <c r="R3" s="701"/>
      <c r="S3" s="701">
        <f>'5.18.23'!E8</f>
        <v>8711.5</v>
      </c>
      <c r="T3" s="701"/>
      <c r="U3" s="701">
        <f>'5.20.23'!E7</f>
        <v>9633</v>
      </c>
      <c r="V3" s="701"/>
      <c r="W3" s="638"/>
      <c r="X3" s="638">
        <f>'5.23.23'!E8</f>
        <v>9110.5</v>
      </c>
      <c r="Y3" s="638"/>
      <c r="Z3" s="638">
        <f>'5.25.23'!E18</f>
        <v>10355</v>
      </c>
      <c r="AA3" s="638"/>
      <c r="AB3" s="638"/>
      <c r="AC3" s="638"/>
      <c r="AD3" s="512"/>
      <c r="AE3" s="512"/>
      <c r="AF3" s="512"/>
      <c r="AG3" s="189">
        <f>SUM(B3:AF3)</f>
        <v>59840.5</v>
      </c>
      <c r="AH3" s="189">
        <f>449000-AG3+350000</f>
        <v>739159.5</v>
      </c>
      <c r="AI3" s="194" t="str">
        <f t="shared" ref="AI3:AI34" si="0">A3</f>
        <v>8E8 Thai Street Food</v>
      </c>
      <c r="AK3" s="234">
        <f>AG3</f>
        <v>59840.5</v>
      </c>
      <c r="AL3" s="316">
        <f>COUNT(#REF!)+17+6</f>
        <v>23</v>
      </c>
      <c r="AO3" s="234">
        <v>415532</v>
      </c>
      <c r="AP3" s="234"/>
      <c r="AQ3" s="979">
        <v>1</v>
      </c>
      <c r="AR3" s="981">
        <f t="shared" ref="AR3:AR40" si="1">AS3/9.5</f>
        <v>6299</v>
      </c>
      <c r="AS3" s="977">
        <f>AK3</f>
        <v>59840.5</v>
      </c>
      <c r="AT3" s="978" t="str">
        <f>AI3</f>
        <v>8E8 Thai Street Food</v>
      </c>
    </row>
    <row r="4" spans="1:46" ht="10.9" customHeight="1">
      <c r="A4" s="194" t="s">
        <v>330</v>
      </c>
      <c r="B4" s="591">
        <f>'5.01.23'!E18</f>
        <v>9414.5</v>
      </c>
      <c r="C4" s="591"/>
      <c r="D4" s="591"/>
      <c r="E4" s="591"/>
      <c r="F4" s="591">
        <f>'5.05.23'!E8</f>
        <v>7733</v>
      </c>
      <c r="G4" s="591"/>
      <c r="H4" s="591"/>
      <c r="I4" s="736"/>
      <c r="J4" s="736"/>
      <c r="K4" s="736">
        <f>'5.10.23'!E8</f>
        <v>7562</v>
      </c>
      <c r="L4" s="736">
        <f>'5.11.23'!E18</f>
        <v>9110.5</v>
      </c>
      <c r="M4" s="736"/>
      <c r="N4" s="736"/>
      <c r="O4" s="736"/>
      <c r="P4" s="512"/>
      <c r="Q4" s="512"/>
      <c r="R4" s="512"/>
      <c r="S4" s="512"/>
      <c r="T4" s="512"/>
      <c r="U4" s="512"/>
      <c r="V4" s="512"/>
      <c r="W4" s="638"/>
      <c r="X4" s="638"/>
      <c r="Y4" s="638">
        <f>'5.24.23'!E17</f>
        <v>7761.5</v>
      </c>
      <c r="Z4" s="638"/>
      <c r="AA4" s="638">
        <f>'5.26.23'!E7</f>
        <v>6963.5</v>
      </c>
      <c r="AB4" s="638"/>
      <c r="AC4" s="638"/>
      <c r="AD4" s="512"/>
      <c r="AE4" s="512"/>
      <c r="AF4" s="512"/>
      <c r="AG4" s="189">
        <f t="shared" ref="AG4:AG60" si="2">SUM(B4:AF4)</f>
        <v>48545</v>
      </c>
      <c r="AH4" s="189">
        <v>99000</v>
      </c>
      <c r="AI4" s="194" t="str">
        <f t="shared" si="0"/>
        <v>Aloha Friday</v>
      </c>
      <c r="AK4" s="234">
        <f t="shared" ref="AK4:AK63" si="3">AG4</f>
        <v>48545</v>
      </c>
      <c r="AL4" s="316">
        <f>COUNT(#REF!)+10+3</f>
        <v>13</v>
      </c>
      <c r="AO4" s="234"/>
      <c r="AP4" s="234"/>
      <c r="AQ4" s="979">
        <v>2</v>
      </c>
      <c r="AR4" s="981">
        <f t="shared" si="1"/>
        <v>5110</v>
      </c>
      <c r="AS4" s="977">
        <f t="shared" ref="AS4:AS63" si="4">AK4</f>
        <v>48545</v>
      </c>
      <c r="AT4" s="978" t="str">
        <f t="shared" ref="AT4:AT63" si="5">AI4</f>
        <v>Aloha Friday</v>
      </c>
    </row>
    <row r="5" spans="1:46" ht="10.9" customHeight="1">
      <c r="A5" s="194" t="s">
        <v>164</v>
      </c>
      <c r="B5" s="590"/>
      <c r="C5" s="590"/>
      <c r="D5" s="590"/>
      <c r="E5" s="590"/>
      <c r="F5" s="590"/>
      <c r="G5" s="590"/>
      <c r="H5" s="591">
        <f>'5.07.23'!E27</f>
        <v>4322.5</v>
      </c>
      <c r="I5" s="736"/>
      <c r="J5" s="736"/>
      <c r="K5" s="736"/>
      <c r="L5" s="736"/>
      <c r="M5" s="736"/>
      <c r="N5" s="736"/>
      <c r="O5" s="736">
        <f>'5.14.23'!E7</f>
        <v>4037.5</v>
      </c>
      <c r="P5" s="701"/>
      <c r="Q5" s="701"/>
      <c r="R5" s="701"/>
      <c r="S5" s="701"/>
      <c r="T5" s="701"/>
      <c r="U5" s="701"/>
      <c r="V5" s="701">
        <f>'5.21.23'!E8</f>
        <v>5339</v>
      </c>
      <c r="W5" s="638"/>
      <c r="X5" s="638"/>
      <c r="Y5" s="639"/>
      <c r="Z5" s="639"/>
      <c r="AA5" s="639"/>
      <c r="AB5" s="639"/>
      <c r="AC5" s="639">
        <f>'5.28.23'!E28</f>
        <v>4721.5</v>
      </c>
      <c r="AD5" s="452"/>
      <c r="AE5" s="452"/>
      <c r="AF5" s="452"/>
      <c r="AG5" s="189">
        <f t="shared" si="2"/>
        <v>18420.5</v>
      </c>
      <c r="AH5" s="189">
        <f>449000-AG5</f>
        <v>430579.5</v>
      </c>
      <c r="AI5" s="194" t="str">
        <f t="shared" si="0"/>
        <v>Austyn's Burgers</v>
      </c>
      <c r="AK5" s="234">
        <f t="shared" si="3"/>
        <v>18420.5</v>
      </c>
      <c r="AL5" s="316">
        <f>COUNT(#REF!)+5+2</f>
        <v>7</v>
      </c>
      <c r="AO5" s="234">
        <v>270375.5</v>
      </c>
      <c r="AP5" s="234"/>
      <c r="AQ5" s="979">
        <v>3</v>
      </c>
      <c r="AR5" s="981">
        <f t="shared" si="1"/>
        <v>1939</v>
      </c>
      <c r="AS5" s="977">
        <f t="shared" si="4"/>
        <v>18420.5</v>
      </c>
      <c r="AT5" s="978" t="str">
        <f t="shared" si="5"/>
        <v>Austyn's Burgers</v>
      </c>
    </row>
    <row r="6" spans="1:46" ht="10.9" customHeight="1">
      <c r="A6" s="195" t="s">
        <v>51</v>
      </c>
      <c r="B6" s="252"/>
      <c r="C6" s="252"/>
      <c r="D6" s="252"/>
      <c r="E6" s="252"/>
      <c r="F6" s="252"/>
      <c r="G6" s="252"/>
      <c r="H6" s="252"/>
      <c r="I6" s="252"/>
      <c r="J6" s="252"/>
      <c r="K6" s="252"/>
      <c r="L6" s="252"/>
      <c r="M6" s="252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  <c r="AA6" s="252"/>
      <c r="AB6" s="252"/>
      <c r="AC6" s="252"/>
      <c r="AD6" s="252"/>
      <c r="AE6" s="252"/>
      <c r="AF6" s="252"/>
      <c r="AG6" s="189">
        <f t="shared" si="2"/>
        <v>0</v>
      </c>
      <c r="AH6" s="961">
        <f>100000-AG6+350000</f>
        <v>450000</v>
      </c>
      <c r="AI6" s="194" t="str">
        <f t="shared" si="0"/>
        <v>Baby's Burgers</v>
      </c>
      <c r="AK6" s="234">
        <f t="shared" si="3"/>
        <v>0</v>
      </c>
      <c r="AL6" s="316">
        <f>COUNT(#REF!)+2</f>
        <v>2</v>
      </c>
      <c r="AO6" s="234">
        <v>128995</v>
      </c>
      <c r="AP6" s="234"/>
      <c r="AQ6" s="979">
        <v>4</v>
      </c>
      <c r="AR6" s="981">
        <f t="shared" si="1"/>
        <v>0</v>
      </c>
      <c r="AS6" s="977">
        <f t="shared" si="4"/>
        <v>0</v>
      </c>
      <c r="AT6" s="978" t="str">
        <f t="shared" si="5"/>
        <v>Baby's Burgers</v>
      </c>
    </row>
    <row r="7" spans="1:46" ht="10.9" customHeight="1">
      <c r="A7" s="195" t="s">
        <v>62</v>
      </c>
      <c r="B7" s="252"/>
      <c r="C7" s="252"/>
      <c r="D7" s="252"/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  <c r="AA7" s="252"/>
      <c r="AB7" s="252"/>
      <c r="AC7" s="252"/>
      <c r="AD7" s="252"/>
      <c r="AE7" s="252"/>
      <c r="AF7" s="252"/>
      <c r="AG7" s="189">
        <f t="shared" si="2"/>
        <v>0</v>
      </c>
      <c r="AH7" s="961">
        <f>100000-AG7</f>
        <v>100000</v>
      </c>
      <c r="AI7" s="194" t="str">
        <f t="shared" si="0"/>
        <v>Belly's Sliders Wings</v>
      </c>
      <c r="AK7" s="234">
        <f t="shared" si="3"/>
        <v>0</v>
      </c>
      <c r="AL7" s="316">
        <f>COUNT(#REF!)+3</f>
        <v>3</v>
      </c>
      <c r="AO7" s="234">
        <v>67842.5</v>
      </c>
      <c r="AP7" s="234"/>
      <c r="AQ7" s="979">
        <v>5</v>
      </c>
      <c r="AR7" s="981">
        <f t="shared" si="1"/>
        <v>0</v>
      </c>
      <c r="AS7" s="977">
        <f t="shared" si="4"/>
        <v>0</v>
      </c>
      <c r="AT7" s="978" t="str">
        <f t="shared" si="5"/>
        <v>Belly's Sliders Wings</v>
      </c>
    </row>
    <row r="8" spans="1:46" ht="10.15" customHeight="1">
      <c r="A8" s="195" t="s">
        <v>12</v>
      </c>
      <c r="B8" s="589"/>
      <c r="C8" s="589"/>
      <c r="D8" s="589"/>
      <c r="E8" s="589">
        <f>'5.04.23'!E8</f>
        <v>4541</v>
      </c>
      <c r="F8" s="589"/>
      <c r="G8" s="589"/>
      <c r="H8" s="589"/>
      <c r="I8" s="738"/>
      <c r="J8" s="738"/>
      <c r="K8" s="738"/>
      <c r="L8" s="738">
        <f>'5.11.23'!E8</f>
        <v>4569.5</v>
      </c>
      <c r="M8" s="738"/>
      <c r="N8" s="738"/>
      <c r="O8" s="738"/>
      <c r="P8" s="702">
        <f>'5.15.23'!E28</f>
        <v>2973.5</v>
      </c>
      <c r="Q8" s="702"/>
      <c r="R8" s="702"/>
      <c r="S8" s="702"/>
      <c r="T8" s="702"/>
      <c r="U8" s="702"/>
      <c r="V8" s="702"/>
      <c r="W8" s="640"/>
      <c r="X8" s="640"/>
      <c r="Y8" s="640"/>
      <c r="Z8" s="640">
        <f>'5.25.23'!E7</f>
        <v>4170.5</v>
      </c>
      <c r="AA8" s="640"/>
      <c r="AB8" s="640"/>
      <c r="AC8" s="640"/>
      <c r="AD8" s="252"/>
      <c r="AE8" s="252"/>
      <c r="AF8" s="252"/>
      <c r="AG8" s="189">
        <f t="shared" si="2"/>
        <v>16254.5</v>
      </c>
      <c r="AH8" s="961">
        <f>100000-AG8</f>
        <v>83745.5</v>
      </c>
      <c r="AI8" s="194" t="str">
        <f t="shared" si="0"/>
        <v>Bison Burger</v>
      </c>
      <c r="AK8" s="234">
        <f t="shared" si="3"/>
        <v>16254.5</v>
      </c>
      <c r="AL8" s="316">
        <f>COUNT(#REF!)+2+7</f>
        <v>9</v>
      </c>
      <c r="AO8" s="234">
        <v>36161.5</v>
      </c>
      <c r="AP8" s="234"/>
      <c r="AQ8" s="979">
        <v>6</v>
      </c>
      <c r="AR8" s="981">
        <f t="shared" si="1"/>
        <v>1711</v>
      </c>
      <c r="AS8" s="977">
        <f t="shared" si="4"/>
        <v>16254.5</v>
      </c>
      <c r="AT8" s="978" t="str">
        <f t="shared" si="5"/>
        <v>Bison Burger</v>
      </c>
    </row>
    <row r="9" spans="1:46" ht="10.15" customHeight="1">
      <c r="A9" s="195" t="s">
        <v>331</v>
      </c>
      <c r="B9" s="589"/>
      <c r="C9" s="589"/>
      <c r="D9" s="589">
        <f>'5.03.23'!E28</f>
        <v>3657.5</v>
      </c>
      <c r="E9" s="589"/>
      <c r="F9" s="589"/>
      <c r="G9" s="589">
        <f>'5.06.23'!E28</f>
        <v>3192</v>
      </c>
      <c r="H9" s="589"/>
      <c r="I9" s="738"/>
      <c r="J9" s="738"/>
      <c r="K9" s="738">
        <f>'5.10.23'!E28</f>
        <v>3942.5</v>
      </c>
      <c r="L9" s="738"/>
      <c r="M9" s="738">
        <f>'5.12.23'!E28</f>
        <v>3344</v>
      </c>
      <c r="N9" s="738"/>
      <c r="O9" s="738">
        <f>'5.14.23'!E27</f>
        <v>4037.5</v>
      </c>
      <c r="P9" s="252"/>
      <c r="Q9" s="252"/>
      <c r="R9" s="252"/>
      <c r="S9" s="252"/>
      <c r="T9" s="252"/>
      <c r="U9" s="252"/>
      <c r="V9" s="252"/>
      <c r="W9" s="640"/>
      <c r="X9" s="640"/>
      <c r="Y9" s="640">
        <f>'5.24.23'!E27</f>
        <v>4056.5</v>
      </c>
      <c r="Z9" s="640"/>
      <c r="AA9" s="640"/>
      <c r="AB9" s="640">
        <f>'5.27.23'!E27</f>
        <v>3524.5</v>
      </c>
      <c r="AC9" s="640">
        <f>'5.28.23'!E27</f>
        <v>3990</v>
      </c>
      <c r="AD9" s="252"/>
      <c r="AE9" s="252">
        <f>'5.30.23'!E28</f>
        <v>4522</v>
      </c>
      <c r="AF9" s="252"/>
      <c r="AG9" s="189">
        <f t="shared" si="2"/>
        <v>34266.5</v>
      </c>
      <c r="AH9" s="189">
        <v>99000</v>
      </c>
      <c r="AI9" s="194" t="str">
        <f t="shared" si="0"/>
        <v>Bittie Bitez</v>
      </c>
      <c r="AK9" s="234">
        <f t="shared" si="3"/>
        <v>34266.5</v>
      </c>
      <c r="AL9" s="316">
        <f>COUNT(#REF!)+6</f>
        <v>6</v>
      </c>
      <c r="AO9" s="234"/>
      <c r="AP9" s="234"/>
      <c r="AQ9" s="979">
        <v>7</v>
      </c>
      <c r="AR9" s="981">
        <f t="shared" si="1"/>
        <v>3607</v>
      </c>
      <c r="AS9" s="977">
        <f t="shared" si="4"/>
        <v>34266.5</v>
      </c>
      <c r="AT9" s="978" t="str">
        <f t="shared" si="5"/>
        <v>Bittie Bitez</v>
      </c>
    </row>
    <row r="10" spans="1:46" ht="10.15" customHeight="1">
      <c r="A10" s="195" t="s">
        <v>239</v>
      </c>
      <c r="B10" s="589"/>
      <c r="C10" s="589"/>
      <c r="D10" s="589"/>
      <c r="E10" s="589">
        <f>'5.04.23'!E7</f>
        <v>2992.5</v>
      </c>
      <c r="F10" s="589"/>
      <c r="G10" s="589"/>
      <c r="H10" s="589"/>
      <c r="I10" s="738"/>
      <c r="J10" s="738"/>
      <c r="K10" s="738"/>
      <c r="L10" s="738"/>
      <c r="M10" s="738">
        <f>'5.12.23'!E27</f>
        <v>2147</v>
      </c>
      <c r="N10" s="738"/>
      <c r="O10" s="738">
        <f>'5.14.23'!E17</f>
        <v>4075.5</v>
      </c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  <c r="AA10" s="252"/>
      <c r="AB10" s="252"/>
      <c r="AC10" s="252"/>
      <c r="AD10" s="252"/>
      <c r="AE10" s="252"/>
      <c r="AF10" s="252"/>
      <c r="AG10" s="189">
        <f t="shared" si="2"/>
        <v>9215</v>
      </c>
      <c r="AH10" s="961">
        <f>100000-AG10</f>
        <v>90785</v>
      </c>
      <c r="AI10" s="194" t="str">
        <f t="shared" si="0"/>
        <v>Bollywood Kitchen</v>
      </c>
      <c r="AK10" s="234">
        <f t="shared" si="3"/>
        <v>9215</v>
      </c>
      <c r="AL10" s="316">
        <f>COUNT(#REF!)+5</f>
        <v>5</v>
      </c>
      <c r="AO10" s="234">
        <v>41845.5</v>
      </c>
      <c r="AP10" s="234"/>
      <c r="AQ10" s="979">
        <v>8</v>
      </c>
      <c r="AR10" s="981">
        <f t="shared" si="1"/>
        <v>970</v>
      </c>
      <c r="AS10" s="977">
        <f t="shared" si="4"/>
        <v>9215</v>
      </c>
      <c r="AT10" s="978" t="str">
        <f t="shared" si="5"/>
        <v>Bollywood Kitchen</v>
      </c>
    </row>
    <row r="11" spans="1:46" ht="10.15" customHeight="1">
      <c r="A11" s="195" t="s">
        <v>68</v>
      </c>
      <c r="B11" s="252"/>
      <c r="C11" s="252"/>
      <c r="D11" s="252"/>
      <c r="E11" s="252"/>
      <c r="F11" s="252"/>
      <c r="G11" s="252"/>
      <c r="H11" s="252"/>
      <c r="I11" s="252"/>
      <c r="J11" s="252"/>
      <c r="K11" s="252"/>
      <c r="L11" s="252"/>
      <c r="M11" s="252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  <c r="AA11" s="252"/>
      <c r="AB11" s="252"/>
      <c r="AC11" s="252"/>
      <c r="AD11" s="252"/>
      <c r="AE11" s="252"/>
      <c r="AF11" s="252"/>
      <c r="AG11" s="189">
        <f t="shared" si="2"/>
        <v>0</v>
      </c>
      <c r="AH11" s="961">
        <f>100000-AG11</f>
        <v>100000</v>
      </c>
      <c r="AI11" s="194" t="str">
        <f t="shared" si="0"/>
        <v>Bunz Gourmet Burgers</v>
      </c>
      <c r="AK11" s="234">
        <f t="shared" si="3"/>
        <v>0</v>
      </c>
      <c r="AL11" s="316">
        <f>COUNT(#REF!)</f>
        <v>0</v>
      </c>
      <c r="AO11" s="234">
        <v>18672</v>
      </c>
      <c r="AP11" s="234"/>
      <c r="AQ11" s="979">
        <v>9</v>
      </c>
      <c r="AR11" s="981">
        <f t="shared" si="1"/>
        <v>0</v>
      </c>
      <c r="AS11" s="977">
        <f t="shared" si="4"/>
        <v>0</v>
      </c>
      <c r="AT11" s="978" t="str">
        <f t="shared" si="5"/>
        <v>Bunz Gourmet Burgers</v>
      </c>
    </row>
    <row r="12" spans="1:46" ht="10.15" customHeight="1">
      <c r="A12" s="195" t="s">
        <v>245</v>
      </c>
      <c r="B12" s="252"/>
      <c r="C12" s="252"/>
      <c r="D12" s="252"/>
      <c r="E12" s="252"/>
      <c r="F12" s="252"/>
      <c r="G12" s="252"/>
      <c r="H12" s="252"/>
      <c r="I12" s="252"/>
      <c r="J12" s="252"/>
      <c r="K12" s="252"/>
      <c r="L12" s="252"/>
      <c r="M12" s="252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  <c r="AA12" s="252"/>
      <c r="AB12" s="252"/>
      <c r="AC12" s="252"/>
      <c r="AD12" s="252"/>
      <c r="AE12" s="252"/>
      <c r="AF12" s="252"/>
      <c r="AG12" s="189">
        <f t="shared" si="2"/>
        <v>0</v>
      </c>
      <c r="AH12" s="961">
        <f>100000-AG12</f>
        <v>100000</v>
      </c>
      <c r="AI12" s="194" t="str">
        <f t="shared" si="0"/>
        <v>Café Vietnam</v>
      </c>
      <c r="AK12" s="234">
        <f t="shared" si="3"/>
        <v>0</v>
      </c>
      <c r="AL12" s="316">
        <f>COUNT(#REF!)+3</f>
        <v>3</v>
      </c>
      <c r="AO12" s="234">
        <v>32515.5</v>
      </c>
      <c r="AP12" s="234"/>
      <c r="AQ12" s="979">
        <v>10</v>
      </c>
      <c r="AR12" s="981">
        <f t="shared" si="1"/>
        <v>0</v>
      </c>
      <c r="AS12" s="977">
        <f t="shared" si="4"/>
        <v>0</v>
      </c>
      <c r="AT12" s="978" t="str">
        <f t="shared" si="5"/>
        <v>Café Vietnam</v>
      </c>
    </row>
    <row r="13" spans="1:46" ht="9.75" customHeight="1">
      <c r="A13" s="195" t="s">
        <v>254</v>
      </c>
      <c r="B13" s="589"/>
      <c r="C13" s="589"/>
      <c r="D13" s="589"/>
      <c r="E13" s="589"/>
      <c r="F13" s="589"/>
      <c r="G13" s="589">
        <f>'5.06.23'!E27</f>
        <v>3249</v>
      </c>
      <c r="H13" s="589"/>
      <c r="I13" s="738"/>
      <c r="J13" s="738">
        <f>'5.09.23'!E8+'5.09.23'!E18</f>
        <v>7562</v>
      </c>
      <c r="K13" s="738"/>
      <c r="L13" s="738"/>
      <c r="M13" s="738"/>
      <c r="N13" s="738"/>
      <c r="O13" s="738"/>
      <c r="P13" s="702"/>
      <c r="Q13" s="702"/>
      <c r="R13" s="702">
        <f>'5.17.23'!E7</f>
        <v>3686</v>
      </c>
      <c r="S13" s="702"/>
      <c r="T13" s="702"/>
      <c r="U13" s="702">
        <f>'5.20.23'!E8</f>
        <v>3087.5</v>
      </c>
      <c r="V13" s="702"/>
      <c r="W13" s="640"/>
      <c r="X13" s="640">
        <f>'5.23.23'!E28</f>
        <v>2850</v>
      </c>
      <c r="Y13" s="640"/>
      <c r="Z13" s="640"/>
      <c r="AA13" s="640"/>
      <c r="AB13" s="640">
        <f>'5.27.23'!E28</f>
        <v>2536.5</v>
      </c>
      <c r="AC13" s="640"/>
      <c r="AD13" s="252"/>
      <c r="AE13" s="252"/>
      <c r="AF13" s="252">
        <f>'5.31.23'!E27</f>
        <v>3163.5</v>
      </c>
      <c r="AG13" s="189">
        <f t="shared" si="2"/>
        <v>26134.5</v>
      </c>
      <c r="AH13" s="961">
        <f>100000-AG13+350000</f>
        <v>423865.5</v>
      </c>
      <c r="AI13" s="194" t="str">
        <f t="shared" si="0"/>
        <v>Cartel Taco Truck</v>
      </c>
      <c r="AK13" s="234">
        <f t="shared" si="3"/>
        <v>26134.5</v>
      </c>
      <c r="AL13" s="316">
        <f>COUNT(#REF!)+6</f>
        <v>6</v>
      </c>
      <c r="AO13" s="234">
        <v>126406.5</v>
      </c>
      <c r="AP13" s="234"/>
      <c r="AQ13" s="979">
        <v>11</v>
      </c>
      <c r="AR13" s="981">
        <f t="shared" si="1"/>
        <v>2751</v>
      </c>
      <c r="AS13" s="977">
        <f t="shared" si="4"/>
        <v>26134.5</v>
      </c>
      <c r="AT13" s="978" t="str">
        <f t="shared" si="5"/>
        <v>Cartel Taco Truck</v>
      </c>
    </row>
    <row r="14" spans="1:46" ht="10.15" customHeight="1">
      <c r="A14" s="195" t="s">
        <v>49</v>
      </c>
      <c r="B14" s="589"/>
      <c r="C14" s="589"/>
      <c r="D14" s="589"/>
      <c r="E14" s="589">
        <f>'5.04.23'!E17</f>
        <v>5576.5</v>
      </c>
      <c r="F14" s="589"/>
      <c r="G14" s="589"/>
      <c r="H14" s="589">
        <f>'5.07.23'!E17</f>
        <v>6013.5</v>
      </c>
      <c r="I14" s="738">
        <f>'5.08.23'!E18</f>
        <v>5576.5</v>
      </c>
      <c r="J14" s="738"/>
      <c r="K14" s="738"/>
      <c r="L14" s="738"/>
      <c r="M14" s="738"/>
      <c r="N14" s="738"/>
      <c r="O14" s="738"/>
      <c r="P14" s="702">
        <f>'5.15.23'!E17</f>
        <v>6175</v>
      </c>
      <c r="Q14" s="702"/>
      <c r="R14" s="702"/>
      <c r="S14" s="702"/>
      <c r="T14" s="702"/>
      <c r="U14" s="702"/>
      <c r="V14" s="702">
        <f>'5.21.23'!E7</f>
        <v>5082.5</v>
      </c>
      <c r="W14" s="640"/>
      <c r="X14" s="640"/>
      <c r="Y14" s="640">
        <f>'5.24.23'!E8</f>
        <v>4427</v>
      </c>
      <c r="Z14" s="640"/>
      <c r="AA14" s="640"/>
      <c r="AB14" s="640"/>
      <c r="AC14" s="640"/>
      <c r="AD14" s="252"/>
      <c r="AE14" s="252"/>
      <c r="AF14" s="252"/>
      <c r="AG14" s="189">
        <f t="shared" si="2"/>
        <v>32851</v>
      </c>
      <c r="AH14" s="961">
        <f>100000-AG14</f>
        <v>67149</v>
      </c>
      <c r="AI14" s="194" t="str">
        <f t="shared" si="0"/>
        <v>Cerda Vega Tacos</v>
      </c>
      <c r="AK14" s="234">
        <f t="shared" si="3"/>
        <v>32851</v>
      </c>
      <c r="AL14" s="316">
        <f>COUNT(#REF!)+10+4</f>
        <v>14</v>
      </c>
      <c r="AO14" s="782">
        <v>103495</v>
      </c>
      <c r="AP14" s="234"/>
      <c r="AQ14" s="979">
        <v>12</v>
      </c>
      <c r="AR14" s="981">
        <f t="shared" si="1"/>
        <v>3458</v>
      </c>
      <c r="AS14" s="977">
        <f t="shared" si="4"/>
        <v>32851</v>
      </c>
      <c r="AT14" s="978" t="str">
        <f t="shared" si="5"/>
        <v>Cerda Vega Tacos</v>
      </c>
    </row>
    <row r="15" spans="1:46" ht="10.15" customHeight="1">
      <c r="A15" s="195" t="s">
        <v>235</v>
      </c>
      <c r="B15" s="589"/>
      <c r="C15" s="589"/>
      <c r="D15" s="589"/>
      <c r="E15" s="589">
        <f>'5.04.23'!E28</f>
        <v>5443.5</v>
      </c>
      <c r="F15" s="589">
        <f>'5.05.23'!E28</f>
        <v>3790.5</v>
      </c>
      <c r="G15" s="589"/>
      <c r="H15" s="589"/>
      <c r="I15" s="738"/>
      <c r="J15" s="738"/>
      <c r="K15" s="738"/>
      <c r="L15" s="738">
        <f>'5.11.23'!E28</f>
        <v>4797.5</v>
      </c>
      <c r="M15" s="738"/>
      <c r="N15" s="738"/>
      <c r="O15" s="738"/>
      <c r="P15" s="702"/>
      <c r="Q15" s="702">
        <f>'5.16.23'!E27</f>
        <v>4816.5</v>
      </c>
      <c r="R15" s="702"/>
      <c r="S15" s="702"/>
      <c r="T15" s="702">
        <f>'5.19.23'!E27</f>
        <v>4978</v>
      </c>
      <c r="U15" s="702"/>
      <c r="V15" s="702">
        <f>'5.21.23'!E28</f>
        <v>5424.5</v>
      </c>
      <c r="W15" s="640"/>
      <c r="X15" s="640"/>
      <c r="Y15" s="640"/>
      <c r="Z15" s="640">
        <f>'5.25.23'!E27</f>
        <v>4436.5</v>
      </c>
      <c r="AA15" s="640"/>
      <c r="AB15" s="640"/>
      <c r="AC15" s="640"/>
      <c r="AD15" s="252"/>
      <c r="AE15" s="252"/>
      <c r="AF15" s="252"/>
      <c r="AG15" s="189">
        <f t="shared" si="2"/>
        <v>33687</v>
      </c>
      <c r="AH15" s="961">
        <f>100000-AG15+350000</f>
        <v>416313</v>
      </c>
      <c r="AI15" s="194" t="str">
        <f t="shared" si="0"/>
        <v>Creamy Boys</v>
      </c>
      <c r="AK15" s="234">
        <f t="shared" si="3"/>
        <v>33687</v>
      </c>
      <c r="AL15" s="316">
        <f>COUNT(#REF!)+6</f>
        <v>6</v>
      </c>
      <c r="AO15" s="234">
        <v>292911</v>
      </c>
      <c r="AP15" s="234"/>
      <c r="AQ15" s="979">
        <v>13</v>
      </c>
      <c r="AR15" s="981">
        <f t="shared" si="1"/>
        <v>3546</v>
      </c>
      <c r="AS15" s="977">
        <f t="shared" si="4"/>
        <v>33687</v>
      </c>
      <c r="AT15" s="978" t="str">
        <f t="shared" si="5"/>
        <v>Creamy Boys</v>
      </c>
    </row>
    <row r="16" spans="1:46" ht="10.15" customHeight="1">
      <c r="A16" s="195" t="s">
        <v>188</v>
      </c>
      <c r="B16" s="252"/>
      <c r="C16" s="252"/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  <c r="AA16" s="252"/>
      <c r="AB16" s="252"/>
      <c r="AC16" s="252"/>
      <c r="AD16" s="252"/>
      <c r="AE16" s="252"/>
      <c r="AF16" s="252"/>
      <c r="AG16" s="189">
        <f t="shared" si="2"/>
        <v>0</v>
      </c>
      <c r="AH16" s="961">
        <f>100000-AG16</f>
        <v>100000</v>
      </c>
      <c r="AI16" s="194" t="str">
        <f t="shared" si="0"/>
        <v>Deli Doctor</v>
      </c>
      <c r="AK16" s="234">
        <f t="shared" si="3"/>
        <v>0</v>
      </c>
      <c r="AL16" s="316">
        <f>COUNT(#REF!)</f>
        <v>0</v>
      </c>
      <c r="AO16" s="234">
        <v>51936.5</v>
      </c>
      <c r="AP16" s="234"/>
      <c r="AQ16" s="979">
        <v>14</v>
      </c>
      <c r="AR16" s="981">
        <f t="shared" si="1"/>
        <v>0</v>
      </c>
      <c r="AS16" s="977">
        <f t="shared" si="4"/>
        <v>0</v>
      </c>
      <c r="AT16" s="978" t="str">
        <f t="shared" si="5"/>
        <v>Deli Doctor</v>
      </c>
    </row>
    <row r="17" spans="1:46" ht="9.75" customHeight="1">
      <c r="A17" s="195" t="s">
        <v>243</v>
      </c>
      <c r="B17" s="589"/>
      <c r="C17" s="589"/>
      <c r="D17" s="589"/>
      <c r="E17" s="589"/>
      <c r="F17" s="589">
        <f>'5.05.23'!E17</f>
        <v>8445.5</v>
      </c>
      <c r="G17" s="589"/>
      <c r="H17" s="589">
        <f>'5.07.23'!E8</f>
        <v>7581</v>
      </c>
      <c r="I17" s="738"/>
      <c r="J17" s="738"/>
      <c r="K17" s="738">
        <f>'5.10.23'!E27</f>
        <v>6023</v>
      </c>
      <c r="L17" s="738"/>
      <c r="M17" s="738"/>
      <c r="N17" s="738"/>
      <c r="O17" s="738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  <c r="AA17" s="252"/>
      <c r="AB17" s="252"/>
      <c r="AC17" s="252"/>
      <c r="AD17" s="252"/>
      <c r="AE17" s="252"/>
      <c r="AF17" s="252"/>
      <c r="AG17" s="189">
        <f t="shared" si="2"/>
        <v>22049.5</v>
      </c>
      <c r="AH17" s="961">
        <f>100000-AG17+100000</f>
        <v>177950.5</v>
      </c>
      <c r="AI17" s="194" t="str">
        <f t="shared" si="0"/>
        <v>Dina's Dumpling</v>
      </c>
      <c r="AK17" s="234">
        <f t="shared" si="3"/>
        <v>22049.5</v>
      </c>
      <c r="AL17" s="316">
        <f>COUNT(#REF!)+9+7</f>
        <v>16</v>
      </c>
      <c r="AO17" s="234">
        <v>70634</v>
      </c>
      <c r="AP17" s="234"/>
      <c r="AQ17" s="979">
        <v>15</v>
      </c>
      <c r="AR17" s="981">
        <f t="shared" si="1"/>
        <v>2321</v>
      </c>
      <c r="AS17" s="977">
        <f t="shared" si="4"/>
        <v>22049.5</v>
      </c>
      <c r="AT17" s="978" t="str">
        <f t="shared" si="5"/>
        <v>Dina's Dumpling</v>
      </c>
    </row>
    <row r="18" spans="1:46" ht="10.15" customHeight="1">
      <c r="A18" s="195" t="s">
        <v>334</v>
      </c>
      <c r="B18" s="589"/>
      <c r="C18" s="589">
        <f>'5.02.23'!E28</f>
        <v>4550.5</v>
      </c>
      <c r="D18" s="589"/>
      <c r="E18" s="589"/>
      <c r="F18" s="589"/>
      <c r="G18" s="589"/>
      <c r="H18" s="589"/>
      <c r="I18" s="738">
        <f>'5.08.23'!E28</f>
        <v>4797.5</v>
      </c>
      <c r="J18" s="738"/>
      <c r="K18" s="738"/>
      <c r="L18" s="738"/>
      <c r="M18" s="738"/>
      <c r="N18" s="738"/>
      <c r="O18" s="738"/>
      <c r="P18" s="702"/>
      <c r="Q18" s="702"/>
      <c r="R18" s="702">
        <f>'5.17.23'!E27</f>
        <v>4351</v>
      </c>
      <c r="S18" s="702"/>
      <c r="T18" s="702"/>
      <c r="U18" s="702"/>
      <c r="V18" s="702"/>
      <c r="W18" s="640"/>
      <c r="X18" s="640">
        <f>'5.23.23'!E27</f>
        <v>4455.5</v>
      </c>
      <c r="Y18" s="640"/>
      <c r="Z18" s="640"/>
      <c r="AA18" s="640"/>
      <c r="AB18" s="640"/>
      <c r="AC18" s="640"/>
      <c r="AD18" s="252"/>
      <c r="AE18" s="252"/>
      <c r="AF18" s="252">
        <f>'5.31.23'!E28</f>
        <v>4778.5</v>
      </c>
      <c r="AG18" s="189">
        <f t="shared" si="2"/>
        <v>22933</v>
      </c>
      <c r="AH18" s="189">
        <v>99000</v>
      </c>
      <c r="AI18" s="194" t="str">
        <f t="shared" si="0"/>
        <v>Dulce Europa</v>
      </c>
      <c r="AK18" s="234">
        <f t="shared" si="3"/>
        <v>22933</v>
      </c>
      <c r="AL18" s="316">
        <f>COUNT(#REF!)+2+3</f>
        <v>5</v>
      </c>
      <c r="AO18" s="234"/>
      <c r="AP18" s="234"/>
      <c r="AQ18" s="979">
        <v>16</v>
      </c>
      <c r="AR18" s="981">
        <f t="shared" si="1"/>
        <v>2414</v>
      </c>
      <c r="AS18" s="977">
        <f t="shared" si="4"/>
        <v>22933</v>
      </c>
      <c r="AT18" s="978" t="str">
        <f t="shared" si="5"/>
        <v>Dulce Europa</v>
      </c>
    </row>
    <row r="19" spans="1:46" ht="10.15" customHeight="1">
      <c r="A19" s="195" t="s">
        <v>63</v>
      </c>
      <c r="B19" s="589"/>
      <c r="C19" s="589"/>
      <c r="D19" s="589">
        <f>'5.03.23'!E8</f>
        <v>3629</v>
      </c>
      <c r="E19" s="589"/>
      <c r="F19" s="589"/>
      <c r="G19" s="589"/>
      <c r="H19" s="589"/>
      <c r="I19" s="738"/>
      <c r="J19" s="738">
        <f>'5.09.23'!E17</f>
        <v>4009</v>
      </c>
      <c r="K19" s="738"/>
      <c r="L19" s="738"/>
      <c r="M19" s="738"/>
      <c r="N19" s="738">
        <f>'5.13.23'!E27</f>
        <v>2736</v>
      </c>
      <c r="O19" s="738">
        <f>'5.14.23'!E18+'5.14.23'!E28</f>
        <v>6241.5</v>
      </c>
      <c r="P19" s="702"/>
      <c r="Q19" s="702"/>
      <c r="R19" s="702"/>
      <c r="S19" s="702"/>
      <c r="T19" s="702"/>
      <c r="U19" s="702"/>
      <c r="V19" s="702">
        <f>'5.21.23'!E17</f>
        <v>4322.5</v>
      </c>
      <c r="W19" s="252"/>
      <c r="X19" s="252"/>
      <c r="Y19" s="252"/>
      <c r="Z19" s="252"/>
      <c r="AA19" s="252"/>
      <c r="AB19" s="252"/>
      <c r="AC19" s="252"/>
      <c r="AD19" s="252"/>
      <c r="AE19" s="252">
        <f>'5.30.23'!E7</f>
        <v>3467.5</v>
      </c>
      <c r="AF19" s="252"/>
      <c r="AG19" s="189">
        <f t="shared" si="2"/>
        <v>24405.5</v>
      </c>
      <c r="AH19" s="961">
        <f>449000-AG19+350000</f>
        <v>774594.5</v>
      </c>
      <c r="AI19" s="194" t="str">
        <f t="shared" si="0"/>
        <v>Flamin Hot Chicken</v>
      </c>
      <c r="AK19" s="234">
        <f t="shared" si="3"/>
        <v>24405.5</v>
      </c>
      <c r="AL19" s="316">
        <f>COUNT(#REF!)+10+8</f>
        <v>18</v>
      </c>
      <c r="AO19" s="234">
        <v>188115.5</v>
      </c>
      <c r="AP19" s="234"/>
      <c r="AQ19" s="979">
        <v>17</v>
      </c>
      <c r="AR19" s="981">
        <f t="shared" si="1"/>
        <v>2569</v>
      </c>
      <c r="AS19" s="977">
        <f t="shared" si="4"/>
        <v>24405.5</v>
      </c>
      <c r="AT19" s="978" t="str">
        <f t="shared" si="5"/>
        <v>Flamin Hot Chicken</v>
      </c>
    </row>
    <row r="20" spans="1:46" ht="10.15" customHeight="1">
      <c r="A20" s="195" t="s">
        <v>78</v>
      </c>
      <c r="B20" s="589"/>
      <c r="C20" s="589">
        <f>'5.02.23'!E17</f>
        <v>5016</v>
      </c>
      <c r="D20" s="589"/>
      <c r="E20" s="589"/>
      <c r="F20" s="589"/>
      <c r="G20" s="589"/>
      <c r="H20" s="589"/>
      <c r="I20" s="252"/>
      <c r="J20" s="252"/>
      <c r="K20" s="252"/>
      <c r="L20" s="252"/>
      <c r="M20" s="252"/>
      <c r="N20" s="252"/>
      <c r="O20" s="252"/>
      <c r="P20" s="702"/>
      <c r="Q20" s="702"/>
      <c r="R20" s="702"/>
      <c r="S20" s="702"/>
      <c r="T20" s="702">
        <f>'5.19.23'!E8</f>
        <v>4617</v>
      </c>
      <c r="U20" s="702"/>
      <c r="V20" s="702"/>
      <c r="W20" s="252"/>
      <c r="X20" s="252"/>
      <c r="Y20" s="252"/>
      <c r="Z20" s="252"/>
      <c r="AA20" s="252"/>
      <c r="AB20" s="252"/>
      <c r="AC20" s="252"/>
      <c r="AD20" s="252"/>
      <c r="AE20" s="252"/>
      <c r="AF20" s="252"/>
      <c r="AG20" s="189">
        <f t="shared" si="2"/>
        <v>9633</v>
      </c>
      <c r="AH20" s="961">
        <f>100000-AG20</f>
        <v>90367</v>
      </c>
      <c r="AI20" s="194" t="str">
        <f t="shared" si="0"/>
        <v>Flaming Grain</v>
      </c>
      <c r="AK20" s="234">
        <f t="shared" si="3"/>
        <v>9633</v>
      </c>
      <c r="AL20" s="316">
        <f>COUNT(#REF!)+3+4</f>
        <v>7</v>
      </c>
      <c r="AO20" s="234">
        <v>55223</v>
      </c>
      <c r="AP20" s="234"/>
      <c r="AQ20" s="979">
        <v>18</v>
      </c>
      <c r="AR20" s="981">
        <f t="shared" si="1"/>
        <v>1014</v>
      </c>
      <c r="AS20" s="977">
        <f t="shared" si="4"/>
        <v>9633</v>
      </c>
      <c r="AT20" s="978" t="str">
        <f t="shared" si="5"/>
        <v>Flaming Grain</v>
      </c>
    </row>
    <row r="21" spans="1:46" ht="10.15" customHeight="1">
      <c r="A21" s="195" t="s">
        <v>696</v>
      </c>
      <c r="B21" s="252"/>
      <c r="C21" s="252"/>
      <c r="D21" s="252"/>
      <c r="E21" s="252"/>
      <c r="F21" s="252"/>
      <c r="G21" s="252"/>
      <c r="H21" s="252"/>
      <c r="I21" s="738"/>
      <c r="J21" s="738"/>
      <c r="K21" s="738"/>
      <c r="L21" s="738"/>
      <c r="M21" s="738"/>
      <c r="N21" s="738">
        <f>'5.13.23'!E18</f>
        <v>2897.5</v>
      </c>
      <c r="O21" s="738"/>
      <c r="P21" s="702">
        <f>'5.15.23'!E7</f>
        <v>3344</v>
      </c>
      <c r="Q21" s="702"/>
      <c r="R21" s="702"/>
      <c r="S21" s="702"/>
      <c r="T21" s="702"/>
      <c r="U21" s="702"/>
      <c r="V21" s="702"/>
      <c r="W21" s="252"/>
      <c r="X21" s="252"/>
      <c r="Y21" s="252"/>
      <c r="Z21" s="252"/>
      <c r="AA21" s="252"/>
      <c r="AB21" s="252"/>
      <c r="AC21" s="252"/>
      <c r="AD21" s="252"/>
      <c r="AE21" s="252"/>
      <c r="AF21" s="252"/>
      <c r="AG21" s="189">
        <f t="shared" si="2"/>
        <v>6241.5</v>
      </c>
      <c r="AH21" s="961">
        <f>100000-AG21</f>
        <v>93758.5</v>
      </c>
      <c r="AI21" s="194" t="str">
        <f t="shared" si="0"/>
        <v>Go Fusion</v>
      </c>
      <c r="AK21" s="234">
        <f t="shared" si="3"/>
        <v>6241.5</v>
      </c>
      <c r="AL21" s="316">
        <f>COUNT(#REF!)+3</f>
        <v>3</v>
      </c>
      <c r="AO21" s="234"/>
      <c r="AP21" s="234"/>
      <c r="AQ21" s="979">
        <v>19</v>
      </c>
      <c r="AR21" s="981">
        <f t="shared" si="1"/>
        <v>657</v>
      </c>
      <c r="AS21" s="977">
        <f t="shared" si="4"/>
        <v>6241.5</v>
      </c>
      <c r="AT21" s="978" t="str">
        <f t="shared" si="5"/>
        <v>Go Fusion</v>
      </c>
    </row>
    <row r="22" spans="1:46" ht="9" customHeight="1">
      <c r="A22" s="195" t="s">
        <v>129</v>
      </c>
      <c r="B22" s="252"/>
      <c r="C22" s="252"/>
      <c r="D22" s="252"/>
      <c r="E22" s="252"/>
      <c r="F22" s="252"/>
      <c r="G22" s="252"/>
      <c r="H22" s="252"/>
      <c r="I22" s="252"/>
      <c r="J22" s="252"/>
      <c r="K22" s="252"/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  <c r="AA22" s="252"/>
      <c r="AB22" s="252"/>
      <c r="AC22" s="252"/>
      <c r="AD22" s="252"/>
      <c r="AE22" s="252"/>
      <c r="AF22" s="252"/>
      <c r="AG22" s="189">
        <f t="shared" si="2"/>
        <v>0</v>
      </c>
      <c r="AH22" s="961">
        <f>100000-AG22</f>
        <v>100000</v>
      </c>
      <c r="AI22" s="194" t="str">
        <f t="shared" si="0"/>
        <v>Good East and Vibes</v>
      </c>
      <c r="AK22" s="234">
        <f t="shared" si="3"/>
        <v>0</v>
      </c>
      <c r="AL22" s="316">
        <f>COUNT(#REF!)</f>
        <v>0</v>
      </c>
      <c r="AO22" s="234">
        <v>11600</v>
      </c>
      <c r="AP22" s="234"/>
      <c r="AQ22" s="979">
        <v>20</v>
      </c>
      <c r="AR22" s="981">
        <f t="shared" si="1"/>
        <v>0</v>
      </c>
      <c r="AS22" s="977">
        <f t="shared" si="4"/>
        <v>0</v>
      </c>
      <c r="AT22" s="978" t="str">
        <f t="shared" si="5"/>
        <v>Good East and Vibes</v>
      </c>
    </row>
    <row r="23" spans="1:46" ht="10.15" customHeight="1">
      <c r="A23" s="195" t="s">
        <v>238</v>
      </c>
      <c r="B23" s="589"/>
      <c r="C23" s="589"/>
      <c r="D23" s="589"/>
      <c r="E23" s="589"/>
      <c r="F23" s="589">
        <f>'5.05.23'!E7</f>
        <v>3182.5</v>
      </c>
      <c r="G23" s="589"/>
      <c r="H23" s="589"/>
      <c r="I23" s="738"/>
      <c r="J23" s="738">
        <f>'5.09.23'!E27</f>
        <v>2812</v>
      </c>
      <c r="K23" s="738"/>
      <c r="L23" s="738"/>
      <c r="M23" s="738"/>
      <c r="N23" s="738"/>
      <c r="O23" s="738"/>
      <c r="P23" s="252"/>
      <c r="Q23" s="252"/>
      <c r="R23" s="252"/>
      <c r="S23" s="252"/>
      <c r="T23" s="252"/>
      <c r="U23" s="252"/>
      <c r="V23" s="252"/>
      <c r="W23" s="640">
        <f>'5.22.23'!E27</f>
        <v>2441.5</v>
      </c>
      <c r="X23" s="640"/>
      <c r="Y23" s="640"/>
      <c r="Z23" s="640"/>
      <c r="AA23" s="640"/>
      <c r="AB23" s="640"/>
      <c r="AC23" s="640"/>
      <c r="AD23" s="252"/>
      <c r="AE23" s="252"/>
      <c r="AF23" s="252"/>
      <c r="AG23" s="189">
        <f t="shared" si="2"/>
        <v>8436</v>
      </c>
      <c r="AH23" s="961">
        <f>100000-AG23</f>
        <v>91564</v>
      </c>
      <c r="AI23" s="194" t="str">
        <f t="shared" si="0"/>
        <v>Habibi Shack</v>
      </c>
      <c r="AK23" s="234">
        <f t="shared" si="3"/>
        <v>8436</v>
      </c>
      <c r="AL23" s="316">
        <f>COUNT(#REF!)+4+5</f>
        <v>9</v>
      </c>
      <c r="AO23" s="234">
        <v>38069</v>
      </c>
      <c r="AP23" s="234"/>
      <c r="AQ23" s="979">
        <v>21</v>
      </c>
      <c r="AR23" s="981">
        <f t="shared" si="1"/>
        <v>888</v>
      </c>
      <c r="AS23" s="977">
        <f t="shared" si="4"/>
        <v>8436</v>
      </c>
      <c r="AT23" s="978" t="str">
        <f t="shared" si="5"/>
        <v>Habibi Shack</v>
      </c>
    </row>
    <row r="24" spans="1:46" ht="10.15" customHeight="1">
      <c r="A24" s="195" t="s">
        <v>790</v>
      </c>
      <c r="B24" s="589"/>
      <c r="C24" s="589">
        <f>'5.02.23'!E7</f>
        <v>4417.5</v>
      </c>
      <c r="D24" s="589"/>
      <c r="E24" s="589"/>
      <c r="F24" s="589"/>
      <c r="G24" s="589"/>
      <c r="H24" s="589"/>
      <c r="I24" s="738"/>
      <c r="J24" s="738"/>
      <c r="K24" s="738">
        <f>'5.10.23'!E7</f>
        <v>3847.5</v>
      </c>
      <c r="L24" s="738"/>
      <c r="M24" s="738"/>
      <c r="N24" s="738"/>
      <c r="O24" s="738"/>
      <c r="P24" s="702"/>
      <c r="Q24" s="702"/>
      <c r="R24" s="702"/>
      <c r="S24" s="702"/>
      <c r="T24" s="702">
        <f>'5.19.23'!E7</f>
        <v>4161</v>
      </c>
      <c r="U24" s="702"/>
      <c r="V24" s="702"/>
      <c r="W24" s="640"/>
      <c r="X24" s="640"/>
      <c r="Y24" s="640">
        <f>'5.24.23'!E7</f>
        <v>3904.5</v>
      </c>
      <c r="Z24" s="640"/>
      <c r="AA24" s="640"/>
      <c r="AB24" s="640"/>
      <c r="AC24" s="640"/>
      <c r="AD24" s="252"/>
      <c r="AE24" s="252"/>
      <c r="AF24" s="252">
        <f>'5.31.23'!E17</f>
        <v>4208.5</v>
      </c>
      <c r="AG24" s="189">
        <f t="shared" si="2"/>
        <v>20539</v>
      </c>
      <c r="AH24" s="189">
        <v>99000</v>
      </c>
      <c r="AI24" s="194" t="str">
        <f t="shared" si="0"/>
        <v>Heritage Kitchen</v>
      </c>
      <c r="AK24" s="234">
        <f t="shared" si="3"/>
        <v>20539</v>
      </c>
      <c r="AL24" s="316">
        <f>COUNT(#REF!)</f>
        <v>0</v>
      </c>
      <c r="AO24" s="234"/>
      <c r="AP24" s="234"/>
      <c r="AQ24" s="979">
        <v>22</v>
      </c>
      <c r="AR24" s="981">
        <f t="shared" si="1"/>
        <v>2162</v>
      </c>
      <c r="AS24" s="977">
        <f t="shared" si="4"/>
        <v>20539</v>
      </c>
      <c r="AT24" s="978" t="str">
        <f t="shared" si="5"/>
        <v>Heritage Kitchen</v>
      </c>
    </row>
    <row r="25" spans="1:46" ht="10.15" customHeight="1">
      <c r="A25" s="195" t="s">
        <v>328</v>
      </c>
      <c r="B25" s="252"/>
      <c r="C25" s="252"/>
      <c r="D25" s="252"/>
      <c r="E25" s="252"/>
      <c r="F25" s="252"/>
      <c r="G25" s="252"/>
      <c r="H25" s="252"/>
      <c r="I25" s="252"/>
      <c r="J25" s="252"/>
      <c r="K25" s="252"/>
      <c r="L25" s="252"/>
      <c r="M25" s="252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  <c r="AA25" s="252"/>
      <c r="AB25" s="252"/>
      <c r="AC25" s="252"/>
      <c r="AD25" s="252"/>
      <c r="AE25" s="252"/>
      <c r="AF25" s="252"/>
      <c r="AG25" s="189">
        <f t="shared" si="2"/>
        <v>0</v>
      </c>
      <c r="AH25" s="189">
        <v>99000</v>
      </c>
      <c r="AI25" s="194" t="str">
        <f t="shared" si="0"/>
        <v>Heritage LA</v>
      </c>
      <c r="AK25" s="234">
        <f t="shared" si="3"/>
        <v>0</v>
      </c>
      <c r="AL25" s="316">
        <f>COUNT(#REF!)</f>
        <v>0</v>
      </c>
      <c r="AO25" s="234"/>
      <c r="AP25" s="234"/>
      <c r="AQ25" s="979">
        <v>23</v>
      </c>
      <c r="AR25" s="981">
        <f t="shared" si="1"/>
        <v>0</v>
      </c>
      <c r="AS25" s="977">
        <f t="shared" si="4"/>
        <v>0</v>
      </c>
      <c r="AT25" s="978" t="str">
        <f t="shared" si="5"/>
        <v>Heritage LA</v>
      </c>
    </row>
    <row r="26" spans="1:46" ht="9" customHeight="1">
      <c r="A26" s="195" t="s">
        <v>53</v>
      </c>
      <c r="B26" s="252"/>
      <c r="C26" s="252"/>
      <c r="D26" s="252"/>
      <c r="E26" s="252"/>
      <c r="F26" s="252"/>
      <c r="G26" s="252"/>
      <c r="H26" s="252"/>
      <c r="I26" s="252"/>
      <c r="J26" s="252"/>
      <c r="K26" s="252"/>
      <c r="L26" s="252"/>
      <c r="M26" s="252"/>
      <c r="N26" s="252"/>
      <c r="O26" s="252"/>
      <c r="P26" s="252"/>
      <c r="Q26" s="252"/>
      <c r="R26" s="252"/>
      <c r="S26" s="252"/>
      <c r="T26" s="252"/>
      <c r="U26" s="252"/>
      <c r="V26" s="252"/>
      <c r="W26" s="640"/>
      <c r="X26" s="640"/>
      <c r="Y26" s="640"/>
      <c r="Z26" s="640"/>
      <c r="AA26" s="640">
        <f>'5.26.23'!E8</f>
        <v>2680</v>
      </c>
      <c r="AB26" s="640"/>
      <c r="AC26" s="640"/>
      <c r="AD26" s="252"/>
      <c r="AE26" s="252"/>
      <c r="AF26" s="252"/>
      <c r="AG26" s="189">
        <f t="shared" si="2"/>
        <v>2680</v>
      </c>
      <c r="AH26" s="358">
        <f>350000-AG26+700000</f>
        <v>1047320</v>
      </c>
      <c r="AI26" s="194" t="str">
        <f t="shared" si="0"/>
        <v>Kogi</v>
      </c>
      <c r="AK26" s="234">
        <f t="shared" si="3"/>
        <v>2680</v>
      </c>
      <c r="AL26" s="316">
        <f>COUNT(#REF!)+9+2</f>
        <v>11</v>
      </c>
      <c r="AO26" s="234">
        <v>500</v>
      </c>
      <c r="AP26" s="234"/>
      <c r="AQ26" s="979">
        <v>24</v>
      </c>
      <c r="AR26" s="981">
        <f t="shared" si="1"/>
        <v>282.10526315789474</v>
      </c>
      <c r="AS26" s="977">
        <f t="shared" si="4"/>
        <v>2680</v>
      </c>
      <c r="AT26" s="978" t="str">
        <f t="shared" si="5"/>
        <v>Kogi</v>
      </c>
    </row>
    <row r="27" spans="1:46" ht="10.15" customHeight="1">
      <c r="A27" s="515" t="s">
        <v>267</v>
      </c>
      <c r="B27" s="252"/>
      <c r="C27" s="252"/>
      <c r="D27" s="252"/>
      <c r="E27" s="252"/>
      <c r="F27" s="252"/>
      <c r="G27" s="252"/>
      <c r="H27" s="252"/>
      <c r="I27" s="252"/>
      <c r="J27" s="252"/>
      <c r="K27" s="252"/>
      <c r="L27" s="252"/>
      <c r="M27" s="252"/>
      <c r="N27" s="252"/>
      <c r="O27" s="252"/>
      <c r="P27" s="702"/>
      <c r="Q27" s="702"/>
      <c r="R27" s="702"/>
      <c r="S27" s="702"/>
      <c r="T27" s="702"/>
      <c r="U27" s="702">
        <f>'5.20.23'!E18 +'5.20.23'!E28</f>
        <v>5291.5</v>
      </c>
      <c r="V27" s="702">
        <f>'5.21.23'!E27</f>
        <v>3296.5</v>
      </c>
      <c r="W27" s="640">
        <f>'5.22.23'!E7</f>
        <v>3220.5</v>
      </c>
      <c r="X27" s="640"/>
      <c r="Y27" s="640"/>
      <c r="Z27" s="640"/>
      <c r="AA27" s="640"/>
      <c r="AB27" s="640"/>
      <c r="AC27" s="640"/>
      <c r="AD27" s="252">
        <f>'5.29.23'!E17</f>
        <v>3296.5</v>
      </c>
      <c r="AE27" s="252"/>
      <c r="AF27" s="252"/>
      <c r="AG27" s="189">
        <f t="shared" si="2"/>
        <v>15105</v>
      </c>
      <c r="AH27" s="961">
        <f>100000-AG27</f>
        <v>84895</v>
      </c>
      <c r="AI27" s="988" t="str">
        <f t="shared" si="0"/>
        <v>Love Greek Cuisine/Kalamaki Greek LA</v>
      </c>
      <c r="AK27" s="234">
        <f t="shared" si="3"/>
        <v>15105</v>
      </c>
      <c r="AL27" s="316">
        <f>COUNT(#REF!)+2+9</f>
        <v>11</v>
      </c>
      <c r="AO27" s="234">
        <v>362210.5</v>
      </c>
      <c r="AP27" s="234"/>
      <c r="AQ27" s="979">
        <v>25</v>
      </c>
      <c r="AR27" s="981">
        <f t="shared" si="1"/>
        <v>1590</v>
      </c>
      <c r="AS27" s="977">
        <f t="shared" si="4"/>
        <v>15105</v>
      </c>
      <c r="AT27" s="978" t="str">
        <f t="shared" si="5"/>
        <v>Love Greek Cuisine/Kalamaki Greek LA</v>
      </c>
    </row>
    <row r="28" spans="1:46" ht="10.15" customHeight="1">
      <c r="A28" s="195" t="s">
        <v>234</v>
      </c>
      <c r="B28" s="252"/>
      <c r="C28" s="252"/>
      <c r="D28" s="252"/>
      <c r="E28" s="252"/>
      <c r="F28" s="252"/>
      <c r="G28" s="252"/>
      <c r="H28" s="252"/>
      <c r="I28" s="252"/>
      <c r="J28" s="252"/>
      <c r="K28" s="252"/>
      <c r="L28" s="252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  <c r="AA28" s="252"/>
      <c r="AB28" s="252"/>
      <c r="AC28" s="252"/>
      <c r="AD28" s="252"/>
      <c r="AE28" s="252"/>
      <c r="AF28" s="252"/>
      <c r="AG28" s="189">
        <f t="shared" si="2"/>
        <v>0</v>
      </c>
      <c r="AH28" s="961">
        <f>100000-AG28</f>
        <v>100000</v>
      </c>
      <c r="AI28" s="194" t="str">
        <f t="shared" si="0"/>
        <v>Manna From Heaven</v>
      </c>
      <c r="AK28" s="234">
        <f t="shared" si="3"/>
        <v>0</v>
      </c>
      <c r="AL28" s="316">
        <f>COUNT(#REF!)</f>
        <v>0</v>
      </c>
      <c r="AO28" s="234">
        <v>8000</v>
      </c>
      <c r="AP28" s="234"/>
      <c r="AQ28" s="979">
        <v>26</v>
      </c>
      <c r="AR28" s="981">
        <f t="shared" si="1"/>
        <v>0</v>
      </c>
      <c r="AS28" s="977">
        <f t="shared" si="4"/>
        <v>0</v>
      </c>
      <c r="AT28" s="978" t="str">
        <f t="shared" si="5"/>
        <v>Manna From Heaven</v>
      </c>
    </row>
    <row r="29" spans="1:46" ht="9.6" customHeight="1">
      <c r="A29" s="195" t="s">
        <v>265</v>
      </c>
      <c r="B29" s="252"/>
      <c r="C29" s="252"/>
      <c r="D29" s="252"/>
      <c r="E29" s="252"/>
      <c r="F29" s="252"/>
      <c r="G29" s="252"/>
      <c r="H29" s="252"/>
      <c r="I29" s="252"/>
      <c r="J29" s="252"/>
      <c r="K29" s="252"/>
      <c r="L29" s="252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  <c r="AA29" s="252"/>
      <c r="AB29" s="252"/>
      <c r="AC29" s="252"/>
      <c r="AD29" s="252"/>
      <c r="AE29" s="252"/>
      <c r="AF29" s="252"/>
      <c r="AG29" s="189">
        <f t="shared" si="2"/>
        <v>0</v>
      </c>
      <c r="AH29" s="961">
        <f>100000-AG29</f>
        <v>100000</v>
      </c>
      <c r="AI29" s="194" t="str">
        <f t="shared" si="0"/>
        <v>Messi Burgers</v>
      </c>
      <c r="AK29" s="234">
        <f t="shared" si="3"/>
        <v>0</v>
      </c>
      <c r="AL29" s="316">
        <f>COUNT(#REF!)</f>
        <v>0</v>
      </c>
      <c r="AO29" s="234">
        <v>27987</v>
      </c>
      <c r="AP29" s="234"/>
      <c r="AQ29" s="979">
        <v>27</v>
      </c>
      <c r="AR29" s="981">
        <f t="shared" si="1"/>
        <v>0</v>
      </c>
      <c r="AS29" s="977">
        <f t="shared" si="4"/>
        <v>0</v>
      </c>
      <c r="AT29" s="978" t="str">
        <f t="shared" si="5"/>
        <v>Messi Burgers</v>
      </c>
    </row>
    <row r="30" spans="1:46" ht="9.6" customHeight="1">
      <c r="A30" s="195" t="s">
        <v>69</v>
      </c>
      <c r="B30" s="252"/>
      <c r="C30" s="252"/>
      <c r="D30" s="252"/>
      <c r="E30" s="252"/>
      <c r="F30" s="252"/>
      <c r="G30" s="252"/>
      <c r="H30" s="252"/>
      <c r="I30" s="252"/>
      <c r="J30" s="252"/>
      <c r="K30" s="252"/>
      <c r="L30" s="252"/>
      <c r="M30" s="252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  <c r="AA30" s="252"/>
      <c r="AB30" s="252"/>
      <c r="AC30" s="252"/>
      <c r="AD30" s="252"/>
      <c r="AE30" s="252"/>
      <c r="AF30" s="252"/>
      <c r="AG30" s="189">
        <f t="shared" si="2"/>
        <v>0</v>
      </c>
      <c r="AH30" s="961">
        <f>100000-AG30</f>
        <v>100000</v>
      </c>
      <c r="AI30" s="194" t="str">
        <f t="shared" si="0"/>
        <v>Mikhuna</v>
      </c>
      <c r="AK30" s="234">
        <f t="shared" si="3"/>
        <v>0</v>
      </c>
      <c r="AL30" s="316">
        <f>COUNT(#REF!)</f>
        <v>0</v>
      </c>
      <c r="AO30" s="234">
        <v>34678.5</v>
      </c>
      <c r="AP30" s="234"/>
      <c r="AQ30" s="979">
        <v>28</v>
      </c>
      <c r="AR30" s="981">
        <f t="shared" si="1"/>
        <v>0</v>
      </c>
      <c r="AS30" s="977">
        <f t="shared" si="4"/>
        <v>0</v>
      </c>
      <c r="AT30" s="978" t="str">
        <f t="shared" si="5"/>
        <v>Mikhuna</v>
      </c>
    </row>
    <row r="31" spans="1:46" ht="9.6" customHeight="1">
      <c r="A31" s="195" t="s">
        <v>76</v>
      </c>
      <c r="B31" s="252"/>
      <c r="C31" s="252"/>
      <c r="D31" s="252"/>
      <c r="E31" s="252"/>
      <c r="F31" s="252"/>
      <c r="G31" s="252"/>
      <c r="H31" s="252"/>
      <c r="I31" s="252"/>
      <c r="J31" s="252"/>
      <c r="K31" s="252"/>
      <c r="L31" s="252"/>
      <c r="M31" s="252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  <c r="AA31" s="252"/>
      <c r="AB31" s="252"/>
      <c r="AC31" s="252"/>
      <c r="AD31" s="252"/>
      <c r="AE31" s="252"/>
      <c r="AF31" s="252"/>
      <c r="AG31" s="189">
        <f t="shared" si="2"/>
        <v>0</v>
      </c>
      <c r="AH31" s="961">
        <f>449000-AG31+350000</f>
        <v>799000</v>
      </c>
      <c r="AI31" s="194" t="str">
        <f t="shared" si="0"/>
        <v>ML Eats Burger</v>
      </c>
      <c r="AK31" s="234">
        <f t="shared" si="3"/>
        <v>0</v>
      </c>
      <c r="AL31" s="316">
        <f>COUNT(#REF!)</f>
        <v>0</v>
      </c>
      <c r="AO31" s="234">
        <v>2774</v>
      </c>
      <c r="AP31" s="234"/>
      <c r="AQ31" s="979">
        <v>29</v>
      </c>
      <c r="AR31" s="981">
        <f t="shared" si="1"/>
        <v>0</v>
      </c>
      <c r="AS31" s="977">
        <f t="shared" si="4"/>
        <v>0</v>
      </c>
      <c r="AT31" s="978" t="str">
        <f t="shared" si="5"/>
        <v>ML Eats Burger</v>
      </c>
    </row>
    <row r="32" spans="1:46" ht="9.6" customHeight="1">
      <c r="A32" s="195" t="s">
        <v>335</v>
      </c>
      <c r="B32" s="252"/>
      <c r="C32" s="252"/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  <c r="AA32" s="252"/>
      <c r="AB32" s="252"/>
      <c r="AC32" s="252"/>
      <c r="AD32" s="252"/>
      <c r="AE32" s="252"/>
      <c r="AF32" s="252"/>
      <c r="AG32" s="189">
        <f t="shared" si="2"/>
        <v>0</v>
      </c>
      <c r="AH32" s="189">
        <v>99000</v>
      </c>
      <c r="AI32" s="194" t="str">
        <f t="shared" si="0"/>
        <v>Mumu's</v>
      </c>
      <c r="AK32" s="234">
        <f t="shared" si="3"/>
        <v>0</v>
      </c>
      <c r="AL32" s="316">
        <f>COUNT(#REF!)</f>
        <v>0</v>
      </c>
      <c r="AO32" s="234"/>
      <c r="AP32" s="234"/>
      <c r="AQ32" s="979">
        <v>30</v>
      </c>
      <c r="AR32" s="981">
        <f t="shared" si="1"/>
        <v>0</v>
      </c>
      <c r="AS32" s="977">
        <f t="shared" si="4"/>
        <v>0</v>
      </c>
      <c r="AT32" s="978" t="str">
        <f t="shared" si="5"/>
        <v>Mumu's</v>
      </c>
    </row>
    <row r="33" spans="1:46" ht="10.15" customHeight="1">
      <c r="A33" s="195" t="s">
        <v>186</v>
      </c>
      <c r="B33" s="252"/>
      <c r="C33" s="252"/>
      <c r="D33" s="252"/>
      <c r="E33" s="252"/>
      <c r="F33" s="252"/>
      <c r="G33" s="252"/>
      <c r="H33" s="252"/>
      <c r="I33" s="252"/>
      <c r="J33" s="252"/>
      <c r="K33" s="252"/>
      <c r="L33" s="252"/>
      <c r="M33" s="252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  <c r="AA33" s="252"/>
      <c r="AB33" s="252"/>
      <c r="AC33" s="252"/>
      <c r="AD33" s="252"/>
      <c r="AE33" s="252"/>
      <c r="AF33" s="252"/>
      <c r="AG33" s="189">
        <f t="shared" si="2"/>
        <v>0</v>
      </c>
      <c r="AH33" s="961">
        <f>100000-AG33</f>
        <v>100000</v>
      </c>
      <c r="AI33" s="194" t="str">
        <f t="shared" si="0"/>
        <v>Ohana Hibachi</v>
      </c>
      <c r="AK33" s="234">
        <f t="shared" si="3"/>
        <v>0</v>
      </c>
      <c r="AL33" s="316">
        <f>COUNT(#REF!)</f>
        <v>0</v>
      </c>
      <c r="AO33" s="234">
        <v>29265</v>
      </c>
      <c r="AP33" s="234"/>
      <c r="AQ33" s="979">
        <v>31</v>
      </c>
      <c r="AR33" s="981">
        <f t="shared" si="1"/>
        <v>0</v>
      </c>
      <c r="AS33" s="977">
        <f t="shared" si="4"/>
        <v>0</v>
      </c>
      <c r="AT33" s="978" t="str">
        <f t="shared" si="5"/>
        <v>Ohana Hibachi</v>
      </c>
    </row>
    <row r="34" spans="1:46" ht="10.15" customHeight="1">
      <c r="A34" s="195" t="s">
        <v>44</v>
      </c>
      <c r="B34" s="252"/>
      <c r="C34" s="252"/>
      <c r="D34" s="252"/>
      <c r="E34" s="252"/>
      <c r="F34" s="252"/>
      <c r="G34" s="252"/>
      <c r="H34" s="252"/>
      <c r="I34" s="738"/>
      <c r="J34" s="738">
        <f>'5.09.23'!E7</f>
        <v>3458</v>
      </c>
      <c r="K34" s="738"/>
      <c r="L34" s="738"/>
      <c r="M34" s="738"/>
      <c r="N34" s="738"/>
      <c r="O34" s="738">
        <f>'5.14.23'!E8</f>
        <v>3059</v>
      </c>
      <c r="P34" s="252"/>
      <c r="Q34" s="252"/>
      <c r="R34" s="252"/>
      <c r="S34" s="252"/>
      <c r="T34" s="252"/>
      <c r="U34" s="252"/>
      <c r="V34" s="252"/>
      <c r="W34" s="640"/>
      <c r="X34" s="640">
        <f>'5.23.23'!E18</f>
        <v>4208.5</v>
      </c>
      <c r="Y34" s="640"/>
      <c r="Z34" s="640"/>
      <c r="AA34" s="640"/>
      <c r="AB34" s="640"/>
      <c r="AC34" s="640"/>
      <c r="AD34" s="252"/>
      <c r="AE34" s="252">
        <f>'5.30.23'!E18</f>
        <v>4379.5</v>
      </c>
      <c r="AF34" s="252"/>
      <c r="AG34" s="189">
        <f t="shared" si="2"/>
        <v>15105</v>
      </c>
      <c r="AH34" s="961">
        <f>100000-AG34</f>
        <v>84895</v>
      </c>
      <c r="AI34" s="194" t="str">
        <f t="shared" si="0"/>
        <v>Original Herbivore</v>
      </c>
      <c r="AK34" s="234">
        <f t="shared" si="3"/>
        <v>15105</v>
      </c>
      <c r="AL34" s="316">
        <f>COUNT(#REF!)+4+4</f>
        <v>8</v>
      </c>
      <c r="AO34" s="234">
        <v>96200</v>
      </c>
      <c r="AP34" s="234"/>
      <c r="AQ34" s="979">
        <v>32</v>
      </c>
      <c r="AR34" s="981">
        <f t="shared" si="1"/>
        <v>1590</v>
      </c>
      <c r="AS34" s="977">
        <f t="shared" si="4"/>
        <v>15105</v>
      </c>
      <c r="AT34" s="978" t="str">
        <f t="shared" si="5"/>
        <v>Original Herbivore</v>
      </c>
    </row>
    <row r="35" spans="1:46" ht="10.15" customHeight="1">
      <c r="A35" s="195" t="s">
        <v>143</v>
      </c>
      <c r="B35" s="252"/>
      <c r="C35" s="252"/>
      <c r="D35" s="252"/>
      <c r="E35" s="252"/>
      <c r="F35" s="252"/>
      <c r="G35" s="252"/>
      <c r="H35" s="252"/>
      <c r="I35" s="252"/>
      <c r="J35" s="252"/>
      <c r="K35" s="252"/>
      <c r="L35" s="252"/>
      <c r="M35" s="252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  <c r="AA35" s="252"/>
      <c r="AB35" s="252"/>
      <c r="AC35" s="252"/>
      <c r="AD35" s="252"/>
      <c r="AE35" s="252"/>
      <c r="AF35" s="252"/>
      <c r="AG35" s="189">
        <f t="shared" si="2"/>
        <v>0</v>
      </c>
      <c r="AH35" s="961">
        <f>100000-AG35+350000+350000</f>
        <v>800000</v>
      </c>
      <c r="AI35" s="194" t="str">
        <f t="shared" ref="AI35:AI60" si="6">A35</f>
        <v>Pacifico Charbroiled</v>
      </c>
      <c r="AK35" s="234">
        <f t="shared" si="3"/>
        <v>0</v>
      </c>
      <c r="AL35" s="316">
        <f>COUNT(#REF!)+4</f>
        <v>4</v>
      </c>
      <c r="AO35" s="234">
        <v>23730</v>
      </c>
      <c r="AP35" s="234"/>
      <c r="AQ35" s="979">
        <v>33</v>
      </c>
      <c r="AR35" s="981">
        <f t="shared" si="1"/>
        <v>0</v>
      </c>
      <c r="AS35" s="977">
        <f t="shared" si="4"/>
        <v>0</v>
      </c>
      <c r="AT35" s="978" t="str">
        <f t="shared" si="5"/>
        <v>Pacifico Charbroiled</v>
      </c>
    </row>
    <row r="36" spans="1:46" ht="10.15" customHeight="1">
      <c r="A36" s="515" t="s">
        <v>242</v>
      </c>
      <c r="B36" s="589">
        <f>'5.01.23'!E28</f>
        <v>4541</v>
      </c>
      <c r="C36" s="589"/>
      <c r="D36" s="589"/>
      <c r="E36" s="589"/>
      <c r="F36" s="589"/>
      <c r="G36" s="589"/>
      <c r="H36" s="589"/>
      <c r="I36" s="738"/>
      <c r="J36" s="738">
        <f>'5.09.23'!E28</f>
        <v>4284.5</v>
      </c>
      <c r="K36" s="738"/>
      <c r="L36" s="738"/>
      <c r="M36" s="738"/>
      <c r="N36" s="738"/>
      <c r="O36" s="738"/>
      <c r="P36" s="702">
        <f>'5.15.23'!E27</f>
        <v>4094.5</v>
      </c>
      <c r="Q36" s="702"/>
      <c r="R36" s="702"/>
      <c r="S36" s="702"/>
      <c r="T36" s="702"/>
      <c r="U36" s="702"/>
      <c r="V36" s="702"/>
      <c r="W36" s="640">
        <f>'5.22.23'!E28</f>
        <v>4037.5</v>
      </c>
      <c r="X36" s="640"/>
      <c r="Y36" s="640"/>
      <c r="Z36" s="640"/>
      <c r="AA36" s="640"/>
      <c r="AB36" s="640"/>
      <c r="AC36" s="640"/>
      <c r="AD36" s="252">
        <f>'5.29.23'!E28</f>
        <v>4151.5</v>
      </c>
      <c r="AE36" s="252"/>
      <c r="AF36" s="252"/>
      <c r="AG36" s="189">
        <f t="shared" si="2"/>
        <v>21109</v>
      </c>
      <c r="AH36" s="961">
        <f>100000-AG36+350000+350000</f>
        <v>778891</v>
      </c>
      <c r="AI36" s="988" t="str">
        <f t="shared" si="6"/>
        <v>Paradise Cookies &amp; Ice Cream</v>
      </c>
      <c r="AK36" s="234">
        <f t="shared" si="3"/>
        <v>21109</v>
      </c>
      <c r="AL36" s="316">
        <f>COUNT(#REF!)+3</f>
        <v>3</v>
      </c>
      <c r="AO36" s="234">
        <v>122348</v>
      </c>
      <c r="AP36" s="234"/>
      <c r="AQ36" s="979">
        <v>34</v>
      </c>
      <c r="AR36" s="981">
        <f t="shared" si="1"/>
        <v>2222</v>
      </c>
      <c r="AS36" s="977">
        <f t="shared" si="4"/>
        <v>21109</v>
      </c>
      <c r="AT36" s="978" t="str">
        <f t="shared" si="5"/>
        <v>Paradise Cookies &amp; Ice Cream</v>
      </c>
    </row>
    <row r="37" spans="1:46" ht="10.15" customHeight="1">
      <c r="A37" s="195" t="s">
        <v>246</v>
      </c>
      <c r="B37" s="589"/>
      <c r="C37" s="589"/>
      <c r="D37" s="589"/>
      <c r="E37" s="589"/>
      <c r="F37" s="589"/>
      <c r="G37" s="589">
        <f>'5.06.23'!E7 + '5.06.23'!E17</f>
        <v>13651.5</v>
      </c>
      <c r="H37" s="589"/>
      <c r="I37" s="738"/>
      <c r="J37" s="738"/>
      <c r="K37" s="738"/>
      <c r="L37" s="738">
        <f>'5.11.23'!E17</f>
        <v>7362.5</v>
      </c>
      <c r="M37" s="738"/>
      <c r="N37" s="738">
        <f>'5.13.23'!E17</f>
        <v>6906.5</v>
      </c>
      <c r="O37" s="738"/>
      <c r="P37" s="702"/>
      <c r="Q37" s="702">
        <f>'5.16.23'!E7</f>
        <v>7847</v>
      </c>
      <c r="R37" s="702"/>
      <c r="S37" s="702">
        <f>'5.18.23'!E17</f>
        <v>9737.5</v>
      </c>
      <c r="T37" s="702"/>
      <c r="U37" s="702">
        <f>'5.20.23'!E17</f>
        <v>7666.5</v>
      </c>
      <c r="V37" s="702"/>
      <c r="W37" s="640"/>
      <c r="X37" s="640"/>
      <c r="Y37" s="640"/>
      <c r="Z37" s="640">
        <f>'5.25.23'!E8 + '5.25.23'!E17</f>
        <v>16121.5</v>
      </c>
      <c r="AA37" s="640"/>
      <c r="AB37" s="640"/>
      <c r="AC37" s="640"/>
      <c r="AD37" s="252">
        <f>'5.29.23'!E27</f>
        <v>5671.5</v>
      </c>
      <c r="AE37" s="252"/>
      <c r="AF37" s="252"/>
      <c r="AG37" s="189">
        <f t="shared" si="2"/>
        <v>74964.5</v>
      </c>
      <c r="AH37" s="961">
        <f>100000-AG37+350000</f>
        <v>375035.5</v>
      </c>
      <c r="AI37" s="194" t="str">
        <f t="shared" si="6"/>
        <v>Perro 1-10 Tacos</v>
      </c>
      <c r="AK37" s="234">
        <f t="shared" si="3"/>
        <v>74964.5</v>
      </c>
      <c r="AL37" s="316">
        <f>COUNT(#REF!)+18+9</f>
        <v>27</v>
      </c>
      <c r="AO37" s="234">
        <v>197247.5</v>
      </c>
      <c r="AP37" s="234"/>
      <c r="AQ37" s="979">
        <v>35</v>
      </c>
      <c r="AR37" s="981">
        <f t="shared" si="1"/>
        <v>7891</v>
      </c>
      <c r="AS37" s="977">
        <f t="shared" si="4"/>
        <v>74964.5</v>
      </c>
      <c r="AT37" s="978" t="str">
        <f t="shared" si="5"/>
        <v>Perro 1-10 Tacos</v>
      </c>
    </row>
    <row r="38" spans="1:46" ht="10.15" customHeight="1">
      <c r="A38" s="195" t="s">
        <v>66</v>
      </c>
      <c r="B38" s="252"/>
      <c r="C38" s="252"/>
      <c r="D38" s="252"/>
      <c r="E38" s="252"/>
      <c r="F38" s="252"/>
      <c r="G38" s="252"/>
      <c r="H38" s="252"/>
      <c r="I38" s="252"/>
      <c r="J38" s="252"/>
      <c r="K38" s="252"/>
      <c r="L38" s="252"/>
      <c r="M38" s="252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  <c r="AA38" s="252"/>
      <c r="AB38" s="252"/>
      <c r="AC38" s="252"/>
      <c r="AD38" s="252"/>
      <c r="AE38" s="252"/>
      <c r="AF38" s="252"/>
      <c r="AG38" s="189">
        <f t="shared" si="2"/>
        <v>0</v>
      </c>
      <c r="AH38" s="961">
        <f>100000-AG38+350000</f>
        <v>450000</v>
      </c>
      <c r="AI38" s="194" t="str">
        <f t="shared" si="6"/>
        <v>PhillyJay's Steaks</v>
      </c>
      <c r="AK38" s="234">
        <f t="shared" si="3"/>
        <v>0</v>
      </c>
      <c r="AL38" s="316">
        <f>COUNT(#REF!)+2</f>
        <v>2</v>
      </c>
      <c r="AO38" s="234">
        <v>192935</v>
      </c>
      <c r="AP38" s="234"/>
      <c r="AQ38" s="979">
        <v>36</v>
      </c>
      <c r="AR38" s="981">
        <f t="shared" si="1"/>
        <v>0</v>
      </c>
      <c r="AS38" s="977">
        <f t="shared" si="4"/>
        <v>0</v>
      </c>
      <c r="AT38" s="978" t="str">
        <f t="shared" si="5"/>
        <v>PhillyJay's Steaks</v>
      </c>
    </row>
    <row r="39" spans="1:46" ht="10.15" customHeight="1">
      <c r="A39" s="196" t="s">
        <v>65</v>
      </c>
      <c r="B39" s="589"/>
      <c r="C39" s="589">
        <f>'5.02.23'!E8+'5.02.23'!E18</f>
        <v>9158</v>
      </c>
      <c r="D39" s="589"/>
      <c r="E39" s="589"/>
      <c r="F39" s="589"/>
      <c r="G39" s="589"/>
      <c r="H39" s="589"/>
      <c r="I39" s="738">
        <f>'5.08.23'!E7</f>
        <v>5073</v>
      </c>
      <c r="J39" s="738"/>
      <c r="K39" s="738">
        <f>'5.10.23'!E17</f>
        <v>4873.5</v>
      </c>
      <c r="L39" s="738"/>
      <c r="M39" s="738"/>
      <c r="N39" s="738"/>
      <c r="O39" s="738"/>
      <c r="P39" s="702">
        <f>'5.15.23'!E8</f>
        <v>5044.5</v>
      </c>
      <c r="Q39" s="702"/>
      <c r="R39" s="702">
        <f>'5.17.23'!E18</f>
        <v>4617</v>
      </c>
      <c r="S39" s="702"/>
      <c r="T39" s="702"/>
      <c r="U39" s="702"/>
      <c r="V39" s="702"/>
      <c r="W39" s="640">
        <f>'5.22.23'!E8</f>
        <v>4636</v>
      </c>
      <c r="X39" s="640"/>
      <c r="Y39" s="640">
        <f>'5.24.23'!E28</f>
        <v>3049.5</v>
      </c>
      <c r="Z39" s="640"/>
      <c r="AA39" s="640"/>
      <c r="AB39" s="640"/>
      <c r="AC39" s="640"/>
      <c r="AD39" s="252"/>
      <c r="AE39" s="252">
        <f>'5.30.23'!E27</f>
        <v>3914</v>
      </c>
      <c r="AF39" s="252"/>
      <c r="AG39" s="189">
        <f t="shared" si="2"/>
        <v>40365.5</v>
      </c>
      <c r="AH39" s="961">
        <f>449000-AG39+350000</f>
        <v>758634.5</v>
      </c>
      <c r="AI39" s="194" t="str">
        <f t="shared" si="6"/>
        <v>Pinch of Flavor</v>
      </c>
      <c r="AK39" s="234">
        <f t="shared" si="3"/>
        <v>40365.5</v>
      </c>
      <c r="AL39" s="316">
        <f>COUNT(#REF!)+6</f>
        <v>6</v>
      </c>
      <c r="AO39" s="234">
        <v>6760</v>
      </c>
      <c r="AP39" s="234"/>
      <c r="AQ39" s="979">
        <v>37</v>
      </c>
      <c r="AR39" s="981">
        <f t="shared" si="1"/>
        <v>4249</v>
      </c>
      <c r="AS39" s="977">
        <f t="shared" si="4"/>
        <v>40365.5</v>
      </c>
      <c r="AT39" s="978" t="str">
        <f t="shared" si="5"/>
        <v>Pinch of Flavor</v>
      </c>
    </row>
    <row r="40" spans="1:46" ht="10.15" customHeight="1">
      <c r="A40" s="195" t="s">
        <v>82</v>
      </c>
      <c r="B40" s="589">
        <f>'5.01.23'!E8</f>
        <v>4132.5</v>
      </c>
      <c r="C40" s="589"/>
      <c r="D40" s="589"/>
      <c r="E40" s="589"/>
      <c r="F40" s="589"/>
      <c r="G40" s="589"/>
      <c r="H40" s="589"/>
      <c r="I40" s="252"/>
      <c r="J40" s="252"/>
      <c r="K40" s="252"/>
      <c r="L40" s="252"/>
      <c r="M40" s="252"/>
      <c r="N40" s="252"/>
      <c r="O40" s="252"/>
      <c r="P40" s="702">
        <f>'5.15.23'!E18</f>
        <v>4104</v>
      </c>
      <c r="Q40" s="702"/>
      <c r="R40" s="702"/>
      <c r="S40" s="702"/>
      <c r="T40" s="702"/>
      <c r="U40" s="702"/>
      <c r="V40" s="702"/>
      <c r="W40" s="252"/>
      <c r="X40" s="252"/>
      <c r="Y40" s="252"/>
      <c r="Z40" s="252"/>
      <c r="AA40" s="252"/>
      <c r="AB40" s="252"/>
      <c r="AC40" s="252"/>
      <c r="AD40" s="252"/>
      <c r="AE40" s="252"/>
      <c r="AF40" s="252"/>
      <c r="AG40" s="189">
        <f t="shared" si="2"/>
        <v>8236.5</v>
      </c>
      <c r="AH40" s="961">
        <f>100000-AG40+350000</f>
        <v>441763.5</v>
      </c>
      <c r="AI40" s="194" t="str">
        <f t="shared" si="6"/>
        <v>Poutine Brothers</v>
      </c>
      <c r="AK40" s="234">
        <f t="shared" si="3"/>
        <v>8236.5</v>
      </c>
      <c r="AL40" s="316">
        <f>COUNT(#REF!)+1+4</f>
        <v>5</v>
      </c>
      <c r="AO40" s="782">
        <v>127767.5</v>
      </c>
      <c r="AP40" s="234"/>
      <c r="AQ40" s="979">
        <v>38</v>
      </c>
      <c r="AR40" s="981">
        <f t="shared" si="1"/>
        <v>867</v>
      </c>
      <c r="AS40" s="977">
        <f t="shared" si="4"/>
        <v>8236.5</v>
      </c>
      <c r="AT40" s="978" t="str">
        <f t="shared" si="5"/>
        <v>Poutine Brothers</v>
      </c>
    </row>
    <row r="41" spans="1:46" ht="10.15" customHeight="1">
      <c r="A41" s="195" t="s">
        <v>825</v>
      </c>
      <c r="B41" s="252"/>
      <c r="C41" s="252"/>
      <c r="D41" s="252"/>
      <c r="E41" s="252"/>
      <c r="F41" s="252"/>
      <c r="G41" s="252"/>
      <c r="H41" s="252"/>
      <c r="I41" s="252"/>
      <c r="J41" s="252"/>
      <c r="K41" s="252"/>
      <c r="L41" s="252"/>
      <c r="M41" s="252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  <c r="AA41" s="252"/>
      <c r="AB41" s="252"/>
      <c r="AC41" s="252"/>
      <c r="AD41" s="252"/>
      <c r="AE41" s="252"/>
      <c r="AF41" s="252"/>
      <c r="AG41" s="189">
        <f t="shared" si="2"/>
        <v>0</v>
      </c>
      <c r="AH41" s="961"/>
      <c r="AI41" s="194" t="str">
        <f t="shared" si="6"/>
        <v>Rice Balls Inc.</v>
      </c>
      <c r="AK41" s="234">
        <f t="shared" si="3"/>
        <v>0</v>
      </c>
      <c r="AL41" s="316">
        <f>COUNT(#REF!)</f>
        <v>0</v>
      </c>
      <c r="AO41" s="782"/>
      <c r="AP41" s="234"/>
      <c r="AQ41" s="979"/>
      <c r="AR41" s="981"/>
      <c r="AS41" s="977">
        <f t="shared" si="4"/>
        <v>0</v>
      </c>
      <c r="AT41" s="978" t="str">
        <f t="shared" si="5"/>
        <v>Rice Balls Inc.</v>
      </c>
    </row>
    <row r="42" spans="1:46" ht="10.15" customHeight="1">
      <c r="A42" s="195" t="s">
        <v>329</v>
      </c>
      <c r="B42" s="589">
        <f>'5.01.23'!E7</f>
        <v>9880</v>
      </c>
      <c r="C42" s="589"/>
      <c r="D42" s="589"/>
      <c r="E42" s="589"/>
      <c r="F42" s="589"/>
      <c r="G42" s="589"/>
      <c r="H42" s="589"/>
      <c r="I42" s="738">
        <f>'5.08.23'!E8</f>
        <v>3477</v>
      </c>
      <c r="J42" s="738"/>
      <c r="K42" s="738"/>
      <c r="L42" s="738"/>
      <c r="M42" s="738"/>
      <c r="N42" s="738">
        <f>'5.13.23'!E7</f>
        <v>4037.5</v>
      </c>
      <c r="O42" s="738"/>
      <c r="P42" s="702"/>
      <c r="Q42" s="702"/>
      <c r="R42" s="702"/>
      <c r="S42" s="702">
        <f>'5.18.23'!E27</f>
        <v>6488.5</v>
      </c>
      <c r="T42" s="702"/>
      <c r="U42" s="702"/>
      <c r="V42" s="702"/>
      <c r="W42" s="252"/>
      <c r="X42" s="252"/>
      <c r="Y42" s="252"/>
      <c r="Z42" s="252"/>
      <c r="AA42" s="252"/>
      <c r="AB42" s="252"/>
      <c r="AC42" s="252"/>
      <c r="AD42" s="252"/>
      <c r="AE42" s="252"/>
      <c r="AF42" s="252"/>
      <c r="AG42" s="189">
        <f t="shared" si="2"/>
        <v>23883</v>
      </c>
      <c r="AH42" s="961">
        <f>100000-AG42</f>
        <v>76117</v>
      </c>
      <c r="AI42" s="194" t="str">
        <f t="shared" si="6"/>
        <v>Salpicon</v>
      </c>
      <c r="AK42" s="234">
        <f t="shared" si="3"/>
        <v>23883</v>
      </c>
      <c r="AL42" s="316">
        <f>COUNT(#REF!)+4+10</f>
        <v>14</v>
      </c>
      <c r="AO42" s="782"/>
      <c r="AP42" s="234"/>
      <c r="AQ42" s="979">
        <v>39</v>
      </c>
      <c r="AR42" s="981">
        <f t="shared" ref="AR42:AR47" si="7">AS42/9.5</f>
        <v>2514</v>
      </c>
      <c r="AS42" s="977">
        <f t="shared" si="4"/>
        <v>23883</v>
      </c>
      <c r="AT42" s="978" t="str">
        <f t="shared" si="5"/>
        <v>Salpicon</v>
      </c>
    </row>
    <row r="43" spans="1:46" ht="10.15" customHeight="1">
      <c r="A43" s="195" t="s">
        <v>83</v>
      </c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  <c r="AA43" s="252"/>
      <c r="AB43" s="252"/>
      <c r="AC43" s="252"/>
      <c r="AD43" s="252"/>
      <c r="AE43" s="252"/>
      <c r="AF43" s="252"/>
      <c r="AG43" s="189">
        <f t="shared" si="2"/>
        <v>0</v>
      </c>
      <c r="AH43" s="961">
        <f>100000-AG43</f>
        <v>100000</v>
      </c>
      <c r="AI43" s="194" t="str">
        <f t="shared" si="6"/>
        <v>Salvage Tacos</v>
      </c>
      <c r="AK43" s="234">
        <f t="shared" si="3"/>
        <v>0</v>
      </c>
      <c r="AL43" s="316">
        <f>COUNT(#REF!)+1</f>
        <v>1</v>
      </c>
      <c r="AO43" s="782">
        <v>111263</v>
      </c>
      <c r="AP43" s="234"/>
      <c r="AQ43" s="979">
        <v>40</v>
      </c>
      <c r="AR43" s="981">
        <f t="shared" si="7"/>
        <v>0</v>
      </c>
      <c r="AS43" s="977">
        <f t="shared" si="4"/>
        <v>0</v>
      </c>
      <c r="AT43" s="978" t="str">
        <f t="shared" si="5"/>
        <v>Salvage Tacos</v>
      </c>
    </row>
    <row r="44" spans="1:46" ht="10.15" customHeight="1">
      <c r="A44" s="195" t="s">
        <v>332</v>
      </c>
      <c r="B44" s="589">
        <f>'5.01.23'!E27</f>
        <v>5367.5</v>
      </c>
      <c r="C44" s="589"/>
      <c r="D44" s="589">
        <f>'5.03.23'!E7</f>
        <v>5757</v>
      </c>
      <c r="E44" s="589"/>
      <c r="F44" s="589">
        <f>'5.05.23'!E27</f>
        <v>2821.5</v>
      </c>
      <c r="G44" s="589"/>
      <c r="H44" s="589"/>
      <c r="I44" s="738"/>
      <c r="J44" s="738"/>
      <c r="K44" s="738"/>
      <c r="L44" s="738">
        <f>'5.11.23'!E27</f>
        <v>4303.5</v>
      </c>
      <c r="M44" s="738">
        <f>'5.12.23'!E7</f>
        <v>4892.5</v>
      </c>
      <c r="N44" s="738"/>
      <c r="O44" s="738"/>
      <c r="P44" s="702"/>
      <c r="Q44" s="702">
        <f>'5.16.23'!E28</f>
        <v>4522</v>
      </c>
      <c r="R44" s="702"/>
      <c r="S44" s="702"/>
      <c r="T44" s="702">
        <f>'5.19.23'!E18 +'5.19.23'!E28</f>
        <v>9709</v>
      </c>
      <c r="U44" s="702"/>
      <c r="V44" s="702"/>
      <c r="W44" s="640">
        <f>'5.22.23'!E18</f>
        <v>7039.5</v>
      </c>
      <c r="X44" s="640"/>
      <c r="Y44" s="640"/>
      <c r="Z44" s="640"/>
      <c r="AA44" s="640">
        <f>'5.26.23'!E28</f>
        <v>3258.5</v>
      </c>
      <c r="AB44" s="640"/>
      <c r="AC44" s="640"/>
      <c r="AD44" s="252">
        <f>'5.29.23'!E18</f>
        <v>6365</v>
      </c>
      <c r="AE44" s="252"/>
      <c r="AF44" s="252"/>
      <c r="AG44" s="189">
        <f t="shared" si="2"/>
        <v>54036</v>
      </c>
      <c r="AH44" s="961">
        <f>100000-AG44</f>
        <v>45964</v>
      </c>
      <c r="AI44" s="194" t="str">
        <f t="shared" si="6"/>
        <v>Smile Hot Dog</v>
      </c>
      <c r="AK44" s="234">
        <f t="shared" si="3"/>
        <v>54036</v>
      </c>
      <c r="AL44" s="316">
        <f>COUNT(#REF!)+7+11</f>
        <v>18</v>
      </c>
      <c r="AO44" s="782"/>
      <c r="AP44" s="234"/>
      <c r="AQ44" s="979">
        <v>41</v>
      </c>
      <c r="AR44" s="981">
        <f t="shared" si="7"/>
        <v>5688</v>
      </c>
      <c r="AS44" s="977">
        <f t="shared" si="4"/>
        <v>54036</v>
      </c>
      <c r="AT44" s="978" t="str">
        <f t="shared" si="5"/>
        <v>Smile Hot Dog</v>
      </c>
    </row>
    <row r="45" spans="1:46" ht="10.15" customHeight="1">
      <c r="A45" s="195" t="s">
        <v>159</v>
      </c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189">
        <f t="shared" si="2"/>
        <v>0</v>
      </c>
      <c r="AH45" s="961">
        <f>100000-AG45</f>
        <v>100000</v>
      </c>
      <c r="AI45" s="194" t="str">
        <f t="shared" si="6"/>
        <v>Something Good LA</v>
      </c>
      <c r="AK45" s="234">
        <f t="shared" si="3"/>
        <v>0</v>
      </c>
      <c r="AL45" s="316">
        <f>COUNT(#REF!)</f>
        <v>0</v>
      </c>
      <c r="AO45" s="234">
        <v>341055.5</v>
      </c>
      <c r="AP45" s="234"/>
      <c r="AQ45" s="979">
        <v>42</v>
      </c>
      <c r="AR45" s="981">
        <f t="shared" si="7"/>
        <v>0</v>
      </c>
      <c r="AS45" s="977">
        <f t="shared" si="4"/>
        <v>0</v>
      </c>
      <c r="AT45" s="978" t="str">
        <f t="shared" si="5"/>
        <v>Something Good LA</v>
      </c>
    </row>
    <row r="46" spans="1:46" ht="10.15" customHeight="1">
      <c r="A46" s="195" t="s">
        <v>145</v>
      </c>
      <c r="B46" s="589"/>
      <c r="C46" s="589"/>
      <c r="D46" s="589"/>
      <c r="E46" s="589"/>
      <c r="F46" s="589"/>
      <c r="G46" s="589">
        <f>'5.06.23'!E18</f>
        <v>4949.5</v>
      </c>
      <c r="H46" s="589">
        <f>'5.07.23'!E7</f>
        <v>4303.5</v>
      </c>
      <c r="I46" s="252"/>
      <c r="J46" s="252"/>
      <c r="K46" s="252"/>
      <c r="L46" s="252"/>
      <c r="M46" s="252"/>
      <c r="N46" s="252"/>
      <c r="O46" s="252"/>
      <c r="P46" s="702"/>
      <c r="Q46" s="702">
        <f>'5.16.23'!E8</f>
        <v>3249</v>
      </c>
      <c r="R46" s="702"/>
      <c r="S46" s="702"/>
      <c r="T46" s="702"/>
      <c r="U46" s="702"/>
      <c r="V46" s="702"/>
      <c r="W46" s="252"/>
      <c r="X46" s="252"/>
      <c r="Y46" s="252"/>
      <c r="Z46" s="252"/>
      <c r="AA46" s="252"/>
      <c r="AB46" s="252"/>
      <c r="AC46" s="252"/>
      <c r="AD46" s="252"/>
      <c r="AE46" s="252"/>
      <c r="AF46" s="252">
        <f>'5.31.23'!E8</f>
        <v>3648</v>
      </c>
      <c r="AG46" s="189">
        <f t="shared" si="2"/>
        <v>16150</v>
      </c>
      <c r="AH46" s="961">
        <f>100000-AG46+449000</f>
        <v>532850</v>
      </c>
      <c r="AI46" s="194" t="str">
        <f t="shared" si="6"/>
        <v>Stop Bye Café</v>
      </c>
      <c r="AK46" s="234">
        <f t="shared" si="3"/>
        <v>16150</v>
      </c>
      <c r="AL46" s="316">
        <f>COUNT(#REF!)+5+2</f>
        <v>7</v>
      </c>
      <c r="AO46" s="234">
        <v>162662.5</v>
      </c>
      <c r="AP46" s="234"/>
      <c r="AQ46" s="979">
        <v>43</v>
      </c>
      <c r="AR46" s="981">
        <f t="shared" si="7"/>
        <v>1700</v>
      </c>
      <c r="AS46" s="977">
        <f t="shared" si="4"/>
        <v>16150</v>
      </c>
      <c r="AT46" s="978" t="str">
        <f t="shared" si="5"/>
        <v>Stop Bye Café</v>
      </c>
    </row>
    <row r="47" spans="1:46" ht="10.15" customHeight="1">
      <c r="A47" s="195" t="s">
        <v>84</v>
      </c>
      <c r="B47" s="252"/>
      <c r="C47" s="252"/>
      <c r="D47" s="252"/>
      <c r="E47" s="252"/>
      <c r="F47" s="252"/>
      <c r="G47" s="252"/>
      <c r="H47" s="252"/>
      <c r="I47" s="252"/>
      <c r="J47" s="252"/>
      <c r="K47" s="252"/>
      <c r="L47" s="252"/>
      <c r="M47" s="252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  <c r="AA47" s="252"/>
      <c r="AB47" s="252"/>
      <c r="AC47" s="252"/>
      <c r="AD47" s="252"/>
      <c r="AE47" s="252"/>
      <c r="AF47" s="252"/>
      <c r="AG47" s="189">
        <f t="shared" si="2"/>
        <v>0</v>
      </c>
      <c r="AH47" s="961">
        <f>100000-AG47+350000</f>
        <v>450000</v>
      </c>
      <c r="AI47" s="194" t="str">
        <f t="shared" si="6"/>
        <v>Stout Burgers</v>
      </c>
      <c r="AK47" s="234">
        <f t="shared" si="3"/>
        <v>0</v>
      </c>
      <c r="AL47" s="316">
        <f>COUNT(#REF!)</f>
        <v>0</v>
      </c>
      <c r="AO47" s="234">
        <v>52046</v>
      </c>
      <c r="AP47" s="234"/>
      <c r="AQ47" s="979">
        <v>44</v>
      </c>
      <c r="AR47" s="981">
        <f t="shared" si="7"/>
        <v>0</v>
      </c>
      <c r="AS47" s="977">
        <f t="shared" si="4"/>
        <v>0</v>
      </c>
      <c r="AT47" s="978" t="str">
        <f t="shared" si="5"/>
        <v>Stout Burgers</v>
      </c>
    </row>
    <row r="48" spans="1:46" ht="10.15" customHeight="1">
      <c r="A48" s="195" t="s">
        <v>802</v>
      </c>
      <c r="B48" s="589"/>
      <c r="C48" s="589"/>
      <c r="D48" s="589"/>
      <c r="E48" s="589"/>
      <c r="F48" s="589">
        <f>'5.05.23'!E18</f>
        <v>3334.5</v>
      </c>
      <c r="G48" s="589"/>
      <c r="H48" s="589"/>
      <c r="I48" s="738"/>
      <c r="J48" s="738"/>
      <c r="K48" s="738"/>
      <c r="L48" s="738"/>
      <c r="M48" s="738">
        <f>'5.12.23'!E17</f>
        <v>3581.5</v>
      </c>
      <c r="N48" s="738">
        <f>'5.13.23'!E8</f>
        <v>3325</v>
      </c>
      <c r="O48" s="738"/>
      <c r="P48" s="702"/>
      <c r="Q48" s="702"/>
      <c r="R48" s="702"/>
      <c r="S48" s="702"/>
      <c r="T48" s="702">
        <f>'5.19.23'!E17</f>
        <v>3610</v>
      </c>
      <c r="U48" s="702"/>
      <c r="V48" s="702"/>
      <c r="W48" s="640"/>
      <c r="X48" s="640">
        <f>'5.23.23'!E7</f>
        <v>3619.5</v>
      </c>
      <c r="Y48" s="640"/>
      <c r="Z48" s="640"/>
      <c r="AA48" s="640"/>
      <c r="AB48" s="640"/>
      <c r="AC48" s="640"/>
      <c r="AD48" s="252"/>
      <c r="AE48" s="252"/>
      <c r="AF48" s="252">
        <f>'5.31.23'!E7</f>
        <v>3828.5</v>
      </c>
      <c r="AG48" s="189">
        <f t="shared" si="2"/>
        <v>21299</v>
      </c>
      <c r="AH48" s="961">
        <f>100000-AG48+350000</f>
        <v>428701</v>
      </c>
      <c r="AI48" s="194" t="str">
        <f t="shared" si="6"/>
        <v>Sugo Italiano</v>
      </c>
      <c r="AK48" s="234">
        <f t="shared" si="3"/>
        <v>21299</v>
      </c>
      <c r="AL48" s="316">
        <f>COUNT(#REF!)+8</f>
        <v>8</v>
      </c>
      <c r="AO48" s="234">
        <v>52046</v>
      </c>
      <c r="AP48" s="234"/>
      <c r="AQ48" s="979"/>
      <c r="AR48" s="981"/>
      <c r="AS48" s="977">
        <f t="shared" si="4"/>
        <v>21299</v>
      </c>
      <c r="AT48" s="978" t="str">
        <f t="shared" si="5"/>
        <v>Sugo Italiano</v>
      </c>
    </row>
    <row r="49" spans="1:46" ht="10.15" customHeight="1">
      <c r="A49" s="195" t="s">
        <v>333</v>
      </c>
      <c r="B49" s="589"/>
      <c r="C49" s="589"/>
      <c r="D49" s="589"/>
      <c r="E49" s="589"/>
      <c r="F49" s="589"/>
      <c r="G49" s="589"/>
      <c r="H49" s="589">
        <f>'5.07.23'!E28</f>
        <v>3201.5</v>
      </c>
      <c r="I49" s="738"/>
      <c r="J49" s="738"/>
      <c r="K49" s="738"/>
      <c r="L49" s="738"/>
      <c r="M49" s="738"/>
      <c r="N49" s="738">
        <f>'5.13.23'!E28</f>
        <v>2688.5</v>
      </c>
      <c r="O49" s="738"/>
      <c r="P49" s="702"/>
      <c r="Q49" s="702"/>
      <c r="R49" s="702"/>
      <c r="S49" s="702"/>
      <c r="T49" s="702"/>
      <c r="U49" s="702">
        <f>'5.20.23'!E27</f>
        <v>3002</v>
      </c>
      <c r="V49" s="702"/>
      <c r="W49" s="640"/>
      <c r="X49" s="640"/>
      <c r="Y49" s="640"/>
      <c r="Z49" s="640"/>
      <c r="AA49" s="640">
        <f>'5.26.23'!E27</f>
        <v>1957</v>
      </c>
      <c r="AB49" s="640"/>
      <c r="AC49" s="640"/>
      <c r="AD49" s="252"/>
      <c r="AE49" s="252"/>
      <c r="AF49" s="252"/>
      <c r="AG49" s="189">
        <f t="shared" si="2"/>
        <v>10849</v>
      </c>
      <c r="AH49" s="189">
        <v>99000</v>
      </c>
      <c r="AI49" s="194" t="str">
        <f t="shared" si="6"/>
        <v>Sweets on Wheels</v>
      </c>
      <c r="AK49" s="234">
        <f t="shared" si="3"/>
        <v>10849</v>
      </c>
      <c r="AL49" s="316">
        <f>COUNT(#REF!)+5</f>
        <v>5</v>
      </c>
      <c r="AO49" s="234">
        <v>52046</v>
      </c>
      <c r="AP49" s="234"/>
      <c r="AQ49" s="979">
        <v>45</v>
      </c>
      <c r="AR49" s="981">
        <f t="shared" ref="AR49:AR63" si="8">AS49/9.5</f>
        <v>1142</v>
      </c>
      <c r="AS49" s="977">
        <f t="shared" si="4"/>
        <v>10849</v>
      </c>
      <c r="AT49" s="978" t="str">
        <f t="shared" si="5"/>
        <v>Sweets on Wheels</v>
      </c>
    </row>
    <row r="50" spans="1:46" ht="9" customHeight="1">
      <c r="A50" s="195" t="s">
        <v>58</v>
      </c>
      <c r="B50" s="252"/>
      <c r="C50" s="252"/>
      <c r="D50" s="252"/>
      <c r="E50" s="252"/>
      <c r="F50" s="252"/>
      <c r="G50" s="252"/>
      <c r="H50" s="252"/>
      <c r="I50" s="252"/>
      <c r="J50" s="252"/>
      <c r="K50" s="252"/>
      <c r="L50" s="252"/>
      <c r="M50" s="252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  <c r="AA50" s="252"/>
      <c r="AB50" s="252"/>
      <c r="AC50" s="252"/>
      <c r="AD50" s="252"/>
      <c r="AE50" s="252"/>
      <c r="AF50" s="252"/>
      <c r="AG50" s="189">
        <f t="shared" si="2"/>
        <v>0</v>
      </c>
      <c r="AH50" s="961">
        <f>100000-AG50</f>
        <v>100000</v>
      </c>
      <c r="AI50" s="194" t="str">
        <f t="shared" si="6"/>
        <v>Taste Collective Burger</v>
      </c>
      <c r="AK50" s="234">
        <f t="shared" si="3"/>
        <v>0</v>
      </c>
      <c r="AL50" s="316">
        <f>COUNT(#REF!)</f>
        <v>0</v>
      </c>
      <c r="AO50" s="234">
        <v>50667</v>
      </c>
      <c r="AP50" s="234"/>
      <c r="AQ50" s="979">
        <v>46</v>
      </c>
      <c r="AR50" s="981">
        <f t="shared" si="8"/>
        <v>0</v>
      </c>
      <c r="AS50" s="977">
        <f t="shared" si="4"/>
        <v>0</v>
      </c>
      <c r="AT50" s="978" t="str">
        <f t="shared" si="5"/>
        <v>Taste Collective Burger</v>
      </c>
    </row>
    <row r="51" spans="1:46" ht="10.15" customHeight="1">
      <c r="A51" s="195" t="s">
        <v>728</v>
      </c>
      <c r="B51" s="589"/>
      <c r="C51" s="589"/>
      <c r="D51" s="589">
        <f>'5.03.23'!E18</f>
        <v>3116</v>
      </c>
      <c r="E51" s="589"/>
      <c r="F51" s="589"/>
      <c r="G51" s="589"/>
      <c r="H51" s="589"/>
      <c r="I51" s="252"/>
      <c r="J51" s="252"/>
      <c r="K51" s="252"/>
      <c r="L51" s="252"/>
      <c r="M51" s="252"/>
      <c r="N51" s="252"/>
      <c r="O51" s="252"/>
      <c r="P51" s="702"/>
      <c r="Q51" s="702">
        <f>'5.16.23'!E17</f>
        <v>2755</v>
      </c>
      <c r="R51" s="702"/>
      <c r="S51" s="702"/>
      <c r="T51" s="702"/>
      <c r="U51" s="702"/>
      <c r="V51" s="702"/>
      <c r="W51" s="640"/>
      <c r="X51" s="640">
        <f>'5.23.23'!E17</f>
        <v>2650.5</v>
      </c>
      <c r="Y51" s="640"/>
      <c r="Z51" s="640"/>
      <c r="AA51" s="640"/>
      <c r="AB51" s="640"/>
      <c r="AC51" s="640"/>
      <c r="AD51" s="252"/>
      <c r="AE51" s="252"/>
      <c r="AF51" s="252"/>
      <c r="AG51" s="189">
        <f t="shared" si="2"/>
        <v>8521.5</v>
      </c>
      <c r="AH51" s="961">
        <f>100000-AG51</f>
        <v>91478.5</v>
      </c>
      <c r="AI51" s="194" t="str">
        <f t="shared" si="6"/>
        <v>Thai Mex Cocina</v>
      </c>
      <c r="AK51" s="234">
        <f t="shared" si="3"/>
        <v>8521.5</v>
      </c>
      <c r="AL51" s="316">
        <f>COUNT(#REF!)+3</f>
        <v>3</v>
      </c>
      <c r="AO51" s="234">
        <v>50667</v>
      </c>
      <c r="AP51" s="234"/>
      <c r="AQ51" s="979">
        <v>47</v>
      </c>
      <c r="AR51" s="981">
        <f t="shared" si="8"/>
        <v>897</v>
      </c>
      <c r="AS51" s="977">
        <f t="shared" si="4"/>
        <v>8521.5</v>
      </c>
      <c r="AT51" s="978" t="str">
        <f t="shared" si="5"/>
        <v>Thai Mex Cocina</v>
      </c>
    </row>
    <row r="52" spans="1:46" ht="10.15" customHeight="1">
      <c r="A52" s="195" t="s">
        <v>45</v>
      </c>
      <c r="B52" s="589"/>
      <c r="C52" s="589"/>
      <c r="D52" s="589"/>
      <c r="E52" s="589">
        <f>'5.04.23'!E27</f>
        <v>3173</v>
      </c>
      <c r="F52" s="589"/>
      <c r="G52" s="589"/>
      <c r="H52" s="589"/>
      <c r="I52" s="738">
        <f>'5.08.23'!E17+'5.08.23'!E27</f>
        <v>6973</v>
      </c>
      <c r="J52" s="738"/>
      <c r="K52" s="738"/>
      <c r="L52" s="738"/>
      <c r="M52" s="738"/>
      <c r="N52" s="738"/>
      <c r="O52" s="738"/>
      <c r="P52" s="702"/>
      <c r="Q52" s="702"/>
      <c r="R52" s="702">
        <f>'5.17.23'!E28</f>
        <v>3125.5</v>
      </c>
      <c r="S52" s="702">
        <f>'5.18.23'!E18</f>
        <v>4123</v>
      </c>
      <c r="T52" s="702"/>
      <c r="U52" s="702"/>
      <c r="V52" s="702"/>
      <c r="W52" s="640"/>
      <c r="X52" s="640"/>
      <c r="Y52" s="640"/>
      <c r="Z52" s="640"/>
      <c r="AA52" s="640">
        <f>'5.26.23'!E18</f>
        <v>3372.5</v>
      </c>
      <c r="AB52" s="640"/>
      <c r="AC52" s="640"/>
      <c r="AD52" s="252"/>
      <c r="AE52" s="252"/>
      <c r="AF52" s="252"/>
      <c r="AG52" s="189">
        <f t="shared" si="2"/>
        <v>20767</v>
      </c>
      <c r="AH52" s="961">
        <f>100000-AG52+350000</f>
        <v>429233</v>
      </c>
      <c r="AI52" s="194" t="str">
        <f t="shared" si="6"/>
        <v>Tokyo Style</v>
      </c>
      <c r="AK52" s="234">
        <f t="shared" si="3"/>
        <v>20767</v>
      </c>
      <c r="AL52" s="316">
        <f>COUNT(#REF!)+8+5</f>
        <v>13</v>
      </c>
      <c r="AO52" s="234">
        <v>168025.5</v>
      </c>
      <c r="AP52" s="234"/>
      <c r="AQ52" s="979">
        <v>48</v>
      </c>
      <c r="AR52" s="981">
        <f t="shared" si="8"/>
        <v>2186</v>
      </c>
      <c r="AS52" s="977">
        <f t="shared" si="4"/>
        <v>20767</v>
      </c>
      <c r="AT52" s="978" t="str">
        <f t="shared" si="5"/>
        <v>Tokyo Style</v>
      </c>
    </row>
    <row r="53" spans="1:46" ht="10.15" customHeight="1">
      <c r="A53" s="195" t="s">
        <v>172</v>
      </c>
      <c r="B53" s="252"/>
      <c r="C53" s="252"/>
      <c r="D53" s="252"/>
      <c r="E53" s="252"/>
      <c r="F53" s="252"/>
      <c r="G53" s="252"/>
      <c r="H53" s="252"/>
      <c r="I53" s="252"/>
      <c r="J53" s="252"/>
      <c r="K53" s="252"/>
      <c r="L53" s="252"/>
      <c r="M53" s="252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  <c r="AA53" s="252"/>
      <c r="AB53" s="252"/>
      <c r="AC53" s="252"/>
      <c r="AD53" s="252"/>
      <c r="AE53" s="252"/>
      <c r="AF53" s="252"/>
      <c r="AG53" s="189">
        <f t="shared" si="2"/>
        <v>0</v>
      </c>
      <c r="AH53" s="961">
        <f>100000-AG53</f>
        <v>100000</v>
      </c>
      <c r="AI53" s="194" t="str">
        <f t="shared" si="6"/>
        <v>Trapiyaki</v>
      </c>
      <c r="AK53" s="234">
        <f t="shared" si="3"/>
        <v>0</v>
      </c>
      <c r="AL53" s="316">
        <f>COUNT(#REF!)</f>
        <v>0</v>
      </c>
      <c r="AO53" s="234">
        <v>21920</v>
      </c>
      <c r="AP53" s="234"/>
      <c r="AQ53" s="979">
        <v>49</v>
      </c>
      <c r="AR53" s="981">
        <f t="shared" si="8"/>
        <v>0</v>
      </c>
      <c r="AS53" s="977">
        <f t="shared" si="4"/>
        <v>0</v>
      </c>
      <c r="AT53" s="978" t="str">
        <f t="shared" si="5"/>
        <v>Trapiyaki</v>
      </c>
    </row>
    <row r="54" spans="1:46" ht="10.15" customHeight="1">
      <c r="A54" s="195" t="s">
        <v>144</v>
      </c>
      <c r="B54" s="589"/>
      <c r="C54" s="589"/>
      <c r="D54" s="589"/>
      <c r="E54" s="589"/>
      <c r="F54" s="589"/>
      <c r="G54" s="589">
        <f>'5.06.23'!E8</f>
        <v>2631.5</v>
      </c>
      <c r="H54" s="589"/>
      <c r="I54" s="738"/>
      <c r="J54" s="738"/>
      <c r="K54" s="738"/>
      <c r="L54" s="738"/>
      <c r="M54" s="738">
        <f>'5.12.23'!E8+'5.12.23'!E18</f>
        <v>4351</v>
      </c>
      <c r="N54" s="738"/>
      <c r="O54" s="738"/>
      <c r="P54" s="702"/>
      <c r="Q54" s="702"/>
      <c r="R54" s="702">
        <f>'5.17.23'!E17</f>
        <v>2916.5</v>
      </c>
      <c r="S54" s="702">
        <f>'5.18.23'!E28</f>
        <v>1928.5</v>
      </c>
      <c r="T54" s="702"/>
      <c r="U54" s="702"/>
      <c r="V54" s="702">
        <f>'5.21.23'!E18</f>
        <v>3410.5</v>
      </c>
      <c r="W54" s="640"/>
      <c r="X54" s="640"/>
      <c r="Y54" s="640">
        <f>'5.24.23'!E18</f>
        <v>3125.5</v>
      </c>
      <c r="Z54" s="640"/>
      <c r="AA54" s="640"/>
      <c r="AB54" s="640"/>
      <c r="AC54" s="640"/>
      <c r="AD54" s="252"/>
      <c r="AE54" s="252">
        <f>'5.30.23'!E8</f>
        <v>2441.5</v>
      </c>
      <c r="AF54" s="252"/>
      <c r="AG54" s="189">
        <f t="shared" si="2"/>
        <v>20805</v>
      </c>
      <c r="AH54" s="961">
        <f>100000-AG54</f>
        <v>79195</v>
      </c>
      <c r="AI54" s="194" t="str">
        <f t="shared" si="6"/>
        <v>Uncle Al's BBQ</v>
      </c>
      <c r="AK54" s="234">
        <f t="shared" si="3"/>
        <v>20805</v>
      </c>
      <c r="AL54" s="316">
        <f>COUNT(#REF!)+8+8</f>
        <v>16</v>
      </c>
      <c r="AO54" s="234">
        <v>5830</v>
      </c>
      <c r="AP54" s="234"/>
      <c r="AQ54" s="979">
        <v>50</v>
      </c>
      <c r="AR54" s="981">
        <f t="shared" si="8"/>
        <v>2190</v>
      </c>
      <c r="AS54" s="977">
        <f t="shared" si="4"/>
        <v>20805</v>
      </c>
      <c r="AT54" s="978" t="str">
        <f t="shared" si="5"/>
        <v>Uncle Al's BBQ</v>
      </c>
    </row>
    <row r="55" spans="1:46" ht="10.15" customHeight="1">
      <c r="A55" s="195" t="s">
        <v>240</v>
      </c>
      <c r="B55" s="252"/>
      <c r="C55" s="252"/>
      <c r="D55" s="252"/>
      <c r="E55" s="252"/>
      <c r="F55" s="252"/>
      <c r="G55" s="252"/>
      <c r="H55" s="252"/>
      <c r="I55" s="252"/>
      <c r="J55" s="252"/>
      <c r="K55" s="252"/>
      <c r="L55" s="252"/>
      <c r="M55" s="252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  <c r="AA55" s="252"/>
      <c r="AB55" s="252"/>
      <c r="AC55" s="252"/>
      <c r="AD55" s="252"/>
      <c r="AE55" s="252"/>
      <c r="AF55" s="252"/>
      <c r="AG55" s="189">
        <f t="shared" si="2"/>
        <v>0</v>
      </c>
      <c r="AH55" s="961">
        <f>100000-AG55</f>
        <v>100000</v>
      </c>
      <c r="AI55" s="194" t="str">
        <f t="shared" si="6"/>
        <v>Veggie Bomb</v>
      </c>
      <c r="AK55" s="234">
        <f t="shared" si="3"/>
        <v>0</v>
      </c>
      <c r="AL55" s="316">
        <f>COUNT(#REF!)</f>
        <v>0</v>
      </c>
      <c r="AO55" s="234">
        <v>228015.5</v>
      </c>
      <c r="AP55" s="234"/>
      <c r="AQ55" s="979">
        <v>51</v>
      </c>
      <c r="AR55" s="981">
        <f t="shared" si="8"/>
        <v>0</v>
      </c>
      <c r="AS55" s="977">
        <f t="shared" si="4"/>
        <v>0</v>
      </c>
      <c r="AT55" s="978" t="str">
        <f t="shared" si="5"/>
        <v>Veggie Bomb</v>
      </c>
    </row>
    <row r="56" spans="1:46" ht="10.15" customHeight="1">
      <c r="A56" s="195" t="s">
        <v>797</v>
      </c>
      <c r="B56" s="252"/>
      <c r="C56" s="252"/>
      <c r="D56" s="252"/>
      <c r="E56" s="252"/>
      <c r="F56" s="252"/>
      <c r="G56" s="252"/>
      <c r="H56" s="252"/>
      <c r="I56" s="252"/>
      <c r="J56" s="252"/>
      <c r="K56" s="252"/>
      <c r="L56" s="252"/>
      <c r="M56" s="252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  <c r="AA56" s="252"/>
      <c r="AB56" s="252"/>
      <c r="AC56" s="252"/>
      <c r="AD56" s="252"/>
      <c r="AE56" s="252"/>
      <c r="AF56" s="252"/>
      <c r="AG56" s="189">
        <f t="shared" si="2"/>
        <v>0</v>
      </c>
      <c r="AH56" s="961">
        <f>100000-AG56</f>
        <v>100000</v>
      </c>
      <c r="AI56" s="194" t="str">
        <f t="shared" si="6"/>
        <v>Venice Gelato Café</v>
      </c>
      <c r="AK56" s="234">
        <f t="shared" si="3"/>
        <v>0</v>
      </c>
      <c r="AL56" s="316">
        <f>COUNT(#REF!)+1</f>
        <v>1</v>
      </c>
      <c r="AO56" s="234">
        <v>75970</v>
      </c>
      <c r="AP56" s="234"/>
      <c r="AQ56" s="979">
        <v>52</v>
      </c>
      <c r="AR56" s="981">
        <f t="shared" si="8"/>
        <v>0</v>
      </c>
      <c r="AS56" s="977">
        <f t="shared" si="4"/>
        <v>0</v>
      </c>
      <c r="AT56" s="978" t="str">
        <f t="shared" si="5"/>
        <v>Venice Gelato Café</v>
      </c>
    </row>
    <row r="57" spans="1:46" ht="10.15" customHeight="1">
      <c r="A57" s="195" t="s">
        <v>70</v>
      </c>
      <c r="B57" s="589"/>
      <c r="C57" s="589">
        <f>'5.02.23'!E27</f>
        <v>3942.5</v>
      </c>
      <c r="D57" s="589"/>
      <c r="E57" s="589"/>
      <c r="F57" s="589"/>
      <c r="G57" s="589"/>
      <c r="H57" s="589"/>
      <c r="I57" s="738"/>
      <c r="J57" s="738"/>
      <c r="K57" s="738">
        <f>'5.10.23'!E18</f>
        <v>4892.5</v>
      </c>
      <c r="L57" s="738"/>
      <c r="M57" s="738"/>
      <c r="N57" s="738"/>
      <c r="O57" s="738"/>
      <c r="P57" s="252"/>
      <c r="Q57" s="252"/>
      <c r="R57" s="252"/>
      <c r="S57" s="252"/>
      <c r="T57" s="252"/>
      <c r="U57" s="252"/>
      <c r="V57" s="252"/>
      <c r="W57" s="640"/>
      <c r="X57" s="640"/>
      <c r="Y57" s="640"/>
      <c r="Z57" s="640">
        <f>'5.25.23'!E28</f>
        <v>3619.5</v>
      </c>
      <c r="AA57" s="640"/>
      <c r="AB57" s="640"/>
      <c r="AC57" s="640"/>
      <c r="AD57" s="252"/>
      <c r="AE57" s="252"/>
      <c r="AF57" s="252">
        <f>'5.31.23'!E18</f>
        <v>4864</v>
      </c>
      <c r="AG57" s="189">
        <f t="shared" si="2"/>
        <v>17318.5</v>
      </c>
      <c r="AH57" s="358">
        <f>449000-AG57+350000+350000</f>
        <v>1131681.5</v>
      </c>
      <c r="AI57" s="194" t="str">
        <f t="shared" si="6"/>
        <v>Wafl</v>
      </c>
      <c r="AK57" s="234">
        <f t="shared" si="3"/>
        <v>17318.5</v>
      </c>
      <c r="AL57" s="316">
        <f>COUNT(#REF!)+5</f>
        <v>5</v>
      </c>
      <c r="AO57" s="234">
        <v>71377</v>
      </c>
      <c r="AP57" s="234"/>
      <c r="AQ57" s="979">
        <v>53</v>
      </c>
      <c r="AR57" s="981">
        <f t="shared" si="8"/>
        <v>1823</v>
      </c>
      <c r="AS57" s="977">
        <f t="shared" si="4"/>
        <v>17318.5</v>
      </c>
      <c r="AT57" s="978" t="str">
        <f t="shared" si="5"/>
        <v>Wafl</v>
      </c>
    </row>
    <row r="58" spans="1:46" ht="10.15" customHeight="1">
      <c r="A58" s="195" t="s">
        <v>181</v>
      </c>
      <c r="B58" s="252"/>
      <c r="C58" s="252"/>
      <c r="D58" s="252"/>
      <c r="E58" s="252"/>
      <c r="F58" s="252"/>
      <c r="G58" s="252"/>
      <c r="H58" s="252"/>
      <c r="I58" s="252"/>
      <c r="J58" s="252"/>
      <c r="K58" s="252"/>
      <c r="L58" s="252"/>
      <c r="M58" s="252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  <c r="AA58" s="252"/>
      <c r="AB58" s="252"/>
      <c r="AC58" s="252"/>
      <c r="AD58" s="252"/>
      <c r="AE58" s="252"/>
      <c r="AF58" s="252"/>
      <c r="AG58" s="189">
        <f t="shared" si="2"/>
        <v>0</v>
      </c>
      <c r="AH58" s="358">
        <f t="shared" ref="AH58:AH63" si="9">100000-AG58</f>
        <v>100000</v>
      </c>
      <c r="AI58" s="194" t="str">
        <f t="shared" si="6"/>
        <v>White Rabbit</v>
      </c>
      <c r="AK58" s="234">
        <f t="shared" si="3"/>
        <v>0</v>
      </c>
      <c r="AL58" s="316">
        <f>COUNT(#REF!)</f>
        <v>0</v>
      </c>
      <c r="AO58" s="234">
        <v>3570</v>
      </c>
      <c r="AP58" s="234"/>
      <c r="AQ58" s="979">
        <v>54</v>
      </c>
      <c r="AR58" s="981">
        <f t="shared" si="8"/>
        <v>0</v>
      </c>
      <c r="AS58" s="977">
        <f t="shared" si="4"/>
        <v>0</v>
      </c>
      <c r="AT58" s="978" t="str">
        <f t="shared" si="5"/>
        <v>White Rabbit</v>
      </c>
    </row>
    <row r="59" spans="1:46" ht="10.15" customHeight="1">
      <c r="A59" s="515" t="s">
        <v>205</v>
      </c>
      <c r="B59" s="252"/>
      <c r="C59" s="252"/>
      <c r="D59" s="252"/>
      <c r="E59" s="252"/>
      <c r="F59" s="252"/>
      <c r="G59" s="252"/>
      <c r="H59" s="252"/>
      <c r="I59" s="738"/>
      <c r="J59" s="738"/>
      <c r="K59" s="738"/>
      <c r="L59" s="738">
        <f>'5.11.23'!E7</f>
        <v>3011.5</v>
      </c>
      <c r="M59" s="738"/>
      <c r="N59" s="738"/>
      <c r="O59" s="738"/>
      <c r="P59" s="702"/>
      <c r="Q59" s="702"/>
      <c r="R59" s="702">
        <f>'5.17.23'!E8</f>
        <v>3182.5</v>
      </c>
      <c r="S59" s="702"/>
      <c r="T59" s="702"/>
      <c r="U59" s="702"/>
      <c r="V59" s="702"/>
      <c r="W59" s="640">
        <f>'5.22.23'!E17</f>
        <v>3287</v>
      </c>
      <c r="X59" s="640"/>
      <c r="Y59" s="640"/>
      <c r="Z59" s="640"/>
      <c r="AA59" s="640"/>
      <c r="AB59" s="640"/>
      <c r="AC59" s="640"/>
      <c r="AD59" s="252"/>
      <c r="AE59" s="252"/>
      <c r="AF59" s="252"/>
      <c r="AG59" s="189">
        <f t="shared" si="2"/>
        <v>9481</v>
      </c>
      <c r="AH59" s="522">
        <f t="shared" si="9"/>
        <v>90519</v>
      </c>
      <c r="AI59" s="194" t="str">
        <f t="shared" si="6"/>
        <v>Yalla</v>
      </c>
      <c r="AK59" s="234">
        <f t="shared" si="3"/>
        <v>9481</v>
      </c>
      <c r="AL59" s="316">
        <f>COUNT(#REF!)+4+3</f>
        <v>7</v>
      </c>
      <c r="AO59" s="234">
        <v>43804.5</v>
      </c>
      <c r="AP59" s="234"/>
      <c r="AQ59" s="979">
        <v>55</v>
      </c>
      <c r="AR59" s="981">
        <f t="shared" si="8"/>
        <v>998</v>
      </c>
      <c r="AS59" s="977">
        <f t="shared" si="4"/>
        <v>9481</v>
      </c>
      <c r="AT59" s="978" t="str">
        <f t="shared" si="5"/>
        <v>Yalla</v>
      </c>
    </row>
    <row r="60" spans="1:46" ht="10.15" customHeight="1">
      <c r="A60" s="195" t="s">
        <v>244</v>
      </c>
      <c r="B60" s="589">
        <f>'5.01.23'!E17</f>
        <v>7828</v>
      </c>
      <c r="C60" s="589"/>
      <c r="D60" s="589"/>
      <c r="E60" s="589"/>
      <c r="F60" s="589"/>
      <c r="G60" s="589"/>
      <c r="H60" s="589"/>
      <c r="I60" s="252"/>
      <c r="J60" s="252"/>
      <c r="K60" s="252"/>
      <c r="L60" s="252"/>
      <c r="M60" s="252"/>
      <c r="N60" s="252"/>
      <c r="O60" s="252"/>
      <c r="P60" s="702"/>
      <c r="Q60" s="702">
        <f>'5.16.23'!E18</f>
        <v>8037</v>
      </c>
      <c r="R60" s="702"/>
      <c r="S60" s="702"/>
      <c r="T60" s="702"/>
      <c r="U60" s="702"/>
      <c r="V60" s="702"/>
      <c r="W60" s="640"/>
      <c r="X60" s="640"/>
      <c r="Y60" s="640"/>
      <c r="Z60" s="640"/>
      <c r="AA60" s="640">
        <f>'5.26.23'!E17</f>
        <v>6004</v>
      </c>
      <c r="AB60" s="640"/>
      <c r="AC60" s="640"/>
      <c r="AD60" s="252"/>
      <c r="AE60" s="252"/>
      <c r="AF60" s="252"/>
      <c r="AG60" s="189">
        <f t="shared" si="2"/>
        <v>21869</v>
      </c>
      <c r="AH60" s="358">
        <f t="shared" si="9"/>
        <v>78131</v>
      </c>
      <c r="AI60" s="194" t="str">
        <f t="shared" si="6"/>
        <v>Yuna's Bob</v>
      </c>
      <c r="AK60" s="234">
        <f t="shared" si="3"/>
        <v>21869</v>
      </c>
      <c r="AL60" s="316">
        <f>COUNT(#REF!)+5+4</f>
        <v>9</v>
      </c>
      <c r="AO60" s="234">
        <v>499011.5</v>
      </c>
      <c r="AP60" s="234"/>
      <c r="AQ60" s="979">
        <v>56</v>
      </c>
      <c r="AR60" s="981">
        <f t="shared" si="8"/>
        <v>2302</v>
      </c>
      <c r="AS60" s="977">
        <f t="shared" si="4"/>
        <v>21869</v>
      </c>
      <c r="AT60" s="978" t="str">
        <f t="shared" si="5"/>
        <v>Yuna's Bob</v>
      </c>
    </row>
    <row r="61" spans="1:46" ht="10.15" customHeight="1">
      <c r="A61" s="195"/>
      <c r="B61" s="252"/>
      <c r="C61" s="252"/>
      <c r="D61" s="252"/>
      <c r="E61" s="252"/>
      <c r="F61" s="252"/>
      <c r="G61" s="252"/>
      <c r="H61" s="252"/>
      <c r="I61" s="252"/>
      <c r="J61" s="252"/>
      <c r="K61" s="252"/>
      <c r="L61" s="252"/>
      <c r="M61" s="252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  <c r="AA61" s="252"/>
      <c r="AB61" s="252"/>
      <c r="AC61" s="252"/>
      <c r="AD61" s="252"/>
      <c r="AE61" s="252"/>
      <c r="AF61" s="252"/>
      <c r="AG61" s="189">
        <f>SUM(B61:AF61)</f>
        <v>0</v>
      </c>
      <c r="AH61" s="961">
        <f t="shared" si="9"/>
        <v>100000</v>
      </c>
      <c r="AI61" s="195"/>
      <c r="AK61" s="234">
        <f t="shared" si="3"/>
        <v>0</v>
      </c>
      <c r="AO61" s="234">
        <v>7640</v>
      </c>
      <c r="AP61" s="234"/>
      <c r="AQ61" s="979">
        <v>57</v>
      </c>
      <c r="AR61" s="981">
        <f t="shared" si="8"/>
        <v>0</v>
      </c>
      <c r="AS61" s="977">
        <f t="shared" si="4"/>
        <v>0</v>
      </c>
      <c r="AT61" s="978">
        <f t="shared" si="5"/>
        <v>0</v>
      </c>
    </row>
    <row r="62" spans="1:46" ht="10.15" customHeight="1">
      <c r="A62" s="195"/>
      <c r="B62" s="252"/>
      <c r="C62" s="252"/>
      <c r="D62" s="252"/>
      <c r="E62" s="252"/>
      <c r="F62" s="252"/>
      <c r="G62" s="252"/>
      <c r="H62" s="252"/>
      <c r="I62" s="252"/>
      <c r="J62" s="252"/>
      <c r="K62" s="252"/>
      <c r="L62" s="252"/>
      <c r="M62" s="252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  <c r="AA62" s="252"/>
      <c r="AB62" s="252"/>
      <c r="AC62" s="252"/>
      <c r="AD62" s="252"/>
      <c r="AE62" s="252"/>
      <c r="AF62" s="252"/>
      <c r="AG62" s="189">
        <f>SUM(B62:AF62)</f>
        <v>0</v>
      </c>
      <c r="AH62" s="961">
        <f t="shared" si="9"/>
        <v>100000</v>
      </c>
      <c r="AI62" s="195"/>
      <c r="AK62" s="234">
        <f t="shared" si="3"/>
        <v>0</v>
      </c>
      <c r="AO62" s="234">
        <v>64586.5</v>
      </c>
      <c r="AP62" s="234"/>
      <c r="AQ62" s="979">
        <v>58</v>
      </c>
      <c r="AR62" s="981">
        <f t="shared" si="8"/>
        <v>0</v>
      </c>
      <c r="AS62" s="977">
        <f t="shared" si="4"/>
        <v>0</v>
      </c>
      <c r="AT62" s="978">
        <f t="shared" si="5"/>
        <v>0</v>
      </c>
    </row>
    <row r="63" spans="1:46" s="521" customFormat="1" ht="10.15" customHeight="1">
      <c r="A63" s="195"/>
      <c r="B63" s="252"/>
      <c r="C63" s="252"/>
      <c r="D63" s="252"/>
      <c r="E63" s="252"/>
      <c r="F63" s="252"/>
      <c r="G63" s="252"/>
      <c r="H63" s="252"/>
      <c r="I63" s="252"/>
      <c r="J63" s="252"/>
      <c r="K63" s="252"/>
      <c r="L63" s="252"/>
      <c r="M63" s="252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  <c r="AA63" s="252"/>
      <c r="AB63" s="252"/>
      <c r="AC63" s="252"/>
      <c r="AD63" s="252"/>
      <c r="AE63" s="252"/>
      <c r="AF63" s="252"/>
      <c r="AG63" s="189">
        <f>SUM(B63:AF63)</f>
        <v>0</v>
      </c>
      <c r="AH63" s="961">
        <f t="shared" si="9"/>
        <v>100000</v>
      </c>
      <c r="AI63" s="195"/>
      <c r="AJ63" s="934"/>
      <c r="AK63" s="234">
        <f t="shared" si="3"/>
        <v>0</v>
      </c>
      <c r="AL63" s="934"/>
      <c r="AM63" s="934"/>
      <c r="AN63" s="934"/>
      <c r="AO63" s="234">
        <v>42224</v>
      </c>
      <c r="AP63" s="234"/>
      <c r="AQ63" s="979">
        <v>59</v>
      </c>
      <c r="AR63" s="981">
        <f t="shared" si="8"/>
        <v>0</v>
      </c>
      <c r="AS63" s="977">
        <f t="shared" si="4"/>
        <v>0</v>
      </c>
      <c r="AT63" s="978">
        <f t="shared" si="5"/>
        <v>0</v>
      </c>
    </row>
    <row r="64" spans="1:46" ht="13.9" customHeight="1" thickBot="1">
      <c r="A64" s="46" t="s">
        <v>24</v>
      </c>
      <c r="B64" s="530">
        <f t="shared" ref="B64:AE64" si="10">SUM(B3:B63)</f>
        <v>41163.5</v>
      </c>
      <c r="C64" s="530">
        <f t="shared" si="10"/>
        <v>27084.5</v>
      </c>
      <c r="D64" s="530">
        <f t="shared" si="10"/>
        <v>29725.5</v>
      </c>
      <c r="E64" s="530">
        <f t="shared" si="10"/>
        <v>30191</v>
      </c>
      <c r="F64" s="530">
        <f t="shared" si="10"/>
        <v>29307.5</v>
      </c>
      <c r="G64" s="530">
        <f t="shared" si="10"/>
        <v>27673.5</v>
      </c>
      <c r="H64" s="530">
        <f t="shared" si="10"/>
        <v>25422</v>
      </c>
      <c r="I64" s="530">
        <f t="shared" si="10"/>
        <v>25897</v>
      </c>
      <c r="J64" s="530">
        <f t="shared" si="10"/>
        <v>22125.5</v>
      </c>
      <c r="K64" s="530">
        <f t="shared" si="10"/>
        <v>31141</v>
      </c>
      <c r="L64" s="530">
        <f t="shared" si="10"/>
        <v>33155</v>
      </c>
      <c r="M64" s="530">
        <f t="shared" si="10"/>
        <v>18316</v>
      </c>
      <c r="N64" s="530">
        <f t="shared" si="10"/>
        <v>22591</v>
      </c>
      <c r="O64" s="530">
        <f t="shared" si="10"/>
        <v>21451</v>
      </c>
      <c r="P64" s="530">
        <f t="shared" si="10"/>
        <v>25735.5</v>
      </c>
      <c r="Q64" s="530">
        <f t="shared" si="10"/>
        <v>31226.5</v>
      </c>
      <c r="R64" s="530">
        <f t="shared" si="10"/>
        <v>21878.5</v>
      </c>
      <c r="S64" s="530">
        <f t="shared" si="10"/>
        <v>30989</v>
      </c>
      <c r="T64" s="530">
        <f t="shared" si="10"/>
        <v>27075</v>
      </c>
      <c r="U64" s="530">
        <f t="shared" si="10"/>
        <v>28680.5</v>
      </c>
      <c r="V64" s="530">
        <f t="shared" si="10"/>
        <v>26875.5</v>
      </c>
      <c r="W64" s="530">
        <f t="shared" si="10"/>
        <v>24662</v>
      </c>
      <c r="X64" s="530">
        <f t="shared" si="10"/>
        <v>26894.5</v>
      </c>
      <c r="Y64" s="530">
        <f t="shared" si="10"/>
        <v>26324.5</v>
      </c>
      <c r="Z64" s="530">
        <f t="shared" si="10"/>
        <v>38703</v>
      </c>
      <c r="AA64" s="530">
        <f t="shared" si="10"/>
        <v>24235.5</v>
      </c>
      <c r="AB64" s="530">
        <f t="shared" si="10"/>
        <v>6061</v>
      </c>
      <c r="AC64" s="530">
        <f t="shared" si="10"/>
        <v>8711.5</v>
      </c>
      <c r="AD64" s="530">
        <f t="shared" si="10"/>
        <v>19484.5</v>
      </c>
      <c r="AE64" s="530">
        <f t="shared" si="10"/>
        <v>18724.5</v>
      </c>
      <c r="AF64" s="530">
        <f t="shared" ref="AF64" si="11">SUM(AF3:AF63)</f>
        <v>24491</v>
      </c>
      <c r="AG64" s="55">
        <f>SUM(AG3:AG63)</f>
        <v>795996.5</v>
      </c>
      <c r="AH64" s="55">
        <f>SUM(AH3:AH63)</f>
        <v>15577136</v>
      </c>
      <c r="AO64" s="234">
        <f>SUM(AO3:AO63)</f>
        <v>5287160.5</v>
      </c>
      <c r="AP64" s="234"/>
      <c r="AQ64" s="980"/>
      <c r="AR64" s="981">
        <f>SUM(AR3:AR63)</f>
        <v>81547.105263157893</v>
      </c>
      <c r="AS64" s="977">
        <f>SUM(AS3:AS63)</f>
        <v>795996.5</v>
      </c>
      <c r="AT64" s="937"/>
    </row>
    <row r="65" spans="1:54" ht="12" customHeight="1" thickTop="1">
      <c r="A65" s="198" t="s">
        <v>85</v>
      </c>
      <c r="B65" s="241">
        <f>'5.01.23'!E38</f>
        <v>41163.5</v>
      </c>
      <c r="C65" s="241">
        <f>'5.02.23'!E38</f>
        <v>27084.5</v>
      </c>
      <c r="D65" s="241">
        <f>'5.03.23'!E38</f>
        <v>29725.5</v>
      </c>
      <c r="E65" s="241">
        <f>'5.04.23'!E38</f>
        <v>30191</v>
      </c>
      <c r="F65" s="241">
        <f>'5.05.23'!E38</f>
        <v>29307.5</v>
      </c>
      <c r="G65" s="241">
        <f>'5.06.23'!E38</f>
        <v>27673.5</v>
      </c>
      <c r="H65" s="241">
        <f>'5.07.23'!E38</f>
        <v>25422</v>
      </c>
      <c r="I65" s="241">
        <f>'5.08.23'!E38</f>
        <v>25897</v>
      </c>
      <c r="J65" s="241">
        <f>'5.09.23'!E38</f>
        <v>22125.5</v>
      </c>
      <c r="K65" s="241">
        <f>'5.10.23'!E38</f>
        <v>31141</v>
      </c>
      <c r="L65" s="241">
        <f>'5.11.23'!E38</f>
        <v>33155</v>
      </c>
      <c r="M65" s="241">
        <f>'5.12.23'!E38</f>
        <v>18316</v>
      </c>
      <c r="N65" s="241">
        <f>'5.13.23'!E38</f>
        <v>22591</v>
      </c>
      <c r="O65" s="241">
        <f>'5.14.23'!E38</f>
        <v>21451</v>
      </c>
      <c r="P65" s="241">
        <f>'5.15.23'!E38</f>
        <v>25735.5</v>
      </c>
      <c r="Q65" s="241">
        <f>'5.16.23'!E38</f>
        <v>31226.5</v>
      </c>
      <c r="R65" s="241">
        <f>'5.17.23'!E38</f>
        <v>21878.5</v>
      </c>
      <c r="S65" s="241">
        <f>'5.18.23'!E38</f>
        <v>30989</v>
      </c>
      <c r="T65" s="241">
        <f>'5.19.23'!E38</f>
        <v>27075</v>
      </c>
      <c r="U65" s="241">
        <f>'5.20.23'!E38</f>
        <v>28680.5</v>
      </c>
      <c r="V65" s="241">
        <f>'5.21.23'!E38</f>
        <v>26875.5</v>
      </c>
      <c r="W65" s="241">
        <f>'5.22.23'!E38</f>
        <v>24662</v>
      </c>
      <c r="X65" s="241">
        <f>'5.23.23'!E38</f>
        <v>26894.5</v>
      </c>
      <c r="Y65" s="241">
        <f>'5.24.23'!E38</f>
        <v>26324.5</v>
      </c>
      <c r="Z65" s="241">
        <f>'5.25.23'!E38</f>
        <v>38703</v>
      </c>
      <c r="AA65" s="241">
        <f>'5.26.23'!E38</f>
        <v>24235.5</v>
      </c>
      <c r="AB65" s="241">
        <f>'5.27.23'!E38</f>
        <v>6061</v>
      </c>
      <c r="AC65" s="241">
        <f>'5.28.23'!E38</f>
        <v>8711.5</v>
      </c>
      <c r="AD65" s="241">
        <f>'5.29.23'!E38</f>
        <v>19484.5</v>
      </c>
      <c r="AE65" s="241">
        <f>'5.30.23'!E38</f>
        <v>18724.5</v>
      </c>
      <c r="AF65" s="241">
        <f>'5.31.23'!E38</f>
        <v>24491</v>
      </c>
      <c r="AG65" s="197"/>
      <c r="AH65" s="57"/>
      <c r="AI65" s="521"/>
      <c r="AJ65" s="521"/>
      <c r="AK65" s="521"/>
      <c r="AL65" s="521"/>
      <c r="AM65" s="521"/>
      <c r="AN65" s="521"/>
    </row>
    <row r="66" spans="1:54" ht="12" customHeight="1">
      <c r="A66" s="198" t="s">
        <v>86</v>
      </c>
      <c r="B66" s="242">
        <f t="shared" ref="B66:AF66" si="12">B64-B65</f>
        <v>0</v>
      </c>
      <c r="C66" s="242">
        <f t="shared" si="12"/>
        <v>0</v>
      </c>
      <c r="D66" s="242">
        <f t="shared" si="12"/>
        <v>0</v>
      </c>
      <c r="E66" s="242">
        <f t="shared" si="12"/>
        <v>0</v>
      </c>
      <c r="F66" s="242">
        <f t="shared" si="12"/>
        <v>0</v>
      </c>
      <c r="G66" s="242">
        <f t="shared" si="12"/>
        <v>0</v>
      </c>
      <c r="H66" s="242">
        <f t="shared" si="12"/>
        <v>0</v>
      </c>
      <c r="I66" s="242">
        <f t="shared" si="12"/>
        <v>0</v>
      </c>
      <c r="J66" s="242">
        <f t="shared" si="12"/>
        <v>0</v>
      </c>
      <c r="K66" s="242">
        <f t="shared" si="12"/>
        <v>0</v>
      </c>
      <c r="L66" s="242">
        <f t="shared" si="12"/>
        <v>0</v>
      </c>
      <c r="M66" s="242">
        <f t="shared" si="12"/>
        <v>0</v>
      </c>
      <c r="N66" s="242">
        <f t="shared" si="12"/>
        <v>0</v>
      </c>
      <c r="O66" s="242">
        <f t="shared" si="12"/>
        <v>0</v>
      </c>
      <c r="P66" s="242">
        <f t="shared" si="12"/>
        <v>0</v>
      </c>
      <c r="Q66" s="242">
        <f t="shared" si="12"/>
        <v>0</v>
      </c>
      <c r="R66" s="242">
        <f t="shared" si="12"/>
        <v>0</v>
      </c>
      <c r="S66" s="242">
        <f t="shared" si="12"/>
        <v>0</v>
      </c>
      <c r="T66" s="242">
        <f t="shared" si="12"/>
        <v>0</v>
      </c>
      <c r="U66" s="242">
        <f t="shared" si="12"/>
        <v>0</v>
      </c>
      <c r="V66" s="242">
        <f t="shared" si="12"/>
        <v>0</v>
      </c>
      <c r="W66" s="242">
        <f t="shared" si="12"/>
        <v>0</v>
      </c>
      <c r="X66" s="242">
        <f t="shared" si="12"/>
        <v>0</v>
      </c>
      <c r="Y66" s="242">
        <f t="shared" si="12"/>
        <v>0</v>
      </c>
      <c r="Z66" s="242">
        <f t="shared" si="12"/>
        <v>0</v>
      </c>
      <c r="AA66" s="242">
        <f t="shared" si="12"/>
        <v>0</v>
      </c>
      <c r="AB66" s="242">
        <f t="shared" si="12"/>
        <v>0</v>
      </c>
      <c r="AC66" s="242">
        <f t="shared" si="12"/>
        <v>0</v>
      </c>
      <c r="AD66" s="242">
        <f t="shared" si="12"/>
        <v>0</v>
      </c>
      <c r="AE66" s="242">
        <f t="shared" si="12"/>
        <v>0</v>
      </c>
      <c r="AF66" s="242">
        <f t="shared" si="12"/>
        <v>0</v>
      </c>
      <c r="AG66" s="233"/>
      <c r="AH66" s="199"/>
      <c r="AJ66" s="316"/>
      <c r="AK66" s="316"/>
      <c r="AL66" s="316"/>
      <c r="AM66" s="316"/>
      <c r="AN66" s="316"/>
      <c r="AO66" s="199"/>
      <c r="AP66" s="199"/>
      <c r="AQ66" s="199"/>
      <c r="AR66" s="198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</row>
    <row r="67" spans="1:54" ht="26.25" customHeight="1">
      <c r="B67" s="982"/>
      <c r="C67" s="982"/>
      <c r="D67" s="982"/>
      <c r="E67" s="982"/>
      <c r="F67" s="982"/>
      <c r="G67" s="982"/>
      <c r="H67" s="982"/>
      <c r="I67" s="982"/>
      <c r="J67" s="982"/>
      <c r="K67" s="982"/>
      <c r="L67" s="982"/>
      <c r="M67" s="982"/>
      <c r="N67" s="982"/>
      <c r="O67" s="982"/>
      <c r="P67" s="982"/>
      <c r="Q67" s="982"/>
      <c r="R67" s="982"/>
      <c r="S67" s="982"/>
      <c r="T67" s="982"/>
      <c r="U67" s="982"/>
      <c r="V67" s="982"/>
      <c r="W67" s="982"/>
      <c r="X67" s="982"/>
      <c r="Y67" s="982"/>
      <c r="Z67" s="982"/>
      <c r="AA67" s="982"/>
      <c r="AB67" s="982"/>
      <c r="AC67" s="982"/>
      <c r="AD67" s="982"/>
      <c r="AE67" s="982"/>
      <c r="AF67" s="982"/>
    </row>
    <row r="68" spans="1:54">
      <c r="AG68" s="234"/>
      <c r="AI68" s="199"/>
      <c r="AJ68" s="199"/>
      <c r="AK68" s="199"/>
      <c r="AL68" s="199"/>
      <c r="AM68" s="199"/>
      <c r="AN68" s="199"/>
    </row>
    <row r="70" spans="1:54">
      <c r="A70" s="188"/>
    </row>
    <row r="71" spans="1:54">
      <c r="A71" s="188"/>
    </row>
  </sheetData>
  <mergeCells count="3">
    <mergeCell ref="A1:A2"/>
    <mergeCell ref="AG1:AG2"/>
    <mergeCell ref="AH1:AH2"/>
  </mergeCells>
  <conditionalFormatting sqref="AH26:AH28 AH36 AH39 AH60 AH53:AH55 AH33 AH63 AH6:AH8 AH11 AH13:AH15 AH19:AH21 AH42:AH48">
    <cfRule type="cellIs" dxfId="824" priority="87" operator="lessThan">
      <formula>20000</formula>
    </cfRule>
    <cfRule type="cellIs" dxfId="823" priority="88" operator="lessThan">
      <formula>25000</formula>
    </cfRule>
    <cfRule type="cellIs" dxfId="822" priority="89" operator="lessThan">
      <formula>50000</formula>
    </cfRule>
  </conditionalFormatting>
  <conditionalFormatting sqref="AH22">
    <cfRule type="cellIs" dxfId="821" priority="84" operator="lessThan">
      <formula>20000</formula>
    </cfRule>
    <cfRule type="cellIs" dxfId="820" priority="85" operator="lessThan">
      <formula>25000</formula>
    </cfRule>
    <cfRule type="cellIs" dxfId="819" priority="86" operator="lessThan">
      <formula>50000</formula>
    </cfRule>
  </conditionalFormatting>
  <conditionalFormatting sqref="AH34">
    <cfRule type="cellIs" dxfId="818" priority="81" operator="lessThan">
      <formula>20000</formula>
    </cfRule>
    <cfRule type="cellIs" dxfId="817" priority="82" operator="lessThan">
      <formula>25000</formula>
    </cfRule>
    <cfRule type="cellIs" dxfId="816" priority="83" operator="lessThan">
      <formula>50000</formula>
    </cfRule>
  </conditionalFormatting>
  <conditionalFormatting sqref="AH37">
    <cfRule type="cellIs" dxfId="815" priority="78" operator="lessThan">
      <formula>20000</formula>
    </cfRule>
    <cfRule type="cellIs" dxfId="814" priority="79" operator="lessThan">
      <formula>25000</formula>
    </cfRule>
    <cfRule type="cellIs" dxfId="813" priority="80" operator="lessThan">
      <formula>50000</formula>
    </cfRule>
  </conditionalFormatting>
  <conditionalFormatting sqref="AH52">
    <cfRule type="cellIs" dxfId="812" priority="75" operator="lessThan">
      <formula>20000</formula>
    </cfRule>
    <cfRule type="cellIs" dxfId="811" priority="76" operator="lessThan">
      <formula>25000</formula>
    </cfRule>
    <cfRule type="cellIs" dxfId="810" priority="77" operator="lessThan">
      <formula>50000</formula>
    </cfRule>
  </conditionalFormatting>
  <conditionalFormatting sqref="AH57">
    <cfRule type="cellIs" dxfId="809" priority="72" operator="lessThan">
      <formula>20000</formula>
    </cfRule>
    <cfRule type="cellIs" dxfId="808" priority="73" operator="lessThan">
      <formula>25000</formula>
    </cfRule>
    <cfRule type="cellIs" dxfId="807" priority="74" operator="lessThan">
      <formula>50000</formula>
    </cfRule>
  </conditionalFormatting>
  <conditionalFormatting sqref="AH50">
    <cfRule type="cellIs" dxfId="806" priority="69" operator="lessThan">
      <formula>20000</formula>
    </cfRule>
    <cfRule type="cellIs" dxfId="805" priority="70" operator="lessThan">
      <formula>25000</formula>
    </cfRule>
    <cfRule type="cellIs" dxfId="804" priority="71" operator="lessThan">
      <formula>50000</formula>
    </cfRule>
  </conditionalFormatting>
  <conditionalFormatting sqref="AH5">
    <cfRule type="cellIs" dxfId="803" priority="66" operator="lessThan">
      <formula>20000</formula>
    </cfRule>
    <cfRule type="cellIs" dxfId="802" priority="67" operator="lessThan">
      <formula>25000</formula>
    </cfRule>
    <cfRule type="cellIs" dxfId="801" priority="68" operator="lessThan">
      <formula>50000</formula>
    </cfRule>
  </conditionalFormatting>
  <conditionalFormatting sqref="AH56">
    <cfRule type="cellIs" dxfId="800" priority="63" operator="lessThan">
      <formula>20000</formula>
    </cfRule>
    <cfRule type="cellIs" dxfId="799" priority="64" operator="lessThan">
      <formula>25000</formula>
    </cfRule>
    <cfRule type="cellIs" dxfId="798" priority="65" operator="lessThan">
      <formula>50000</formula>
    </cfRule>
  </conditionalFormatting>
  <conditionalFormatting sqref="AH35">
    <cfRule type="cellIs" dxfId="797" priority="60" operator="lessThan">
      <formula>20000</formula>
    </cfRule>
    <cfRule type="cellIs" dxfId="796" priority="61" operator="lessThan">
      <formula>25000</formula>
    </cfRule>
    <cfRule type="cellIs" dxfId="795" priority="62" operator="lessThan">
      <formula>50000</formula>
    </cfRule>
  </conditionalFormatting>
  <conditionalFormatting sqref="AH3:AH4">
    <cfRule type="cellIs" dxfId="794" priority="57" operator="lessThan">
      <formula>20000</formula>
    </cfRule>
    <cfRule type="cellIs" dxfId="793" priority="58" operator="lessThan">
      <formula>25000</formula>
    </cfRule>
    <cfRule type="cellIs" dxfId="792" priority="59" operator="lessThan">
      <formula>50000</formula>
    </cfRule>
  </conditionalFormatting>
  <conditionalFormatting sqref="AH16">
    <cfRule type="cellIs" dxfId="791" priority="54" operator="lessThan">
      <formula>20000</formula>
    </cfRule>
    <cfRule type="cellIs" dxfId="790" priority="55" operator="lessThan">
      <formula>25000</formula>
    </cfRule>
    <cfRule type="cellIs" dxfId="789" priority="56" operator="lessThan">
      <formula>50000</formula>
    </cfRule>
  </conditionalFormatting>
  <conditionalFormatting sqref="AH29:AH30">
    <cfRule type="cellIs" dxfId="788" priority="51" operator="lessThan">
      <formula>20000</formula>
    </cfRule>
    <cfRule type="cellIs" dxfId="787" priority="52" operator="lessThan">
      <formula>25000</formula>
    </cfRule>
    <cfRule type="cellIs" dxfId="786" priority="53" operator="lessThan">
      <formula>50000</formula>
    </cfRule>
  </conditionalFormatting>
  <conditionalFormatting sqref="AH61:AH62">
    <cfRule type="cellIs" dxfId="785" priority="48" operator="lessThan">
      <formula>20000</formula>
    </cfRule>
    <cfRule type="cellIs" dxfId="784" priority="49" operator="lessThan">
      <formula>25000</formula>
    </cfRule>
    <cfRule type="cellIs" dxfId="783" priority="50" operator="lessThan">
      <formula>50000</formula>
    </cfRule>
  </conditionalFormatting>
  <conditionalFormatting sqref="AH23">
    <cfRule type="cellIs" dxfId="782" priority="45" operator="lessThan">
      <formula>20000</formula>
    </cfRule>
    <cfRule type="cellIs" dxfId="781" priority="46" operator="lessThan">
      <formula>25000</formula>
    </cfRule>
    <cfRule type="cellIs" dxfId="780" priority="47" operator="lessThan">
      <formula>50000</formula>
    </cfRule>
  </conditionalFormatting>
  <conditionalFormatting sqref="AH10">
    <cfRule type="cellIs" dxfId="779" priority="42" operator="lessThan">
      <formula>20000</formula>
    </cfRule>
    <cfRule type="cellIs" dxfId="778" priority="43" operator="lessThan">
      <formula>25000</formula>
    </cfRule>
    <cfRule type="cellIs" dxfId="777" priority="44" operator="lessThan">
      <formula>50000</formula>
    </cfRule>
  </conditionalFormatting>
  <conditionalFormatting sqref="AH58:AH59">
    <cfRule type="cellIs" dxfId="776" priority="39" operator="lessThan">
      <formula>20000</formula>
    </cfRule>
    <cfRule type="cellIs" dxfId="775" priority="40" operator="lessThan">
      <formula>25000</formula>
    </cfRule>
    <cfRule type="cellIs" dxfId="774" priority="41" operator="lessThan">
      <formula>50000</formula>
    </cfRule>
  </conditionalFormatting>
  <conditionalFormatting sqref="AH38">
    <cfRule type="cellIs" dxfId="773" priority="36" operator="lessThan">
      <formula>20000</formula>
    </cfRule>
    <cfRule type="cellIs" dxfId="772" priority="37" operator="lessThan">
      <formula>25000</formula>
    </cfRule>
    <cfRule type="cellIs" dxfId="771" priority="38" operator="lessThan">
      <formula>50000</formula>
    </cfRule>
  </conditionalFormatting>
  <conditionalFormatting sqref="AH17">
    <cfRule type="cellIs" dxfId="770" priority="33" operator="lessThan">
      <formula>20000</formula>
    </cfRule>
    <cfRule type="cellIs" dxfId="769" priority="34" operator="lessThan">
      <formula>25000</formula>
    </cfRule>
    <cfRule type="cellIs" dxfId="768" priority="35" operator="lessThan">
      <formula>50000</formula>
    </cfRule>
  </conditionalFormatting>
  <conditionalFormatting sqref="AH40:AH41">
    <cfRule type="cellIs" dxfId="767" priority="30" operator="lessThan">
      <formula>20000</formula>
    </cfRule>
    <cfRule type="cellIs" dxfId="766" priority="31" operator="lessThan">
      <formula>25000</formula>
    </cfRule>
    <cfRule type="cellIs" dxfId="765" priority="32" operator="lessThan">
      <formula>50000</formula>
    </cfRule>
  </conditionalFormatting>
  <conditionalFormatting sqref="AH12">
    <cfRule type="cellIs" dxfId="764" priority="27" operator="lessThan">
      <formula>20000</formula>
    </cfRule>
    <cfRule type="cellIs" dxfId="763" priority="28" operator="lessThan">
      <formula>25000</formula>
    </cfRule>
    <cfRule type="cellIs" dxfId="762" priority="29" operator="lessThan">
      <formula>50000</formula>
    </cfRule>
  </conditionalFormatting>
  <conditionalFormatting sqref="B66:AF66">
    <cfRule type="cellIs" dxfId="761" priority="25" operator="lessThan">
      <formula>0</formula>
    </cfRule>
    <cfRule type="cellIs" dxfId="760" priority="26" operator="greaterThan">
      <formula>0</formula>
    </cfRule>
  </conditionalFormatting>
  <conditionalFormatting sqref="AH31">
    <cfRule type="cellIs" dxfId="759" priority="22" operator="lessThan">
      <formula>20000</formula>
    </cfRule>
    <cfRule type="cellIs" dxfId="758" priority="23" operator="lessThan">
      <formula>25000</formula>
    </cfRule>
    <cfRule type="cellIs" dxfId="757" priority="24" operator="lessThan">
      <formula>50000</formula>
    </cfRule>
  </conditionalFormatting>
  <conditionalFormatting sqref="AH9">
    <cfRule type="cellIs" dxfId="756" priority="19" operator="lessThan">
      <formula>20000</formula>
    </cfRule>
    <cfRule type="cellIs" dxfId="755" priority="20" operator="lessThan">
      <formula>25000</formula>
    </cfRule>
    <cfRule type="cellIs" dxfId="754" priority="21" operator="lessThan">
      <formula>50000</formula>
    </cfRule>
  </conditionalFormatting>
  <conditionalFormatting sqref="AH18">
    <cfRule type="cellIs" dxfId="753" priority="16" operator="lessThan">
      <formula>20000</formula>
    </cfRule>
    <cfRule type="cellIs" dxfId="752" priority="17" operator="lessThan">
      <formula>25000</formula>
    </cfRule>
    <cfRule type="cellIs" dxfId="751" priority="18" operator="lessThan">
      <formula>50000</formula>
    </cfRule>
  </conditionalFormatting>
  <conditionalFormatting sqref="AH25">
    <cfRule type="cellIs" dxfId="750" priority="13" operator="lessThan">
      <formula>20000</formula>
    </cfRule>
    <cfRule type="cellIs" dxfId="749" priority="14" operator="lessThan">
      <formula>25000</formula>
    </cfRule>
    <cfRule type="cellIs" dxfId="748" priority="15" operator="lessThan">
      <formula>50000</formula>
    </cfRule>
  </conditionalFormatting>
  <conditionalFormatting sqref="AH32">
    <cfRule type="cellIs" dxfId="747" priority="10" operator="lessThan">
      <formula>20000</formula>
    </cfRule>
    <cfRule type="cellIs" dxfId="746" priority="11" operator="lessThan">
      <formula>25000</formula>
    </cfRule>
    <cfRule type="cellIs" dxfId="745" priority="12" operator="lessThan">
      <formula>50000</formula>
    </cfRule>
  </conditionalFormatting>
  <conditionalFormatting sqref="AH49">
    <cfRule type="cellIs" dxfId="744" priority="7" operator="lessThan">
      <formula>20000</formula>
    </cfRule>
    <cfRule type="cellIs" dxfId="743" priority="8" operator="lessThan">
      <formula>25000</formula>
    </cfRule>
    <cfRule type="cellIs" dxfId="742" priority="9" operator="lessThan">
      <formula>50000</formula>
    </cfRule>
  </conditionalFormatting>
  <conditionalFormatting sqref="AH51">
    <cfRule type="cellIs" dxfId="741" priority="4" operator="lessThan">
      <formula>20000</formula>
    </cfRule>
    <cfRule type="cellIs" dxfId="740" priority="5" operator="lessThan">
      <formula>25000</formula>
    </cfRule>
    <cfRule type="cellIs" dxfId="739" priority="6" operator="lessThan">
      <formula>50000</formula>
    </cfRule>
  </conditionalFormatting>
  <conditionalFormatting sqref="AH24">
    <cfRule type="cellIs" dxfId="738" priority="1" operator="lessThan">
      <formula>20000</formula>
    </cfRule>
    <cfRule type="cellIs" dxfId="737" priority="2" operator="lessThan">
      <formula>25000</formula>
    </cfRule>
    <cfRule type="cellIs" dxfId="736" priority="3" operator="lessThan">
      <formula>50000</formula>
    </cfRule>
  </conditionalFormatting>
  <pageMargins left="0.7" right="0.7" top="0.75" bottom="0.75" header="0.3" footer="0.3"/>
  <pageSetup scale="130" orientation="portrait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3FB47-E935-4DB1-A8FE-49B049FF5469}">
  <sheetPr codeName="Sheet352"/>
  <dimension ref="A1:BA71"/>
  <sheetViews>
    <sheetView workbookViewId="0">
      <pane xSplit="1" ySplit="2" topLeftCell="V3" activePane="bottomRight" state="frozen"/>
      <selection pane="topRight" activeCell="B1" sqref="B1"/>
      <selection pane="bottomLeft" activeCell="A3" sqref="A3"/>
      <selection pane="bottomRight" activeCell="AF64" sqref="AF64"/>
    </sheetView>
  </sheetViews>
  <sheetFormatPr defaultColWidth="8.85546875" defaultRowHeight="15"/>
  <cols>
    <col min="1" max="1" width="21.85546875" style="974" bestFit="1" customWidth="1"/>
    <col min="2" max="2" width="8" style="974" customWidth="1"/>
    <col min="3" max="10" width="8.5703125" style="974" bestFit="1" customWidth="1"/>
    <col min="11" max="13" width="8.5703125" style="974" customWidth="1"/>
    <col min="14" max="31" width="8.5703125" style="974" bestFit="1" customWidth="1"/>
    <col min="32" max="32" width="12.28515625" style="934" customWidth="1"/>
    <col min="33" max="33" width="18" style="934" customWidth="1"/>
    <col min="34" max="34" width="18.28515625" style="934" customWidth="1"/>
    <col min="35" max="35" width="5.85546875" style="934" customWidth="1"/>
    <col min="36" max="36" width="9.7109375" style="934" customWidth="1"/>
    <col min="37" max="37" width="6.85546875" style="934" customWidth="1"/>
    <col min="38" max="39" width="5.85546875" style="934" customWidth="1"/>
    <col min="40" max="40" width="12.42578125" style="934" customWidth="1"/>
    <col min="41" max="41" width="6.5703125" style="934" customWidth="1"/>
    <col min="42" max="42" width="3.42578125" style="934" customWidth="1"/>
    <col min="43" max="43" width="8.28515625" style="974" customWidth="1"/>
    <col min="44" max="44" width="10.7109375" style="934" customWidth="1"/>
    <col min="45" max="45" width="21.28515625" style="934" bestFit="1" customWidth="1"/>
    <col min="46" max="16384" width="8.85546875" style="934"/>
  </cols>
  <sheetData>
    <row r="1" spans="1:45">
      <c r="A1" s="1251" t="s">
        <v>77</v>
      </c>
      <c r="B1" s="250" t="s">
        <v>92</v>
      </c>
      <c r="C1" s="250" t="s">
        <v>93</v>
      </c>
      <c r="D1" s="250" t="s">
        <v>87</v>
      </c>
      <c r="E1" s="250" t="s">
        <v>88</v>
      </c>
      <c r="F1" s="250" t="s">
        <v>89</v>
      </c>
      <c r="G1" s="250" t="s">
        <v>90</v>
      </c>
      <c r="H1" s="250" t="s">
        <v>91</v>
      </c>
      <c r="I1" s="250" t="s">
        <v>92</v>
      </c>
      <c r="J1" s="250" t="s">
        <v>93</v>
      </c>
      <c r="K1" s="250" t="s">
        <v>87</v>
      </c>
      <c r="L1" s="250" t="s">
        <v>88</v>
      </c>
      <c r="M1" s="250" t="s">
        <v>89</v>
      </c>
      <c r="N1" s="250" t="s">
        <v>90</v>
      </c>
      <c r="O1" s="250" t="s">
        <v>91</v>
      </c>
      <c r="P1" s="250" t="s">
        <v>92</v>
      </c>
      <c r="Q1" s="250" t="s">
        <v>93</v>
      </c>
      <c r="R1" s="250" t="s">
        <v>87</v>
      </c>
      <c r="S1" s="250" t="s">
        <v>88</v>
      </c>
      <c r="T1" s="250" t="s">
        <v>89</v>
      </c>
      <c r="U1" s="250" t="s">
        <v>90</v>
      </c>
      <c r="V1" s="250" t="s">
        <v>91</v>
      </c>
      <c r="W1" s="250" t="s">
        <v>92</v>
      </c>
      <c r="X1" s="250" t="s">
        <v>93</v>
      </c>
      <c r="Y1" s="250" t="s">
        <v>87</v>
      </c>
      <c r="Z1" s="250" t="s">
        <v>88</v>
      </c>
      <c r="AA1" s="250" t="s">
        <v>89</v>
      </c>
      <c r="AB1" s="250" t="s">
        <v>90</v>
      </c>
      <c r="AC1" s="250" t="s">
        <v>91</v>
      </c>
      <c r="AD1" s="250" t="s">
        <v>92</v>
      </c>
      <c r="AE1" s="250" t="s">
        <v>93</v>
      </c>
      <c r="AF1" s="1253" t="s">
        <v>31</v>
      </c>
      <c r="AG1" s="1282" t="s">
        <v>190</v>
      </c>
      <c r="AK1" s="1226">
        <v>45022</v>
      </c>
      <c r="AN1" s="974" t="s">
        <v>222</v>
      </c>
    </row>
    <row r="2" spans="1:45" ht="15.75" thickBot="1">
      <c r="A2" s="1280"/>
      <c r="B2" s="251">
        <v>45017</v>
      </c>
      <c r="C2" s="251">
        <v>45018</v>
      </c>
      <c r="D2" s="251">
        <v>45019</v>
      </c>
      <c r="E2" s="251">
        <v>45020</v>
      </c>
      <c r="F2" s="251">
        <v>45021</v>
      </c>
      <c r="G2" s="251">
        <v>45022</v>
      </c>
      <c r="H2" s="251">
        <v>45023</v>
      </c>
      <c r="I2" s="251">
        <v>45024</v>
      </c>
      <c r="J2" s="251">
        <v>45025</v>
      </c>
      <c r="K2" s="251">
        <v>45026</v>
      </c>
      <c r="L2" s="251">
        <v>45027</v>
      </c>
      <c r="M2" s="251">
        <v>45028</v>
      </c>
      <c r="N2" s="251">
        <v>45029</v>
      </c>
      <c r="O2" s="251">
        <v>45030</v>
      </c>
      <c r="P2" s="251">
        <v>45031</v>
      </c>
      <c r="Q2" s="251">
        <v>45032</v>
      </c>
      <c r="R2" s="251">
        <v>45033</v>
      </c>
      <c r="S2" s="251">
        <v>45034</v>
      </c>
      <c r="T2" s="251">
        <v>45035</v>
      </c>
      <c r="U2" s="251">
        <v>45036</v>
      </c>
      <c r="V2" s="251">
        <v>45037</v>
      </c>
      <c r="W2" s="251">
        <v>45038</v>
      </c>
      <c r="X2" s="251">
        <v>45039</v>
      </c>
      <c r="Y2" s="251">
        <v>45040</v>
      </c>
      <c r="Z2" s="251">
        <v>45041</v>
      </c>
      <c r="AA2" s="251">
        <v>45042</v>
      </c>
      <c r="AB2" s="251">
        <v>45043</v>
      </c>
      <c r="AC2" s="251">
        <v>45044</v>
      </c>
      <c r="AD2" s="251">
        <v>45045</v>
      </c>
      <c r="AE2" s="251">
        <v>45046</v>
      </c>
      <c r="AF2" s="1281"/>
      <c r="AG2" s="1283"/>
      <c r="AI2" s="974"/>
      <c r="AJ2" s="974" t="s">
        <v>705</v>
      </c>
      <c r="AK2" s="974" t="s">
        <v>885</v>
      </c>
      <c r="AL2" s="974"/>
      <c r="AM2" s="974"/>
      <c r="AN2" s="974" t="s">
        <v>132</v>
      </c>
      <c r="AO2" s="974"/>
      <c r="AP2" s="937"/>
      <c r="AQ2" s="756" t="s">
        <v>316</v>
      </c>
      <c r="AR2" s="937" t="s">
        <v>326</v>
      </c>
      <c r="AS2" s="937"/>
    </row>
    <row r="3" spans="1:45" ht="10.5" customHeight="1">
      <c r="A3" s="194" t="s">
        <v>185</v>
      </c>
      <c r="B3" s="1220"/>
      <c r="C3" s="701"/>
      <c r="D3" s="701"/>
      <c r="E3" s="701">
        <f>'4.4.23'!E9+'4.4.23'!E19</f>
        <v>15960</v>
      </c>
      <c r="F3" s="701"/>
      <c r="G3" s="701">
        <f>'4.6.23'!E7+'4.6.23'!E17</f>
        <v>15352</v>
      </c>
      <c r="H3" s="701"/>
      <c r="I3" s="701">
        <f>'4.8.23'!E9</f>
        <v>7600</v>
      </c>
      <c r="J3" s="701"/>
      <c r="K3" s="736"/>
      <c r="L3" s="736"/>
      <c r="M3" s="736"/>
      <c r="N3" s="736">
        <f>'4.13.23'!E8</f>
        <v>8483.5</v>
      </c>
      <c r="O3" s="736"/>
      <c r="P3" s="736">
        <f>'4.15.23'!E8 + '4.15.23'!E19</f>
        <v>16216.5</v>
      </c>
      <c r="Q3" s="736"/>
      <c r="R3" s="512"/>
      <c r="S3" s="512"/>
      <c r="T3" s="512"/>
      <c r="U3" s="512"/>
      <c r="V3" s="512"/>
      <c r="W3" s="512"/>
      <c r="X3" s="512"/>
      <c r="Y3" s="512"/>
      <c r="Z3" s="512"/>
      <c r="AA3" s="512"/>
      <c r="AB3" s="512">
        <f>'4.27.23'!E27</f>
        <v>6042</v>
      </c>
      <c r="AC3" s="512"/>
      <c r="AD3" s="512">
        <f>'4.29.23'!E8</f>
        <v>8683</v>
      </c>
      <c r="AE3" s="512"/>
      <c r="AF3" s="189">
        <f t="shared" ref="AF3:AF34" si="0">SUM(B3:AE3)</f>
        <v>78337</v>
      </c>
      <c r="AG3" s="189">
        <f>449000-AF3+350000</f>
        <v>720663</v>
      </c>
      <c r="AH3" s="194" t="str">
        <f t="shared" ref="AH3:AH34" si="1">A3</f>
        <v>8E8 Thai Street Food</v>
      </c>
      <c r="AJ3" s="234">
        <f>AF3</f>
        <v>78337</v>
      </c>
      <c r="AK3" s="316">
        <f>COUNT(B3:N3)+17</f>
        <v>21</v>
      </c>
      <c r="AN3" s="234">
        <v>415532</v>
      </c>
      <c r="AO3" s="234"/>
      <c r="AP3" s="979">
        <v>1</v>
      </c>
      <c r="AQ3" s="981">
        <f t="shared" ref="AQ3:AQ40" si="2">AR3/9.5</f>
        <v>8246</v>
      </c>
      <c r="AR3" s="977">
        <f>AJ3</f>
        <v>78337</v>
      </c>
      <c r="AS3" s="978" t="str">
        <f>AH3</f>
        <v>8E8 Thai Street Food</v>
      </c>
    </row>
    <row r="4" spans="1:45" ht="10.9" customHeight="1">
      <c r="A4" s="194" t="s">
        <v>330</v>
      </c>
      <c r="B4" s="1220"/>
      <c r="C4" s="512"/>
      <c r="D4" s="512"/>
      <c r="E4" s="512"/>
      <c r="F4" s="512"/>
      <c r="G4" s="512"/>
      <c r="H4" s="512"/>
      <c r="I4" s="512"/>
      <c r="J4" s="512"/>
      <c r="K4" s="512"/>
      <c r="L4" s="512"/>
      <c r="M4" s="512"/>
      <c r="N4" s="512"/>
      <c r="O4" s="512"/>
      <c r="P4" s="512"/>
      <c r="Q4" s="512"/>
      <c r="R4" s="701"/>
      <c r="S4" s="701"/>
      <c r="T4" s="701"/>
      <c r="U4" s="701"/>
      <c r="V4" s="701"/>
      <c r="W4" s="701">
        <f>'4.22.23'!E17</f>
        <v>8189</v>
      </c>
      <c r="X4" s="701"/>
      <c r="Y4" s="512"/>
      <c r="Z4" s="512"/>
      <c r="AA4" s="512"/>
      <c r="AB4" s="512"/>
      <c r="AC4" s="512">
        <f>'4.28.23'!E17</f>
        <v>8616.5</v>
      </c>
      <c r="AD4" s="512"/>
      <c r="AE4" s="512"/>
      <c r="AF4" s="189">
        <f t="shared" si="0"/>
        <v>16805.5</v>
      </c>
      <c r="AG4" s="189">
        <v>99000</v>
      </c>
      <c r="AH4" s="194" t="str">
        <f t="shared" si="1"/>
        <v>Aloha Friday</v>
      </c>
      <c r="AJ4" s="234">
        <f t="shared" ref="AJ4:AJ63" si="3">AF4</f>
        <v>16805.5</v>
      </c>
      <c r="AK4" s="316">
        <f>COUNT(B4:N4)+10</f>
        <v>10</v>
      </c>
      <c r="AN4" s="234"/>
      <c r="AO4" s="234"/>
      <c r="AP4" s="979">
        <v>2</v>
      </c>
      <c r="AQ4" s="981">
        <f t="shared" si="2"/>
        <v>1769</v>
      </c>
      <c r="AR4" s="977">
        <f t="shared" ref="AR4:AR63" si="4">AJ4</f>
        <v>16805.5</v>
      </c>
      <c r="AS4" s="978" t="str">
        <f t="shared" ref="AS4:AS63" si="5">AH4</f>
        <v>Aloha Friday</v>
      </c>
    </row>
    <row r="5" spans="1:45" ht="10.9" customHeight="1">
      <c r="A5" s="194" t="s">
        <v>164</v>
      </c>
      <c r="B5" s="1221"/>
      <c r="C5" s="452"/>
      <c r="D5" s="452"/>
      <c r="E5" s="452"/>
      <c r="F5" s="452"/>
      <c r="G5" s="452"/>
      <c r="H5" s="452"/>
      <c r="I5" s="452"/>
      <c r="J5" s="452"/>
      <c r="K5" s="737"/>
      <c r="L5" s="737"/>
      <c r="M5" s="737"/>
      <c r="N5" s="737"/>
      <c r="O5" s="737"/>
      <c r="P5" s="737"/>
      <c r="Q5" s="737">
        <f>'4.16.23'!E18</f>
        <v>4655</v>
      </c>
      <c r="R5" s="452"/>
      <c r="S5" s="452"/>
      <c r="T5" s="452"/>
      <c r="U5" s="452"/>
      <c r="V5" s="452"/>
      <c r="W5" s="452"/>
      <c r="X5" s="452"/>
      <c r="Y5" s="452"/>
      <c r="Z5" s="452"/>
      <c r="AA5" s="452"/>
      <c r="AB5" s="452"/>
      <c r="AC5" s="452"/>
      <c r="AD5" s="452"/>
      <c r="AE5" s="452">
        <f>'4.30.23'!E7</f>
        <v>5329.5</v>
      </c>
      <c r="AF5" s="189">
        <f t="shared" si="0"/>
        <v>9984.5</v>
      </c>
      <c r="AG5" s="189">
        <f>449000-AF5</f>
        <v>439015.5</v>
      </c>
      <c r="AH5" s="194" t="str">
        <f t="shared" si="1"/>
        <v>Austyn's Burgers</v>
      </c>
      <c r="AJ5" s="234">
        <f t="shared" si="3"/>
        <v>9984.5</v>
      </c>
      <c r="AK5" s="316">
        <f>COUNT(B5:N5)+5</f>
        <v>5</v>
      </c>
      <c r="AN5" s="234">
        <v>270375.5</v>
      </c>
      <c r="AO5" s="234"/>
      <c r="AP5" s="979">
        <v>3</v>
      </c>
      <c r="AQ5" s="981">
        <f t="shared" si="2"/>
        <v>1051</v>
      </c>
      <c r="AR5" s="977">
        <f t="shared" si="4"/>
        <v>9984.5</v>
      </c>
      <c r="AS5" s="978" t="str">
        <f t="shared" si="5"/>
        <v>Austyn's Burgers</v>
      </c>
    </row>
    <row r="6" spans="1:45" ht="10.9" customHeight="1">
      <c r="A6" s="195" t="s">
        <v>51</v>
      </c>
      <c r="B6" s="1218"/>
      <c r="C6" s="252"/>
      <c r="D6" s="252"/>
      <c r="E6" s="252"/>
      <c r="F6" s="252"/>
      <c r="G6" s="252"/>
      <c r="H6" s="252"/>
      <c r="I6" s="252"/>
      <c r="J6" s="252"/>
      <c r="K6" s="252"/>
      <c r="L6" s="252"/>
      <c r="M6" s="252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  <c r="AA6" s="252"/>
      <c r="AB6" s="252"/>
      <c r="AC6" s="252"/>
      <c r="AD6" s="252"/>
      <c r="AE6" s="252"/>
      <c r="AF6" s="189">
        <f t="shared" si="0"/>
        <v>0</v>
      </c>
      <c r="AG6" s="961">
        <f>100000-AF6+350000</f>
        <v>450000</v>
      </c>
      <c r="AH6" s="194" t="str">
        <f t="shared" si="1"/>
        <v>Baby's Burgers</v>
      </c>
      <c r="AJ6" s="234">
        <f t="shared" si="3"/>
        <v>0</v>
      </c>
      <c r="AK6" s="316">
        <f>COUNT(B6:N6)+2</f>
        <v>2</v>
      </c>
      <c r="AN6" s="234">
        <v>128995</v>
      </c>
      <c r="AO6" s="234"/>
      <c r="AP6" s="979">
        <v>4</v>
      </c>
      <c r="AQ6" s="981">
        <f t="shared" si="2"/>
        <v>0</v>
      </c>
      <c r="AR6" s="977">
        <f t="shared" si="4"/>
        <v>0</v>
      </c>
      <c r="AS6" s="978" t="str">
        <f t="shared" si="5"/>
        <v>Baby's Burgers</v>
      </c>
    </row>
    <row r="7" spans="1:45" ht="10.9" customHeight="1">
      <c r="A7" s="195" t="s">
        <v>62</v>
      </c>
      <c r="B7" s="1218"/>
      <c r="C7" s="252"/>
      <c r="D7" s="252"/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  <c r="AA7" s="252"/>
      <c r="AB7" s="252"/>
      <c r="AC7" s="252"/>
      <c r="AD7" s="252"/>
      <c r="AE7" s="252"/>
      <c r="AF7" s="189">
        <f t="shared" si="0"/>
        <v>0</v>
      </c>
      <c r="AG7" s="961">
        <f>100000-AF7</f>
        <v>100000</v>
      </c>
      <c r="AH7" s="194" t="str">
        <f t="shared" si="1"/>
        <v>Belly's Sliders Wings</v>
      </c>
      <c r="AJ7" s="234">
        <f t="shared" si="3"/>
        <v>0</v>
      </c>
      <c r="AK7" s="316">
        <f>COUNT(B7:N7)+3</f>
        <v>3</v>
      </c>
      <c r="AN7" s="234">
        <v>67842.5</v>
      </c>
      <c r="AO7" s="234"/>
      <c r="AP7" s="979">
        <v>5</v>
      </c>
      <c r="AQ7" s="981">
        <f t="shared" si="2"/>
        <v>0</v>
      </c>
      <c r="AR7" s="977">
        <f t="shared" si="4"/>
        <v>0</v>
      </c>
      <c r="AS7" s="978" t="str">
        <f t="shared" si="5"/>
        <v>Belly's Sliders Wings</v>
      </c>
    </row>
    <row r="8" spans="1:45" ht="10.15" customHeight="1">
      <c r="A8" s="195" t="s">
        <v>12</v>
      </c>
      <c r="B8" s="1218"/>
      <c r="C8" s="702"/>
      <c r="D8" s="702"/>
      <c r="E8" s="702"/>
      <c r="F8" s="702"/>
      <c r="G8" s="702"/>
      <c r="H8" s="702"/>
      <c r="I8" s="702"/>
      <c r="J8" s="702">
        <f>'4.9.23'!E18</f>
        <v>4275</v>
      </c>
      <c r="K8" s="738"/>
      <c r="L8" s="738"/>
      <c r="M8" s="738">
        <f>'4.12.23'!E29</f>
        <v>2612.5</v>
      </c>
      <c r="N8" s="738"/>
      <c r="O8" s="738"/>
      <c r="P8" s="738"/>
      <c r="Q8" s="738"/>
      <c r="R8" s="702">
        <f>'4.17.23'!E18</f>
        <v>5006.5</v>
      </c>
      <c r="S8" s="702"/>
      <c r="T8" s="702">
        <f>'4.19.23'!E17+'4.19.23'!E27</f>
        <v>7742.5</v>
      </c>
      <c r="U8" s="702"/>
      <c r="V8" s="702"/>
      <c r="W8" s="702"/>
      <c r="X8" s="702"/>
      <c r="Y8" s="252"/>
      <c r="Z8" s="252">
        <f>'4.25.23'!E18</f>
        <v>5158.5</v>
      </c>
      <c r="AA8" s="252"/>
      <c r="AB8" s="252">
        <f>'4.27.23'!E18</f>
        <v>5025.5</v>
      </c>
      <c r="AC8" s="252"/>
      <c r="AD8" s="252"/>
      <c r="AE8" s="252"/>
      <c r="AF8" s="189">
        <f t="shared" si="0"/>
        <v>29820.5</v>
      </c>
      <c r="AG8" s="961">
        <f>100000-AF8</f>
        <v>70179.5</v>
      </c>
      <c r="AH8" s="194" t="str">
        <f t="shared" si="1"/>
        <v>Bison Burger</v>
      </c>
      <c r="AJ8" s="234">
        <f t="shared" si="3"/>
        <v>29820.5</v>
      </c>
      <c r="AK8" s="316">
        <f>COUNT(B8:N8)+2</f>
        <v>4</v>
      </c>
      <c r="AN8" s="234">
        <v>36161.5</v>
      </c>
      <c r="AO8" s="234"/>
      <c r="AP8" s="979">
        <v>6</v>
      </c>
      <c r="AQ8" s="981">
        <f t="shared" si="2"/>
        <v>3139</v>
      </c>
      <c r="AR8" s="977">
        <f t="shared" si="4"/>
        <v>29820.5</v>
      </c>
      <c r="AS8" s="978" t="str">
        <f t="shared" si="5"/>
        <v>Bison Burger</v>
      </c>
    </row>
    <row r="9" spans="1:45" ht="10.15" customHeight="1">
      <c r="A9" s="195" t="s">
        <v>331</v>
      </c>
      <c r="B9" s="1218"/>
      <c r="C9" s="702"/>
      <c r="D9" s="702"/>
      <c r="E9" s="702">
        <f>'4.4.23'!E28</f>
        <v>3458</v>
      </c>
      <c r="F9" s="702"/>
      <c r="G9" s="702">
        <f>'4.6.23'!E28</f>
        <v>3581.5</v>
      </c>
      <c r="H9" s="702"/>
      <c r="I9" s="702"/>
      <c r="J9" s="702"/>
      <c r="K9" s="738"/>
      <c r="L9" s="738"/>
      <c r="M9" s="738">
        <f>'4.12.23'!E28</f>
        <v>3638.5</v>
      </c>
      <c r="N9" s="738"/>
      <c r="O9" s="738">
        <f>'4.14.23'!E28</f>
        <v>3382</v>
      </c>
      <c r="P9" s="738"/>
      <c r="Q9" s="738"/>
      <c r="R9" s="702"/>
      <c r="S9" s="702">
        <f>'4.18.23'!E28</f>
        <v>3496</v>
      </c>
      <c r="T9" s="702"/>
      <c r="U9" s="702"/>
      <c r="V9" s="702"/>
      <c r="W9" s="702">
        <f>'4.22.23'!E28</f>
        <v>2764.5</v>
      </c>
      <c r="X9" s="702">
        <f>'4.23.23'!E28</f>
        <v>3220.5</v>
      </c>
      <c r="Y9" s="252"/>
      <c r="Z9" s="252"/>
      <c r="AA9" s="252"/>
      <c r="AB9" s="252">
        <f>'4.27.23'!E28</f>
        <v>3648</v>
      </c>
      <c r="AC9" s="252"/>
      <c r="AD9" s="252"/>
      <c r="AE9" s="252"/>
      <c r="AF9" s="189">
        <f t="shared" si="0"/>
        <v>27189</v>
      </c>
      <c r="AG9" s="189">
        <v>99000</v>
      </c>
      <c r="AH9" s="194" t="str">
        <f t="shared" si="1"/>
        <v>Bittie Bitez</v>
      </c>
      <c r="AJ9" s="234">
        <f t="shared" si="3"/>
        <v>27189</v>
      </c>
      <c r="AK9" s="316">
        <f>COUNT(B9:N9)</f>
        <v>3</v>
      </c>
      <c r="AN9" s="234"/>
      <c r="AO9" s="234"/>
      <c r="AP9" s="979">
        <v>7</v>
      </c>
      <c r="AQ9" s="981">
        <f t="shared" si="2"/>
        <v>2862</v>
      </c>
      <c r="AR9" s="977">
        <f t="shared" si="4"/>
        <v>27189</v>
      </c>
      <c r="AS9" s="978" t="str">
        <f t="shared" si="5"/>
        <v>Bittie Bitez</v>
      </c>
    </row>
    <row r="10" spans="1:45" ht="10.15" customHeight="1">
      <c r="A10" s="195" t="s">
        <v>239</v>
      </c>
      <c r="B10" s="1218"/>
      <c r="C10" s="702">
        <f>'4.2.23'!E17</f>
        <v>1206.5</v>
      </c>
      <c r="D10" s="702"/>
      <c r="E10" s="702"/>
      <c r="F10" s="702"/>
      <c r="G10" s="702"/>
      <c r="H10" s="702">
        <f>'4.7.23'!E29</f>
        <v>1434.5</v>
      </c>
      <c r="I10" s="702"/>
      <c r="J10" s="702"/>
      <c r="K10" s="738"/>
      <c r="L10" s="738"/>
      <c r="M10" s="738"/>
      <c r="N10" s="738"/>
      <c r="O10" s="738">
        <f>'4.14.23'!E19+'4.14.23'!E29</f>
        <v>3258.5</v>
      </c>
      <c r="P10" s="738">
        <f>'4.15.23'!E29</f>
        <v>1206.5</v>
      </c>
      <c r="Q10" s="738"/>
      <c r="R10" s="702"/>
      <c r="S10" s="702">
        <f>'4.18.23'!E8</f>
        <v>1881</v>
      </c>
      <c r="T10" s="702"/>
      <c r="U10" s="702"/>
      <c r="V10" s="702"/>
      <c r="W10" s="702"/>
      <c r="X10" s="702"/>
      <c r="Y10" s="252"/>
      <c r="Z10" s="252"/>
      <c r="AA10" s="252"/>
      <c r="AB10" s="252">
        <f>'4.27.23'!E7</f>
        <v>3353.5</v>
      </c>
      <c r="AC10" s="252"/>
      <c r="AD10" s="252"/>
      <c r="AE10" s="252"/>
      <c r="AF10" s="189">
        <f t="shared" si="0"/>
        <v>12340.5</v>
      </c>
      <c r="AG10" s="961">
        <f>100000-AF10</f>
        <v>87659.5</v>
      </c>
      <c r="AH10" s="194" t="str">
        <f t="shared" si="1"/>
        <v>Bollywood Kitchen</v>
      </c>
      <c r="AJ10" s="234">
        <f t="shared" si="3"/>
        <v>12340.5</v>
      </c>
      <c r="AK10" s="316">
        <f>COUNT(B10:N10)</f>
        <v>2</v>
      </c>
      <c r="AN10" s="234">
        <v>41845.5</v>
      </c>
      <c r="AO10" s="234"/>
      <c r="AP10" s="979">
        <v>8</v>
      </c>
      <c r="AQ10" s="981">
        <f t="shared" si="2"/>
        <v>1299</v>
      </c>
      <c r="AR10" s="977">
        <f t="shared" si="4"/>
        <v>12340.5</v>
      </c>
      <c r="AS10" s="978" t="str">
        <f t="shared" si="5"/>
        <v>Bollywood Kitchen</v>
      </c>
    </row>
    <row r="11" spans="1:45" ht="10.15" customHeight="1">
      <c r="A11" s="195" t="s">
        <v>68</v>
      </c>
      <c r="B11" s="1218"/>
      <c r="C11" s="252"/>
      <c r="D11" s="252"/>
      <c r="E11" s="252"/>
      <c r="F11" s="252"/>
      <c r="G11" s="252"/>
      <c r="H11" s="252"/>
      <c r="I11" s="252"/>
      <c r="J11" s="252"/>
      <c r="K11" s="252"/>
      <c r="L11" s="252"/>
      <c r="M11" s="252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  <c r="AA11" s="252"/>
      <c r="AB11" s="252"/>
      <c r="AC11" s="252"/>
      <c r="AD11" s="252"/>
      <c r="AE11" s="252"/>
      <c r="AF11" s="189">
        <f t="shared" si="0"/>
        <v>0</v>
      </c>
      <c r="AG11" s="961">
        <f>100000-AF11</f>
        <v>100000</v>
      </c>
      <c r="AH11" s="194" t="str">
        <f t="shared" si="1"/>
        <v>Bunz Gourmet Burgers</v>
      </c>
      <c r="AJ11" s="234">
        <f t="shared" si="3"/>
        <v>0</v>
      </c>
      <c r="AK11" s="316">
        <f>COUNT(B11:N11)</f>
        <v>0</v>
      </c>
      <c r="AN11" s="234">
        <v>18672</v>
      </c>
      <c r="AO11" s="234"/>
      <c r="AP11" s="979">
        <v>9</v>
      </c>
      <c r="AQ11" s="981">
        <f t="shared" si="2"/>
        <v>0</v>
      </c>
      <c r="AR11" s="977">
        <f t="shared" si="4"/>
        <v>0</v>
      </c>
      <c r="AS11" s="978" t="str">
        <f t="shared" si="5"/>
        <v>Bunz Gourmet Burgers</v>
      </c>
    </row>
    <row r="12" spans="1:45" ht="10.15" customHeight="1">
      <c r="A12" s="195" t="s">
        <v>245</v>
      </c>
      <c r="B12" s="1218"/>
      <c r="C12" s="252"/>
      <c r="D12" s="252"/>
      <c r="E12" s="252"/>
      <c r="F12" s="252"/>
      <c r="G12" s="252"/>
      <c r="H12" s="252"/>
      <c r="I12" s="252"/>
      <c r="J12" s="252"/>
      <c r="K12" s="252"/>
      <c r="L12" s="252"/>
      <c r="M12" s="252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  <c r="AA12" s="252"/>
      <c r="AB12" s="252"/>
      <c r="AC12" s="252"/>
      <c r="AD12" s="252"/>
      <c r="AE12" s="252"/>
      <c r="AF12" s="189">
        <f t="shared" si="0"/>
        <v>0</v>
      </c>
      <c r="AG12" s="961">
        <f>100000-AF12</f>
        <v>100000</v>
      </c>
      <c r="AH12" s="194" t="str">
        <f t="shared" si="1"/>
        <v>Café Vietnam</v>
      </c>
      <c r="AJ12" s="234">
        <f t="shared" si="3"/>
        <v>0</v>
      </c>
      <c r="AK12" s="316">
        <f>COUNT(B12:N12)+3</f>
        <v>3</v>
      </c>
      <c r="AN12" s="234">
        <v>32515.5</v>
      </c>
      <c r="AO12" s="234"/>
      <c r="AP12" s="979">
        <v>10</v>
      </c>
      <c r="AQ12" s="981">
        <f t="shared" si="2"/>
        <v>0</v>
      </c>
      <c r="AR12" s="977">
        <f t="shared" si="4"/>
        <v>0</v>
      </c>
      <c r="AS12" s="978" t="str">
        <f t="shared" si="5"/>
        <v>Café Vietnam</v>
      </c>
    </row>
    <row r="13" spans="1:45" ht="10.15" customHeight="1">
      <c r="A13" s="195" t="s">
        <v>254</v>
      </c>
      <c r="B13" s="1218"/>
      <c r="C13" s="702"/>
      <c r="D13" s="702"/>
      <c r="E13" s="702"/>
      <c r="F13" s="702">
        <f>'4.5.23'!E29</f>
        <v>2394</v>
      </c>
      <c r="G13" s="702"/>
      <c r="H13" s="702">
        <f>'4.7.23'!E17 + '4.7.23'!E27</f>
        <v>4750</v>
      </c>
      <c r="I13" s="702"/>
      <c r="J13" s="702"/>
      <c r="K13" s="738"/>
      <c r="L13" s="738"/>
      <c r="M13" s="738">
        <f>'4.12.23'!E8</f>
        <v>3277.5</v>
      </c>
      <c r="N13" s="738"/>
      <c r="O13" s="738">
        <f>'4.14.23'!E7</f>
        <v>3477</v>
      </c>
      <c r="P13" s="738"/>
      <c r="Q13" s="738"/>
      <c r="R13" s="702"/>
      <c r="S13" s="702">
        <f>'4.18.23'!E27</f>
        <v>2821.5</v>
      </c>
      <c r="T13" s="702"/>
      <c r="U13" s="702"/>
      <c r="V13" s="702">
        <f>'4.21.23'!E17</f>
        <v>3382</v>
      </c>
      <c r="W13" s="702"/>
      <c r="X13" s="702"/>
      <c r="Y13" s="252">
        <f>'4.24.23'!E17</f>
        <v>3477</v>
      </c>
      <c r="Z13" s="252"/>
      <c r="AA13" s="252"/>
      <c r="AB13" s="252"/>
      <c r="AC13" s="252"/>
      <c r="AD13" s="252"/>
      <c r="AE13" s="252"/>
      <c r="AF13" s="189">
        <f t="shared" si="0"/>
        <v>23579</v>
      </c>
      <c r="AG13" s="961">
        <f>100000-AF13+350000</f>
        <v>426421</v>
      </c>
      <c r="AH13" s="194" t="str">
        <f t="shared" si="1"/>
        <v>Cartel Taco Truck</v>
      </c>
      <c r="AJ13" s="234">
        <f t="shared" si="3"/>
        <v>23579</v>
      </c>
      <c r="AK13" s="316">
        <f>COUNT(B13:N13)</f>
        <v>3</v>
      </c>
      <c r="AN13" s="234">
        <v>126406.5</v>
      </c>
      <c r="AO13" s="234"/>
      <c r="AP13" s="979">
        <v>11</v>
      </c>
      <c r="AQ13" s="981">
        <f t="shared" si="2"/>
        <v>2482</v>
      </c>
      <c r="AR13" s="977">
        <f t="shared" si="4"/>
        <v>23579</v>
      </c>
      <c r="AS13" s="978" t="str">
        <f t="shared" si="5"/>
        <v>Cartel Taco Truck</v>
      </c>
    </row>
    <row r="14" spans="1:45" ht="10.15" customHeight="1">
      <c r="A14" s="195" t="s">
        <v>49</v>
      </c>
      <c r="B14" s="1218"/>
      <c r="C14" s="702"/>
      <c r="D14" s="702">
        <f>'4.3.23'!E29</f>
        <v>2033</v>
      </c>
      <c r="E14" s="702">
        <f>'4.4.23'!E7</f>
        <v>4284.5</v>
      </c>
      <c r="F14" s="702"/>
      <c r="G14" s="702"/>
      <c r="H14" s="702"/>
      <c r="I14" s="702"/>
      <c r="J14" s="702"/>
      <c r="K14" s="738">
        <f>'4.10.23'!E17 + '4.10.23'!E27</f>
        <v>7989.5</v>
      </c>
      <c r="L14" s="738"/>
      <c r="M14" s="738"/>
      <c r="N14" s="738"/>
      <c r="O14" s="738"/>
      <c r="P14" s="738"/>
      <c r="Q14" s="738">
        <f>'4.16.23'!E9</f>
        <v>3914</v>
      </c>
      <c r="R14" s="702"/>
      <c r="S14" s="702"/>
      <c r="T14" s="702"/>
      <c r="U14" s="702">
        <f>'4.20.23'!E8</f>
        <v>4626.5</v>
      </c>
      <c r="V14" s="702"/>
      <c r="W14" s="702"/>
      <c r="X14" s="702"/>
      <c r="Y14" s="252"/>
      <c r="Z14" s="252"/>
      <c r="AA14" s="252"/>
      <c r="AB14" s="252"/>
      <c r="AC14" s="252"/>
      <c r="AD14" s="252"/>
      <c r="AE14" s="252"/>
      <c r="AF14" s="189">
        <f t="shared" si="0"/>
        <v>22847.5</v>
      </c>
      <c r="AG14" s="961">
        <f>100000-AF14</f>
        <v>77152.5</v>
      </c>
      <c r="AH14" s="194" t="str">
        <f t="shared" si="1"/>
        <v>Cerda Vega Tacos</v>
      </c>
      <c r="AJ14" s="234">
        <f t="shared" si="3"/>
        <v>22847.5</v>
      </c>
      <c r="AK14" s="316">
        <f>COUNT(B14:N14)+10</f>
        <v>13</v>
      </c>
      <c r="AN14" s="782">
        <v>103495</v>
      </c>
      <c r="AO14" s="234"/>
      <c r="AP14" s="979">
        <v>12</v>
      </c>
      <c r="AQ14" s="981">
        <f t="shared" si="2"/>
        <v>2405</v>
      </c>
      <c r="AR14" s="977">
        <f t="shared" si="4"/>
        <v>22847.5</v>
      </c>
      <c r="AS14" s="978" t="str">
        <f t="shared" si="5"/>
        <v>Cerda Vega Tacos</v>
      </c>
    </row>
    <row r="15" spans="1:45" ht="10.15" customHeight="1">
      <c r="A15" s="195" t="s">
        <v>235</v>
      </c>
      <c r="B15" s="1218"/>
      <c r="C15" s="702"/>
      <c r="D15" s="702"/>
      <c r="E15" s="702"/>
      <c r="F15" s="702">
        <f>'4.5.23'!E28</f>
        <v>4788</v>
      </c>
      <c r="G15" s="702"/>
      <c r="H15" s="702"/>
      <c r="I15" s="702">
        <f>'4.8.23'!E28</f>
        <v>4522</v>
      </c>
      <c r="J15" s="702">
        <f>'4.9.23'!E28</f>
        <v>4883</v>
      </c>
      <c r="K15" s="738"/>
      <c r="L15" s="738"/>
      <c r="M15" s="738"/>
      <c r="N15" s="738"/>
      <c r="O15" s="738"/>
      <c r="P15" s="738">
        <f>'4.15.23'!E28</f>
        <v>5367.5</v>
      </c>
      <c r="Q15" s="738"/>
      <c r="R15" s="702"/>
      <c r="S15" s="702"/>
      <c r="T15" s="702"/>
      <c r="U15" s="702">
        <f>'4.20.23'!E28</f>
        <v>5044.5</v>
      </c>
      <c r="V15" s="702">
        <f>'4.21.23'!E28</f>
        <v>4161</v>
      </c>
      <c r="W15" s="702"/>
      <c r="X15" s="702"/>
      <c r="Y15" s="252"/>
      <c r="Z15" s="252">
        <f>'4.25.23'!E28</f>
        <v>5329.5</v>
      </c>
      <c r="AA15" s="252"/>
      <c r="AB15" s="252"/>
      <c r="AC15" s="252">
        <f>'4.28.23'!E28</f>
        <v>4816.5</v>
      </c>
      <c r="AD15" s="252"/>
      <c r="AE15" s="252"/>
      <c r="AF15" s="189">
        <f t="shared" si="0"/>
        <v>38912</v>
      </c>
      <c r="AG15" s="961">
        <f>100000-AF15+350000</f>
        <v>411088</v>
      </c>
      <c r="AH15" s="194" t="str">
        <f t="shared" si="1"/>
        <v>Creamy Boys</v>
      </c>
      <c r="AJ15" s="234">
        <f t="shared" si="3"/>
        <v>38912</v>
      </c>
      <c r="AK15" s="316">
        <f>COUNT(B15:N15)</f>
        <v>3</v>
      </c>
      <c r="AN15" s="234">
        <v>292911</v>
      </c>
      <c r="AO15" s="234"/>
      <c r="AP15" s="979">
        <v>13</v>
      </c>
      <c r="AQ15" s="981">
        <f t="shared" si="2"/>
        <v>4096</v>
      </c>
      <c r="AR15" s="977">
        <f t="shared" si="4"/>
        <v>38912</v>
      </c>
      <c r="AS15" s="978" t="str">
        <f t="shared" si="5"/>
        <v>Creamy Boys</v>
      </c>
    </row>
    <row r="16" spans="1:45" ht="10.15" customHeight="1">
      <c r="A16" s="195" t="s">
        <v>188</v>
      </c>
      <c r="B16" s="1218"/>
      <c r="C16" s="252"/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  <c r="AA16" s="252"/>
      <c r="AB16" s="252"/>
      <c r="AC16" s="252"/>
      <c r="AD16" s="252"/>
      <c r="AE16" s="252"/>
      <c r="AF16" s="189">
        <f t="shared" si="0"/>
        <v>0</v>
      </c>
      <c r="AG16" s="961">
        <f>100000-AF16</f>
        <v>100000</v>
      </c>
      <c r="AH16" s="194" t="str">
        <f t="shared" si="1"/>
        <v>Deli Doctor</v>
      </c>
      <c r="AJ16" s="234">
        <f t="shared" si="3"/>
        <v>0</v>
      </c>
      <c r="AK16" s="316">
        <f>COUNT(B16:N16)</f>
        <v>0</v>
      </c>
      <c r="AN16" s="234">
        <v>51936.5</v>
      </c>
      <c r="AO16" s="234"/>
      <c r="AP16" s="979">
        <v>14</v>
      </c>
      <c r="AQ16" s="981">
        <f t="shared" si="2"/>
        <v>0</v>
      </c>
      <c r="AR16" s="977">
        <f t="shared" si="4"/>
        <v>0</v>
      </c>
      <c r="AS16" s="978" t="str">
        <f t="shared" si="5"/>
        <v>Deli Doctor</v>
      </c>
    </row>
    <row r="17" spans="1:45" ht="9.75" customHeight="1">
      <c r="A17" s="195" t="s">
        <v>243</v>
      </c>
      <c r="B17" s="1218"/>
      <c r="C17" s="252"/>
      <c r="D17" s="252"/>
      <c r="E17" s="252"/>
      <c r="F17" s="252"/>
      <c r="G17" s="252"/>
      <c r="H17" s="252"/>
      <c r="I17" s="252"/>
      <c r="J17" s="252"/>
      <c r="K17" s="738"/>
      <c r="L17" s="738"/>
      <c r="M17" s="738">
        <f>'4.12.23'!E18</f>
        <v>7457.5</v>
      </c>
      <c r="N17" s="738"/>
      <c r="O17" s="738">
        <f>'4.14.23'!E18</f>
        <v>7115.5</v>
      </c>
      <c r="P17" s="738"/>
      <c r="Q17" s="738">
        <f>'4.16.23'!E19</f>
        <v>8341</v>
      </c>
      <c r="R17" s="702"/>
      <c r="S17" s="702"/>
      <c r="T17" s="702">
        <f>'4.19.23'!E9</f>
        <v>6317.5</v>
      </c>
      <c r="U17" s="702"/>
      <c r="V17" s="702"/>
      <c r="W17" s="702">
        <f>'4.22.23'!E18</f>
        <v>8968</v>
      </c>
      <c r="X17" s="702">
        <f>'4.23.23'!E18</f>
        <v>8721</v>
      </c>
      <c r="Y17" s="252"/>
      <c r="Z17" s="252"/>
      <c r="AA17" s="252"/>
      <c r="AB17" s="252"/>
      <c r="AC17" s="252"/>
      <c r="AD17" s="252">
        <f>'4.29.23'!E18</f>
        <v>9329</v>
      </c>
      <c r="AE17" s="252"/>
      <c r="AF17" s="189">
        <f t="shared" si="0"/>
        <v>56249.5</v>
      </c>
      <c r="AG17" s="961">
        <f>100000-AF17+100000</f>
        <v>143750.5</v>
      </c>
      <c r="AH17" s="194" t="str">
        <f t="shared" si="1"/>
        <v>Dina's Dumpling</v>
      </c>
      <c r="AJ17" s="234">
        <f t="shared" si="3"/>
        <v>56249.5</v>
      </c>
      <c r="AK17" s="316">
        <f>COUNT(B17:N17)+9</f>
        <v>10</v>
      </c>
      <c r="AN17" s="234">
        <v>70634</v>
      </c>
      <c r="AO17" s="234"/>
      <c r="AP17" s="979">
        <v>15</v>
      </c>
      <c r="AQ17" s="981">
        <f t="shared" si="2"/>
        <v>5921</v>
      </c>
      <c r="AR17" s="977">
        <f t="shared" si="4"/>
        <v>56249.5</v>
      </c>
      <c r="AS17" s="978" t="str">
        <f t="shared" si="5"/>
        <v>Dina's Dumpling</v>
      </c>
    </row>
    <row r="18" spans="1:45" ht="10.15" customHeight="1">
      <c r="A18" s="195" t="s">
        <v>334</v>
      </c>
      <c r="B18" s="1218"/>
      <c r="C18" s="702"/>
      <c r="D18" s="702">
        <f>'4.3.23'!E28</f>
        <v>3477</v>
      </c>
      <c r="E18" s="702"/>
      <c r="F18" s="702"/>
      <c r="G18" s="702"/>
      <c r="H18" s="702"/>
      <c r="I18" s="702"/>
      <c r="J18" s="702"/>
      <c r="K18" s="738"/>
      <c r="L18" s="738">
        <f>'4.11.23'!E28</f>
        <v>4712</v>
      </c>
      <c r="M18" s="738"/>
      <c r="N18" s="738"/>
      <c r="O18" s="738"/>
      <c r="P18" s="738"/>
      <c r="Q18" s="738"/>
      <c r="R18" s="702"/>
      <c r="S18" s="702"/>
      <c r="T18" s="702">
        <f>'4.19.23'!E28</f>
        <v>4484</v>
      </c>
      <c r="U18" s="702"/>
      <c r="V18" s="702"/>
      <c r="W18" s="702"/>
      <c r="X18" s="702"/>
      <c r="Y18" s="252">
        <f>'4.24.23'!E28</f>
        <v>4541</v>
      </c>
      <c r="Z18" s="252"/>
      <c r="AA18" s="252"/>
      <c r="AB18" s="252"/>
      <c r="AC18" s="252"/>
      <c r="AD18" s="252"/>
      <c r="AE18" s="252"/>
      <c r="AF18" s="189">
        <f t="shared" si="0"/>
        <v>17214</v>
      </c>
      <c r="AG18" s="189">
        <v>99000</v>
      </c>
      <c r="AH18" s="194" t="str">
        <f t="shared" si="1"/>
        <v>Dulce Europa</v>
      </c>
      <c r="AJ18" s="234">
        <f t="shared" si="3"/>
        <v>17214</v>
      </c>
      <c r="AK18" s="316">
        <f>COUNT(B18:N18)+2</f>
        <v>4</v>
      </c>
      <c r="AN18" s="234"/>
      <c r="AO18" s="234"/>
      <c r="AP18" s="979">
        <v>16</v>
      </c>
      <c r="AQ18" s="981">
        <f t="shared" si="2"/>
        <v>1812</v>
      </c>
      <c r="AR18" s="977">
        <f t="shared" si="4"/>
        <v>17214</v>
      </c>
      <c r="AS18" s="978" t="str">
        <f t="shared" si="5"/>
        <v>Dulce Europa</v>
      </c>
    </row>
    <row r="19" spans="1:45" ht="10.15" customHeight="1">
      <c r="A19" s="195" t="s">
        <v>63</v>
      </c>
      <c r="B19" s="1218"/>
      <c r="C19" s="702">
        <f>'4.2.23'!E19+'4.2.23'!E29</f>
        <v>3800</v>
      </c>
      <c r="D19" s="702"/>
      <c r="E19" s="702"/>
      <c r="F19" s="702"/>
      <c r="G19" s="702"/>
      <c r="H19" s="702">
        <f>'4.7.23'!E7</f>
        <v>3391.5</v>
      </c>
      <c r="I19" s="702"/>
      <c r="J19" s="702"/>
      <c r="K19" s="738"/>
      <c r="L19" s="738"/>
      <c r="M19" s="738">
        <f>'4.12.23'!E9</f>
        <v>3391.5</v>
      </c>
      <c r="N19" s="738"/>
      <c r="O19" s="738">
        <f>'4.14.23'!E27</f>
        <v>2109</v>
      </c>
      <c r="P19" s="738"/>
      <c r="Q19" s="738">
        <f>'4.16.23'!E8</f>
        <v>3838</v>
      </c>
      <c r="R19" s="702">
        <f>'4.17.23'!E17+'4.17.23'!E27</f>
        <v>4607.5</v>
      </c>
      <c r="S19" s="702"/>
      <c r="T19" s="702"/>
      <c r="U19" s="702"/>
      <c r="V19" s="702"/>
      <c r="W19" s="702"/>
      <c r="X19" s="702">
        <f>'4.23.23'!E27</f>
        <v>3524.5</v>
      </c>
      <c r="Y19" s="252"/>
      <c r="Z19" s="252"/>
      <c r="AA19" s="252">
        <f>'4.26.23'!E18</f>
        <v>4047</v>
      </c>
      <c r="AB19" s="252"/>
      <c r="AC19" s="252"/>
      <c r="AD19" s="252">
        <f>'4.29.23'!E27</f>
        <v>2869</v>
      </c>
      <c r="AE19" s="252"/>
      <c r="AF19" s="189">
        <f t="shared" si="0"/>
        <v>31578</v>
      </c>
      <c r="AG19" s="961">
        <f>449000-AF19+350000</f>
        <v>767422</v>
      </c>
      <c r="AH19" s="194" t="str">
        <f t="shared" si="1"/>
        <v>Flamin Hot Chicken</v>
      </c>
      <c r="AJ19" s="234">
        <f t="shared" si="3"/>
        <v>31578</v>
      </c>
      <c r="AK19" s="316">
        <f>COUNT(B19:N19)+10</f>
        <v>13</v>
      </c>
      <c r="AN19" s="234">
        <v>188115.5</v>
      </c>
      <c r="AO19" s="234"/>
      <c r="AP19" s="979">
        <v>17</v>
      </c>
      <c r="AQ19" s="981">
        <f t="shared" si="2"/>
        <v>3324</v>
      </c>
      <c r="AR19" s="977">
        <f t="shared" si="4"/>
        <v>31578</v>
      </c>
      <c r="AS19" s="978" t="str">
        <f t="shared" si="5"/>
        <v>Flamin Hot Chicken</v>
      </c>
    </row>
    <row r="20" spans="1:45" ht="10.15" customHeight="1">
      <c r="A20" s="195" t="s">
        <v>78</v>
      </c>
      <c r="B20" s="1218"/>
      <c r="C20" s="702"/>
      <c r="D20" s="702"/>
      <c r="E20" s="702"/>
      <c r="F20" s="702">
        <f>'4.5.23'!E7</f>
        <v>3828.5</v>
      </c>
      <c r="G20" s="702"/>
      <c r="H20" s="702"/>
      <c r="I20" s="702">
        <f>'4.8.23'!E19</f>
        <v>2622</v>
      </c>
      <c r="J20" s="702"/>
      <c r="K20" s="738"/>
      <c r="L20" s="738">
        <f>'4.11.23'!E7</f>
        <v>3904.5</v>
      </c>
      <c r="M20" s="738"/>
      <c r="N20" s="738"/>
      <c r="O20" s="738"/>
      <c r="P20" s="738"/>
      <c r="Q20" s="738"/>
      <c r="R20" s="702"/>
      <c r="S20" s="702"/>
      <c r="T20" s="702"/>
      <c r="U20" s="702"/>
      <c r="V20" s="702">
        <f>'4.21.23'!E8</f>
        <v>3971</v>
      </c>
      <c r="W20" s="702"/>
      <c r="X20" s="702"/>
      <c r="Y20" s="252">
        <f>'4.24.23'!E7</f>
        <v>4759.5</v>
      </c>
      <c r="Z20" s="252"/>
      <c r="AA20" s="252"/>
      <c r="AB20" s="252"/>
      <c r="AC20" s="252"/>
      <c r="AD20" s="252"/>
      <c r="AE20" s="252"/>
      <c r="AF20" s="189">
        <f t="shared" si="0"/>
        <v>19085.5</v>
      </c>
      <c r="AG20" s="961">
        <f>100000-AF20</f>
        <v>80914.5</v>
      </c>
      <c r="AH20" s="194" t="str">
        <f t="shared" si="1"/>
        <v>Flaming Grain</v>
      </c>
      <c r="AJ20" s="234">
        <f t="shared" si="3"/>
        <v>19085.5</v>
      </c>
      <c r="AK20" s="316">
        <f>COUNT(B20:N20)+3</f>
        <v>6</v>
      </c>
      <c r="AN20" s="234">
        <v>55223</v>
      </c>
      <c r="AO20" s="234"/>
      <c r="AP20" s="979">
        <v>18</v>
      </c>
      <c r="AQ20" s="981">
        <f t="shared" si="2"/>
        <v>2009</v>
      </c>
      <c r="AR20" s="977">
        <f t="shared" si="4"/>
        <v>19085.5</v>
      </c>
      <c r="AS20" s="978" t="str">
        <f t="shared" si="5"/>
        <v>Flaming Grain</v>
      </c>
    </row>
    <row r="21" spans="1:45" ht="10.15" customHeight="1">
      <c r="A21" s="195" t="s">
        <v>696</v>
      </c>
      <c r="B21" s="1218"/>
      <c r="C21" s="702"/>
      <c r="D21" s="702">
        <f>'4.3.23'!E9</f>
        <v>1776.5</v>
      </c>
      <c r="E21" s="702"/>
      <c r="F21" s="702"/>
      <c r="G21" s="702"/>
      <c r="H21" s="702">
        <f>'4.7.23'!E8</f>
        <v>2831</v>
      </c>
      <c r="I21" s="702"/>
      <c r="J21" s="702"/>
      <c r="K21" s="252"/>
      <c r="L21" s="252"/>
      <c r="M21" s="252"/>
      <c r="N21" s="252"/>
      <c r="O21" s="252"/>
      <c r="P21" s="252"/>
      <c r="Q21" s="252"/>
      <c r="R21" s="702"/>
      <c r="S21" s="702"/>
      <c r="T21" s="702"/>
      <c r="U21" s="702"/>
      <c r="V21" s="702">
        <f>'4.21.23'!E18</f>
        <v>3372.5</v>
      </c>
      <c r="W21" s="702"/>
      <c r="X21" s="702">
        <f>'4.23.23'!E7</f>
        <v>4047</v>
      </c>
      <c r="Y21" s="252"/>
      <c r="Z21" s="252"/>
      <c r="AA21" s="252"/>
      <c r="AB21" s="252"/>
      <c r="AC21" s="252"/>
      <c r="AD21" s="252"/>
      <c r="AE21" s="252"/>
      <c r="AF21" s="189">
        <f t="shared" si="0"/>
        <v>12027</v>
      </c>
      <c r="AG21" s="961">
        <f>100000-AF21</f>
        <v>87973</v>
      </c>
      <c r="AH21" s="194" t="str">
        <f t="shared" si="1"/>
        <v>Go Fusion</v>
      </c>
      <c r="AJ21" s="234">
        <f t="shared" si="3"/>
        <v>12027</v>
      </c>
      <c r="AK21" s="316">
        <f>COUNT(B21:N21)</f>
        <v>2</v>
      </c>
      <c r="AN21" s="234"/>
      <c r="AO21" s="234"/>
      <c r="AP21" s="979">
        <v>19</v>
      </c>
      <c r="AQ21" s="981">
        <f t="shared" si="2"/>
        <v>1266</v>
      </c>
      <c r="AR21" s="977">
        <f t="shared" si="4"/>
        <v>12027</v>
      </c>
      <c r="AS21" s="978" t="str">
        <f t="shared" si="5"/>
        <v>Go Fusion</v>
      </c>
    </row>
    <row r="22" spans="1:45" ht="9" customHeight="1">
      <c r="A22" s="195" t="s">
        <v>129</v>
      </c>
      <c r="B22" s="1218"/>
      <c r="C22" s="252"/>
      <c r="D22" s="252"/>
      <c r="E22" s="252"/>
      <c r="F22" s="252"/>
      <c r="G22" s="252"/>
      <c r="H22" s="252"/>
      <c r="I22" s="252"/>
      <c r="J22" s="252"/>
      <c r="K22" s="252"/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  <c r="AA22" s="252"/>
      <c r="AB22" s="252"/>
      <c r="AC22" s="252"/>
      <c r="AD22" s="252"/>
      <c r="AE22" s="252"/>
      <c r="AF22" s="189">
        <f t="shared" si="0"/>
        <v>0</v>
      </c>
      <c r="AG22" s="961">
        <f>100000-AF22</f>
        <v>100000</v>
      </c>
      <c r="AH22" s="194" t="str">
        <f t="shared" si="1"/>
        <v>Good East and Vibes</v>
      </c>
      <c r="AJ22" s="234">
        <f t="shared" si="3"/>
        <v>0</v>
      </c>
      <c r="AK22" s="316">
        <f>COUNT(B22:N22)</f>
        <v>0</v>
      </c>
      <c r="AN22" s="234">
        <v>11600</v>
      </c>
      <c r="AO22" s="234"/>
      <c r="AP22" s="979">
        <v>20</v>
      </c>
      <c r="AQ22" s="981">
        <f t="shared" si="2"/>
        <v>0</v>
      </c>
      <c r="AR22" s="977">
        <f t="shared" si="4"/>
        <v>0</v>
      </c>
      <c r="AS22" s="978" t="str">
        <f t="shared" si="5"/>
        <v>Good East and Vibes</v>
      </c>
    </row>
    <row r="23" spans="1:45" ht="10.15" customHeight="1">
      <c r="A23" s="195" t="s">
        <v>238</v>
      </c>
      <c r="B23" s="1218"/>
      <c r="C23" s="702"/>
      <c r="D23" s="702"/>
      <c r="E23" s="702">
        <f>'4.4.23'!E8+'4.4.23'!E17</f>
        <v>5481.5</v>
      </c>
      <c r="F23" s="702"/>
      <c r="G23" s="702"/>
      <c r="H23" s="702"/>
      <c r="I23" s="702"/>
      <c r="J23" s="702">
        <f>'4.9.23'!E7</f>
        <v>3116</v>
      </c>
      <c r="K23" s="738"/>
      <c r="L23" s="738"/>
      <c r="M23" s="738"/>
      <c r="N23" s="738">
        <f>'4.13.23'!E29</f>
        <v>1862</v>
      </c>
      <c r="O23" s="738"/>
      <c r="P23" s="738"/>
      <c r="Q23" s="738">
        <f>'4.16.23'!E29</f>
        <v>2536.5</v>
      </c>
      <c r="R23" s="702"/>
      <c r="S23" s="702"/>
      <c r="T23" s="702"/>
      <c r="U23" s="702">
        <f>'4.20.23'!E17</f>
        <v>2859.5</v>
      </c>
      <c r="V23" s="702"/>
      <c r="W23" s="702"/>
      <c r="X23" s="702"/>
      <c r="Y23" s="252"/>
      <c r="Z23" s="252"/>
      <c r="AA23" s="252"/>
      <c r="AB23" s="252"/>
      <c r="AC23" s="252">
        <f>'4.28.23'!E18</f>
        <v>2080.5</v>
      </c>
      <c r="AD23" s="252"/>
      <c r="AE23" s="252"/>
      <c r="AF23" s="189">
        <f t="shared" si="0"/>
        <v>17936</v>
      </c>
      <c r="AG23" s="961">
        <f>100000-AF23</f>
        <v>82064</v>
      </c>
      <c r="AH23" s="194" t="str">
        <f t="shared" si="1"/>
        <v>Habibi Shack</v>
      </c>
      <c r="AJ23" s="234">
        <f t="shared" si="3"/>
        <v>17936</v>
      </c>
      <c r="AK23" s="316">
        <f>COUNT(B23:N23)+4</f>
        <v>7</v>
      </c>
      <c r="AN23" s="234">
        <v>38069</v>
      </c>
      <c r="AO23" s="234"/>
      <c r="AP23" s="979">
        <v>21</v>
      </c>
      <c r="AQ23" s="981">
        <f t="shared" si="2"/>
        <v>1888</v>
      </c>
      <c r="AR23" s="977">
        <f t="shared" si="4"/>
        <v>17936</v>
      </c>
      <c r="AS23" s="978" t="str">
        <f t="shared" si="5"/>
        <v>Habibi Shack</v>
      </c>
    </row>
    <row r="24" spans="1:45" ht="10.15" customHeight="1">
      <c r="A24" s="195" t="s">
        <v>790</v>
      </c>
      <c r="B24" s="1218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189">
        <f t="shared" si="0"/>
        <v>0</v>
      </c>
      <c r="AG24" s="189">
        <v>99000</v>
      </c>
      <c r="AH24" s="194" t="str">
        <f t="shared" si="1"/>
        <v>Heritage Kitchen</v>
      </c>
      <c r="AJ24" s="234">
        <f t="shared" si="3"/>
        <v>0</v>
      </c>
      <c r="AK24" s="316">
        <f>COUNT(B24:N24)</f>
        <v>0</v>
      </c>
      <c r="AN24" s="234"/>
      <c r="AO24" s="234"/>
      <c r="AP24" s="979">
        <v>22</v>
      </c>
      <c r="AQ24" s="981">
        <f t="shared" si="2"/>
        <v>0</v>
      </c>
      <c r="AR24" s="977">
        <f t="shared" si="4"/>
        <v>0</v>
      </c>
      <c r="AS24" s="978" t="str">
        <f t="shared" si="5"/>
        <v>Heritage Kitchen</v>
      </c>
    </row>
    <row r="25" spans="1:45" ht="10.15" customHeight="1">
      <c r="A25" s="195" t="s">
        <v>328</v>
      </c>
      <c r="B25" s="1218"/>
      <c r="C25" s="252"/>
      <c r="D25" s="252"/>
      <c r="E25" s="252"/>
      <c r="F25" s="252"/>
      <c r="G25" s="252"/>
      <c r="H25" s="252"/>
      <c r="I25" s="252"/>
      <c r="J25" s="252"/>
      <c r="K25" s="738"/>
      <c r="L25" s="738">
        <f>'4.11.23'!E9</f>
        <v>2821.5</v>
      </c>
      <c r="M25" s="738"/>
      <c r="N25" s="738"/>
      <c r="O25" s="738"/>
      <c r="P25" s="738"/>
      <c r="Q25" s="738"/>
      <c r="R25" s="702"/>
      <c r="S25" s="702"/>
      <c r="T25" s="702">
        <f>'4.19.23'!E19</f>
        <v>3657.5</v>
      </c>
      <c r="U25" s="702"/>
      <c r="V25" s="702"/>
      <c r="W25" s="702"/>
      <c r="X25" s="702"/>
      <c r="Y25" s="252"/>
      <c r="Z25" s="252"/>
      <c r="AA25" s="252"/>
      <c r="AB25" s="252"/>
      <c r="AC25" s="252"/>
      <c r="AD25" s="252"/>
      <c r="AE25" s="252"/>
      <c r="AF25" s="189">
        <f t="shared" si="0"/>
        <v>6479</v>
      </c>
      <c r="AG25" s="189">
        <v>99000</v>
      </c>
      <c r="AH25" s="194" t="str">
        <f t="shared" si="1"/>
        <v>Heritage LA</v>
      </c>
      <c r="AJ25" s="234">
        <f t="shared" si="3"/>
        <v>6479</v>
      </c>
      <c r="AK25" s="316">
        <f>COUNT(B25:N25)</f>
        <v>1</v>
      </c>
      <c r="AN25" s="234"/>
      <c r="AO25" s="234"/>
      <c r="AP25" s="979">
        <v>23</v>
      </c>
      <c r="AQ25" s="981">
        <f t="shared" si="2"/>
        <v>682</v>
      </c>
      <c r="AR25" s="977">
        <f t="shared" si="4"/>
        <v>6479</v>
      </c>
      <c r="AS25" s="978" t="str">
        <f t="shared" si="5"/>
        <v>Heritage LA</v>
      </c>
    </row>
    <row r="26" spans="1:45" ht="9" customHeight="1">
      <c r="A26" s="195" t="s">
        <v>53</v>
      </c>
      <c r="B26" s="1218"/>
      <c r="C26" s="702">
        <f>'4.2.23'!E27</f>
        <v>1490</v>
      </c>
      <c r="D26" s="702"/>
      <c r="E26" s="702">
        <f>'4.4.23'!E29</f>
        <v>2320</v>
      </c>
      <c r="F26" s="702"/>
      <c r="G26" s="702"/>
      <c r="H26" s="702"/>
      <c r="I26" s="702"/>
      <c r="J26" s="702"/>
      <c r="K26" s="738"/>
      <c r="L26" s="738">
        <f>'4.11.23'!E29</f>
        <v>1950</v>
      </c>
      <c r="M26" s="738"/>
      <c r="N26" s="738"/>
      <c r="O26" s="738"/>
      <c r="P26" s="738"/>
      <c r="Q26" s="738"/>
      <c r="R26" s="252"/>
      <c r="S26" s="252"/>
      <c r="T26" s="252"/>
      <c r="U26" s="252"/>
      <c r="V26" s="252"/>
      <c r="W26" s="252"/>
      <c r="X26" s="252"/>
      <c r="Y26" s="252"/>
      <c r="Z26" s="252"/>
      <c r="AA26" s="252"/>
      <c r="AB26" s="252"/>
      <c r="AC26" s="252"/>
      <c r="AD26" s="252"/>
      <c r="AE26" s="252">
        <f>'4.30.23'!E27</f>
        <v>2660</v>
      </c>
      <c r="AF26" s="189">
        <f t="shared" si="0"/>
        <v>8420</v>
      </c>
      <c r="AG26" s="358">
        <f>350000-AF26+700000</f>
        <v>1041580</v>
      </c>
      <c r="AH26" s="194" t="str">
        <f t="shared" si="1"/>
        <v>Kogi</v>
      </c>
      <c r="AJ26" s="234">
        <f t="shared" si="3"/>
        <v>8420</v>
      </c>
      <c r="AK26" s="316">
        <f>COUNT(B26:N26)+9</f>
        <v>12</v>
      </c>
      <c r="AN26" s="234">
        <v>500</v>
      </c>
      <c r="AO26" s="234"/>
      <c r="AP26" s="979">
        <v>24</v>
      </c>
      <c r="AQ26" s="981">
        <f t="shared" si="2"/>
        <v>886.31578947368416</v>
      </c>
      <c r="AR26" s="977">
        <f t="shared" si="4"/>
        <v>8420</v>
      </c>
      <c r="AS26" s="978" t="str">
        <f t="shared" si="5"/>
        <v>Kogi</v>
      </c>
    </row>
    <row r="27" spans="1:45" ht="10.15" customHeight="1">
      <c r="A27" s="515" t="s">
        <v>267</v>
      </c>
      <c r="B27" s="1218"/>
      <c r="C27" s="702"/>
      <c r="D27" s="702"/>
      <c r="E27" s="702"/>
      <c r="F27" s="702">
        <f>'4.5.23'!E17+'4.5.23'!E27</f>
        <v>6089.5</v>
      </c>
      <c r="G27" s="702"/>
      <c r="H27" s="702"/>
      <c r="I27" s="702">
        <f>'4.8.23'!E18</f>
        <v>3572</v>
      </c>
      <c r="J27" s="702"/>
      <c r="K27" s="738"/>
      <c r="L27" s="738"/>
      <c r="M27" s="738">
        <f>'4.12.23'!E7 + '4.12.23'!E17</f>
        <v>7191.5</v>
      </c>
      <c r="N27" s="738"/>
      <c r="O27" s="738">
        <f>'4.14.23'!E9</f>
        <v>2869</v>
      </c>
      <c r="P27" s="738">
        <f>'4.15.23'!E9</f>
        <v>2840.5</v>
      </c>
      <c r="Q27" s="738"/>
      <c r="R27" s="702">
        <f>'4.17.23'!E9</f>
        <v>2555.5</v>
      </c>
      <c r="S27" s="702"/>
      <c r="T27" s="702"/>
      <c r="U27" s="702"/>
      <c r="V27" s="702"/>
      <c r="W27" s="702"/>
      <c r="X27" s="702"/>
      <c r="Y27" s="252"/>
      <c r="Z27" s="252"/>
      <c r="AA27" s="252">
        <f>'4.26.23'!E7</f>
        <v>3610</v>
      </c>
      <c r="AB27" s="252"/>
      <c r="AC27" s="252">
        <f>'4.28.23'!E8</f>
        <v>3610</v>
      </c>
      <c r="AD27" s="252"/>
      <c r="AE27" s="252">
        <f>'4.30.23'!E17</f>
        <v>4303.5</v>
      </c>
      <c r="AF27" s="189">
        <f t="shared" si="0"/>
        <v>36641.5</v>
      </c>
      <c r="AG27" s="961">
        <f>100000-AF27</f>
        <v>63358.5</v>
      </c>
      <c r="AH27" s="988" t="str">
        <f t="shared" si="1"/>
        <v>Love Greek Cuisine/Kalamaki Greek LA</v>
      </c>
      <c r="AJ27" s="234">
        <f t="shared" si="3"/>
        <v>36641.5</v>
      </c>
      <c r="AK27" s="316">
        <f>COUNT(B27:N27)+2</f>
        <v>5</v>
      </c>
      <c r="AN27" s="234">
        <v>362210.5</v>
      </c>
      <c r="AO27" s="234"/>
      <c r="AP27" s="979">
        <v>25</v>
      </c>
      <c r="AQ27" s="981">
        <f t="shared" si="2"/>
        <v>3857</v>
      </c>
      <c r="AR27" s="977">
        <f t="shared" si="4"/>
        <v>36641.5</v>
      </c>
      <c r="AS27" s="978" t="str">
        <f t="shared" si="5"/>
        <v>Love Greek Cuisine/Kalamaki Greek LA</v>
      </c>
    </row>
    <row r="28" spans="1:45" ht="10.15" customHeight="1">
      <c r="A28" s="195" t="s">
        <v>234</v>
      </c>
      <c r="B28" s="1218"/>
      <c r="C28" s="252"/>
      <c r="D28" s="252"/>
      <c r="E28" s="252"/>
      <c r="F28" s="252"/>
      <c r="G28" s="252"/>
      <c r="H28" s="252"/>
      <c r="I28" s="252"/>
      <c r="J28" s="252"/>
      <c r="K28" s="252"/>
      <c r="L28" s="252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  <c r="AA28" s="252"/>
      <c r="AB28" s="252"/>
      <c r="AC28" s="252"/>
      <c r="AD28" s="252"/>
      <c r="AE28" s="252"/>
      <c r="AF28" s="189">
        <f t="shared" si="0"/>
        <v>0</v>
      </c>
      <c r="AG28" s="961">
        <f>100000-AF28</f>
        <v>100000</v>
      </c>
      <c r="AH28" s="194" t="str">
        <f t="shared" si="1"/>
        <v>Manna From Heaven</v>
      </c>
      <c r="AJ28" s="234">
        <f t="shared" si="3"/>
        <v>0</v>
      </c>
      <c r="AK28" s="316">
        <f t="shared" ref="AK28:AK33" si="6">COUNT(B28:N28)</f>
        <v>0</v>
      </c>
      <c r="AN28" s="234">
        <v>8000</v>
      </c>
      <c r="AO28" s="234"/>
      <c r="AP28" s="979">
        <v>26</v>
      </c>
      <c r="AQ28" s="981">
        <f t="shared" si="2"/>
        <v>0</v>
      </c>
      <c r="AR28" s="977">
        <f t="shared" si="4"/>
        <v>0</v>
      </c>
      <c r="AS28" s="978" t="str">
        <f t="shared" si="5"/>
        <v>Manna From Heaven</v>
      </c>
    </row>
    <row r="29" spans="1:45" ht="9.6" customHeight="1">
      <c r="A29" s="195" t="s">
        <v>265</v>
      </c>
      <c r="B29" s="1218"/>
      <c r="C29" s="252"/>
      <c r="D29" s="252"/>
      <c r="E29" s="252"/>
      <c r="F29" s="252"/>
      <c r="G29" s="252"/>
      <c r="H29" s="252"/>
      <c r="I29" s="252"/>
      <c r="J29" s="252"/>
      <c r="K29" s="252"/>
      <c r="L29" s="252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  <c r="AA29" s="252"/>
      <c r="AB29" s="252"/>
      <c r="AC29" s="252"/>
      <c r="AD29" s="252"/>
      <c r="AE29" s="252"/>
      <c r="AF29" s="189">
        <f t="shared" si="0"/>
        <v>0</v>
      </c>
      <c r="AG29" s="961">
        <f>100000-AF29</f>
        <v>100000</v>
      </c>
      <c r="AH29" s="194" t="str">
        <f t="shared" si="1"/>
        <v>Messi Burgers</v>
      </c>
      <c r="AJ29" s="234">
        <f t="shared" si="3"/>
        <v>0</v>
      </c>
      <c r="AK29" s="316">
        <f t="shared" si="6"/>
        <v>0</v>
      </c>
      <c r="AN29" s="234">
        <v>27987</v>
      </c>
      <c r="AO29" s="234"/>
      <c r="AP29" s="979">
        <v>27</v>
      </c>
      <c r="AQ29" s="981">
        <f t="shared" si="2"/>
        <v>0</v>
      </c>
      <c r="AR29" s="977">
        <f t="shared" si="4"/>
        <v>0</v>
      </c>
      <c r="AS29" s="978" t="str">
        <f t="shared" si="5"/>
        <v>Messi Burgers</v>
      </c>
    </row>
    <row r="30" spans="1:45" ht="9.6" customHeight="1">
      <c r="A30" s="195" t="s">
        <v>69</v>
      </c>
      <c r="B30" s="1218"/>
      <c r="C30" s="252"/>
      <c r="D30" s="252"/>
      <c r="E30" s="252"/>
      <c r="F30" s="252"/>
      <c r="G30" s="252"/>
      <c r="H30" s="252"/>
      <c r="I30" s="252"/>
      <c r="J30" s="252"/>
      <c r="K30" s="252"/>
      <c r="L30" s="252"/>
      <c r="M30" s="252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  <c r="AA30" s="252"/>
      <c r="AB30" s="252"/>
      <c r="AC30" s="252"/>
      <c r="AD30" s="252"/>
      <c r="AE30" s="252"/>
      <c r="AF30" s="189">
        <f t="shared" si="0"/>
        <v>0</v>
      </c>
      <c r="AG30" s="961">
        <f>100000-AF30</f>
        <v>100000</v>
      </c>
      <c r="AH30" s="194" t="str">
        <f t="shared" si="1"/>
        <v>Mikhuna</v>
      </c>
      <c r="AJ30" s="234">
        <f t="shared" si="3"/>
        <v>0</v>
      </c>
      <c r="AK30" s="316">
        <f t="shared" si="6"/>
        <v>0</v>
      </c>
      <c r="AN30" s="234">
        <v>34678.5</v>
      </c>
      <c r="AO30" s="234"/>
      <c r="AP30" s="979">
        <v>28</v>
      </c>
      <c r="AQ30" s="981">
        <f t="shared" si="2"/>
        <v>0</v>
      </c>
      <c r="AR30" s="977">
        <f t="shared" si="4"/>
        <v>0</v>
      </c>
      <c r="AS30" s="978" t="str">
        <f t="shared" si="5"/>
        <v>Mikhuna</v>
      </c>
    </row>
    <row r="31" spans="1:45" ht="9.6" customHeight="1">
      <c r="A31" s="195" t="s">
        <v>76</v>
      </c>
      <c r="B31" s="1218"/>
      <c r="C31" s="252"/>
      <c r="D31" s="252"/>
      <c r="E31" s="252"/>
      <c r="F31" s="252"/>
      <c r="G31" s="252"/>
      <c r="H31" s="252"/>
      <c r="I31" s="252"/>
      <c r="J31" s="252"/>
      <c r="K31" s="252"/>
      <c r="L31" s="252"/>
      <c r="M31" s="252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  <c r="AA31" s="252"/>
      <c r="AB31" s="252"/>
      <c r="AC31" s="252"/>
      <c r="AD31" s="252"/>
      <c r="AE31" s="252"/>
      <c r="AF31" s="189">
        <f t="shared" si="0"/>
        <v>0</v>
      </c>
      <c r="AG31" s="961">
        <f>449000-AF31+350000</f>
        <v>799000</v>
      </c>
      <c r="AH31" s="194" t="str">
        <f t="shared" si="1"/>
        <v>ML Eats Burger</v>
      </c>
      <c r="AJ31" s="234">
        <f t="shared" si="3"/>
        <v>0</v>
      </c>
      <c r="AK31" s="316">
        <f t="shared" si="6"/>
        <v>0</v>
      </c>
      <c r="AN31" s="234">
        <v>2774</v>
      </c>
      <c r="AO31" s="234"/>
      <c r="AP31" s="979">
        <v>29</v>
      </c>
      <c r="AQ31" s="981">
        <f t="shared" si="2"/>
        <v>0</v>
      </c>
      <c r="AR31" s="977">
        <f t="shared" si="4"/>
        <v>0</v>
      </c>
      <c r="AS31" s="978" t="str">
        <f t="shared" si="5"/>
        <v>ML Eats Burger</v>
      </c>
    </row>
    <row r="32" spans="1:45" ht="9.6" customHeight="1">
      <c r="A32" s="195" t="s">
        <v>335</v>
      </c>
      <c r="B32" s="1218"/>
      <c r="C32" s="252"/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  <c r="AA32" s="252"/>
      <c r="AB32" s="252"/>
      <c r="AC32" s="252"/>
      <c r="AD32" s="252"/>
      <c r="AE32" s="252"/>
      <c r="AF32" s="189">
        <f t="shared" si="0"/>
        <v>0</v>
      </c>
      <c r="AG32" s="189">
        <v>99000</v>
      </c>
      <c r="AH32" s="194" t="str">
        <f t="shared" si="1"/>
        <v>Mumu's</v>
      </c>
      <c r="AJ32" s="234">
        <f t="shared" si="3"/>
        <v>0</v>
      </c>
      <c r="AK32" s="316">
        <f t="shared" si="6"/>
        <v>0</v>
      </c>
      <c r="AN32" s="234"/>
      <c r="AO32" s="234"/>
      <c r="AP32" s="979">
        <v>30</v>
      </c>
      <c r="AQ32" s="981">
        <f t="shared" si="2"/>
        <v>0</v>
      </c>
      <c r="AR32" s="977">
        <f t="shared" si="4"/>
        <v>0</v>
      </c>
      <c r="AS32" s="978" t="str">
        <f t="shared" si="5"/>
        <v>Mumu's</v>
      </c>
    </row>
    <row r="33" spans="1:45" ht="10.15" customHeight="1">
      <c r="A33" s="195" t="s">
        <v>186</v>
      </c>
      <c r="B33" s="1218"/>
      <c r="C33" s="252"/>
      <c r="D33" s="252"/>
      <c r="E33" s="252"/>
      <c r="F33" s="252"/>
      <c r="G33" s="252"/>
      <c r="H33" s="252"/>
      <c r="I33" s="252"/>
      <c r="J33" s="252"/>
      <c r="K33" s="252"/>
      <c r="L33" s="252"/>
      <c r="M33" s="252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  <c r="AA33" s="252"/>
      <c r="AB33" s="252"/>
      <c r="AC33" s="252"/>
      <c r="AD33" s="252"/>
      <c r="AE33" s="252"/>
      <c r="AF33" s="189">
        <f t="shared" si="0"/>
        <v>0</v>
      </c>
      <c r="AG33" s="961">
        <f>100000-AF33</f>
        <v>100000</v>
      </c>
      <c r="AH33" s="194" t="str">
        <f t="shared" si="1"/>
        <v>Ohana Hibachi</v>
      </c>
      <c r="AJ33" s="234">
        <f t="shared" si="3"/>
        <v>0</v>
      </c>
      <c r="AK33" s="316">
        <f t="shared" si="6"/>
        <v>0</v>
      </c>
      <c r="AN33" s="234">
        <v>29265</v>
      </c>
      <c r="AO33" s="234"/>
      <c r="AP33" s="979">
        <v>31</v>
      </c>
      <c r="AQ33" s="981">
        <f t="shared" si="2"/>
        <v>0</v>
      </c>
      <c r="AR33" s="977">
        <f t="shared" si="4"/>
        <v>0</v>
      </c>
      <c r="AS33" s="978" t="str">
        <f t="shared" si="5"/>
        <v>Ohana Hibachi</v>
      </c>
    </row>
    <row r="34" spans="1:45" ht="10.15" customHeight="1">
      <c r="A34" s="195" t="s">
        <v>44</v>
      </c>
      <c r="B34" s="1218"/>
      <c r="C34" s="252"/>
      <c r="D34" s="252"/>
      <c r="E34" s="252"/>
      <c r="F34" s="252"/>
      <c r="G34" s="252"/>
      <c r="H34" s="252"/>
      <c r="I34" s="252"/>
      <c r="J34" s="252"/>
      <c r="K34" s="738"/>
      <c r="L34" s="738"/>
      <c r="M34" s="738"/>
      <c r="N34" s="738">
        <f>'4.13.23'!E9</f>
        <v>2660</v>
      </c>
      <c r="O34" s="738"/>
      <c r="P34" s="738"/>
      <c r="Q34" s="738"/>
      <c r="R34" s="702"/>
      <c r="S34" s="702">
        <f>'4.18.23'!E19</f>
        <v>3515</v>
      </c>
      <c r="T34" s="702"/>
      <c r="U34" s="702"/>
      <c r="V34" s="702"/>
      <c r="W34" s="702"/>
      <c r="X34" s="702">
        <f>'4.23.23'!E17</f>
        <v>4180</v>
      </c>
      <c r="Y34" s="252"/>
      <c r="Z34" s="252"/>
      <c r="AA34" s="252"/>
      <c r="AB34" s="252"/>
      <c r="AC34" s="252"/>
      <c r="AD34" s="252"/>
      <c r="AE34" s="252">
        <f>'4.30.23'!E18</f>
        <v>4588.5</v>
      </c>
      <c r="AF34" s="189">
        <f t="shared" si="0"/>
        <v>14943.5</v>
      </c>
      <c r="AG34" s="961">
        <f>100000-AF34</f>
        <v>85056.5</v>
      </c>
      <c r="AH34" s="194" t="str">
        <f t="shared" si="1"/>
        <v>Original Herbivore</v>
      </c>
      <c r="AJ34" s="234">
        <f t="shared" si="3"/>
        <v>14943.5</v>
      </c>
      <c r="AK34" s="316">
        <f>COUNT(B34:N34)+4</f>
        <v>5</v>
      </c>
      <c r="AN34" s="234">
        <v>96200</v>
      </c>
      <c r="AO34" s="234"/>
      <c r="AP34" s="979">
        <v>32</v>
      </c>
      <c r="AQ34" s="981">
        <f t="shared" si="2"/>
        <v>1573</v>
      </c>
      <c r="AR34" s="977">
        <f t="shared" si="4"/>
        <v>14943.5</v>
      </c>
      <c r="AS34" s="978" t="str">
        <f t="shared" si="5"/>
        <v>Original Herbivore</v>
      </c>
    </row>
    <row r="35" spans="1:45" ht="10.15" customHeight="1">
      <c r="A35" s="195" t="s">
        <v>143</v>
      </c>
      <c r="B35" s="1218"/>
      <c r="C35" s="252"/>
      <c r="D35" s="252"/>
      <c r="E35" s="252"/>
      <c r="F35" s="252"/>
      <c r="G35" s="252"/>
      <c r="H35" s="252"/>
      <c r="I35" s="252"/>
      <c r="J35" s="252"/>
      <c r="K35" s="252"/>
      <c r="L35" s="252"/>
      <c r="M35" s="252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  <c r="AA35" s="252"/>
      <c r="AB35" s="252"/>
      <c r="AC35" s="252"/>
      <c r="AD35" s="252"/>
      <c r="AE35" s="252"/>
      <c r="AF35" s="189">
        <f t="shared" ref="AF35:AF63" si="7">SUM(B35:AE35)</f>
        <v>0</v>
      </c>
      <c r="AG35" s="961">
        <f>100000-AF35+350000+350000</f>
        <v>800000</v>
      </c>
      <c r="AH35" s="194" t="str">
        <f t="shared" ref="AH35:AH60" si="8">A35</f>
        <v>Pacifico Charbroiled</v>
      </c>
      <c r="AJ35" s="234">
        <f t="shared" si="3"/>
        <v>0</v>
      </c>
      <c r="AK35" s="316">
        <f>COUNT(B35:N35)+4</f>
        <v>4</v>
      </c>
      <c r="AN35" s="234">
        <v>23730</v>
      </c>
      <c r="AO35" s="234"/>
      <c r="AP35" s="979">
        <v>33</v>
      </c>
      <c r="AQ35" s="981">
        <f t="shared" si="2"/>
        <v>0</v>
      </c>
      <c r="AR35" s="977">
        <f t="shared" si="4"/>
        <v>0</v>
      </c>
      <c r="AS35" s="978" t="str">
        <f t="shared" si="5"/>
        <v>Pacifico Charbroiled</v>
      </c>
    </row>
    <row r="36" spans="1:45" ht="10.15" customHeight="1">
      <c r="A36" s="515" t="s">
        <v>242</v>
      </c>
      <c r="B36" s="1218"/>
      <c r="C36" s="702">
        <f>'4.2.23'!E28</f>
        <v>1776.5</v>
      </c>
      <c r="D36" s="702"/>
      <c r="E36" s="702"/>
      <c r="F36" s="702"/>
      <c r="G36" s="702"/>
      <c r="H36" s="702"/>
      <c r="I36" s="702"/>
      <c r="J36" s="702"/>
      <c r="K36" s="252"/>
      <c r="L36" s="252"/>
      <c r="M36" s="252"/>
      <c r="N36" s="252"/>
      <c r="O36" s="252"/>
      <c r="P36" s="252"/>
      <c r="Q36" s="252"/>
      <c r="R36" s="702">
        <f>'4.17.23'!E28</f>
        <v>4465</v>
      </c>
      <c r="S36" s="702"/>
      <c r="T36" s="702"/>
      <c r="U36" s="702"/>
      <c r="V36" s="702"/>
      <c r="W36" s="702"/>
      <c r="X36" s="702"/>
      <c r="Y36" s="252"/>
      <c r="Z36" s="252"/>
      <c r="AA36" s="252">
        <f>'4.26.23'!E28</f>
        <v>4731</v>
      </c>
      <c r="AB36" s="252"/>
      <c r="AC36" s="252"/>
      <c r="AD36" s="252"/>
      <c r="AE36" s="252"/>
      <c r="AF36" s="189">
        <f t="shared" si="7"/>
        <v>10972.5</v>
      </c>
      <c r="AG36" s="961">
        <f>100000-AF36+350000+350000</f>
        <v>789027.5</v>
      </c>
      <c r="AH36" s="988" t="str">
        <f t="shared" si="8"/>
        <v>Paradise Cookies &amp; Ice Cream</v>
      </c>
      <c r="AJ36" s="234">
        <f t="shared" si="3"/>
        <v>10972.5</v>
      </c>
      <c r="AK36" s="316">
        <f>COUNT(B36:N36)</f>
        <v>1</v>
      </c>
      <c r="AN36" s="234">
        <v>122348</v>
      </c>
      <c r="AO36" s="234"/>
      <c r="AP36" s="979">
        <v>34</v>
      </c>
      <c r="AQ36" s="981">
        <f t="shared" si="2"/>
        <v>1155</v>
      </c>
      <c r="AR36" s="977">
        <f t="shared" si="4"/>
        <v>10972.5</v>
      </c>
      <c r="AS36" s="978" t="str">
        <f t="shared" si="5"/>
        <v>Paradise Cookies &amp; Ice Cream</v>
      </c>
    </row>
    <row r="37" spans="1:45" ht="10.15" customHeight="1">
      <c r="A37" s="195" t="s">
        <v>246</v>
      </c>
      <c r="B37" s="1218"/>
      <c r="C37" s="702"/>
      <c r="D37" s="702">
        <f>'4.3.23'!E18</f>
        <v>7476.5</v>
      </c>
      <c r="E37" s="702"/>
      <c r="F37" s="702"/>
      <c r="G37" s="702"/>
      <c r="H37" s="702"/>
      <c r="I37" s="702">
        <f>'4.8.23'!E17 + '4.8.23'!E27</f>
        <v>10203</v>
      </c>
      <c r="J37" s="702"/>
      <c r="K37" s="738"/>
      <c r="L37" s="738"/>
      <c r="M37" s="738"/>
      <c r="N37" s="738"/>
      <c r="O37" s="738"/>
      <c r="P37" s="738">
        <f>'4.15.23'!E17 +'4.15.23'!E27</f>
        <v>11314.5</v>
      </c>
      <c r="Q37" s="738"/>
      <c r="R37" s="702"/>
      <c r="S37" s="702">
        <f>'4.18.23'!E7+'4.18.23'!E17</f>
        <v>14250</v>
      </c>
      <c r="T37" s="702"/>
      <c r="U37" s="702"/>
      <c r="V37" s="702"/>
      <c r="W37" s="702">
        <f>'4.22.23'!E8</f>
        <v>6422</v>
      </c>
      <c r="X37" s="702"/>
      <c r="Y37" s="252"/>
      <c r="Z37" s="252">
        <f>'4.25.23'!E17</f>
        <v>8768.5</v>
      </c>
      <c r="AA37" s="252"/>
      <c r="AB37" s="252"/>
      <c r="AC37" s="252">
        <f>'4.28.23'!E7</f>
        <v>7191.5</v>
      </c>
      <c r="AD37" s="252"/>
      <c r="AE37" s="252"/>
      <c r="AF37" s="189">
        <f t="shared" si="7"/>
        <v>65626</v>
      </c>
      <c r="AG37" s="961">
        <f>100000-AF37+350000</f>
        <v>384374</v>
      </c>
      <c r="AH37" s="194" t="str">
        <f t="shared" si="8"/>
        <v>Perro 1-10 Tacos</v>
      </c>
      <c r="AJ37" s="234">
        <f t="shared" si="3"/>
        <v>65626</v>
      </c>
      <c r="AK37" s="316">
        <f>COUNT(B37:N37)+18</f>
        <v>20</v>
      </c>
      <c r="AN37" s="234">
        <v>197247.5</v>
      </c>
      <c r="AO37" s="234"/>
      <c r="AP37" s="979">
        <v>35</v>
      </c>
      <c r="AQ37" s="981">
        <f t="shared" si="2"/>
        <v>6908</v>
      </c>
      <c r="AR37" s="977">
        <f t="shared" si="4"/>
        <v>65626</v>
      </c>
      <c r="AS37" s="978" t="str">
        <f t="shared" si="5"/>
        <v>Perro 1-10 Tacos</v>
      </c>
    </row>
    <row r="38" spans="1:45" ht="10.15" customHeight="1">
      <c r="A38" s="195" t="s">
        <v>66</v>
      </c>
      <c r="B38" s="1218"/>
      <c r="C38" s="252"/>
      <c r="D38" s="252"/>
      <c r="E38" s="252"/>
      <c r="F38" s="252"/>
      <c r="G38" s="252"/>
      <c r="H38" s="252"/>
      <c r="I38" s="252"/>
      <c r="J38" s="252"/>
      <c r="K38" s="252"/>
      <c r="L38" s="252"/>
      <c r="M38" s="252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  <c r="AA38" s="252"/>
      <c r="AB38" s="252"/>
      <c r="AC38" s="252"/>
      <c r="AD38" s="252"/>
      <c r="AE38" s="252"/>
      <c r="AF38" s="189">
        <f t="shared" si="7"/>
        <v>0</v>
      </c>
      <c r="AG38" s="961">
        <f>100000-AF38+350000</f>
        <v>450000</v>
      </c>
      <c r="AH38" s="194" t="str">
        <f t="shared" si="8"/>
        <v>PhillyJay's Steaks</v>
      </c>
      <c r="AJ38" s="234">
        <f t="shared" si="3"/>
        <v>0</v>
      </c>
      <c r="AK38" s="316">
        <f>COUNT(B38:N38)+2</f>
        <v>2</v>
      </c>
      <c r="AN38" s="234">
        <v>192935</v>
      </c>
      <c r="AO38" s="234"/>
      <c r="AP38" s="979">
        <v>36</v>
      </c>
      <c r="AQ38" s="981">
        <f t="shared" si="2"/>
        <v>0</v>
      </c>
      <c r="AR38" s="977">
        <f t="shared" si="4"/>
        <v>0</v>
      </c>
      <c r="AS38" s="978" t="str">
        <f t="shared" si="5"/>
        <v>PhillyJay's Steaks</v>
      </c>
    </row>
    <row r="39" spans="1:45" ht="10.15" customHeight="1">
      <c r="A39" s="196" t="s">
        <v>65</v>
      </c>
      <c r="B39" s="1218"/>
      <c r="C39" s="702"/>
      <c r="D39" s="702"/>
      <c r="E39" s="702"/>
      <c r="F39" s="702">
        <f>'4.5.23'!E8+'4.5.23'!E18</f>
        <v>8616.5</v>
      </c>
      <c r="G39" s="702">
        <f>'4.6.23'!E27</f>
        <v>2565</v>
      </c>
      <c r="H39" s="702"/>
      <c r="I39" s="702"/>
      <c r="J39" s="702"/>
      <c r="K39" s="738">
        <f>'4.10.23'!E8</f>
        <v>4170.5</v>
      </c>
      <c r="L39" s="738"/>
      <c r="M39" s="738"/>
      <c r="N39" s="738">
        <f>'4.13.23'!E18 + '4.13.23'!E27</f>
        <v>6213</v>
      </c>
      <c r="O39" s="738"/>
      <c r="P39" s="738"/>
      <c r="Q39" s="738">
        <f>'4.16.23'!E17 +'4.16.23'!E27</f>
        <v>7799.5</v>
      </c>
      <c r="R39" s="252"/>
      <c r="S39" s="252"/>
      <c r="T39" s="252"/>
      <c r="U39" s="252"/>
      <c r="V39" s="252"/>
      <c r="W39" s="252"/>
      <c r="X39" s="252"/>
      <c r="Y39" s="252"/>
      <c r="Z39" s="252">
        <f>'4.25.23'!E8</f>
        <v>4816.5</v>
      </c>
      <c r="AA39" s="252"/>
      <c r="AB39" s="252"/>
      <c r="AC39" s="252"/>
      <c r="AD39" s="252"/>
      <c r="AE39" s="252"/>
      <c r="AF39" s="189">
        <f t="shared" si="7"/>
        <v>34181</v>
      </c>
      <c r="AG39" s="961">
        <f>449000-AF39+350000</f>
        <v>764819</v>
      </c>
      <c r="AH39" s="194" t="str">
        <f t="shared" si="8"/>
        <v>Pinch of Flavor</v>
      </c>
      <c r="AJ39" s="234">
        <f t="shared" si="3"/>
        <v>34181</v>
      </c>
      <c r="AK39" s="316">
        <f>COUNT(B39:N39)</f>
        <v>4</v>
      </c>
      <c r="AN39" s="234">
        <v>6760</v>
      </c>
      <c r="AO39" s="234"/>
      <c r="AP39" s="979">
        <v>37</v>
      </c>
      <c r="AQ39" s="981">
        <f t="shared" si="2"/>
        <v>3598</v>
      </c>
      <c r="AR39" s="977">
        <f t="shared" si="4"/>
        <v>34181</v>
      </c>
      <c r="AS39" s="978" t="str">
        <f t="shared" si="5"/>
        <v>Pinch of Flavor</v>
      </c>
    </row>
    <row r="40" spans="1:45" ht="10.15" customHeight="1">
      <c r="A40" s="195" t="s">
        <v>82</v>
      </c>
      <c r="B40" s="1218"/>
      <c r="C40" s="702"/>
      <c r="D40" s="702">
        <f>'4.3.23'!E19</f>
        <v>2878.5</v>
      </c>
      <c r="E40" s="702"/>
      <c r="F40" s="702"/>
      <c r="G40" s="702"/>
      <c r="H40" s="702">
        <f>'4.7.23'!E9</f>
        <v>2356</v>
      </c>
      <c r="I40" s="702"/>
      <c r="J40" s="702">
        <f>'4.9.23'!E19 + '4.9.23'!E29</f>
        <v>6431.5</v>
      </c>
      <c r="K40" s="252"/>
      <c r="L40" s="252"/>
      <c r="M40" s="252"/>
      <c r="N40" s="252"/>
      <c r="O40" s="252"/>
      <c r="P40" s="252"/>
      <c r="Q40" s="252"/>
      <c r="R40" s="702"/>
      <c r="S40" s="702"/>
      <c r="T40" s="702">
        <f>'4.19.23'!E7</f>
        <v>3011.5</v>
      </c>
      <c r="U40" s="702"/>
      <c r="V40" s="702"/>
      <c r="W40" s="702"/>
      <c r="X40" s="702"/>
      <c r="Y40" s="252"/>
      <c r="Z40" s="252"/>
      <c r="AA40" s="252"/>
      <c r="AB40" s="252"/>
      <c r="AC40" s="252"/>
      <c r="AD40" s="252"/>
      <c r="AE40" s="252"/>
      <c r="AF40" s="189">
        <f t="shared" si="7"/>
        <v>14677.5</v>
      </c>
      <c r="AG40" s="961">
        <f>100000-AF40+350000</f>
        <v>435322.5</v>
      </c>
      <c r="AH40" s="194" t="str">
        <f t="shared" si="8"/>
        <v>Poutine Brothers</v>
      </c>
      <c r="AJ40" s="234">
        <f t="shared" si="3"/>
        <v>14677.5</v>
      </c>
      <c r="AK40" s="316">
        <f>COUNT(B40:N40)+1</f>
        <v>4</v>
      </c>
      <c r="AN40" s="782">
        <v>127767.5</v>
      </c>
      <c r="AO40" s="234"/>
      <c r="AP40" s="979">
        <v>38</v>
      </c>
      <c r="AQ40" s="981">
        <f t="shared" si="2"/>
        <v>1545</v>
      </c>
      <c r="AR40" s="977">
        <f t="shared" si="4"/>
        <v>14677.5</v>
      </c>
      <c r="AS40" s="978" t="str">
        <f t="shared" si="5"/>
        <v>Poutine Brothers</v>
      </c>
    </row>
    <row r="41" spans="1:45" ht="10.15" customHeight="1">
      <c r="A41" s="195" t="s">
        <v>825</v>
      </c>
      <c r="B41" s="1218"/>
      <c r="C41" s="252"/>
      <c r="D41" s="252"/>
      <c r="E41" s="252"/>
      <c r="F41" s="252"/>
      <c r="G41" s="252"/>
      <c r="H41" s="252"/>
      <c r="I41" s="252"/>
      <c r="J41" s="252"/>
      <c r="K41" s="252"/>
      <c r="L41" s="252"/>
      <c r="M41" s="252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  <c r="AA41" s="252"/>
      <c r="AB41" s="252"/>
      <c r="AC41" s="252"/>
      <c r="AD41" s="252"/>
      <c r="AE41" s="252"/>
      <c r="AF41" s="189">
        <f t="shared" si="7"/>
        <v>0</v>
      </c>
      <c r="AG41" s="961"/>
      <c r="AH41" s="194" t="str">
        <f t="shared" si="8"/>
        <v>Rice Balls Inc.</v>
      </c>
      <c r="AJ41" s="234">
        <f t="shared" si="3"/>
        <v>0</v>
      </c>
      <c r="AK41" s="316">
        <f>COUNT(B41:N41)</f>
        <v>0</v>
      </c>
      <c r="AN41" s="782"/>
      <c r="AO41" s="234"/>
      <c r="AP41" s="979"/>
      <c r="AQ41" s="981"/>
      <c r="AR41" s="977">
        <f t="shared" si="4"/>
        <v>0</v>
      </c>
      <c r="AS41" s="978" t="str">
        <f t="shared" si="5"/>
        <v>Rice Balls Inc.</v>
      </c>
    </row>
    <row r="42" spans="1:45" ht="10.15" customHeight="1">
      <c r="A42" s="195" t="s">
        <v>329</v>
      </c>
      <c r="B42" s="1218"/>
      <c r="C42" s="702"/>
      <c r="D42" s="702">
        <f>'4.3.23'!E7</f>
        <v>7666.5</v>
      </c>
      <c r="E42" s="702"/>
      <c r="F42" s="702"/>
      <c r="G42" s="702"/>
      <c r="H42" s="702"/>
      <c r="I42" s="702">
        <f>'4.8.23'!E7</f>
        <v>8569</v>
      </c>
      <c r="J42" s="702">
        <f>'4.9.23'!E8</f>
        <v>8521.5</v>
      </c>
      <c r="K42" s="738"/>
      <c r="L42" s="738"/>
      <c r="M42" s="738"/>
      <c r="N42" s="738"/>
      <c r="O42" s="738">
        <f>'4.14.23'!E8</f>
        <v>10060.5</v>
      </c>
      <c r="P42" s="738"/>
      <c r="Q42" s="738">
        <f>'4.16.23'!E7</f>
        <v>10051</v>
      </c>
      <c r="R42" s="702">
        <f>'4.17.23'!E7</f>
        <v>9699.5</v>
      </c>
      <c r="S42" s="702"/>
      <c r="T42" s="702"/>
      <c r="U42" s="702"/>
      <c r="V42" s="702"/>
      <c r="W42" s="702">
        <f>'4.22.23'!E7</f>
        <v>9766</v>
      </c>
      <c r="X42" s="702"/>
      <c r="Y42" s="252">
        <f>'4.24.23'!E8</f>
        <v>9291</v>
      </c>
      <c r="Z42" s="252"/>
      <c r="AA42" s="252"/>
      <c r="AB42" s="252">
        <f>'4.27.23'!E8</f>
        <v>9965.5</v>
      </c>
      <c r="AC42" s="252"/>
      <c r="AD42" s="252"/>
      <c r="AE42" s="252">
        <f>'4.30.23'!E8</f>
        <v>9557</v>
      </c>
      <c r="AF42" s="189">
        <f t="shared" si="7"/>
        <v>93147.5</v>
      </c>
      <c r="AG42" s="961">
        <f>100000-AF42</f>
        <v>6852.5</v>
      </c>
      <c r="AH42" s="194" t="str">
        <f t="shared" si="8"/>
        <v>Salpicon</v>
      </c>
      <c r="AJ42" s="234">
        <f t="shared" si="3"/>
        <v>93147.5</v>
      </c>
      <c r="AK42" s="316">
        <f>COUNT(B42:N42)+4</f>
        <v>7</v>
      </c>
      <c r="AN42" s="782"/>
      <c r="AO42" s="234"/>
      <c r="AP42" s="979">
        <v>39</v>
      </c>
      <c r="AQ42" s="981">
        <f t="shared" ref="AQ42:AQ47" si="9">AR42/9.5</f>
        <v>9805</v>
      </c>
      <c r="AR42" s="977">
        <f t="shared" si="4"/>
        <v>93147.5</v>
      </c>
      <c r="AS42" s="978" t="str">
        <f t="shared" si="5"/>
        <v>Salpicon</v>
      </c>
    </row>
    <row r="43" spans="1:45" ht="10.15" customHeight="1">
      <c r="A43" s="195" t="s">
        <v>83</v>
      </c>
      <c r="B43" s="1218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  <c r="AA43" s="252"/>
      <c r="AB43" s="252"/>
      <c r="AC43" s="252"/>
      <c r="AD43" s="252"/>
      <c r="AE43" s="252"/>
      <c r="AF43" s="189">
        <f t="shared" si="7"/>
        <v>0</v>
      </c>
      <c r="AG43" s="961">
        <f>100000-AF43</f>
        <v>100000</v>
      </c>
      <c r="AH43" s="194" t="str">
        <f t="shared" si="8"/>
        <v>Salvage Tacos</v>
      </c>
      <c r="AJ43" s="234">
        <f t="shared" si="3"/>
        <v>0</v>
      </c>
      <c r="AK43" s="316">
        <f>COUNT(B43:N43)+1</f>
        <v>1</v>
      </c>
      <c r="AN43" s="782">
        <v>111263</v>
      </c>
      <c r="AO43" s="234"/>
      <c r="AP43" s="979">
        <v>40</v>
      </c>
      <c r="AQ43" s="981">
        <f t="shared" si="9"/>
        <v>0</v>
      </c>
      <c r="AR43" s="977">
        <f t="shared" si="4"/>
        <v>0</v>
      </c>
      <c r="AS43" s="978" t="str">
        <f t="shared" si="5"/>
        <v>Salvage Tacos</v>
      </c>
    </row>
    <row r="44" spans="1:45" ht="10.15" customHeight="1">
      <c r="A44" s="195" t="s">
        <v>332</v>
      </c>
      <c r="B44" s="1218"/>
      <c r="C44" s="702"/>
      <c r="D44" s="702"/>
      <c r="E44" s="702"/>
      <c r="F44" s="702"/>
      <c r="G44" s="702">
        <f>'4.6.23'!E19+'4.6.23'!E29</f>
        <v>9158</v>
      </c>
      <c r="H44" s="702"/>
      <c r="I44" s="702">
        <f>'4.8.23'!E29</f>
        <v>3961.5</v>
      </c>
      <c r="J44" s="702"/>
      <c r="K44" s="738">
        <f>'4.10.23'!E9 + '4.10.23'!E19</f>
        <v>9101</v>
      </c>
      <c r="L44" s="738"/>
      <c r="M44" s="738"/>
      <c r="N44" s="738"/>
      <c r="O44" s="738"/>
      <c r="P44" s="738">
        <f>'4.15.23'!E18</f>
        <v>5035</v>
      </c>
      <c r="Q44" s="738"/>
      <c r="R44" s="702">
        <f>'4.17.23'!E19+'4.17.23'!E29</f>
        <v>9300.5</v>
      </c>
      <c r="S44" s="702"/>
      <c r="T44" s="702">
        <f>'4.19.23'!E29</f>
        <v>4142</v>
      </c>
      <c r="U44" s="702">
        <f>'4.20.23'!E7</f>
        <v>4693</v>
      </c>
      <c r="V44" s="702"/>
      <c r="W44" s="702"/>
      <c r="X44" s="702"/>
      <c r="Y44" s="252"/>
      <c r="Z44" s="252"/>
      <c r="AA44" s="252">
        <f>'4.26.23'!E27</f>
        <v>5063.5</v>
      </c>
      <c r="AB44" s="252"/>
      <c r="AC44" s="252"/>
      <c r="AD44" s="252">
        <f>'4.29.23'!E17</f>
        <v>6165.5</v>
      </c>
      <c r="AE44" s="252"/>
      <c r="AF44" s="189">
        <f t="shared" si="7"/>
        <v>56620</v>
      </c>
      <c r="AG44" s="961">
        <f>100000-AF44</f>
        <v>43380</v>
      </c>
      <c r="AH44" s="194" t="str">
        <f t="shared" si="8"/>
        <v>Smile Hot Dog</v>
      </c>
      <c r="AJ44" s="234">
        <f t="shared" si="3"/>
        <v>56620</v>
      </c>
      <c r="AK44" s="316">
        <f>COUNT(B44:N44)+7</f>
        <v>10</v>
      </c>
      <c r="AN44" s="782"/>
      <c r="AO44" s="234"/>
      <c r="AP44" s="979">
        <v>41</v>
      </c>
      <c r="AQ44" s="981">
        <f t="shared" si="9"/>
        <v>5960</v>
      </c>
      <c r="AR44" s="977">
        <f t="shared" si="4"/>
        <v>56620</v>
      </c>
      <c r="AS44" s="978" t="str">
        <f t="shared" si="5"/>
        <v>Smile Hot Dog</v>
      </c>
    </row>
    <row r="45" spans="1:45" ht="10.15" customHeight="1">
      <c r="A45" s="195" t="s">
        <v>159</v>
      </c>
      <c r="B45" s="1218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189">
        <f t="shared" si="7"/>
        <v>0</v>
      </c>
      <c r="AG45" s="961">
        <f>100000-AF45</f>
        <v>100000</v>
      </c>
      <c r="AH45" s="194" t="str">
        <f t="shared" si="8"/>
        <v>Something Good LA</v>
      </c>
      <c r="AJ45" s="234">
        <f t="shared" si="3"/>
        <v>0</v>
      </c>
      <c r="AK45" s="316">
        <f>COUNT(B45:N45)</f>
        <v>0</v>
      </c>
      <c r="AN45" s="234">
        <v>341055.5</v>
      </c>
      <c r="AO45" s="234"/>
      <c r="AP45" s="979">
        <v>42</v>
      </c>
      <c r="AQ45" s="981">
        <f t="shared" si="9"/>
        <v>0</v>
      </c>
      <c r="AR45" s="977">
        <f t="shared" si="4"/>
        <v>0</v>
      </c>
      <c r="AS45" s="978" t="str">
        <f t="shared" si="5"/>
        <v>Something Good LA</v>
      </c>
    </row>
    <row r="46" spans="1:45" ht="10.15" customHeight="1">
      <c r="A46" s="195" t="s">
        <v>145</v>
      </c>
      <c r="B46" s="1218"/>
      <c r="C46" s="702"/>
      <c r="D46" s="702"/>
      <c r="E46" s="702"/>
      <c r="F46" s="702">
        <f>'4.5.23'!E19</f>
        <v>3315.5</v>
      </c>
      <c r="G46" s="702">
        <f>'4.6.23'!E18</f>
        <v>2470</v>
      </c>
      <c r="H46" s="702"/>
      <c r="I46" s="702"/>
      <c r="J46" s="702"/>
      <c r="K46" s="738">
        <f>'4.10.23'!E7 + '4.10.23'!E18</f>
        <v>6346</v>
      </c>
      <c r="L46" s="738"/>
      <c r="M46" s="738"/>
      <c r="N46" s="738"/>
      <c r="O46" s="738"/>
      <c r="P46" s="738"/>
      <c r="Q46" s="738"/>
      <c r="R46" s="252"/>
      <c r="S46" s="252"/>
      <c r="T46" s="252"/>
      <c r="U46" s="252"/>
      <c r="V46" s="252"/>
      <c r="W46" s="252"/>
      <c r="X46" s="252"/>
      <c r="Y46" s="252"/>
      <c r="Z46" s="252"/>
      <c r="AA46" s="252"/>
      <c r="AB46" s="252"/>
      <c r="AC46" s="252"/>
      <c r="AD46" s="252"/>
      <c r="AE46" s="252"/>
      <c r="AF46" s="189">
        <f t="shared" si="7"/>
        <v>12131.5</v>
      </c>
      <c r="AG46" s="961">
        <f>100000-AF46+449000</f>
        <v>536868.5</v>
      </c>
      <c r="AH46" s="194" t="str">
        <f t="shared" si="8"/>
        <v>Stop Bye Café</v>
      </c>
      <c r="AJ46" s="234">
        <f t="shared" si="3"/>
        <v>12131.5</v>
      </c>
      <c r="AK46" s="316">
        <f>COUNT(B46:N46)+5</f>
        <v>8</v>
      </c>
      <c r="AN46" s="234">
        <v>162662.5</v>
      </c>
      <c r="AO46" s="234"/>
      <c r="AP46" s="979">
        <v>43</v>
      </c>
      <c r="AQ46" s="981">
        <f t="shared" si="9"/>
        <v>1277</v>
      </c>
      <c r="AR46" s="977">
        <f t="shared" si="4"/>
        <v>12131.5</v>
      </c>
      <c r="AS46" s="978" t="str">
        <f t="shared" si="5"/>
        <v>Stop Bye Café</v>
      </c>
    </row>
    <row r="47" spans="1:45" ht="10.15" customHeight="1">
      <c r="A47" s="195" t="s">
        <v>84</v>
      </c>
      <c r="B47" s="1218"/>
      <c r="C47" s="252"/>
      <c r="D47" s="252"/>
      <c r="E47" s="252"/>
      <c r="F47" s="252"/>
      <c r="G47" s="252"/>
      <c r="H47" s="252"/>
      <c r="I47" s="252"/>
      <c r="J47" s="252"/>
      <c r="K47" s="252"/>
      <c r="L47" s="252"/>
      <c r="M47" s="252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  <c r="AA47" s="252"/>
      <c r="AB47" s="252"/>
      <c r="AC47" s="252"/>
      <c r="AD47" s="252"/>
      <c r="AE47" s="252"/>
      <c r="AF47" s="189">
        <f t="shared" si="7"/>
        <v>0</v>
      </c>
      <c r="AG47" s="961">
        <f>100000-AF47+350000</f>
        <v>450000</v>
      </c>
      <c r="AH47" s="194" t="str">
        <f t="shared" si="8"/>
        <v>Stout Burgers</v>
      </c>
      <c r="AJ47" s="234">
        <f t="shared" si="3"/>
        <v>0</v>
      </c>
      <c r="AK47" s="316">
        <f>COUNT(B47:N47)</f>
        <v>0</v>
      </c>
      <c r="AN47" s="234">
        <v>52046</v>
      </c>
      <c r="AO47" s="234"/>
      <c r="AP47" s="979">
        <v>44</v>
      </c>
      <c r="AQ47" s="981">
        <f t="shared" si="9"/>
        <v>0</v>
      </c>
      <c r="AR47" s="977">
        <f t="shared" si="4"/>
        <v>0</v>
      </c>
      <c r="AS47" s="978" t="str">
        <f t="shared" si="5"/>
        <v>Stout Burgers</v>
      </c>
    </row>
    <row r="48" spans="1:45" ht="10.15" customHeight="1">
      <c r="A48" s="195" t="s">
        <v>802</v>
      </c>
      <c r="B48" s="1218"/>
      <c r="C48" s="702"/>
      <c r="D48" s="702"/>
      <c r="E48" s="702">
        <f>'4.4.23'!E18</f>
        <v>4930.5</v>
      </c>
      <c r="F48" s="702"/>
      <c r="G48" s="702"/>
      <c r="H48" s="702">
        <f>'4.7.23'!E19</f>
        <v>3049.5</v>
      </c>
      <c r="I48" s="702">
        <f>'4.8.23'!E8</f>
        <v>3809.5</v>
      </c>
      <c r="J48" s="702"/>
      <c r="K48" s="738"/>
      <c r="L48" s="738">
        <f>'4.11.23'!E8</f>
        <v>3515</v>
      </c>
      <c r="M48" s="738"/>
      <c r="N48" s="738"/>
      <c r="O48" s="738">
        <f>'4.14.23'!E17</f>
        <v>3477</v>
      </c>
      <c r="P48" s="738"/>
      <c r="Q48" s="738"/>
      <c r="R48" s="702">
        <f>'4.17.23'!E8</f>
        <v>3068.5</v>
      </c>
      <c r="S48" s="702"/>
      <c r="T48" s="702"/>
      <c r="U48" s="702"/>
      <c r="V48" s="702">
        <f>'4.21.23'!E7</f>
        <v>3135</v>
      </c>
      <c r="W48" s="702"/>
      <c r="X48" s="702"/>
      <c r="Y48" s="252"/>
      <c r="Z48" s="252"/>
      <c r="AA48" s="252">
        <f>'4.26.23'!E8</f>
        <v>4645.5</v>
      </c>
      <c r="AB48" s="252"/>
      <c r="AC48" s="252"/>
      <c r="AD48" s="252">
        <f>'4.29.23'!E7</f>
        <v>4104</v>
      </c>
      <c r="AE48" s="252"/>
      <c r="AF48" s="189">
        <f t="shared" si="7"/>
        <v>33734.5</v>
      </c>
      <c r="AG48" s="961">
        <f>100000-AF48+350000</f>
        <v>416265.5</v>
      </c>
      <c r="AH48" s="194" t="str">
        <f t="shared" si="8"/>
        <v>Sugo Italiano</v>
      </c>
      <c r="AJ48" s="234">
        <f t="shared" si="3"/>
        <v>33734.5</v>
      </c>
      <c r="AK48" s="316">
        <f>COUNT(B48:N48)</f>
        <v>4</v>
      </c>
      <c r="AN48" s="234">
        <v>52046</v>
      </c>
      <c r="AO48" s="234"/>
      <c r="AP48" s="979"/>
      <c r="AQ48" s="981"/>
      <c r="AR48" s="977">
        <f t="shared" si="4"/>
        <v>33734.5</v>
      </c>
      <c r="AS48" s="978" t="str">
        <f t="shared" si="5"/>
        <v>Sugo Italiano</v>
      </c>
    </row>
    <row r="49" spans="1:45" ht="10.15" customHeight="1">
      <c r="A49" s="195" t="s">
        <v>333</v>
      </c>
      <c r="B49" s="1218"/>
      <c r="C49" s="702"/>
      <c r="D49" s="702"/>
      <c r="E49" s="702"/>
      <c r="F49" s="702"/>
      <c r="G49" s="702"/>
      <c r="H49" s="702">
        <f>'4.7.23'!E28</f>
        <v>2517.5</v>
      </c>
      <c r="I49" s="702"/>
      <c r="J49" s="702"/>
      <c r="K49" s="738"/>
      <c r="L49" s="738"/>
      <c r="M49" s="738"/>
      <c r="N49" s="738">
        <f>'4.13.23'!E28</f>
        <v>3116</v>
      </c>
      <c r="O49" s="738"/>
      <c r="P49" s="738"/>
      <c r="Q49" s="738">
        <f>'4.16.23'!E28</f>
        <v>3144.5</v>
      </c>
      <c r="R49" s="252"/>
      <c r="S49" s="252"/>
      <c r="T49" s="252"/>
      <c r="U49" s="252"/>
      <c r="V49" s="252"/>
      <c r="W49" s="252"/>
      <c r="X49" s="252"/>
      <c r="Y49" s="252"/>
      <c r="Z49" s="252"/>
      <c r="AA49" s="252"/>
      <c r="AB49" s="252"/>
      <c r="AC49" s="252"/>
      <c r="AD49" s="252">
        <f>'4.29.23'!E28</f>
        <v>3106.5</v>
      </c>
      <c r="AE49" s="252">
        <f>'4.30.23'!E28</f>
        <v>3353.5</v>
      </c>
      <c r="AF49" s="189">
        <f t="shared" si="7"/>
        <v>15238</v>
      </c>
      <c r="AG49" s="189">
        <v>99000</v>
      </c>
      <c r="AH49" s="194" t="str">
        <f t="shared" si="8"/>
        <v>Sweets on Wheels</v>
      </c>
      <c r="AJ49" s="234">
        <f t="shared" si="3"/>
        <v>15238</v>
      </c>
      <c r="AK49" s="316">
        <f>COUNT(B49:N49)</f>
        <v>2</v>
      </c>
      <c r="AN49" s="234">
        <v>52046</v>
      </c>
      <c r="AO49" s="234"/>
      <c r="AP49" s="979">
        <v>45</v>
      </c>
      <c r="AQ49" s="981">
        <f t="shared" ref="AQ49:AQ63" si="10">AR49/9.5</f>
        <v>1604</v>
      </c>
      <c r="AR49" s="977">
        <f t="shared" si="4"/>
        <v>15238</v>
      </c>
      <c r="AS49" s="978" t="str">
        <f t="shared" si="5"/>
        <v>Sweets on Wheels</v>
      </c>
    </row>
    <row r="50" spans="1:45" ht="9" customHeight="1">
      <c r="A50" s="195" t="s">
        <v>58</v>
      </c>
      <c r="B50" s="1218"/>
      <c r="C50" s="252"/>
      <c r="D50" s="252"/>
      <c r="E50" s="252"/>
      <c r="F50" s="252"/>
      <c r="G50" s="252"/>
      <c r="H50" s="252"/>
      <c r="I50" s="252"/>
      <c r="J50" s="252"/>
      <c r="K50" s="252"/>
      <c r="L50" s="252"/>
      <c r="M50" s="252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  <c r="AA50" s="252"/>
      <c r="AB50" s="252"/>
      <c r="AC50" s="252"/>
      <c r="AD50" s="252"/>
      <c r="AE50" s="252"/>
      <c r="AF50" s="189">
        <f t="shared" si="7"/>
        <v>0</v>
      </c>
      <c r="AG50" s="961">
        <f>100000-AF50</f>
        <v>100000</v>
      </c>
      <c r="AH50" s="194" t="str">
        <f t="shared" si="8"/>
        <v>Taste Collective Burger</v>
      </c>
      <c r="AJ50" s="234">
        <f t="shared" si="3"/>
        <v>0</v>
      </c>
      <c r="AK50" s="316">
        <f>COUNT(B50:N50)</f>
        <v>0</v>
      </c>
      <c r="AN50" s="234">
        <v>50667</v>
      </c>
      <c r="AO50" s="234"/>
      <c r="AP50" s="979">
        <v>46</v>
      </c>
      <c r="AQ50" s="981">
        <f t="shared" si="10"/>
        <v>0</v>
      </c>
      <c r="AR50" s="977">
        <f t="shared" si="4"/>
        <v>0</v>
      </c>
      <c r="AS50" s="978" t="str">
        <f t="shared" si="5"/>
        <v>Taste Collective Burger</v>
      </c>
    </row>
    <row r="51" spans="1:45" ht="10.15" customHeight="1">
      <c r="A51" s="195" t="s">
        <v>728</v>
      </c>
      <c r="B51" s="1218"/>
      <c r="C51" s="702"/>
      <c r="D51" s="702"/>
      <c r="E51" s="702"/>
      <c r="F51" s="702">
        <f>'4.5.23'!E9</f>
        <v>1054.5</v>
      </c>
      <c r="G51" s="702"/>
      <c r="H51" s="702"/>
      <c r="I51" s="702"/>
      <c r="J51" s="702"/>
      <c r="K51" s="738"/>
      <c r="L51" s="738"/>
      <c r="M51" s="738"/>
      <c r="N51" s="738">
        <f>'4.13.23'!E19</f>
        <v>1282.5</v>
      </c>
      <c r="O51" s="738"/>
      <c r="P51" s="738"/>
      <c r="Q51" s="738"/>
      <c r="R51" s="702"/>
      <c r="S51" s="702"/>
      <c r="T51" s="702"/>
      <c r="U51" s="702"/>
      <c r="V51" s="702">
        <f>'4.21.23'!E27</f>
        <v>1301.5</v>
      </c>
      <c r="W51" s="702"/>
      <c r="X51" s="702"/>
      <c r="Y51" s="252">
        <f>'4.24.23'!E18</f>
        <v>2954.5</v>
      </c>
      <c r="Z51" s="252"/>
      <c r="AA51" s="252"/>
      <c r="AB51" s="252"/>
      <c r="AC51" s="252"/>
      <c r="AD51" s="252"/>
      <c r="AE51" s="252"/>
      <c r="AF51" s="189">
        <f t="shared" si="7"/>
        <v>6593</v>
      </c>
      <c r="AG51" s="961">
        <f>100000-AF51</f>
        <v>93407</v>
      </c>
      <c r="AH51" s="194" t="str">
        <f t="shared" si="8"/>
        <v>Thai Mex Cocina</v>
      </c>
      <c r="AJ51" s="234">
        <f t="shared" si="3"/>
        <v>6593</v>
      </c>
      <c r="AK51" s="316">
        <f>COUNT(B51:N51)</f>
        <v>2</v>
      </c>
      <c r="AN51" s="234">
        <v>50667</v>
      </c>
      <c r="AO51" s="234"/>
      <c r="AP51" s="979">
        <v>47</v>
      </c>
      <c r="AQ51" s="981">
        <f t="shared" si="10"/>
        <v>694</v>
      </c>
      <c r="AR51" s="977">
        <f t="shared" si="4"/>
        <v>6593</v>
      </c>
      <c r="AS51" s="978" t="str">
        <f t="shared" si="5"/>
        <v>Thai Mex Cocina</v>
      </c>
    </row>
    <row r="52" spans="1:45" ht="10.15" customHeight="1">
      <c r="A52" s="195" t="s">
        <v>45</v>
      </c>
      <c r="B52" s="1218"/>
      <c r="C52" s="702"/>
      <c r="D52" s="702">
        <f>'4.3.23'!E17+'4.3.23'!E27</f>
        <v>4854.5</v>
      </c>
      <c r="E52" s="702"/>
      <c r="F52" s="702"/>
      <c r="G52" s="702"/>
      <c r="H52" s="702"/>
      <c r="I52" s="702"/>
      <c r="J52" s="702"/>
      <c r="K52" s="738">
        <f>'4.10.23'!E29</f>
        <v>2232.5</v>
      </c>
      <c r="L52" s="738">
        <f>'4.11.23'!E17 + '4.11.23'!E27</f>
        <v>6317.5</v>
      </c>
      <c r="M52" s="738"/>
      <c r="N52" s="738"/>
      <c r="O52" s="738"/>
      <c r="P52" s="738"/>
      <c r="Q52" s="738"/>
      <c r="R52" s="702"/>
      <c r="S52" s="702">
        <f>'4.18.23'!E29</f>
        <v>2831</v>
      </c>
      <c r="T52" s="702">
        <f>'4.19.23'!E18</f>
        <v>3961.5</v>
      </c>
      <c r="U52" s="702"/>
      <c r="V52" s="702"/>
      <c r="W52" s="702"/>
      <c r="X52" s="702"/>
      <c r="Y52" s="252">
        <f>'4.24.23'!E27</f>
        <v>3363</v>
      </c>
      <c r="Z52" s="252"/>
      <c r="AA52" s="252"/>
      <c r="AB52" s="252"/>
      <c r="AC52" s="252"/>
      <c r="AD52" s="252"/>
      <c r="AE52" s="252"/>
      <c r="AF52" s="189">
        <f t="shared" si="7"/>
        <v>23560</v>
      </c>
      <c r="AG52" s="961">
        <f>100000-AF52+350000</f>
        <v>426440</v>
      </c>
      <c r="AH52" s="194" t="str">
        <f t="shared" si="8"/>
        <v>Tokyo Style</v>
      </c>
      <c r="AJ52" s="234">
        <f t="shared" si="3"/>
        <v>23560</v>
      </c>
      <c r="AK52" s="316">
        <f>COUNT(B52:N52)+8</f>
        <v>11</v>
      </c>
      <c r="AN52" s="234">
        <v>168025.5</v>
      </c>
      <c r="AO52" s="234"/>
      <c r="AP52" s="979">
        <v>48</v>
      </c>
      <c r="AQ52" s="981">
        <f t="shared" si="10"/>
        <v>2480</v>
      </c>
      <c r="AR52" s="977">
        <f t="shared" si="4"/>
        <v>23560</v>
      </c>
      <c r="AS52" s="978" t="str">
        <f t="shared" si="5"/>
        <v>Tokyo Style</v>
      </c>
    </row>
    <row r="53" spans="1:45" ht="10.15" customHeight="1">
      <c r="A53" s="195" t="s">
        <v>172</v>
      </c>
      <c r="B53" s="1218"/>
      <c r="C53" s="252"/>
      <c r="D53" s="252"/>
      <c r="E53" s="252"/>
      <c r="F53" s="252"/>
      <c r="G53" s="252"/>
      <c r="H53" s="252"/>
      <c r="I53" s="252"/>
      <c r="J53" s="252"/>
      <c r="K53" s="252"/>
      <c r="L53" s="252"/>
      <c r="M53" s="252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  <c r="AA53" s="252"/>
      <c r="AB53" s="252"/>
      <c r="AC53" s="252"/>
      <c r="AD53" s="252"/>
      <c r="AE53" s="252"/>
      <c r="AF53" s="189">
        <f t="shared" si="7"/>
        <v>0</v>
      </c>
      <c r="AG53" s="961">
        <f>100000-AF53</f>
        <v>100000</v>
      </c>
      <c r="AH53" s="194" t="str">
        <f t="shared" si="8"/>
        <v>Trapiyaki</v>
      </c>
      <c r="AJ53" s="234">
        <f t="shared" si="3"/>
        <v>0</v>
      </c>
      <c r="AK53" s="316">
        <f>COUNT(B53:N53)</f>
        <v>0</v>
      </c>
      <c r="AN53" s="234">
        <v>21920</v>
      </c>
      <c r="AO53" s="234"/>
      <c r="AP53" s="979">
        <v>49</v>
      </c>
      <c r="AQ53" s="981">
        <f t="shared" si="10"/>
        <v>0</v>
      </c>
      <c r="AR53" s="977">
        <f t="shared" si="4"/>
        <v>0</v>
      </c>
      <c r="AS53" s="978" t="str">
        <f t="shared" si="5"/>
        <v>Trapiyaki</v>
      </c>
    </row>
    <row r="54" spans="1:45" ht="10.15" customHeight="1">
      <c r="A54" s="195" t="s">
        <v>144</v>
      </c>
      <c r="B54" s="1218"/>
      <c r="C54" s="702"/>
      <c r="D54" s="702"/>
      <c r="E54" s="702"/>
      <c r="F54" s="702"/>
      <c r="G54" s="702"/>
      <c r="H54" s="702">
        <f>'4.7.23'!E18</f>
        <v>1947.5</v>
      </c>
      <c r="I54" s="702"/>
      <c r="J54" s="702">
        <f>'4.9.23'!E9</f>
        <v>1795.5</v>
      </c>
      <c r="K54" s="738"/>
      <c r="L54" s="738">
        <f>'4.11.23'!E19</f>
        <v>2356</v>
      </c>
      <c r="M54" s="738">
        <f>'4.12.23'!E27</f>
        <v>997.5</v>
      </c>
      <c r="N54" s="738">
        <f>'4.13.23'!E7</f>
        <v>2099.5</v>
      </c>
      <c r="O54" s="738"/>
      <c r="P54" s="738"/>
      <c r="Q54" s="738"/>
      <c r="R54" s="702"/>
      <c r="S54" s="702"/>
      <c r="T54" s="702"/>
      <c r="U54" s="702">
        <f>'4.20.23'!E27</f>
        <v>2251.5</v>
      </c>
      <c r="V54" s="702"/>
      <c r="W54" s="702"/>
      <c r="X54" s="702"/>
      <c r="Y54" s="252"/>
      <c r="Z54" s="252">
        <f>'4.25.23'!E7</f>
        <v>2631.5</v>
      </c>
      <c r="AA54" s="252">
        <f>'4.26.23'!E17</f>
        <v>3277.5</v>
      </c>
      <c r="AB54" s="252"/>
      <c r="AC54" s="252"/>
      <c r="AD54" s="252"/>
      <c r="AE54" s="252"/>
      <c r="AF54" s="189">
        <f t="shared" si="7"/>
        <v>17356.5</v>
      </c>
      <c r="AG54" s="961">
        <f>100000-AF54</f>
        <v>82643.5</v>
      </c>
      <c r="AH54" s="194" t="str">
        <f t="shared" si="8"/>
        <v>Uncle Al's BBQ</v>
      </c>
      <c r="AJ54" s="234">
        <f t="shared" si="3"/>
        <v>17356.5</v>
      </c>
      <c r="AK54" s="316">
        <f>COUNT(B54:N54)+8</f>
        <v>13</v>
      </c>
      <c r="AN54" s="234">
        <v>5830</v>
      </c>
      <c r="AO54" s="234"/>
      <c r="AP54" s="979">
        <v>50</v>
      </c>
      <c r="AQ54" s="981">
        <f t="shared" si="10"/>
        <v>1827</v>
      </c>
      <c r="AR54" s="977">
        <f t="shared" si="4"/>
        <v>17356.5</v>
      </c>
      <c r="AS54" s="978" t="str">
        <f t="shared" si="5"/>
        <v>Uncle Al's BBQ</v>
      </c>
    </row>
    <row r="55" spans="1:45" ht="10.15" customHeight="1">
      <c r="A55" s="195" t="s">
        <v>240</v>
      </c>
      <c r="B55" s="1218"/>
      <c r="C55" s="252"/>
      <c r="D55" s="252"/>
      <c r="E55" s="252"/>
      <c r="F55" s="252"/>
      <c r="G55" s="252"/>
      <c r="H55" s="252"/>
      <c r="I55" s="252"/>
      <c r="J55" s="252"/>
      <c r="K55" s="252"/>
      <c r="L55" s="252"/>
      <c r="M55" s="252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  <c r="AA55" s="252"/>
      <c r="AB55" s="252"/>
      <c r="AC55" s="252"/>
      <c r="AD55" s="252"/>
      <c r="AE55" s="252"/>
      <c r="AF55" s="189">
        <f t="shared" si="7"/>
        <v>0</v>
      </c>
      <c r="AG55" s="961">
        <f>100000-AF55</f>
        <v>100000</v>
      </c>
      <c r="AH55" s="194" t="str">
        <f t="shared" si="8"/>
        <v>Veggie Bomb</v>
      </c>
      <c r="AJ55" s="234">
        <f t="shared" si="3"/>
        <v>0</v>
      </c>
      <c r="AK55" s="316">
        <f>COUNT(B55:N55)</f>
        <v>0</v>
      </c>
      <c r="AN55" s="234">
        <v>228015.5</v>
      </c>
      <c r="AO55" s="234"/>
      <c r="AP55" s="979">
        <v>51</v>
      </c>
      <c r="AQ55" s="981">
        <f t="shared" si="10"/>
        <v>0</v>
      </c>
      <c r="AR55" s="977">
        <f t="shared" si="4"/>
        <v>0</v>
      </c>
      <c r="AS55" s="978" t="str">
        <f t="shared" si="5"/>
        <v>Veggie Bomb</v>
      </c>
    </row>
    <row r="56" spans="1:45" ht="10.15" customHeight="1">
      <c r="A56" s="195" t="s">
        <v>797</v>
      </c>
      <c r="B56" s="1218"/>
      <c r="C56" s="252"/>
      <c r="D56" s="252"/>
      <c r="E56" s="252"/>
      <c r="F56" s="252"/>
      <c r="G56" s="252"/>
      <c r="H56" s="252"/>
      <c r="I56" s="252"/>
      <c r="J56" s="252"/>
      <c r="K56" s="738">
        <f>'4.10.23'!E28</f>
        <v>2365.5</v>
      </c>
      <c r="L56" s="738"/>
      <c r="M56" s="738"/>
      <c r="N56" s="738"/>
      <c r="O56" s="738"/>
      <c r="P56" s="738"/>
      <c r="Q56" s="738"/>
      <c r="R56" s="252"/>
      <c r="S56" s="252"/>
      <c r="T56" s="252"/>
      <c r="U56" s="252"/>
      <c r="V56" s="252"/>
      <c r="W56" s="252"/>
      <c r="X56" s="252"/>
      <c r="Y56" s="252"/>
      <c r="Z56" s="252"/>
      <c r="AA56" s="252"/>
      <c r="AB56" s="252"/>
      <c r="AC56" s="252"/>
      <c r="AD56" s="252"/>
      <c r="AE56" s="252"/>
      <c r="AF56" s="189">
        <f t="shared" si="7"/>
        <v>2365.5</v>
      </c>
      <c r="AG56" s="961">
        <f>100000-AF56</f>
        <v>97634.5</v>
      </c>
      <c r="AH56" s="194" t="str">
        <f t="shared" si="8"/>
        <v>Venice Gelato Café</v>
      </c>
      <c r="AJ56" s="234">
        <f t="shared" si="3"/>
        <v>2365.5</v>
      </c>
      <c r="AK56" s="316">
        <f>COUNT(B56:N56)</f>
        <v>1</v>
      </c>
      <c r="AN56" s="234">
        <v>75970</v>
      </c>
      <c r="AO56" s="234"/>
      <c r="AP56" s="979">
        <v>52</v>
      </c>
      <c r="AQ56" s="981">
        <f t="shared" si="10"/>
        <v>249</v>
      </c>
      <c r="AR56" s="977">
        <f t="shared" si="4"/>
        <v>2365.5</v>
      </c>
      <c r="AS56" s="978" t="str">
        <f t="shared" si="5"/>
        <v>Venice Gelato Café</v>
      </c>
    </row>
    <row r="57" spans="1:45" ht="10.15" customHeight="1">
      <c r="A57" s="195" t="s">
        <v>70</v>
      </c>
      <c r="B57" s="1218"/>
      <c r="C57" s="702">
        <f>'4.2.23'!E18</f>
        <v>2099.5</v>
      </c>
      <c r="D57" s="702"/>
      <c r="E57" s="702">
        <f>'4.4.23'!E27</f>
        <v>3125.5</v>
      </c>
      <c r="F57" s="702"/>
      <c r="G57" s="702"/>
      <c r="H57" s="702"/>
      <c r="I57" s="702"/>
      <c r="J57" s="702"/>
      <c r="K57" s="738"/>
      <c r="L57" s="738">
        <f>'4.11.23'!E18</f>
        <v>4313</v>
      </c>
      <c r="M57" s="738"/>
      <c r="N57" s="738"/>
      <c r="O57" s="738"/>
      <c r="P57" s="738"/>
      <c r="Q57" s="738"/>
      <c r="R57" s="702"/>
      <c r="S57" s="702">
        <f>'4.18.23'!E18</f>
        <v>4180</v>
      </c>
      <c r="T57" s="702"/>
      <c r="U57" s="702"/>
      <c r="V57" s="702"/>
      <c r="W57" s="702">
        <f>'4.22.23'!E27</f>
        <v>3306</v>
      </c>
      <c r="X57" s="702"/>
      <c r="Y57" s="252"/>
      <c r="Z57" s="252"/>
      <c r="AA57" s="252"/>
      <c r="AB57" s="252">
        <f>'4.27.23'!E17</f>
        <v>5215.5</v>
      </c>
      <c r="AC57" s="252"/>
      <c r="AD57" s="252"/>
      <c r="AE57" s="252"/>
      <c r="AF57" s="189">
        <f t="shared" si="7"/>
        <v>22239.5</v>
      </c>
      <c r="AG57" s="358">
        <f>449000-AF57+350000+350000</f>
        <v>1126760.5</v>
      </c>
      <c r="AH57" s="194" t="str">
        <f t="shared" si="8"/>
        <v>Wafl</v>
      </c>
      <c r="AJ57" s="234">
        <f t="shared" si="3"/>
        <v>22239.5</v>
      </c>
      <c r="AK57" s="316">
        <f>COUNT(B57:N57)+5</f>
        <v>8</v>
      </c>
      <c r="AN57" s="234">
        <v>71377</v>
      </c>
      <c r="AO57" s="234"/>
      <c r="AP57" s="979">
        <v>53</v>
      </c>
      <c r="AQ57" s="981">
        <f t="shared" si="10"/>
        <v>2341</v>
      </c>
      <c r="AR57" s="977">
        <f t="shared" si="4"/>
        <v>22239.5</v>
      </c>
      <c r="AS57" s="978" t="str">
        <f t="shared" si="5"/>
        <v>Wafl</v>
      </c>
    </row>
    <row r="58" spans="1:45" ht="10.15" customHeight="1">
      <c r="A58" s="195" t="s">
        <v>181</v>
      </c>
      <c r="B58" s="1218"/>
      <c r="C58" s="252"/>
      <c r="D58" s="252"/>
      <c r="E58" s="252"/>
      <c r="F58" s="252"/>
      <c r="G58" s="252"/>
      <c r="H58" s="252"/>
      <c r="I58" s="252"/>
      <c r="J58" s="252"/>
      <c r="K58" s="252"/>
      <c r="L58" s="252"/>
      <c r="M58" s="252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  <c r="AA58" s="252"/>
      <c r="AB58" s="252"/>
      <c r="AC58" s="252"/>
      <c r="AD58" s="252"/>
      <c r="AE58" s="252"/>
      <c r="AF58" s="189">
        <f t="shared" si="7"/>
        <v>0</v>
      </c>
      <c r="AG58" s="358">
        <f t="shared" ref="AG58:AG63" si="11">100000-AF58</f>
        <v>100000</v>
      </c>
      <c r="AH58" s="194" t="str">
        <f t="shared" si="8"/>
        <v>White Rabbit</v>
      </c>
      <c r="AJ58" s="234">
        <f t="shared" si="3"/>
        <v>0</v>
      </c>
      <c r="AK58" s="316">
        <f>COUNT(B58:N58)</f>
        <v>0</v>
      </c>
      <c r="AN58" s="234">
        <v>3570</v>
      </c>
      <c r="AO58" s="234"/>
      <c r="AP58" s="979">
        <v>54</v>
      </c>
      <c r="AQ58" s="981">
        <f t="shared" si="10"/>
        <v>0</v>
      </c>
      <c r="AR58" s="977">
        <f t="shared" si="4"/>
        <v>0</v>
      </c>
      <c r="AS58" s="978" t="str">
        <f t="shared" si="5"/>
        <v>White Rabbit</v>
      </c>
    </row>
    <row r="59" spans="1:45" ht="10.15" customHeight="1">
      <c r="A59" s="515" t="s">
        <v>205</v>
      </c>
      <c r="B59" s="1218"/>
      <c r="C59" s="702"/>
      <c r="D59" s="702"/>
      <c r="E59" s="702"/>
      <c r="F59" s="702"/>
      <c r="G59" s="702">
        <f>'4.6.23'!E8</f>
        <v>2242</v>
      </c>
      <c r="H59" s="702"/>
      <c r="I59" s="702"/>
      <c r="J59" s="702"/>
      <c r="K59" s="738"/>
      <c r="L59" s="738"/>
      <c r="M59" s="738">
        <f>'4.12.23'!E29</f>
        <v>2612.5</v>
      </c>
      <c r="N59" s="738"/>
      <c r="O59" s="738"/>
      <c r="P59" s="738"/>
      <c r="Q59" s="738"/>
      <c r="R59" s="702"/>
      <c r="S59" s="702">
        <f>'4.18.23'!E9</f>
        <v>2118.5</v>
      </c>
      <c r="T59" s="702"/>
      <c r="U59" s="702">
        <f>'4.20.23'!E18</f>
        <v>3059</v>
      </c>
      <c r="V59" s="702"/>
      <c r="W59" s="702"/>
      <c r="X59" s="702"/>
      <c r="Y59" s="252"/>
      <c r="Z59" s="252"/>
      <c r="AA59" s="252"/>
      <c r="AB59" s="252"/>
      <c r="AC59" s="252"/>
      <c r="AD59" s="252"/>
      <c r="AE59" s="252"/>
      <c r="AF59" s="189">
        <f t="shared" si="7"/>
        <v>10032</v>
      </c>
      <c r="AG59" s="522">
        <f t="shared" si="11"/>
        <v>89968</v>
      </c>
      <c r="AH59" s="194" t="str">
        <f t="shared" si="8"/>
        <v>Yalla</v>
      </c>
      <c r="AJ59" s="234">
        <f t="shared" si="3"/>
        <v>10032</v>
      </c>
      <c r="AK59" s="316">
        <f>COUNT(B59:N59)+4</f>
        <v>6</v>
      </c>
      <c r="AN59" s="234">
        <v>43804.5</v>
      </c>
      <c r="AO59" s="234"/>
      <c r="AP59" s="979">
        <v>55</v>
      </c>
      <c r="AQ59" s="981">
        <f t="shared" si="10"/>
        <v>1056</v>
      </c>
      <c r="AR59" s="977">
        <f t="shared" si="4"/>
        <v>10032</v>
      </c>
      <c r="AS59" s="978" t="str">
        <f t="shared" si="5"/>
        <v>Yalla</v>
      </c>
    </row>
    <row r="60" spans="1:45" ht="10.15" customHeight="1">
      <c r="A60" s="195" t="s">
        <v>244</v>
      </c>
      <c r="B60" s="1218"/>
      <c r="C60" s="702"/>
      <c r="D60" s="702">
        <f>'4.3.23'!E8</f>
        <v>5443.5</v>
      </c>
      <c r="E60" s="702"/>
      <c r="F60" s="702"/>
      <c r="G60" s="702">
        <f>'4.6.23'!E9</f>
        <v>4750</v>
      </c>
      <c r="H60" s="702"/>
      <c r="I60" s="702"/>
      <c r="J60" s="702"/>
      <c r="K60" s="738"/>
      <c r="L60" s="738"/>
      <c r="M60" s="738"/>
      <c r="N60" s="738">
        <f>'4.13.23'!E17</f>
        <v>6593</v>
      </c>
      <c r="O60" s="738"/>
      <c r="P60" s="738"/>
      <c r="Q60" s="738"/>
      <c r="R60" s="702"/>
      <c r="S60" s="702"/>
      <c r="T60" s="702">
        <f>'4.19.23'!E8</f>
        <v>5823.5</v>
      </c>
      <c r="U60" s="702"/>
      <c r="V60" s="702"/>
      <c r="W60" s="702"/>
      <c r="X60" s="702"/>
      <c r="Y60" s="252"/>
      <c r="Z60" s="252"/>
      <c r="AA60" s="252"/>
      <c r="AB60" s="252"/>
      <c r="AC60" s="252">
        <f>'4.28.23'!E27</f>
        <v>3439</v>
      </c>
      <c r="AD60" s="252"/>
      <c r="AE60" s="252"/>
      <c r="AF60" s="189">
        <f t="shared" si="7"/>
        <v>26049</v>
      </c>
      <c r="AG60" s="358">
        <f t="shared" si="11"/>
        <v>73951</v>
      </c>
      <c r="AH60" s="194" t="str">
        <f t="shared" si="8"/>
        <v>Yuna's Bob</v>
      </c>
      <c r="AJ60" s="234">
        <f t="shared" si="3"/>
        <v>26049</v>
      </c>
      <c r="AK60" s="316">
        <f>COUNT(B60:N60)+5</f>
        <v>8</v>
      </c>
      <c r="AN60" s="234">
        <v>499011.5</v>
      </c>
      <c r="AO60" s="234"/>
      <c r="AP60" s="979">
        <v>56</v>
      </c>
      <c r="AQ60" s="981">
        <f t="shared" si="10"/>
        <v>2742</v>
      </c>
      <c r="AR60" s="977">
        <f t="shared" si="4"/>
        <v>26049</v>
      </c>
      <c r="AS60" s="978" t="str">
        <f t="shared" si="5"/>
        <v>Yuna's Bob</v>
      </c>
    </row>
    <row r="61" spans="1:45" ht="10.15" customHeight="1">
      <c r="A61" s="195"/>
      <c r="B61" s="1218"/>
      <c r="C61" s="252"/>
      <c r="D61" s="252"/>
      <c r="E61" s="252"/>
      <c r="F61" s="252"/>
      <c r="G61" s="252"/>
      <c r="H61" s="252"/>
      <c r="I61" s="252"/>
      <c r="J61" s="252"/>
      <c r="K61" s="252"/>
      <c r="L61" s="252"/>
      <c r="M61" s="252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  <c r="AA61" s="252"/>
      <c r="AB61" s="252"/>
      <c r="AC61" s="252"/>
      <c r="AD61" s="252"/>
      <c r="AE61" s="252"/>
      <c r="AF61" s="189">
        <f t="shared" si="7"/>
        <v>0</v>
      </c>
      <c r="AG61" s="961">
        <f t="shared" si="11"/>
        <v>100000</v>
      </c>
      <c r="AH61" s="195"/>
      <c r="AJ61" s="234">
        <f t="shared" si="3"/>
        <v>0</v>
      </c>
      <c r="AN61" s="234">
        <v>7640</v>
      </c>
      <c r="AO61" s="234"/>
      <c r="AP61" s="979">
        <v>57</v>
      </c>
      <c r="AQ61" s="981">
        <f t="shared" si="10"/>
        <v>0</v>
      </c>
      <c r="AR61" s="977">
        <f t="shared" si="4"/>
        <v>0</v>
      </c>
      <c r="AS61" s="978">
        <f t="shared" si="5"/>
        <v>0</v>
      </c>
    </row>
    <row r="62" spans="1:45" ht="10.15" customHeight="1">
      <c r="A62" s="195"/>
      <c r="B62" s="1218"/>
      <c r="C62" s="252"/>
      <c r="D62" s="252"/>
      <c r="E62" s="252"/>
      <c r="F62" s="252"/>
      <c r="G62" s="252"/>
      <c r="H62" s="252"/>
      <c r="I62" s="252"/>
      <c r="J62" s="252"/>
      <c r="K62" s="252"/>
      <c r="L62" s="252"/>
      <c r="M62" s="252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  <c r="AA62" s="252"/>
      <c r="AB62" s="252"/>
      <c r="AC62" s="252"/>
      <c r="AD62" s="252"/>
      <c r="AE62" s="252"/>
      <c r="AF62" s="189">
        <f t="shared" si="7"/>
        <v>0</v>
      </c>
      <c r="AG62" s="961">
        <f t="shared" si="11"/>
        <v>100000</v>
      </c>
      <c r="AH62" s="195"/>
      <c r="AJ62" s="234">
        <f t="shared" si="3"/>
        <v>0</v>
      </c>
      <c r="AN62" s="234">
        <v>64586.5</v>
      </c>
      <c r="AO62" s="234"/>
      <c r="AP62" s="979">
        <v>58</v>
      </c>
      <c r="AQ62" s="981">
        <f t="shared" si="10"/>
        <v>0</v>
      </c>
      <c r="AR62" s="977">
        <f t="shared" si="4"/>
        <v>0</v>
      </c>
      <c r="AS62" s="978">
        <f t="shared" si="5"/>
        <v>0</v>
      </c>
    </row>
    <row r="63" spans="1:45" s="521" customFormat="1" ht="10.15" customHeight="1">
      <c r="A63" s="195"/>
      <c r="B63" s="1218"/>
      <c r="C63" s="252"/>
      <c r="D63" s="252"/>
      <c r="E63" s="252"/>
      <c r="F63" s="252"/>
      <c r="G63" s="252"/>
      <c r="H63" s="252"/>
      <c r="I63" s="252"/>
      <c r="J63" s="252"/>
      <c r="K63" s="252"/>
      <c r="L63" s="252"/>
      <c r="M63" s="252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  <c r="AA63" s="252"/>
      <c r="AB63" s="252"/>
      <c r="AC63" s="252"/>
      <c r="AD63" s="252"/>
      <c r="AE63" s="252"/>
      <c r="AF63" s="189">
        <f t="shared" si="7"/>
        <v>0</v>
      </c>
      <c r="AG63" s="961">
        <f t="shared" si="11"/>
        <v>100000</v>
      </c>
      <c r="AH63" s="195"/>
      <c r="AI63" s="934"/>
      <c r="AJ63" s="234">
        <f t="shared" si="3"/>
        <v>0</v>
      </c>
      <c r="AK63" s="934"/>
      <c r="AL63" s="934"/>
      <c r="AM63" s="934"/>
      <c r="AN63" s="234">
        <v>42224</v>
      </c>
      <c r="AO63" s="234"/>
      <c r="AP63" s="979">
        <v>59</v>
      </c>
      <c r="AQ63" s="981">
        <f t="shared" si="10"/>
        <v>0</v>
      </c>
      <c r="AR63" s="977">
        <f t="shared" si="4"/>
        <v>0</v>
      </c>
      <c r="AS63" s="978">
        <f t="shared" si="5"/>
        <v>0</v>
      </c>
    </row>
    <row r="64" spans="1:45" ht="13.9" customHeight="1" thickBot="1">
      <c r="A64" s="46" t="s">
        <v>24</v>
      </c>
      <c r="B64" s="1219">
        <f t="shared" ref="B64:AE64" si="12">SUM(B3:B63)</f>
        <v>0</v>
      </c>
      <c r="C64" s="530">
        <f t="shared" si="12"/>
        <v>10372.5</v>
      </c>
      <c r="D64" s="530">
        <f t="shared" si="12"/>
        <v>35606</v>
      </c>
      <c r="E64" s="530">
        <f t="shared" si="12"/>
        <v>39560</v>
      </c>
      <c r="F64" s="530">
        <f t="shared" si="12"/>
        <v>30086.5</v>
      </c>
      <c r="G64" s="530">
        <f t="shared" si="12"/>
        <v>40118.5</v>
      </c>
      <c r="H64" s="530">
        <f t="shared" si="12"/>
        <v>22277.5</v>
      </c>
      <c r="I64" s="530">
        <f t="shared" si="12"/>
        <v>44859</v>
      </c>
      <c r="J64" s="530">
        <f t="shared" si="12"/>
        <v>29022.5</v>
      </c>
      <c r="K64" s="530">
        <f t="shared" si="12"/>
        <v>32205</v>
      </c>
      <c r="L64" s="530">
        <f t="shared" si="12"/>
        <v>29889.5</v>
      </c>
      <c r="M64" s="530">
        <f t="shared" si="12"/>
        <v>31179</v>
      </c>
      <c r="N64" s="530">
        <f t="shared" si="12"/>
        <v>32309.5</v>
      </c>
      <c r="O64" s="530">
        <f t="shared" si="12"/>
        <v>35748.5</v>
      </c>
      <c r="P64" s="530">
        <f t="shared" si="12"/>
        <v>41980.5</v>
      </c>
      <c r="Q64" s="530">
        <f t="shared" si="12"/>
        <v>44279.5</v>
      </c>
      <c r="R64" s="530">
        <f t="shared" si="12"/>
        <v>38703</v>
      </c>
      <c r="S64" s="530">
        <f t="shared" si="12"/>
        <v>35093</v>
      </c>
      <c r="T64" s="530">
        <f t="shared" si="12"/>
        <v>39140</v>
      </c>
      <c r="U64" s="530">
        <f t="shared" si="12"/>
        <v>22534</v>
      </c>
      <c r="V64" s="530">
        <f t="shared" si="12"/>
        <v>19323</v>
      </c>
      <c r="W64" s="530">
        <f t="shared" si="12"/>
        <v>39415.5</v>
      </c>
      <c r="X64" s="530">
        <f t="shared" si="12"/>
        <v>23693</v>
      </c>
      <c r="Y64" s="530">
        <f t="shared" si="12"/>
        <v>28386</v>
      </c>
      <c r="Z64" s="530">
        <f t="shared" si="12"/>
        <v>26704.5</v>
      </c>
      <c r="AA64" s="530">
        <f t="shared" si="12"/>
        <v>25374.5</v>
      </c>
      <c r="AB64" s="530">
        <f t="shared" si="12"/>
        <v>33250</v>
      </c>
      <c r="AC64" s="530">
        <f t="shared" si="12"/>
        <v>29754</v>
      </c>
      <c r="AD64" s="530">
        <f t="shared" si="12"/>
        <v>34257</v>
      </c>
      <c r="AE64" s="530">
        <f t="shared" si="12"/>
        <v>29792</v>
      </c>
      <c r="AF64" s="55">
        <f>SUM(AF3:AF63)</f>
        <v>924913.5</v>
      </c>
      <c r="AG64" s="55">
        <f>SUM(AG3:AG63)</f>
        <v>15394012</v>
      </c>
      <c r="AN64" s="234">
        <f>SUM(AN3:AN63)</f>
        <v>5287160.5</v>
      </c>
      <c r="AO64" s="234"/>
      <c r="AP64" s="980"/>
      <c r="AQ64" s="981">
        <f>SUM(AQ3:AQ63)</f>
        <v>93808.31578947368</v>
      </c>
      <c r="AR64" s="977">
        <f>SUM(AR3:AR63)</f>
        <v>924913.5</v>
      </c>
      <c r="AS64" s="937"/>
    </row>
    <row r="65" spans="1:53" ht="12" customHeight="1" thickTop="1">
      <c r="A65" s="198" t="s">
        <v>85</v>
      </c>
      <c r="B65" s="241"/>
      <c r="C65" s="241">
        <f>'4.2.23'!E38</f>
        <v>10372.5</v>
      </c>
      <c r="D65" s="241">
        <f>'4.3.23'!E38</f>
        <v>35606</v>
      </c>
      <c r="E65" s="241">
        <f>'4.4.23'!E38</f>
        <v>39560</v>
      </c>
      <c r="F65" s="241">
        <f>'4.5.23'!E38</f>
        <v>30086.5</v>
      </c>
      <c r="G65" s="241">
        <f>'4.6.23'!E38</f>
        <v>40118.5</v>
      </c>
      <c r="H65" s="241">
        <f>'4.7.23'!E38</f>
        <v>22277.5</v>
      </c>
      <c r="I65" s="241">
        <f>'4.8.23'!E38</f>
        <v>44859</v>
      </c>
      <c r="J65" s="241">
        <f>'4.9.23'!E38</f>
        <v>29022.5</v>
      </c>
      <c r="K65" s="241">
        <f>'4.10.23'!E38</f>
        <v>32205</v>
      </c>
      <c r="L65" s="241">
        <f>'4.11.23'!E38</f>
        <v>29889.5</v>
      </c>
      <c r="M65" s="241">
        <f>'4.12.23'!E38</f>
        <v>31179</v>
      </c>
      <c r="N65" s="241">
        <f>'4.13.23'!E38</f>
        <v>32309.5</v>
      </c>
      <c r="O65" s="241">
        <f>'4.14.23'!E38</f>
        <v>35748.5</v>
      </c>
      <c r="P65" s="241">
        <f>'4.15.23'!E38</f>
        <v>41980.5</v>
      </c>
      <c r="Q65" s="241">
        <f>'4.16.23'!E38</f>
        <v>44279.5</v>
      </c>
      <c r="R65" s="241">
        <f>'4.17.23'!E38</f>
        <v>38703</v>
      </c>
      <c r="S65" s="241">
        <f>'4.18.23'!E38</f>
        <v>35093</v>
      </c>
      <c r="T65" s="241">
        <f>'4.19.23'!E38</f>
        <v>39140</v>
      </c>
      <c r="U65" s="241">
        <f>'4.20.23'!E38</f>
        <v>22534</v>
      </c>
      <c r="V65" s="241">
        <f>'4.21.23'!E38</f>
        <v>19323</v>
      </c>
      <c r="W65" s="241">
        <f>'4.22.23'!E38</f>
        <v>39415.5</v>
      </c>
      <c r="X65" s="241">
        <f>'4.23.23'!E38</f>
        <v>23693</v>
      </c>
      <c r="Y65" s="241">
        <f>'4.24.23'!E38</f>
        <v>28386</v>
      </c>
      <c r="Z65" s="241">
        <f>'4.25.23'!E38</f>
        <v>26704.5</v>
      </c>
      <c r="AA65" s="241">
        <f>'4.26.23'!E38</f>
        <v>25374.5</v>
      </c>
      <c r="AB65" s="241">
        <f>'4.27.23'!E38</f>
        <v>33250</v>
      </c>
      <c r="AC65" s="241">
        <f>'4.28.23'!E38</f>
        <v>29754</v>
      </c>
      <c r="AD65" s="241">
        <f>'4.29.23'!E38</f>
        <v>34257</v>
      </c>
      <c r="AE65" s="241">
        <f>'4.30.23'!E38</f>
        <v>29792</v>
      </c>
      <c r="AF65" s="197"/>
      <c r="AG65" s="57"/>
      <c r="AH65" s="521"/>
      <c r="AI65" s="521"/>
      <c r="AJ65" s="521"/>
      <c r="AK65" s="521"/>
      <c r="AL65" s="521"/>
      <c r="AM65" s="521"/>
    </row>
    <row r="66" spans="1:53" ht="12" customHeight="1">
      <c r="A66" s="198" t="s">
        <v>86</v>
      </c>
      <c r="B66" s="242">
        <f t="shared" ref="B66:AE66" si="13">B64-B65</f>
        <v>0</v>
      </c>
      <c r="C66" s="242">
        <f t="shared" si="13"/>
        <v>0</v>
      </c>
      <c r="D66" s="242">
        <f t="shared" si="13"/>
        <v>0</v>
      </c>
      <c r="E66" s="242">
        <f t="shared" si="13"/>
        <v>0</v>
      </c>
      <c r="F66" s="242">
        <f t="shared" si="13"/>
        <v>0</v>
      </c>
      <c r="G66" s="242">
        <f t="shared" si="13"/>
        <v>0</v>
      </c>
      <c r="H66" s="242">
        <f t="shared" si="13"/>
        <v>0</v>
      </c>
      <c r="I66" s="242">
        <f t="shared" si="13"/>
        <v>0</v>
      </c>
      <c r="J66" s="242">
        <f t="shared" si="13"/>
        <v>0</v>
      </c>
      <c r="K66" s="242">
        <f t="shared" si="13"/>
        <v>0</v>
      </c>
      <c r="L66" s="242">
        <f t="shared" si="13"/>
        <v>0</v>
      </c>
      <c r="M66" s="242">
        <f t="shared" si="13"/>
        <v>0</v>
      </c>
      <c r="N66" s="242">
        <f t="shared" si="13"/>
        <v>0</v>
      </c>
      <c r="O66" s="242">
        <f t="shared" si="13"/>
        <v>0</v>
      </c>
      <c r="P66" s="242">
        <f t="shared" si="13"/>
        <v>0</v>
      </c>
      <c r="Q66" s="242">
        <f t="shared" si="13"/>
        <v>0</v>
      </c>
      <c r="R66" s="242">
        <f t="shared" si="13"/>
        <v>0</v>
      </c>
      <c r="S66" s="242">
        <f t="shared" si="13"/>
        <v>0</v>
      </c>
      <c r="T66" s="242">
        <f t="shared" si="13"/>
        <v>0</v>
      </c>
      <c r="U66" s="242">
        <f t="shared" si="13"/>
        <v>0</v>
      </c>
      <c r="V66" s="242">
        <f t="shared" si="13"/>
        <v>0</v>
      </c>
      <c r="W66" s="242">
        <f t="shared" si="13"/>
        <v>0</v>
      </c>
      <c r="X66" s="242">
        <f t="shared" si="13"/>
        <v>0</v>
      </c>
      <c r="Y66" s="242">
        <f t="shared" si="13"/>
        <v>0</v>
      </c>
      <c r="Z66" s="242">
        <f t="shared" si="13"/>
        <v>0</v>
      </c>
      <c r="AA66" s="242">
        <f t="shared" si="13"/>
        <v>0</v>
      </c>
      <c r="AB66" s="242">
        <f t="shared" si="13"/>
        <v>0</v>
      </c>
      <c r="AC66" s="242">
        <f t="shared" si="13"/>
        <v>0</v>
      </c>
      <c r="AD66" s="242">
        <f t="shared" si="13"/>
        <v>0</v>
      </c>
      <c r="AE66" s="242">
        <f t="shared" si="13"/>
        <v>0</v>
      </c>
      <c r="AF66" s="233"/>
      <c r="AG66" s="199"/>
      <c r="AI66" s="316"/>
      <c r="AJ66" s="316"/>
      <c r="AK66" s="316"/>
      <c r="AL66" s="316"/>
      <c r="AM66" s="316"/>
      <c r="AN66" s="199"/>
      <c r="AO66" s="199"/>
      <c r="AP66" s="199"/>
      <c r="AQ66" s="198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</row>
    <row r="67" spans="1:53" ht="26.25" customHeight="1">
      <c r="B67" s="982" t="s">
        <v>871</v>
      </c>
      <c r="C67" s="982"/>
      <c r="D67" s="982"/>
      <c r="E67" s="982"/>
      <c r="F67" s="982"/>
      <c r="G67" s="982"/>
      <c r="H67" s="982"/>
      <c r="I67" s="982"/>
      <c r="J67" s="982"/>
      <c r="K67" s="982"/>
      <c r="L67" s="982"/>
      <c r="M67" s="982"/>
      <c r="N67" s="982"/>
      <c r="O67" s="982"/>
      <c r="P67" s="982"/>
      <c r="Q67" s="982"/>
      <c r="R67" s="982"/>
      <c r="S67" s="982"/>
      <c r="T67" s="982"/>
      <c r="U67" s="982"/>
      <c r="V67" s="982"/>
      <c r="W67" s="982"/>
      <c r="X67" s="982"/>
      <c r="Y67" s="982"/>
      <c r="Z67" s="982"/>
      <c r="AA67" s="982"/>
      <c r="AB67" s="982"/>
      <c r="AC67" s="982"/>
      <c r="AD67" s="982"/>
      <c r="AE67" s="982"/>
    </row>
    <row r="68" spans="1:53">
      <c r="AF68" s="234"/>
      <c r="AH68" s="199"/>
      <c r="AI68" s="199"/>
      <c r="AJ68" s="199"/>
      <c r="AK68" s="199"/>
      <c r="AL68" s="199"/>
      <c r="AM68" s="199"/>
    </row>
    <row r="70" spans="1:53">
      <c r="A70" s="188"/>
    </row>
    <row r="71" spans="1:53">
      <c r="A71" s="188"/>
    </row>
  </sheetData>
  <mergeCells count="3">
    <mergeCell ref="A1:A2"/>
    <mergeCell ref="AF1:AF2"/>
    <mergeCell ref="AG1:AG2"/>
  </mergeCells>
  <conditionalFormatting sqref="AG26:AG28 AG36 AG39 AG60 AG53:AG55 AG33 AG63 AG6:AG8 AG11 AG13:AG15 AG19:AG21 AG42:AG48">
    <cfRule type="cellIs" dxfId="735" priority="87" operator="lessThan">
      <formula>20000</formula>
    </cfRule>
    <cfRule type="cellIs" dxfId="734" priority="88" operator="lessThan">
      <formula>25000</formula>
    </cfRule>
    <cfRule type="cellIs" dxfId="733" priority="89" operator="lessThan">
      <formula>50000</formula>
    </cfRule>
  </conditionalFormatting>
  <conditionalFormatting sqref="AG22">
    <cfRule type="cellIs" dxfId="732" priority="84" operator="lessThan">
      <formula>20000</formula>
    </cfRule>
    <cfRule type="cellIs" dxfId="731" priority="85" operator="lessThan">
      <formula>25000</formula>
    </cfRule>
    <cfRule type="cellIs" dxfId="730" priority="86" operator="lessThan">
      <formula>50000</formula>
    </cfRule>
  </conditionalFormatting>
  <conditionalFormatting sqref="AG34">
    <cfRule type="cellIs" dxfId="729" priority="81" operator="lessThan">
      <formula>20000</formula>
    </cfRule>
    <cfRule type="cellIs" dxfId="728" priority="82" operator="lessThan">
      <formula>25000</formula>
    </cfRule>
    <cfRule type="cellIs" dxfId="727" priority="83" operator="lessThan">
      <formula>50000</formula>
    </cfRule>
  </conditionalFormatting>
  <conditionalFormatting sqref="AG37">
    <cfRule type="cellIs" dxfId="726" priority="78" operator="lessThan">
      <formula>20000</formula>
    </cfRule>
    <cfRule type="cellIs" dxfId="725" priority="79" operator="lessThan">
      <formula>25000</formula>
    </cfRule>
    <cfRule type="cellIs" dxfId="724" priority="80" operator="lessThan">
      <formula>50000</formula>
    </cfRule>
  </conditionalFormatting>
  <conditionalFormatting sqref="AG52">
    <cfRule type="cellIs" dxfId="723" priority="75" operator="lessThan">
      <formula>20000</formula>
    </cfRule>
    <cfRule type="cellIs" dxfId="722" priority="76" operator="lessThan">
      <formula>25000</formula>
    </cfRule>
    <cfRule type="cellIs" dxfId="721" priority="77" operator="lessThan">
      <formula>50000</formula>
    </cfRule>
  </conditionalFormatting>
  <conditionalFormatting sqref="AG57">
    <cfRule type="cellIs" dxfId="720" priority="72" operator="lessThan">
      <formula>20000</formula>
    </cfRule>
    <cfRule type="cellIs" dxfId="719" priority="73" operator="lessThan">
      <formula>25000</formula>
    </cfRule>
    <cfRule type="cellIs" dxfId="718" priority="74" operator="lessThan">
      <formula>50000</formula>
    </cfRule>
  </conditionalFormatting>
  <conditionalFormatting sqref="AG50">
    <cfRule type="cellIs" dxfId="717" priority="69" operator="lessThan">
      <formula>20000</formula>
    </cfRule>
    <cfRule type="cellIs" dxfId="716" priority="70" operator="lessThan">
      <formula>25000</formula>
    </cfRule>
    <cfRule type="cellIs" dxfId="715" priority="71" operator="lessThan">
      <formula>50000</formula>
    </cfRule>
  </conditionalFormatting>
  <conditionalFormatting sqref="AG5">
    <cfRule type="cellIs" dxfId="714" priority="66" operator="lessThan">
      <formula>20000</formula>
    </cfRule>
    <cfRule type="cellIs" dxfId="713" priority="67" operator="lessThan">
      <formula>25000</formula>
    </cfRule>
    <cfRule type="cellIs" dxfId="712" priority="68" operator="lessThan">
      <formula>50000</formula>
    </cfRule>
  </conditionalFormatting>
  <conditionalFormatting sqref="AG56">
    <cfRule type="cellIs" dxfId="711" priority="63" operator="lessThan">
      <formula>20000</formula>
    </cfRule>
    <cfRule type="cellIs" dxfId="710" priority="64" operator="lessThan">
      <formula>25000</formula>
    </cfRule>
    <cfRule type="cellIs" dxfId="709" priority="65" operator="lessThan">
      <formula>50000</formula>
    </cfRule>
  </conditionalFormatting>
  <conditionalFormatting sqref="AG35">
    <cfRule type="cellIs" dxfId="708" priority="60" operator="lessThan">
      <formula>20000</formula>
    </cfRule>
    <cfRule type="cellIs" dxfId="707" priority="61" operator="lessThan">
      <formula>25000</formula>
    </cfRule>
    <cfRule type="cellIs" dxfId="706" priority="62" operator="lessThan">
      <formula>50000</formula>
    </cfRule>
  </conditionalFormatting>
  <conditionalFormatting sqref="AG3:AG4">
    <cfRule type="cellIs" dxfId="705" priority="57" operator="lessThan">
      <formula>20000</formula>
    </cfRule>
    <cfRule type="cellIs" dxfId="704" priority="58" operator="lessThan">
      <formula>25000</formula>
    </cfRule>
    <cfRule type="cellIs" dxfId="703" priority="59" operator="lessThan">
      <formula>50000</formula>
    </cfRule>
  </conditionalFormatting>
  <conditionalFormatting sqref="AG16">
    <cfRule type="cellIs" dxfId="702" priority="54" operator="lessThan">
      <formula>20000</formula>
    </cfRule>
    <cfRule type="cellIs" dxfId="701" priority="55" operator="lessThan">
      <formula>25000</formula>
    </cfRule>
    <cfRule type="cellIs" dxfId="700" priority="56" operator="lessThan">
      <formula>50000</formula>
    </cfRule>
  </conditionalFormatting>
  <conditionalFormatting sqref="AG29:AG30">
    <cfRule type="cellIs" dxfId="699" priority="51" operator="lessThan">
      <formula>20000</formula>
    </cfRule>
    <cfRule type="cellIs" dxfId="698" priority="52" operator="lessThan">
      <formula>25000</formula>
    </cfRule>
    <cfRule type="cellIs" dxfId="697" priority="53" operator="lessThan">
      <formula>50000</formula>
    </cfRule>
  </conditionalFormatting>
  <conditionalFormatting sqref="AG61:AG62">
    <cfRule type="cellIs" dxfId="696" priority="48" operator="lessThan">
      <formula>20000</formula>
    </cfRule>
    <cfRule type="cellIs" dxfId="695" priority="49" operator="lessThan">
      <formula>25000</formula>
    </cfRule>
    <cfRule type="cellIs" dxfId="694" priority="50" operator="lessThan">
      <formula>50000</formula>
    </cfRule>
  </conditionalFormatting>
  <conditionalFormatting sqref="AG23">
    <cfRule type="cellIs" dxfId="693" priority="45" operator="lessThan">
      <formula>20000</formula>
    </cfRule>
    <cfRule type="cellIs" dxfId="692" priority="46" operator="lessThan">
      <formula>25000</formula>
    </cfRule>
    <cfRule type="cellIs" dxfId="691" priority="47" operator="lessThan">
      <formula>50000</formula>
    </cfRule>
  </conditionalFormatting>
  <conditionalFormatting sqref="AG10">
    <cfRule type="cellIs" dxfId="690" priority="42" operator="lessThan">
      <formula>20000</formula>
    </cfRule>
    <cfRule type="cellIs" dxfId="689" priority="43" operator="lessThan">
      <formula>25000</formula>
    </cfRule>
    <cfRule type="cellIs" dxfId="688" priority="44" operator="lessThan">
      <formula>50000</formula>
    </cfRule>
  </conditionalFormatting>
  <conditionalFormatting sqref="AG58:AG59">
    <cfRule type="cellIs" dxfId="687" priority="39" operator="lessThan">
      <formula>20000</formula>
    </cfRule>
    <cfRule type="cellIs" dxfId="686" priority="40" operator="lessThan">
      <formula>25000</formula>
    </cfRule>
    <cfRule type="cellIs" dxfId="685" priority="41" operator="lessThan">
      <formula>50000</formula>
    </cfRule>
  </conditionalFormatting>
  <conditionalFormatting sqref="AG38">
    <cfRule type="cellIs" dxfId="684" priority="36" operator="lessThan">
      <formula>20000</formula>
    </cfRule>
    <cfRule type="cellIs" dxfId="683" priority="37" operator="lessThan">
      <formula>25000</formula>
    </cfRule>
    <cfRule type="cellIs" dxfId="682" priority="38" operator="lessThan">
      <formula>50000</formula>
    </cfRule>
  </conditionalFormatting>
  <conditionalFormatting sqref="AG17">
    <cfRule type="cellIs" dxfId="681" priority="33" operator="lessThan">
      <formula>20000</formula>
    </cfRule>
    <cfRule type="cellIs" dxfId="680" priority="34" operator="lessThan">
      <formula>25000</formula>
    </cfRule>
    <cfRule type="cellIs" dxfId="679" priority="35" operator="lessThan">
      <formula>50000</formula>
    </cfRule>
  </conditionalFormatting>
  <conditionalFormatting sqref="AG40:AG41">
    <cfRule type="cellIs" dxfId="678" priority="30" operator="lessThan">
      <formula>20000</formula>
    </cfRule>
    <cfRule type="cellIs" dxfId="677" priority="31" operator="lessThan">
      <formula>25000</formula>
    </cfRule>
    <cfRule type="cellIs" dxfId="676" priority="32" operator="lessThan">
      <formula>50000</formula>
    </cfRule>
  </conditionalFormatting>
  <conditionalFormatting sqref="AG12">
    <cfRule type="cellIs" dxfId="675" priority="27" operator="lessThan">
      <formula>20000</formula>
    </cfRule>
    <cfRule type="cellIs" dxfId="674" priority="28" operator="lessThan">
      <formula>25000</formula>
    </cfRule>
    <cfRule type="cellIs" dxfId="673" priority="29" operator="lessThan">
      <formula>50000</formula>
    </cfRule>
  </conditionalFormatting>
  <conditionalFormatting sqref="B66:AE66">
    <cfRule type="cellIs" dxfId="672" priority="25" operator="lessThan">
      <formula>0</formula>
    </cfRule>
    <cfRule type="cellIs" dxfId="671" priority="26" operator="greaterThan">
      <formula>0</formula>
    </cfRule>
  </conditionalFormatting>
  <conditionalFormatting sqref="AG31">
    <cfRule type="cellIs" dxfId="670" priority="22" operator="lessThan">
      <formula>20000</formula>
    </cfRule>
    <cfRule type="cellIs" dxfId="669" priority="23" operator="lessThan">
      <formula>25000</formula>
    </cfRule>
    <cfRule type="cellIs" dxfId="668" priority="24" operator="lessThan">
      <formula>50000</formula>
    </cfRule>
  </conditionalFormatting>
  <conditionalFormatting sqref="AG9">
    <cfRule type="cellIs" dxfId="667" priority="19" operator="lessThan">
      <formula>20000</formula>
    </cfRule>
    <cfRule type="cellIs" dxfId="666" priority="20" operator="lessThan">
      <formula>25000</formula>
    </cfRule>
    <cfRule type="cellIs" dxfId="665" priority="21" operator="lessThan">
      <formula>50000</formula>
    </cfRule>
  </conditionalFormatting>
  <conditionalFormatting sqref="AG18">
    <cfRule type="cellIs" dxfId="664" priority="16" operator="lessThan">
      <formula>20000</formula>
    </cfRule>
    <cfRule type="cellIs" dxfId="663" priority="17" operator="lessThan">
      <formula>25000</formula>
    </cfRule>
    <cfRule type="cellIs" dxfId="662" priority="18" operator="lessThan">
      <formula>50000</formula>
    </cfRule>
  </conditionalFormatting>
  <conditionalFormatting sqref="AG25">
    <cfRule type="cellIs" dxfId="661" priority="13" operator="lessThan">
      <formula>20000</formula>
    </cfRule>
    <cfRule type="cellIs" dxfId="660" priority="14" operator="lessThan">
      <formula>25000</formula>
    </cfRule>
    <cfRule type="cellIs" dxfId="659" priority="15" operator="lessThan">
      <formula>50000</formula>
    </cfRule>
  </conditionalFormatting>
  <conditionalFormatting sqref="AG32">
    <cfRule type="cellIs" dxfId="658" priority="10" operator="lessThan">
      <formula>20000</formula>
    </cfRule>
    <cfRule type="cellIs" dxfId="657" priority="11" operator="lessThan">
      <formula>25000</formula>
    </cfRule>
    <cfRule type="cellIs" dxfId="656" priority="12" operator="lessThan">
      <formula>50000</formula>
    </cfRule>
  </conditionalFormatting>
  <conditionalFormatting sqref="AG49">
    <cfRule type="cellIs" dxfId="655" priority="7" operator="lessThan">
      <formula>20000</formula>
    </cfRule>
    <cfRule type="cellIs" dxfId="654" priority="8" operator="lessThan">
      <formula>25000</formula>
    </cfRule>
    <cfRule type="cellIs" dxfId="653" priority="9" operator="lessThan">
      <formula>50000</formula>
    </cfRule>
  </conditionalFormatting>
  <conditionalFormatting sqref="AG51">
    <cfRule type="cellIs" dxfId="652" priority="4" operator="lessThan">
      <formula>20000</formula>
    </cfRule>
    <cfRule type="cellIs" dxfId="651" priority="5" operator="lessThan">
      <formula>25000</formula>
    </cfRule>
    <cfRule type="cellIs" dxfId="650" priority="6" operator="lessThan">
      <formula>50000</formula>
    </cfRule>
  </conditionalFormatting>
  <conditionalFormatting sqref="AG24">
    <cfRule type="cellIs" dxfId="649" priority="1" operator="lessThan">
      <formula>20000</formula>
    </cfRule>
    <cfRule type="cellIs" dxfId="648" priority="2" operator="lessThan">
      <formula>25000</formula>
    </cfRule>
    <cfRule type="cellIs" dxfId="647" priority="3" operator="lessThan">
      <formula>50000</formula>
    </cfRule>
  </conditionalFormatting>
  <pageMargins left="0.7" right="0.7" top="0.75" bottom="0.75" header="0.3" footer="0.3"/>
  <pageSetup scale="130" orientation="portrait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47970-5FEA-4F77-B898-3EF802B1AC5C}">
  <sheetPr codeName="Sheet353"/>
  <dimension ref="A1:BC71"/>
  <sheetViews>
    <sheetView workbookViewId="0">
      <selection sqref="A1:A2"/>
    </sheetView>
  </sheetViews>
  <sheetFormatPr defaultColWidth="8.85546875" defaultRowHeight="15"/>
  <cols>
    <col min="1" max="1" width="21.85546875" style="974" bestFit="1" customWidth="1"/>
    <col min="2" max="20" width="8.5703125" style="974" bestFit="1" customWidth="1"/>
    <col min="21" max="21" width="8.42578125" style="974" customWidth="1"/>
    <col min="22" max="24" width="8.5703125" style="974" bestFit="1" customWidth="1"/>
    <col min="25" max="33" width="8" style="974" customWidth="1"/>
    <col min="34" max="34" width="12.28515625" style="934" customWidth="1"/>
    <col min="35" max="35" width="18" style="934" customWidth="1"/>
    <col min="36" max="36" width="18.28515625" style="934" customWidth="1"/>
    <col min="37" max="37" width="5.85546875" style="934" customWidth="1"/>
    <col min="38" max="38" width="9.7109375" style="934" customWidth="1"/>
    <col min="39" max="41" width="5.85546875" style="934" customWidth="1"/>
    <col min="42" max="42" width="12.42578125" style="934" customWidth="1"/>
    <col min="43" max="43" width="6.5703125" style="934" customWidth="1"/>
    <col min="44" max="44" width="3.42578125" style="934" customWidth="1"/>
    <col min="45" max="45" width="8.28515625" style="974" customWidth="1"/>
    <col min="46" max="46" width="10.7109375" style="934" customWidth="1"/>
    <col min="47" max="47" width="21.28515625" style="934" bestFit="1" customWidth="1"/>
    <col min="48" max="16384" width="8.85546875" style="934"/>
  </cols>
  <sheetData>
    <row r="1" spans="1:47">
      <c r="A1" s="1251" t="s">
        <v>77</v>
      </c>
      <c r="B1" s="250" t="s">
        <v>89</v>
      </c>
      <c r="C1" s="250" t="s">
        <v>90</v>
      </c>
      <c r="D1" s="250" t="s">
        <v>91</v>
      </c>
      <c r="E1" s="250" t="s">
        <v>92</v>
      </c>
      <c r="F1" s="250" t="s">
        <v>93</v>
      </c>
      <c r="G1" s="250" t="s">
        <v>87</v>
      </c>
      <c r="H1" s="250" t="s">
        <v>88</v>
      </c>
      <c r="I1" s="250" t="s">
        <v>89</v>
      </c>
      <c r="J1" s="250" t="s">
        <v>90</v>
      </c>
      <c r="K1" s="250" t="s">
        <v>91</v>
      </c>
      <c r="L1" s="250" t="s">
        <v>92</v>
      </c>
      <c r="M1" s="250" t="s">
        <v>93</v>
      </c>
      <c r="N1" s="250" t="s">
        <v>87</v>
      </c>
      <c r="O1" s="250" t="s">
        <v>88</v>
      </c>
      <c r="P1" s="250" t="s">
        <v>89</v>
      </c>
      <c r="Q1" s="250" t="s">
        <v>90</v>
      </c>
      <c r="R1" s="250" t="s">
        <v>91</v>
      </c>
      <c r="S1" s="250" t="s">
        <v>92</v>
      </c>
      <c r="T1" s="250" t="s">
        <v>93</v>
      </c>
      <c r="U1" s="250" t="s">
        <v>87</v>
      </c>
      <c r="V1" s="250" t="s">
        <v>88</v>
      </c>
      <c r="W1" s="250" t="s">
        <v>89</v>
      </c>
      <c r="X1" s="250" t="s">
        <v>90</v>
      </c>
      <c r="Y1" s="250" t="s">
        <v>91</v>
      </c>
      <c r="Z1" s="250" t="s">
        <v>92</v>
      </c>
      <c r="AA1" s="250" t="s">
        <v>93</v>
      </c>
      <c r="AB1" s="250" t="s">
        <v>87</v>
      </c>
      <c r="AC1" s="250" t="s">
        <v>88</v>
      </c>
      <c r="AD1" s="250" t="s">
        <v>89</v>
      </c>
      <c r="AE1" s="250" t="s">
        <v>90</v>
      </c>
      <c r="AF1" s="250" t="s">
        <v>91</v>
      </c>
      <c r="AG1" s="250" t="s">
        <v>92</v>
      </c>
      <c r="AH1" s="1253" t="s">
        <v>31</v>
      </c>
      <c r="AI1" s="1282" t="s">
        <v>190</v>
      </c>
      <c r="AP1" s="974" t="s">
        <v>222</v>
      </c>
    </row>
    <row r="2" spans="1:47" ht="15.75" thickBot="1">
      <c r="A2" s="1280"/>
      <c r="B2" s="251">
        <v>44986</v>
      </c>
      <c r="C2" s="251">
        <v>44987</v>
      </c>
      <c r="D2" s="251">
        <v>44988</v>
      </c>
      <c r="E2" s="251">
        <v>44989</v>
      </c>
      <c r="F2" s="251">
        <v>44990</v>
      </c>
      <c r="G2" s="251">
        <v>44991</v>
      </c>
      <c r="H2" s="251">
        <v>44992</v>
      </c>
      <c r="I2" s="251">
        <v>44993</v>
      </c>
      <c r="J2" s="251">
        <v>44994</v>
      </c>
      <c r="K2" s="251">
        <v>44995</v>
      </c>
      <c r="L2" s="251">
        <v>44996</v>
      </c>
      <c r="M2" s="251">
        <v>44997</v>
      </c>
      <c r="N2" s="251">
        <v>44998</v>
      </c>
      <c r="O2" s="251">
        <v>44999</v>
      </c>
      <c r="P2" s="251">
        <v>45000</v>
      </c>
      <c r="Q2" s="251">
        <v>45001</v>
      </c>
      <c r="R2" s="251">
        <v>45002</v>
      </c>
      <c r="S2" s="251">
        <v>45003</v>
      </c>
      <c r="T2" s="251">
        <v>45004</v>
      </c>
      <c r="U2" s="251">
        <v>45005</v>
      </c>
      <c r="V2" s="251">
        <v>45006</v>
      </c>
      <c r="W2" s="251">
        <v>45007</v>
      </c>
      <c r="X2" s="251">
        <v>45008</v>
      </c>
      <c r="Y2" s="251">
        <v>45009</v>
      </c>
      <c r="Z2" s="251">
        <v>45010</v>
      </c>
      <c r="AA2" s="251">
        <v>45011</v>
      </c>
      <c r="AB2" s="251">
        <v>45012</v>
      </c>
      <c r="AC2" s="251">
        <v>45013</v>
      </c>
      <c r="AD2" s="251">
        <v>45014</v>
      </c>
      <c r="AE2" s="251">
        <v>45015</v>
      </c>
      <c r="AF2" s="251">
        <v>45016</v>
      </c>
      <c r="AG2" s="251">
        <v>45017</v>
      </c>
      <c r="AH2" s="1281"/>
      <c r="AI2" s="1283"/>
      <c r="AK2" s="974"/>
      <c r="AL2" s="974" t="s">
        <v>705</v>
      </c>
      <c r="AM2" s="974"/>
      <c r="AN2" s="974"/>
      <c r="AO2" s="974"/>
      <c r="AP2" s="974" t="s">
        <v>132</v>
      </c>
      <c r="AQ2" s="974"/>
      <c r="AR2" s="937"/>
      <c r="AS2" s="756" t="s">
        <v>316</v>
      </c>
      <c r="AT2" s="937" t="s">
        <v>326</v>
      </c>
      <c r="AU2" s="937"/>
    </row>
    <row r="3" spans="1:47" ht="10.5" customHeight="1">
      <c r="A3" s="194" t="s">
        <v>185</v>
      </c>
      <c r="B3" s="701"/>
      <c r="C3" s="701">
        <f>'3.2.23'!E7+'3.2.23'!E18</f>
        <v>17527.5</v>
      </c>
      <c r="D3" s="701"/>
      <c r="E3" s="701">
        <f>'3.4.23'!E8</f>
        <v>9272</v>
      </c>
      <c r="F3" s="701"/>
      <c r="G3" s="512"/>
      <c r="H3" s="512"/>
      <c r="I3" s="512"/>
      <c r="J3" s="512"/>
      <c r="K3" s="512"/>
      <c r="L3" s="512"/>
      <c r="M3" s="512"/>
      <c r="N3" s="591"/>
      <c r="O3" s="591"/>
      <c r="P3" s="591"/>
      <c r="Q3" s="591">
        <f>'3.16.23'!E7 + '3.16.23'!E17</f>
        <v>17024</v>
      </c>
      <c r="R3" s="591"/>
      <c r="S3" s="591">
        <f>'3.18.23'!E19</f>
        <v>10231.5</v>
      </c>
      <c r="T3" s="591"/>
      <c r="U3" s="638"/>
      <c r="V3" s="638">
        <f>'3.21.23'!E7+'3.21.23'!E17</f>
        <v>17869.5</v>
      </c>
      <c r="W3" s="638"/>
      <c r="X3" s="638"/>
      <c r="Y3" s="1220"/>
      <c r="Z3" s="1220"/>
      <c r="AA3" s="1220"/>
      <c r="AB3" s="1220"/>
      <c r="AC3" s="1220"/>
      <c r="AD3" s="1220"/>
      <c r="AE3" s="1220"/>
      <c r="AF3" s="1220"/>
      <c r="AG3" s="1220"/>
      <c r="AH3" s="189">
        <f>SUM(B3:AG3)</f>
        <v>71924.5</v>
      </c>
      <c r="AI3" s="189">
        <f>449000-AH3+350000</f>
        <v>727075.5</v>
      </c>
      <c r="AJ3" s="194" t="str">
        <f t="shared" ref="AJ3:AJ34" si="0">A3</f>
        <v>8E8 Thai Street Food</v>
      </c>
      <c r="AL3" s="234">
        <f>AH3</f>
        <v>71924.5</v>
      </c>
      <c r="AP3" s="234">
        <v>415532</v>
      </c>
      <c r="AQ3" s="234"/>
      <c r="AR3" s="979">
        <v>1</v>
      </c>
      <c r="AS3" s="981">
        <f t="shared" ref="AS3:AS40" si="1">AT3/9.5</f>
        <v>7571</v>
      </c>
      <c r="AT3" s="977">
        <f>AL3</f>
        <v>71924.5</v>
      </c>
      <c r="AU3" s="978" t="str">
        <f>AJ3</f>
        <v>8E8 Thai Street Food</v>
      </c>
    </row>
    <row r="4" spans="1:47" ht="10.9" customHeight="1">
      <c r="A4" s="194" t="s">
        <v>330</v>
      </c>
      <c r="B4" s="701"/>
      <c r="C4" s="701"/>
      <c r="D4" s="701"/>
      <c r="E4" s="701"/>
      <c r="F4" s="701">
        <f>'3.5.23'!E17</f>
        <v>8835</v>
      </c>
      <c r="G4" s="736">
        <f>'3.6.23'!E17</f>
        <v>9091.5</v>
      </c>
      <c r="H4" s="736"/>
      <c r="I4" s="736"/>
      <c r="J4" s="736"/>
      <c r="K4" s="736"/>
      <c r="L4" s="736">
        <f>'3.11.23'!E8+'3.11.23'!E18</f>
        <v>15599</v>
      </c>
      <c r="M4" s="736"/>
      <c r="N4" s="591"/>
      <c r="O4" s="591"/>
      <c r="P4" s="591">
        <f>'3.15.23'!E18</f>
        <v>9215</v>
      </c>
      <c r="Q4" s="591"/>
      <c r="R4" s="591">
        <f>'3.17.23'!E8 + '3.17.23'!E17</f>
        <v>16207</v>
      </c>
      <c r="S4" s="591"/>
      <c r="T4" s="591"/>
      <c r="U4" s="638"/>
      <c r="V4" s="638"/>
      <c r="W4" s="638">
        <f>'3.22.23'!E8 + '3.22.23'!E18</f>
        <v>16720</v>
      </c>
      <c r="X4" s="638"/>
      <c r="Y4" s="1220"/>
      <c r="Z4" s="1220"/>
      <c r="AA4" s="1220"/>
      <c r="AB4" s="1220"/>
      <c r="AC4" s="1220"/>
      <c r="AD4" s="1220"/>
      <c r="AE4" s="1220"/>
      <c r="AF4" s="1220"/>
      <c r="AG4" s="1220"/>
      <c r="AH4" s="189">
        <f t="shared" ref="AH4:AH60" si="2">SUM(B4:AG4)</f>
        <v>75667.5</v>
      </c>
      <c r="AI4" s="189">
        <v>99000</v>
      </c>
      <c r="AJ4" s="194" t="str">
        <f t="shared" si="0"/>
        <v>Aloha Friday</v>
      </c>
      <c r="AL4" s="234">
        <f t="shared" ref="AL4:AL63" si="3">AH4</f>
        <v>75667.5</v>
      </c>
      <c r="AP4" s="234"/>
      <c r="AQ4" s="234"/>
      <c r="AR4" s="979">
        <v>2</v>
      </c>
      <c r="AS4" s="981">
        <f t="shared" si="1"/>
        <v>7965</v>
      </c>
      <c r="AT4" s="977">
        <f t="shared" ref="AT4:AT63" si="4">AL4</f>
        <v>75667.5</v>
      </c>
      <c r="AU4" s="978" t="str">
        <f t="shared" ref="AU4:AU63" si="5">AJ4</f>
        <v>Aloha Friday</v>
      </c>
    </row>
    <row r="5" spans="1:47" ht="10.9" customHeight="1">
      <c r="A5" s="194" t="s">
        <v>164</v>
      </c>
      <c r="B5" s="700"/>
      <c r="C5" s="700">
        <f>'3.2.23'!E17</f>
        <v>4664.5</v>
      </c>
      <c r="D5" s="700"/>
      <c r="E5" s="700"/>
      <c r="F5" s="701">
        <f>'3.5.23'!E9</f>
        <v>4902</v>
      </c>
      <c r="G5" s="737"/>
      <c r="H5" s="737"/>
      <c r="I5" s="737"/>
      <c r="J5" s="737"/>
      <c r="K5" s="737"/>
      <c r="L5" s="737"/>
      <c r="M5" s="736">
        <f>'3.12.23'!E18</f>
        <v>4845</v>
      </c>
      <c r="N5" s="590"/>
      <c r="O5" s="590"/>
      <c r="P5" s="590"/>
      <c r="Q5" s="590"/>
      <c r="R5" s="590"/>
      <c r="S5" s="590"/>
      <c r="T5" s="590">
        <f>'3.19.23'!E29</f>
        <v>4275</v>
      </c>
      <c r="U5" s="452"/>
      <c r="V5" s="452"/>
      <c r="W5" s="452"/>
      <c r="X5" s="452"/>
      <c r="Y5" s="1221"/>
      <c r="Z5" s="1221"/>
      <c r="AA5" s="1221"/>
      <c r="AB5" s="1221"/>
      <c r="AC5" s="1221"/>
      <c r="AD5" s="1221"/>
      <c r="AE5" s="1221"/>
      <c r="AF5" s="1221"/>
      <c r="AG5" s="1221"/>
      <c r="AH5" s="189">
        <f t="shared" si="2"/>
        <v>18686.5</v>
      </c>
      <c r="AI5" s="189">
        <f>449000-AH5</f>
        <v>430313.5</v>
      </c>
      <c r="AJ5" s="194" t="str">
        <f t="shared" si="0"/>
        <v>Austyn's Burgers</v>
      </c>
      <c r="AL5" s="234">
        <f t="shared" si="3"/>
        <v>18686.5</v>
      </c>
      <c r="AP5" s="234">
        <v>270375.5</v>
      </c>
      <c r="AQ5" s="234"/>
      <c r="AR5" s="979">
        <v>3</v>
      </c>
      <c r="AS5" s="981">
        <f t="shared" si="1"/>
        <v>1967</v>
      </c>
      <c r="AT5" s="977">
        <f t="shared" si="4"/>
        <v>18686.5</v>
      </c>
      <c r="AU5" s="978" t="str">
        <f t="shared" si="5"/>
        <v>Austyn's Burgers</v>
      </c>
    </row>
    <row r="6" spans="1:47" ht="10.9" customHeight="1">
      <c r="A6" s="195" t="s">
        <v>51</v>
      </c>
      <c r="B6" s="252"/>
      <c r="C6" s="252"/>
      <c r="D6" s="252"/>
      <c r="E6" s="252"/>
      <c r="F6" s="252"/>
      <c r="G6" s="252"/>
      <c r="H6" s="252"/>
      <c r="I6" s="252"/>
      <c r="J6" s="252"/>
      <c r="K6" s="252"/>
      <c r="L6" s="252"/>
      <c r="M6" s="252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1218"/>
      <c r="Z6" s="1218"/>
      <c r="AA6" s="1218"/>
      <c r="AB6" s="1218"/>
      <c r="AC6" s="1218"/>
      <c r="AD6" s="1218"/>
      <c r="AE6" s="1218"/>
      <c r="AF6" s="1218"/>
      <c r="AG6" s="1218"/>
      <c r="AH6" s="189">
        <f t="shared" si="2"/>
        <v>0</v>
      </c>
      <c r="AI6" s="961">
        <f>100000-AH6+350000</f>
        <v>450000</v>
      </c>
      <c r="AJ6" s="194" t="str">
        <f t="shared" si="0"/>
        <v>Baby's Burgers</v>
      </c>
      <c r="AL6" s="234">
        <f t="shared" si="3"/>
        <v>0</v>
      </c>
      <c r="AP6" s="234">
        <v>128995</v>
      </c>
      <c r="AQ6" s="234"/>
      <c r="AR6" s="979">
        <v>4</v>
      </c>
      <c r="AS6" s="981">
        <f t="shared" si="1"/>
        <v>0</v>
      </c>
      <c r="AT6" s="977">
        <f t="shared" si="4"/>
        <v>0</v>
      </c>
      <c r="AU6" s="978" t="str">
        <f t="shared" si="5"/>
        <v>Baby's Burgers</v>
      </c>
    </row>
    <row r="7" spans="1:47" ht="10.9" customHeight="1">
      <c r="A7" s="195" t="s">
        <v>62</v>
      </c>
      <c r="B7" s="252"/>
      <c r="C7" s="252"/>
      <c r="D7" s="252"/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1218"/>
      <c r="Z7" s="1218"/>
      <c r="AA7" s="1218"/>
      <c r="AB7" s="1218"/>
      <c r="AC7" s="1218"/>
      <c r="AD7" s="1218"/>
      <c r="AE7" s="1218"/>
      <c r="AF7" s="1218"/>
      <c r="AG7" s="1218"/>
      <c r="AH7" s="189">
        <f t="shared" si="2"/>
        <v>0</v>
      </c>
      <c r="AI7" s="961">
        <f>100000-AH7</f>
        <v>100000</v>
      </c>
      <c r="AJ7" s="194" t="str">
        <f t="shared" si="0"/>
        <v>Belly's Sliders Wings</v>
      </c>
      <c r="AL7" s="234">
        <f t="shared" si="3"/>
        <v>0</v>
      </c>
      <c r="AP7" s="234">
        <v>67842.5</v>
      </c>
      <c r="AQ7" s="234"/>
      <c r="AR7" s="979">
        <v>5</v>
      </c>
      <c r="AS7" s="981">
        <f t="shared" si="1"/>
        <v>0</v>
      </c>
      <c r="AT7" s="977">
        <f t="shared" si="4"/>
        <v>0</v>
      </c>
      <c r="AU7" s="978" t="str">
        <f t="shared" si="5"/>
        <v>Belly's Sliders Wings</v>
      </c>
    </row>
    <row r="8" spans="1:47" ht="10.15" customHeight="1">
      <c r="A8" s="195" t="s">
        <v>12</v>
      </c>
      <c r="B8" s="702">
        <f>'3.1.23'!E8</f>
        <v>4113.5</v>
      </c>
      <c r="C8" s="702"/>
      <c r="D8" s="702"/>
      <c r="E8" s="702"/>
      <c r="F8" s="702"/>
      <c r="G8" s="738"/>
      <c r="H8" s="738">
        <f>'3.7.23'!E8</f>
        <v>4569.5</v>
      </c>
      <c r="I8" s="738">
        <f>'3.8.23'!E18</f>
        <v>4484</v>
      </c>
      <c r="J8" s="738"/>
      <c r="K8" s="738"/>
      <c r="L8" s="738"/>
      <c r="M8" s="738"/>
      <c r="N8" s="589">
        <f>'3.13.23'!E9</f>
        <v>3828.5</v>
      </c>
      <c r="O8" s="589"/>
      <c r="P8" s="589"/>
      <c r="Q8" s="589"/>
      <c r="R8" s="589"/>
      <c r="S8" s="589">
        <f>'3.18.23'!E29</f>
        <v>4113.5</v>
      </c>
      <c r="T8" s="589"/>
      <c r="U8" s="640">
        <f>'3.20.23'!E19</f>
        <v>5139.5</v>
      </c>
      <c r="V8" s="640"/>
      <c r="W8" s="640"/>
      <c r="X8" s="640"/>
      <c r="Y8" s="1218"/>
      <c r="Z8" s="1218"/>
      <c r="AA8" s="1218"/>
      <c r="AB8" s="1218"/>
      <c r="AC8" s="1218"/>
      <c r="AD8" s="1218"/>
      <c r="AE8" s="1218"/>
      <c r="AF8" s="1218"/>
      <c r="AG8" s="1218"/>
      <c r="AH8" s="189">
        <f t="shared" si="2"/>
        <v>26248.5</v>
      </c>
      <c r="AI8" s="961">
        <f>100000-AH8</f>
        <v>73751.5</v>
      </c>
      <c r="AJ8" s="194" t="str">
        <f t="shared" si="0"/>
        <v>Bison Burger</v>
      </c>
      <c r="AL8" s="234">
        <f t="shared" si="3"/>
        <v>26248.5</v>
      </c>
      <c r="AP8" s="234">
        <v>36161.5</v>
      </c>
      <c r="AQ8" s="234"/>
      <c r="AR8" s="979">
        <v>6</v>
      </c>
      <c r="AS8" s="981">
        <f t="shared" si="1"/>
        <v>2763</v>
      </c>
      <c r="AT8" s="977">
        <f t="shared" si="4"/>
        <v>26248.5</v>
      </c>
      <c r="AU8" s="978" t="str">
        <f t="shared" si="5"/>
        <v>Bison Burger</v>
      </c>
    </row>
    <row r="9" spans="1:47" ht="10.15" customHeight="1">
      <c r="A9" s="195" t="s">
        <v>331</v>
      </c>
      <c r="B9" s="702">
        <f>'3.1.23'!E28</f>
        <v>4902</v>
      </c>
      <c r="C9" s="702">
        <f>'3.2.23'!E28</f>
        <v>4322.5</v>
      </c>
      <c r="D9" s="702"/>
      <c r="E9" s="702"/>
      <c r="F9" s="702"/>
      <c r="G9" s="738">
        <f>'3.6.23'!E27</f>
        <v>4132.5</v>
      </c>
      <c r="H9" s="738"/>
      <c r="I9" s="738"/>
      <c r="J9" s="738"/>
      <c r="K9" s="738">
        <f>'3.10.23'!E28</f>
        <v>3743</v>
      </c>
      <c r="L9" s="738"/>
      <c r="M9" s="738"/>
      <c r="N9" s="589"/>
      <c r="O9" s="589">
        <f>'3.14.23'!E28</f>
        <v>3743</v>
      </c>
      <c r="P9" s="589"/>
      <c r="Q9" s="589"/>
      <c r="R9" s="589">
        <f>'3.17.23'!E28</f>
        <v>3895</v>
      </c>
      <c r="S9" s="589"/>
      <c r="T9" s="589"/>
      <c r="U9" s="640">
        <f>'3.20.23'!E28</f>
        <v>5158.5</v>
      </c>
      <c r="V9" s="640"/>
      <c r="W9" s="640"/>
      <c r="X9" s="640"/>
      <c r="Y9" s="1218"/>
      <c r="Z9" s="1218"/>
      <c r="AA9" s="1218"/>
      <c r="AB9" s="1218"/>
      <c r="AC9" s="1218"/>
      <c r="AD9" s="1218"/>
      <c r="AE9" s="1218"/>
      <c r="AF9" s="1218"/>
      <c r="AG9" s="1218"/>
      <c r="AH9" s="189">
        <f t="shared" si="2"/>
        <v>29896.5</v>
      </c>
      <c r="AI9" s="189">
        <v>99000</v>
      </c>
      <c r="AJ9" s="194" t="str">
        <f t="shared" si="0"/>
        <v>Bittie Bitez</v>
      </c>
      <c r="AL9" s="234">
        <f t="shared" si="3"/>
        <v>29896.5</v>
      </c>
      <c r="AP9" s="234"/>
      <c r="AQ9" s="234"/>
      <c r="AR9" s="979">
        <v>7</v>
      </c>
      <c r="AS9" s="981">
        <f t="shared" si="1"/>
        <v>3147</v>
      </c>
      <c r="AT9" s="977">
        <f t="shared" si="4"/>
        <v>29896.5</v>
      </c>
      <c r="AU9" s="978" t="str">
        <f t="shared" si="5"/>
        <v>Bittie Bitez</v>
      </c>
    </row>
    <row r="10" spans="1:47" ht="10.15" customHeight="1">
      <c r="A10" s="195" t="s">
        <v>239</v>
      </c>
      <c r="B10" s="702"/>
      <c r="C10" s="702"/>
      <c r="D10" s="702">
        <f>'3.3.23'!E9</f>
        <v>2299</v>
      </c>
      <c r="E10" s="702"/>
      <c r="F10" s="702"/>
      <c r="G10" s="738"/>
      <c r="H10" s="738">
        <f>'3.7.23'!E9</f>
        <v>2403.5</v>
      </c>
      <c r="I10" s="738"/>
      <c r="J10" s="738">
        <f>'3.9.23'!E27</f>
        <v>2118.5</v>
      </c>
      <c r="K10" s="738"/>
      <c r="L10" s="738"/>
      <c r="M10" s="738"/>
      <c r="N10" s="589"/>
      <c r="O10" s="589"/>
      <c r="P10" s="589"/>
      <c r="Q10" s="589">
        <f>'3.16.23'!E9</f>
        <v>2185</v>
      </c>
      <c r="R10" s="589">
        <f>'3.17.23'!E27</f>
        <v>2384.5</v>
      </c>
      <c r="S10" s="589"/>
      <c r="T10" s="589"/>
      <c r="U10" s="640"/>
      <c r="V10" s="640"/>
      <c r="W10" s="640">
        <f>'3.22.23'!E29</f>
        <v>2137.5</v>
      </c>
      <c r="X10" s="640"/>
      <c r="Y10" s="1218"/>
      <c r="Z10" s="1218"/>
      <c r="AA10" s="1218"/>
      <c r="AB10" s="1218"/>
      <c r="AC10" s="1218"/>
      <c r="AD10" s="1218"/>
      <c r="AE10" s="1218"/>
      <c r="AF10" s="1218"/>
      <c r="AG10" s="1218"/>
      <c r="AH10" s="189">
        <f t="shared" si="2"/>
        <v>13528</v>
      </c>
      <c r="AI10" s="961">
        <f>100000-AH10</f>
        <v>86472</v>
      </c>
      <c r="AJ10" s="194" t="str">
        <f t="shared" si="0"/>
        <v>Bollywood Kitchen</v>
      </c>
      <c r="AL10" s="234">
        <f t="shared" si="3"/>
        <v>13528</v>
      </c>
      <c r="AP10" s="234">
        <v>41845.5</v>
      </c>
      <c r="AQ10" s="234"/>
      <c r="AR10" s="979">
        <v>8</v>
      </c>
      <c r="AS10" s="981">
        <f t="shared" si="1"/>
        <v>1424</v>
      </c>
      <c r="AT10" s="977">
        <f t="shared" si="4"/>
        <v>13528</v>
      </c>
      <c r="AU10" s="978" t="str">
        <f t="shared" si="5"/>
        <v>Bollywood Kitchen</v>
      </c>
    </row>
    <row r="11" spans="1:47" ht="10.15" customHeight="1">
      <c r="A11" s="195" t="s">
        <v>68</v>
      </c>
      <c r="B11" s="252"/>
      <c r="C11" s="252"/>
      <c r="D11" s="252"/>
      <c r="E11" s="252"/>
      <c r="F11" s="252"/>
      <c r="G11" s="252"/>
      <c r="H11" s="252"/>
      <c r="I11" s="252"/>
      <c r="J11" s="252"/>
      <c r="K11" s="252"/>
      <c r="L11" s="252"/>
      <c r="M11" s="252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1218"/>
      <c r="Z11" s="1218"/>
      <c r="AA11" s="1218"/>
      <c r="AB11" s="1218"/>
      <c r="AC11" s="1218"/>
      <c r="AD11" s="1218"/>
      <c r="AE11" s="1218"/>
      <c r="AF11" s="1218"/>
      <c r="AG11" s="1218"/>
      <c r="AH11" s="189">
        <f t="shared" si="2"/>
        <v>0</v>
      </c>
      <c r="AI11" s="961">
        <f>100000-AH11</f>
        <v>100000</v>
      </c>
      <c r="AJ11" s="194" t="str">
        <f t="shared" si="0"/>
        <v>Bunz Gourmet Burgers</v>
      </c>
      <c r="AL11" s="234">
        <f t="shared" si="3"/>
        <v>0</v>
      </c>
      <c r="AP11" s="234">
        <v>18672</v>
      </c>
      <c r="AQ11" s="234"/>
      <c r="AR11" s="979">
        <v>9</v>
      </c>
      <c r="AS11" s="981">
        <f t="shared" si="1"/>
        <v>0</v>
      </c>
      <c r="AT11" s="977">
        <f t="shared" si="4"/>
        <v>0</v>
      </c>
      <c r="AU11" s="978" t="str">
        <f t="shared" si="5"/>
        <v>Bunz Gourmet Burgers</v>
      </c>
    </row>
    <row r="12" spans="1:47" ht="10.15" customHeight="1">
      <c r="A12" s="195" t="s">
        <v>245</v>
      </c>
      <c r="B12" s="252"/>
      <c r="C12" s="252"/>
      <c r="D12" s="252"/>
      <c r="E12" s="252"/>
      <c r="F12" s="252"/>
      <c r="G12" s="252"/>
      <c r="H12" s="252"/>
      <c r="I12" s="252"/>
      <c r="J12" s="252"/>
      <c r="K12" s="252"/>
      <c r="L12" s="252"/>
      <c r="M12" s="252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1218"/>
      <c r="Z12" s="1218"/>
      <c r="AA12" s="1218"/>
      <c r="AB12" s="1218"/>
      <c r="AC12" s="1218"/>
      <c r="AD12" s="1218"/>
      <c r="AE12" s="1218"/>
      <c r="AF12" s="1218"/>
      <c r="AG12" s="1218"/>
      <c r="AH12" s="189">
        <f t="shared" si="2"/>
        <v>0</v>
      </c>
      <c r="AI12" s="961">
        <f>100000-AH12</f>
        <v>100000</v>
      </c>
      <c r="AJ12" s="194" t="str">
        <f t="shared" si="0"/>
        <v>Café Vietnam</v>
      </c>
      <c r="AL12" s="234">
        <f t="shared" si="3"/>
        <v>0</v>
      </c>
      <c r="AP12" s="234">
        <v>32515.5</v>
      </c>
      <c r="AQ12" s="234"/>
      <c r="AR12" s="979">
        <v>10</v>
      </c>
      <c r="AS12" s="981">
        <f t="shared" si="1"/>
        <v>0</v>
      </c>
      <c r="AT12" s="977">
        <f t="shared" si="4"/>
        <v>0</v>
      </c>
      <c r="AU12" s="978" t="str">
        <f t="shared" si="5"/>
        <v>Café Vietnam</v>
      </c>
    </row>
    <row r="13" spans="1:47" ht="10.15" customHeight="1">
      <c r="A13" s="195" t="s">
        <v>254</v>
      </c>
      <c r="B13" s="702"/>
      <c r="C13" s="702"/>
      <c r="D13" s="702">
        <f>'3.3.23'!E17+'3.3.23'!E27</f>
        <v>5443.5</v>
      </c>
      <c r="E13" s="702"/>
      <c r="F13" s="702">
        <f>'3.5.23'!E28</f>
        <v>2631.5</v>
      </c>
      <c r="G13" s="738"/>
      <c r="H13" s="738"/>
      <c r="I13" s="738">
        <f>'3.8.23'!E29</f>
        <v>2859.5</v>
      </c>
      <c r="J13" s="738"/>
      <c r="K13" s="738">
        <f>'3.10.23'!E8</f>
        <v>3078</v>
      </c>
      <c r="L13" s="738"/>
      <c r="M13" s="738"/>
      <c r="N13" s="589">
        <f>'3.13.23'!E8</f>
        <v>2973.5</v>
      </c>
      <c r="O13" s="589">
        <f>'3.14.23'!E17</f>
        <v>3239.5</v>
      </c>
      <c r="P13" s="589"/>
      <c r="Q13" s="589"/>
      <c r="R13" s="589"/>
      <c r="S13" s="589"/>
      <c r="T13" s="589"/>
      <c r="U13" s="640">
        <f>'3.20.23'!E18+'3.20.23'!E27</f>
        <v>5785.5</v>
      </c>
      <c r="V13" s="640"/>
      <c r="W13" s="640"/>
      <c r="X13" s="640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89">
        <f t="shared" si="2"/>
        <v>26011</v>
      </c>
      <c r="AI13" s="961">
        <f>100000-AH13+350000</f>
        <v>423989</v>
      </c>
      <c r="AJ13" s="194" t="str">
        <f t="shared" si="0"/>
        <v>Cartel Taco Truck</v>
      </c>
      <c r="AL13" s="234">
        <f t="shared" si="3"/>
        <v>26011</v>
      </c>
      <c r="AP13" s="234">
        <v>126406.5</v>
      </c>
      <c r="AQ13" s="234"/>
      <c r="AR13" s="979">
        <v>11</v>
      </c>
      <c r="AS13" s="981">
        <f t="shared" si="1"/>
        <v>2738</v>
      </c>
      <c r="AT13" s="977">
        <f t="shared" si="4"/>
        <v>26011</v>
      </c>
      <c r="AU13" s="978" t="str">
        <f t="shared" si="5"/>
        <v>Cartel Taco Truck</v>
      </c>
    </row>
    <row r="14" spans="1:47" ht="10.15" customHeight="1">
      <c r="A14" s="195" t="s">
        <v>49</v>
      </c>
      <c r="B14" s="702"/>
      <c r="C14" s="702"/>
      <c r="D14" s="702"/>
      <c r="E14" s="702"/>
      <c r="F14" s="702">
        <f>'3.5.23'!E7</f>
        <v>4294</v>
      </c>
      <c r="G14" s="738"/>
      <c r="H14" s="738"/>
      <c r="I14" s="738"/>
      <c r="J14" s="738"/>
      <c r="K14" s="738">
        <f>'3.10.23'!E29</f>
        <v>2755</v>
      </c>
      <c r="L14" s="738"/>
      <c r="M14" s="738">
        <f>'3.12.23'!E7</f>
        <v>4493.5</v>
      </c>
      <c r="N14" s="589"/>
      <c r="O14" s="589">
        <f>'3.14.23'!E7</f>
        <v>4104</v>
      </c>
      <c r="P14" s="589"/>
      <c r="Q14" s="589"/>
      <c r="R14" s="589"/>
      <c r="S14" s="589">
        <f>'3.18.23'!E27</f>
        <v>4275</v>
      </c>
      <c r="T14" s="589">
        <f>'3.19.23'!E7</f>
        <v>5510</v>
      </c>
      <c r="U14" s="640"/>
      <c r="V14" s="640"/>
      <c r="W14" s="640"/>
      <c r="X14" s="640">
        <f>'3.23.23'!E18</f>
        <v>4769</v>
      </c>
      <c r="Y14" s="1218"/>
      <c r="Z14" s="1218"/>
      <c r="AA14" s="1218"/>
      <c r="AB14" s="1218"/>
      <c r="AC14" s="1218"/>
      <c r="AD14" s="1218"/>
      <c r="AE14" s="1218"/>
      <c r="AF14" s="1218"/>
      <c r="AG14" s="1218"/>
      <c r="AH14" s="189">
        <f t="shared" si="2"/>
        <v>30200.5</v>
      </c>
      <c r="AI14" s="961">
        <f>100000-AH14</f>
        <v>69799.5</v>
      </c>
      <c r="AJ14" s="194" t="str">
        <f t="shared" si="0"/>
        <v>Cerda Vega Tacos</v>
      </c>
      <c r="AL14" s="234">
        <f t="shared" si="3"/>
        <v>30200.5</v>
      </c>
      <c r="AP14" s="782">
        <v>103495</v>
      </c>
      <c r="AQ14" s="234"/>
      <c r="AR14" s="979">
        <v>12</v>
      </c>
      <c r="AS14" s="981">
        <f t="shared" si="1"/>
        <v>3179</v>
      </c>
      <c r="AT14" s="977">
        <f t="shared" si="4"/>
        <v>30200.5</v>
      </c>
      <c r="AU14" s="978" t="str">
        <f t="shared" si="5"/>
        <v>Cerda Vega Tacos</v>
      </c>
    </row>
    <row r="15" spans="1:47" ht="10.15" customHeight="1">
      <c r="A15" s="195" t="s">
        <v>235</v>
      </c>
      <c r="B15" s="702"/>
      <c r="C15" s="702"/>
      <c r="D15" s="702">
        <f>'3.3.23'!E28</f>
        <v>4911.5</v>
      </c>
      <c r="E15" s="702"/>
      <c r="F15" s="702">
        <f>'3.5.23'!E27</f>
        <v>5595.5</v>
      </c>
      <c r="G15" s="738"/>
      <c r="H15" s="738">
        <f>'3.7.23'!E28</f>
        <v>6118</v>
      </c>
      <c r="I15" s="738"/>
      <c r="J15" s="738"/>
      <c r="K15" s="738"/>
      <c r="L15" s="738"/>
      <c r="M15" s="738">
        <f>'3.12.23'!E28</f>
        <v>6137</v>
      </c>
      <c r="N15" s="589"/>
      <c r="O15" s="589"/>
      <c r="P15" s="589"/>
      <c r="Q15" s="589"/>
      <c r="R15" s="589"/>
      <c r="S15" s="589">
        <f>'3.18.23'!E28</f>
        <v>6830.5</v>
      </c>
      <c r="T15" s="589">
        <f>'3.19.23'!E28</f>
        <v>7286.5</v>
      </c>
      <c r="U15" s="640"/>
      <c r="V15" s="640"/>
      <c r="W15" s="640"/>
      <c r="X15" s="640">
        <f>'3.23.23'!E28</f>
        <v>7533.5</v>
      </c>
      <c r="Y15" s="1218"/>
      <c r="Z15" s="1218"/>
      <c r="AA15" s="1218"/>
      <c r="AB15" s="1218"/>
      <c r="AC15" s="1218"/>
      <c r="AD15" s="1218"/>
      <c r="AE15" s="1218"/>
      <c r="AF15" s="1218"/>
      <c r="AG15" s="1218"/>
      <c r="AH15" s="189">
        <f t="shared" si="2"/>
        <v>44412.5</v>
      </c>
      <c r="AI15" s="961">
        <f>100000-AH15+350000</f>
        <v>405587.5</v>
      </c>
      <c r="AJ15" s="194" t="str">
        <f t="shared" si="0"/>
        <v>Creamy Boys</v>
      </c>
      <c r="AL15" s="234">
        <f t="shared" si="3"/>
        <v>44412.5</v>
      </c>
      <c r="AP15" s="234">
        <v>292911</v>
      </c>
      <c r="AQ15" s="234"/>
      <c r="AR15" s="979">
        <v>13</v>
      </c>
      <c r="AS15" s="981">
        <f t="shared" si="1"/>
        <v>4675</v>
      </c>
      <c r="AT15" s="977">
        <f t="shared" si="4"/>
        <v>44412.5</v>
      </c>
      <c r="AU15" s="978" t="str">
        <f t="shared" si="5"/>
        <v>Creamy Boys</v>
      </c>
    </row>
    <row r="16" spans="1:47" ht="10.15" customHeight="1">
      <c r="A16" s="195" t="s">
        <v>188</v>
      </c>
      <c r="B16" s="252"/>
      <c r="C16" s="252"/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1218"/>
      <c r="Z16" s="1218"/>
      <c r="AA16" s="1218"/>
      <c r="AB16" s="1218"/>
      <c r="AC16" s="1218"/>
      <c r="AD16" s="1218"/>
      <c r="AE16" s="1218"/>
      <c r="AF16" s="1218"/>
      <c r="AG16" s="1218"/>
      <c r="AH16" s="189">
        <f t="shared" si="2"/>
        <v>0</v>
      </c>
      <c r="AI16" s="961">
        <f>100000-AH16</f>
        <v>100000</v>
      </c>
      <c r="AJ16" s="194" t="str">
        <f t="shared" si="0"/>
        <v>Deli Doctor</v>
      </c>
      <c r="AL16" s="234">
        <f t="shared" si="3"/>
        <v>0</v>
      </c>
      <c r="AP16" s="234">
        <v>51936.5</v>
      </c>
      <c r="AQ16" s="234"/>
      <c r="AR16" s="979">
        <v>14</v>
      </c>
      <c r="AS16" s="981">
        <f t="shared" si="1"/>
        <v>0</v>
      </c>
      <c r="AT16" s="977">
        <f t="shared" si="4"/>
        <v>0</v>
      </c>
      <c r="AU16" s="978" t="str">
        <f t="shared" si="5"/>
        <v>Deli Doctor</v>
      </c>
    </row>
    <row r="17" spans="1:47" ht="9.75" customHeight="1">
      <c r="A17" s="195" t="s">
        <v>243</v>
      </c>
      <c r="B17" s="702">
        <f>'3.1.23'!E18</f>
        <v>8901.5</v>
      </c>
      <c r="C17" s="702">
        <f>'3.2.23'!E9</f>
        <v>7134.5</v>
      </c>
      <c r="D17" s="702"/>
      <c r="E17" s="702"/>
      <c r="F17" s="702">
        <f>'3.5.23'!E19</f>
        <v>8778</v>
      </c>
      <c r="G17" s="738">
        <f>'3.6.23'!E9</f>
        <v>6754.5</v>
      </c>
      <c r="H17" s="738"/>
      <c r="I17" s="738"/>
      <c r="J17" s="738"/>
      <c r="K17" s="738"/>
      <c r="L17" s="738">
        <f>'3.11.23'!E9</f>
        <v>8531</v>
      </c>
      <c r="M17" s="738">
        <f>'3.12.23'!E8</f>
        <v>7885</v>
      </c>
      <c r="N17" s="589"/>
      <c r="O17" s="589">
        <f>'3.14.23'!E9</f>
        <v>7229.5</v>
      </c>
      <c r="P17" s="589"/>
      <c r="Q17" s="589"/>
      <c r="R17" s="589"/>
      <c r="S17" s="589"/>
      <c r="T17" s="589">
        <f>'3.19.23'!E9</f>
        <v>9291</v>
      </c>
      <c r="U17" s="640"/>
      <c r="V17" s="640"/>
      <c r="W17" s="640"/>
      <c r="X17" s="640">
        <f>'3.23.23'!E17</f>
        <v>9813.5</v>
      </c>
      <c r="Y17" s="1218"/>
      <c r="Z17" s="1218"/>
      <c r="AA17" s="1218"/>
      <c r="AB17" s="1218"/>
      <c r="AC17" s="1218"/>
      <c r="AD17" s="1218"/>
      <c r="AE17" s="1218"/>
      <c r="AF17" s="1218"/>
      <c r="AG17" s="1218"/>
      <c r="AH17" s="189">
        <f t="shared" si="2"/>
        <v>74318.5</v>
      </c>
      <c r="AI17" s="961">
        <f>100000-AH17+100000</f>
        <v>125681.5</v>
      </c>
      <c r="AJ17" s="194" t="str">
        <f t="shared" si="0"/>
        <v>Dina's Dumpling</v>
      </c>
      <c r="AL17" s="234">
        <f t="shared" si="3"/>
        <v>74318.5</v>
      </c>
      <c r="AP17" s="234">
        <v>70634</v>
      </c>
      <c r="AQ17" s="234"/>
      <c r="AR17" s="979">
        <v>15</v>
      </c>
      <c r="AS17" s="981">
        <f t="shared" si="1"/>
        <v>7823</v>
      </c>
      <c r="AT17" s="977">
        <f t="shared" si="4"/>
        <v>74318.5</v>
      </c>
      <c r="AU17" s="978" t="str">
        <f t="shared" si="5"/>
        <v>Dina's Dumpling</v>
      </c>
    </row>
    <row r="18" spans="1:47" ht="10.15" customHeight="1">
      <c r="A18" s="195" t="s">
        <v>334</v>
      </c>
      <c r="B18" s="702"/>
      <c r="C18" s="702"/>
      <c r="D18" s="702"/>
      <c r="E18" s="702">
        <f>'3.4.23'!E28</f>
        <v>4531.5</v>
      </c>
      <c r="F18" s="702"/>
      <c r="G18" s="738"/>
      <c r="H18" s="738"/>
      <c r="I18" s="738"/>
      <c r="J18" s="738"/>
      <c r="K18" s="738"/>
      <c r="L18" s="738">
        <f>'3.11.23'!E28</f>
        <v>5244</v>
      </c>
      <c r="M18" s="738"/>
      <c r="N18" s="589"/>
      <c r="O18" s="589"/>
      <c r="P18" s="589"/>
      <c r="Q18" s="589">
        <f>'3.16.23'!E28</f>
        <v>5548</v>
      </c>
      <c r="R18" s="589"/>
      <c r="S18" s="589"/>
      <c r="T18" s="589"/>
      <c r="U18" s="640"/>
      <c r="V18" s="640"/>
      <c r="W18" s="640">
        <f>'3.22.23'!E28</f>
        <v>5301</v>
      </c>
      <c r="X18" s="640"/>
      <c r="Y18" s="1218"/>
      <c r="Z18" s="1218"/>
      <c r="AA18" s="1218"/>
      <c r="AB18" s="1218"/>
      <c r="AC18" s="1218"/>
      <c r="AD18" s="1218"/>
      <c r="AE18" s="1218"/>
      <c r="AF18" s="1218"/>
      <c r="AG18" s="1218"/>
      <c r="AH18" s="189">
        <f t="shared" si="2"/>
        <v>20624.5</v>
      </c>
      <c r="AI18" s="189">
        <v>99000</v>
      </c>
      <c r="AJ18" s="194" t="str">
        <f t="shared" si="0"/>
        <v>Dulce Europa</v>
      </c>
      <c r="AL18" s="234">
        <f t="shared" si="3"/>
        <v>20624.5</v>
      </c>
      <c r="AP18" s="234"/>
      <c r="AQ18" s="234"/>
      <c r="AR18" s="979">
        <v>16</v>
      </c>
      <c r="AS18" s="981">
        <f t="shared" si="1"/>
        <v>2171</v>
      </c>
      <c r="AT18" s="977">
        <f t="shared" si="4"/>
        <v>20624.5</v>
      </c>
      <c r="AU18" s="978" t="str">
        <f t="shared" si="5"/>
        <v>Dulce Europa</v>
      </c>
    </row>
    <row r="19" spans="1:47" ht="10.15" customHeight="1">
      <c r="A19" s="195" t="s">
        <v>63</v>
      </c>
      <c r="B19" s="702">
        <f>'3.1.23'!E9</f>
        <v>3847.5</v>
      </c>
      <c r="C19" s="702"/>
      <c r="D19" s="702">
        <f>'3.3.23'!E29</f>
        <v>2964</v>
      </c>
      <c r="E19" s="702"/>
      <c r="F19" s="702">
        <f>'3.5.23'!E29</f>
        <v>3420</v>
      </c>
      <c r="G19" s="738"/>
      <c r="H19" s="738"/>
      <c r="I19" s="738"/>
      <c r="J19" s="738">
        <f>'3.9.23'!E8</f>
        <v>3724</v>
      </c>
      <c r="K19" s="738"/>
      <c r="L19" s="738"/>
      <c r="M19" s="738">
        <f>'3.12.23'!E19+'3.12.23'!E29</f>
        <v>6260.5</v>
      </c>
      <c r="N19" s="252"/>
      <c r="O19" s="252"/>
      <c r="P19" s="252"/>
      <c r="Q19" s="252"/>
      <c r="R19" s="252"/>
      <c r="S19" s="252"/>
      <c r="T19" s="252"/>
      <c r="U19" s="640"/>
      <c r="V19" s="640">
        <f>'3.21.23'!E18</f>
        <v>4379.5</v>
      </c>
      <c r="W19" s="640"/>
      <c r="X19" s="640"/>
      <c r="Y19" s="1218"/>
      <c r="Z19" s="1218"/>
      <c r="AA19" s="1218"/>
      <c r="AB19" s="1218"/>
      <c r="AC19" s="1218"/>
      <c r="AD19" s="1218"/>
      <c r="AE19" s="1218"/>
      <c r="AF19" s="1218"/>
      <c r="AG19" s="1218"/>
      <c r="AH19" s="189">
        <f t="shared" si="2"/>
        <v>24595.5</v>
      </c>
      <c r="AI19" s="961">
        <f>449000-AH19+350000</f>
        <v>774404.5</v>
      </c>
      <c r="AJ19" s="194" t="str">
        <f t="shared" si="0"/>
        <v>Flamin Hot Chicken</v>
      </c>
      <c r="AL19" s="234">
        <f t="shared" si="3"/>
        <v>24595.5</v>
      </c>
      <c r="AP19" s="234">
        <v>188115.5</v>
      </c>
      <c r="AQ19" s="234"/>
      <c r="AR19" s="979">
        <v>17</v>
      </c>
      <c r="AS19" s="981">
        <f t="shared" si="1"/>
        <v>2589</v>
      </c>
      <c r="AT19" s="977">
        <f t="shared" si="4"/>
        <v>24595.5</v>
      </c>
      <c r="AU19" s="978" t="str">
        <f t="shared" si="5"/>
        <v>Flamin Hot Chicken</v>
      </c>
    </row>
    <row r="20" spans="1:47" ht="10.15" customHeight="1">
      <c r="A20" s="195" t="s">
        <v>78</v>
      </c>
      <c r="B20" s="252"/>
      <c r="C20" s="252"/>
      <c r="D20" s="252"/>
      <c r="E20" s="252"/>
      <c r="F20" s="252"/>
      <c r="G20" s="252"/>
      <c r="H20" s="252"/>
      <c r="I20" s="252"/>
      <c r="J20" s="252"/>
      <c r="K20" s="252"/>
      <c r="L20" s="252"/>
      <c r="M20" s="252"/>
      <c r="N20" s="589"/>
      <c r="O20" s="589">
        <f>'3.14.23'!E8</f>
        <v>3562.5</v>
      </c>
      <c r="P20" s="589"/>
      <c r="Q20" s="589"/>
      <c r="R20" s="589"/>
      <c r="S20" s="589"/>
      <c r="T20" s="589"/>
      <c r="U20" s="640"/>
      <c r="V20" s="640">
        <f>'3.21.23'!E8</f>
        <v>5329.5</v>
      </c>
      <c r="W20" s="640"/>
      <c r="X20" s="640"/>
      <c r="Y20" s="1218"/>
      <c r="Z20" s="1218"/>
      <c r="AA20" s="1218"/>
      <c r="AB20" s="1218"/>
      <c r="AC20" s="1218"/>
      <c r="AD20" s="1218"/>
      <c r="AE20" s="1218"/>
      <c r="AF20" s="1218"/>
      <c r="AG20" s="1218"/>
      <c r="AH20" s="189">
        <f t="shared" si="2"/>
        <v>8892</v>
      </c>
      <c r="AI20" s="961">
        <f>100000-AH20</f>
        <v>91108</v>
      </c>
      <c r="AJ20" s="194" t="str">
        <f t="shared" si="0"/>
        <v>Flaming Grain</v>
      </c>
      <c r="AL20" s="234">
        <f t="shared" si="3"/>
        <v>8892</v>
      </c>
      <c r="AP20" s="234">
        <v>55223</v>
      </c>
      <c r="AQ20" s="234"/>
      <c r="AR20" s="979">
        <v>18</v>
      </c>
      <c r="AS20" s="981">
        <f t="shared" si="1"/>
        <v>936</v>
      </c>
      <c r="AT20" s="977">
        <f t="shared" si="4"/>
        <v>8892</v>
      </c>
      <c r="AU20" s="978" t="str">
        <f t="shared" si="5"/>
        <v>Flaming Grain</v>
      </c>
    </row>
    <row r="21" spans="1:47" ht="10.15" customHeight="1">
      <c r="A21" s="195" t="s">
        <v>696</v>
      </c>
      <c r="B21" s="252"/>
      <c r="C21" s="252"/>
      <c r="D21" s="252"/>
      <c r="E21" s="252"/>
      <c r="F21" s="252"/>
      <c r="G21" s="738">
        <f>'3.6.23'!E18</f>
        <v>3220.5</v>
      </c>
      <c r="H21" s="738"/>
      <c r="I21" s="738"/>
      <c r="J21" s="738"/>
      <c r="K21" s="738"/>
      <c r="L21" s="738"/>
      <c r="M21" s="738"/>
      <c r="N21" s="252"/>
      <c r="O21" s="252"/>
      <c r="P21" s="252"/>
      <c r="Q21" s="252"/>
      <c r="R21" s="252"/>
      <c r="S21" s="252"/>
      <c r="T21" s="252"/>
      <c r="U21" s="640"/>
      <c r="V21" s="640"/>
      <c r="W21" s="640"/>
      <c r="X21" s="640">
        <f>'3.23.23'!E8</f>
        <v>3135</v>
      </c>
      <c r="Y21" s="1218"/>
      <c r="Z21" s="1218"/>
      <c r="AA21" s="1218"/>
      <c r="AB21" s="1218"/>
      <c r="AC21" s="1218"/>
      <c r="AD21" s="1218"/>
      <c r="AE21" s="1218"/>
      <c r="AF21" s="1218"/>
      <c r="AG21" s="1218"/>
      <c r="AH21" s="189">
        <f t="shared" si="2"/>
        <v>6355.5</v>
      </c>
      <c r="AI21" s="961">
        <f>100000-AH21</f>
        <v>93644.5</v>
      </c>
      <c r="AJ21" s="194" t="str">
        <f t="shared" si="0"/>
        <v>Go Fusion</v>
      </c>
      <c r="AL21" s="234">
        <f t="shared" si="3"/>
        <v>6355.5</v>
      </c>
      <c r="AP21" s="234"/>
      <c r="AQ21" s="234"/>
      <c r="AR21" s="979">
        <v>19</v>
      </c>
      <c r="AS21" s="981">
        <f t="shared" si="1"/>
        <v>669</v>
      </c>
      <c r="AT21" s="977">
        <f t="shared" si="4"/>
        <v>6355.5</v>
      </c>
      <c r="AU21" s="978" t="str">
        <f t="shared" si="5"/>
        <v>Go Fusion</v>
      </c>
    </row>
    <row r="22" spans="1:47" ht="10.15" customHeight="1">
      <c r="A22" s="195" t="s">
        <v>129</v>
      </c>
      <c r="B22" s="252"/>
      <c r="C22" s="252"/>
      <c r="D22" s="252"/>
      <c r="E22" s="252"/>
      <c r="F22" s="252"/>
      <c r="G22" s="252"/>
      <c r="H22" s="252"/>
      <c r="I22" s="252"/>
      <c r="J22" s="252"/>
      <c r="K22" s="252"/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1218"/>
      <c r="Z22" s="1218"/>
      <c r="AA22" s="1218"/>
      <c r="AB22" s="1218"/>
      <c r="AC22" s="1218"/>
      <c r="AD22" s="1218"/>
      <c r="AE22" s="1218"/>
      <c r="AF22" s="1218"/>
      <c r="AG22" s="1218"/>
      <c r="AH22" s="189">
        <f t="shared" si="2"/>
        <v>0</v>
      </c>
      <c r="AI22" s="961">
        <f>100000-AH22</f>
        <v>100000</v>
      </c>
      <c r="AJ22" s="194" t="str">
        <f t="shared" si="0"/>
        <v>Good East and Vibes</v>
      </c>
      <c r="AL22" s="234">
        <f t="shared" si="3"/>
        <v>0</v>
      </c>
      <c r="AP22" s="234">
        <v>11600</v>
      </c>
      <c r="AQ22" s="234"/>
      <c r="AR22" s="979">
        <v>20</v>
      </c>
      <c r="AS22" s="981">
        <f t="shared" si="1"/>
        <v>0</v>
      </c>
      <c r="AT22" s="977">
        <f t="shared" si="4"/>
        <v>0</v>
      </c>
      <c r="AU22" s="978" t="str">
        <f t="shared" si="5"/>
        <v>Good East and Vibes</v>
      </c>
    </row>
    <row r="23" spans="1:47" ht="10.15" customHeight="1">
      <c r="A23" s="195" t="s">
        <v>238</v>
      </c>
      <c r="B23" s="702"/>
      <c r="C23" s="702">
        <f>'3.2.23'!E27</f>
        <v>2375</v>
      </c>
      <c r="D23" s="702">
        <f>'3.3.23'!E18</f>
        <v>3344</v>
      </c>
      <c r="E23" s="702"/>
      <c r="F23" s="702"/>
      <c r="G23" s="252"/>
      <c r="H23" s="252"/>
      <c r="I23" s="252"/>
      <c r="J23" s="252"/>
      <c r="K23" s="252"/>
      <c r="L23" s="252"/>
      <c r="M23" s="252"/>
      <c r="N23" s="589"/>
      <c r="O23" s="589">
        <f>'3.14.23'!E18</f>
        <v>3011.5</v>
      </c>
      <c r="P23" s="589"/>
      <c r="Q23" s="589"/>
      <c r="R23" s="589">
        <f>'3.17.23'!E9</f>
        <v>2698</v>
      </c>
      <c r="S23" s="589"/>
      <c r="T23" s="589">
        <f>'3.19.23'!E8</f>
        <v>3429.5</v>
      </c>
      <c r="U23" s="640"/>
      <c r="V23" s="640"/>
      <c r="W23" s="640"/>
      <c r="X23" s="640">
        <f>'3.23.23'!E27</f>
        <v>2242</v>
      </c>
      <c r="Y23" s="1218"/>
      <c r="Z23" s="1218"/>
      <c r="AA23" s="1218"/>
      <c r="AB23" s="1218"/>
      <c r="AC23" s="1218"/>
      <c r="AD23" s="1218"/>
      <c r="AE23" s="1218"/>
      <c r="AF23" s="1218"/>
      <c r="AG23" s="1218"/>
      <c r="AH23" s="189">
        <f t="shared" si="2"/>
        <v>17100</v>
      </c>
      <c r="AI23" s="961">
        <f>100000-AH23</f>
        <v>82900</v>
      </c>
      <c r="AJ23" s="194" t="str">
        <f t="shared" si="0"/>
        <v>Habibi Shack</v>
      </c>
      <c r="AL23" s="234">
        <f t="shared" si="3"/>
        <v>17100</v>
      </c>
      <c r="AP23" s="234">
        <v>38069</v>
      </c>
      <c r="AQ23" s="234"/>
      <c r="AR23" s="979">
        <v>21</v>
      </c>
      <c r="AS23" s="981">
        <f t="shared" si="1"/>
        <v>1800</v>
      </c>
      <c r="AT23" s="977">
        <f t="shared" si="4"/>
        <v>17100</v>
      </c>
      <c r="AU23" s="978" t="str">
        <f t="shared" si="5"/>
        <v>Habibi Shack</v>
      </c>
    </row>
    <row r="24" spans="1:47" ht="10.15" customHeight="1">
      <c r="A24" s="195" t="s">
        <v>790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1218"/>
      <c r="Z24" s="1218"/>
      <c r="AA24" s="1218"/>
      <c r="AB24" s="1218"/>
      <c r="AC24" s="1218"/>
      <c r="AD24" s="1218"/>
      <c r="AE24" s="1218"/>
      <c r="AF24" s="1218"/>
      <c r="AG24" s="1218"/>
      <c r="AH24" s="189">
        <f t="shared" si="2"/>
        <v>0</v>
      </c>
      <c r="AI24" s="189">
        <v>99000</v>
      </c>
      <c r="AJ24" s="194" t="str">
        <f t="shared" si="0"/>
        <v>Heritage Kitchen</v>
      </c>
      <c r="AL24" s="234">
        <f t="shared" si="3"/>
        <v>0</v>
      </c>
      <c r="AP24" s="234"/>
      <c r="AQ24" s="234"/>
      <c r="AR24" s="979">
        <v>22</v>
      </c>
      <c r="AS24" s="981">
        <f t="shared" si="1"/>
        <v>0</v>
      </c>
      <c r="AT24" s="977">
        <f t="shared" si="4"/>
        <v>0</v>
      </c>
      <c r="AU24" s="978" t="str">
        <f t="shared" si="5"/>
        <v>Heritage Kitchen</v>
      </c>
    </row>
    <row r="25" spans="1:47" ht="10.15" customHeight="1">
      <c r="A25" s="195" t="s">
        <v>328</v>
      </c>
      <c r="B25" s="252"/>
      <c r="C25" s="252"/>
      <c r="D25" s="252"/>
      <c r="E25" s="252"/>
      <c r="F25" s="252"/>
      <c r="G25" s="252"/>
      <c r="H25" s="252"/>
      <c r="I25" s="252"/>
      <c r="J25" s="252"/>
      <c r="K25" s="252"/>
      <c r="L25" s="252"/>
      <c r="M25" s="252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1218"/>
      <c r="Z25" s="1218"/>
      <c r="AA25" s="1218"/>
      <c r="AB25" s="1218"/>
      <c r="AC25" s="1218"/>
      <c r="AD25" s="1218"/>
      <c r="AE25" s="1218"/>
      <c r="AF25" s="1218"/>
      <c r="AG25" s="1218"/>
      <c r="AH25" s="189">
        <f t="shared" si="2"/>
        <v>0</v>
      </c>
      <c r="AI25" s="189">
        <v>99000</v>
      </c>
      <c r="AJ25" s="194" t="str">
        <f t="shared" si="0"/>
        <v>Heritage LA</v>
      </c>
      <c r="AL25" s="234">
        <f t="shared" si="3"/>
        <v>0</v>
      </c>
      <c r="AP25" s="234"/>
      <c r="AQ25" s="234"/>
      <c r="AR25" s="979">
        <v>23</v>
      </c>
      <c r="AS25" s="981">
        <f t="shared" si="1"/>
        <v>0</v>
      </c>
      <c r="AT25" s="977">
        <f t="shared" si="4"/>
        <v>0</v>
      </c>
      <c r="AU25" s="978" t="str">
        <f t="shared" si="5"/>
        <v>Heritage LA</v>
      </c>
    </row>
    <row r="26" spans="1:47" ht="10.15" customHeight="1">
      <c r="A26" s="195" t="s">
        <v>53</v>
      </c>
      <c r="B26" s="252"/>
      <c r="C26" s="252"/>
      <c r="D26" s="252"/>
      <c r="E26" s="252"/>
      <c r="F26" s="252"/>
      <c r="G26" s="738"/>
      <c r="H26" s="738">
        <f>'3.7.23'!E17+'3.7.23'!E27</f>
        <v>5200</v>
      </c>
      <c r="I26" s="738"/>
      <c r="J26" s="738"/>
      <c r="K26" s="738"/>
      <c r="L26" s="738">
        <f>'3.11.23'!E17</f>
        <v>3060</v>
      </c>
      <c r="M26" s="7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1218"/>
      <c r="Z26" s="1218"/>
      <c r="AA26" s="1218"/>
      <c r="AB26" s="1218"/>
      <c r="AC26" s="1218"/>
      <c r="AD26" s="1218"/>
      <c r="AE26" s="1218"/>
      <c r="AF26" s="1218"/>
      <c r="AG26" s="1218"/>
      <c r="AH26" s="189">
        <f t="shared" si="2"/>
        <v>8260</v>
      </c>
      <c r="AI26" s="358">
        <f>350000-AH26+700000</f>
        <v>1041740</v>
      </c>
      <c r="AJ26" s="194" t="str">
        <f t="shared" si="0"/>
        <v>Kogi</v>
      </c>
      <c r="AL26" s="234">
        <f t="shared" si="3"/>
        <v>8260</v>
      </c>
      <c r="AP26" s="234">
        <v>500</v>
      </c>
      <c r="AQ26" s="234"/>
      <c r="AR26" s="979">
        <v>24</v>
      </c>
      <c r="AS26" s="981">
        <f t="shared" si="1"/>
        <v>869.47368421052636</v>
      </c>
      <c r="AT26" s="977">
        <f t="shared" si="4"/>
        <v>8260</v>
      </c>
      <c r="AU26" s="978" t="str">
        <f t="shared" si="5"/>
        <v>Kogi</v>
      </c>
    </row>
    <row r="27" spans="1:47" ht="10.15" customHeight="1">
      <c r="A27" s="515" t="s">
        <v>267</v>
      </c>
      <c r="B27" s="702"/>
      <c r="C27" s="702"/>
      <c r="D27" s="702">
        <f>'3.3.23'!E8</f>
        <v>4075.5</v>
      </c>
      <c r="E27" s="702">
        <f>'3.4.23'!E29</f>
        <v>2821.5</v>
      </c>
      <c r="F27" s="702"/>
      <c r="G27" s="738"/>
      <c r="H27" s="738">
        <f>'3.7.23'!E19+'3.7.23'!E29</f>
        <v>7324.5</v>
      </c>
      <c r="I27" s="738"/>
      <c r="J27" s="738"/>
      <c r="K27" s="738">
        <f>'3.10.23'!E7</f>
        <v>2764.5</v>
      </c>
      <c r="L27" s="738"/>
      <c r="M27" s="738"/>
      <c r="N27" s="589">
        <f>'3.13.23'!E29</f>
        <v>2983</v>
      </c>
      <c r="O27" s="589"/>
      <c r="P27" s="589">
        <f>'3.15.23'!E27</f>
        <v>3268</v>
      </c>
      <c r="Q27" s="589"/>
      <c r="R27" s="589"/>
      <c r="S27" s="589">
        <f>'3.18.23'!E17</f>
        <v>4284.5</v>
      </c>
      <c r="T27" s="589"/>
      <c r="U27" s="640">
        <f>'3.20.23'!E8</f>
        <v>4940</v>
      </c>
      <c r="V27" s="640">
        <f>'3.21.23'!E27</f>
        <v>3410.5</v>
      </c>
      <c r="W27" s="640"/>
      <c r="X27" s="640"/>
      <c r="Y27" s="1218"/>
      <c r="Z27" s="1218"/>
      <c r="AA27" s="1218"/>
      <c r="AB27" s="1218"/>
      <c r="AC27" s="1218"/>
      <c r="AD27" s="1218"/>
      <c r="AE27" s="1218"/>
      <c r="AF27" s="1218"/>
      <c r="AG27" s="1218"/>
      <c r="AH27" s="189">
        <f t="shared" si="2"/>
        <v>35872</v>
      </c>
      <c r="AI27" s="961">
        <f>100000-AH27</f>
        <v>64128</v>
      </c>
      <c r="AJ27" s="988" t="str">
        <f t="shared" si="0"/>
        <v>Love Greek Cuisine/Kalamaki Greek LA</v>
      </c>
      <c r="AL27" s="234">
        <f t="shared" si="3"/>
        <v>35872</v>
      </c>
      <c r="AP27" s="234">
        <v>362210.5</v>
      </c>
      <c r="AQ27" s="234"/>
      <c r="AR27" s="979">
        <v>25</v>
      </c>
      <c r="AS27" s="981">
        <f t="shared" si="1"/>
        <v>3776</v>
      </c>
      <c r="AT27" s="977">
        <f t="shared" si="4"/>
        <v>35872</v>
      </c>
      <c r="AU27" s="978" t="str">
        <f t="shared" si="5"/>
        <v>Love Greek Cuisine/Kalamaki Greek LA</v>
      </c>
    </row>
    <row r="28" spans="1:47" ht="10.15" customHeight="1">
      <c r="A28" s="195" t="s">
        <v>234</v>
      </c>
      <c r="B28" s="252"/>
      <c r="C28" s="252"/>
      <c r="D28" s="252"/>
      <c r="E28" s="252"/>
      <c r="F28" s="252"/>
      <c r="G28" s="252"/>
      <c r="H28" s="252"/>
      <c r="I28" s="252"/>
      <c r="J28" s="252"/>
      <c r="K28" s="252"/>
      <c r="L28" s="252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1218"/>
      <c r="Z28" s="1218"/>
      <c r="AA28" s="1218"/>
      <c r="AB28" s="1218"/>
      <c r="AC28" s="1218"/>
      <c r="AD28" s="1218"/>
      <c r="AE28" s="1218"/>
      <c r="AF28" s="1218"/>
      <c r="AG28" s="1218"/>
      <c r="AH28" s="189">
        <f t="shared" si="2"/>
        <v>0</v>
      </c>
      <c r="AI28" s="961">
        <f>100000-AH28</f>
        <v>100000</v>
      </c>
      <c r="AJ28" s="194" t="str">
        <f t="shared" si="0"/>
        <v>Manna From Heaven</v>
      </c>
      <c r="AL28" s="234">
        <f t="shared" si="3"/>
        <v>0</v>
      </c>
      <c r="AP28" s="234">
        <v>8000</v>
      </c>
      <c r="AQ28" s="234"/>
      <c r="AR28" s="979">
        <v>26</v>
      </c>
      <c r="AS28" s="981">
        <f t="shared" si="1"/>
        <v>0</v>
      </c>
      <c r="AT28" s="977">
        <f t="shared" si="4"/>
        <v>0</v>
      </c>
      <c r="AU28" s="978" t="str">
        <f t="shared" si="5"/>
        <v>Manna From Heaven</v>
      </c>
    </row>
    <row r="29" spans="1:47" ht="9.6" customHeight="1">
      <c r="A29" s="195" t="s">
        <v>265</v>
      </c>
      <c r="B29" s="252"/>
      <c r="C29" s="252"/>
      <c r="D29" s="252"/>
      <c r="E29" s="252"/>
      <c r="F29" s="252"/>
      <c r="G29" s="252"/>
      <c r="H29" s="252"/>
      <c r="I29" s="252"/>
      <c r="J29" s="252"/>
      <c r="K29" s="252"/>
      <c r="L29" s="252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1218"/>
      <c r="Z29" s="1218"/>
      <c r="AA29" s="1218"/>
      <c r="AB29" s="1218"/>
      <c r="AC29" s="1218"/>
      <c r="AD29" s="1218"/>
      <c r="AE29" s="1218"/>
      <c r="AF29" s="1218"/>
      <c r="AG29" s="1218"/>
      <c r="AH29" s="189">
        <f t="shared" si="2"/>
        <v>0</v>
      </c>
      <c r="AI29" s="961">
        <f>100000-AH29</f>
        <v>100000</v>
      </c>
      <c r="AJ29" s="194" t="str">
        <f t="shared" si="0"/>
        <v>Messi Burgers</v>
      </c>
      <c r="AL29" s="234">
        <f t="shared" si="3"/>
        <v>0</v>
      </c>
      <c r="AP29" s="234">
        <v>27987</v>
      </c>
      <c r="AQ29" s="234"/>
      <c r="AR29" s="979">
        <v>27</v>
      </c>
      <c r="AS29" s="981">
        <f t="shared" si="1"/>
        <v>0</v>
      </c>
      <c r="AT29" s="977">
        <f t="shared" si="4"/>
        <v>0</v>
      </c>
      <c r="AU29" s="978" t="str">
        <f t="shared" si="5"/>
        <v>Messi Burgers</v>
      </c>
    </row>
    <row r="30" spans="1:47" ht="9.6" customHeight="1">
      <c r="A30" s="195" t="s">
        <v>69</v>
      </c>
      <c r="B30" s="252"/>
      <c r="C30" s="252"/>
      <c r="D30" s="252"/>
      <c r="E30" s="252"/>
      <c r="F30" s="252"/>
      <c r="G30" s="252"/>
      <c r="H30" s="252"/>
      <c r="I30" s="252"/>
      <c r="J30" s="252"/>
      <c r="K30" s="252"/>
      <c r="L30" s="252"/>
      <c r="M30" s="252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1218"/>
      <c r="Z30" s="1218"/>
      <c r="AA30" s="1218"/>
      <c r="AB30" s="1218"/>
      <c r="AC30" s="1218"/>
      <c r="AD30" s="1218"/>
      <c r="AE30" s="1218"/>
      <c r="AF30" s="1218"/>
      <c r="AG30" s="1218"/>
      <c r="AH30" s="189">
        <f t="shared" si="2"/>
        <v>0</v>
      </c>
      <c r="AI30" s="961">
        <f>100000-AH30</f>
        <v>100000</v>
      </c>
      <c r="AJ30" s="194" t="str">
        <f t="shared" si="0"/>
        <v>Mikhuna</v>
      </c>
      <c r="AL30" s="234">
        <f t="shared" si="3"/>
        <v>0</v>
      </c>
      <c r="AP30" s="234">
        <v>34678.5</v>
      </c>
      <c r="AQ30" s="234"/>
      <c r="AR30" s="979">
        <v>28</v>
      </c>
      <c r="AS30" s="981">
        <f t="shared" si="1"/>
        <v>0</v>
      </c>
      <c r="AT30" s="977">
        <f t="shared" si="4"/>
        <v>0</v>
      </c>
      <c r="AU30" s="978" t="str">
        <f t="shared" si="5"/>
        <v>Mikhuna</v>
      </c>
    </row>
    <row r="31" spans="1:47" ht="9.6" customHeight="1">
      <c r="A31" s="195" t="s">
        <v>76</v>
      </c>
      <c r="B31" s="252"/>
      <c r="C31" s="252"/>
      <c r="D31" s="252"/>
      <c r="E31" s="252"/>
      <c r="F31" s="252"/>
      <c r="G31" s="252"/>
      <c r="H31" s="252"/>
      <c r="I31" s="252"/>
      <c r="J31" s="252"/>
      <c r="K31" s="252"/>
      <c r="L31" s="252"/>
      <c r="M31" s="252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1218"/>
      <c r="Z31" s="1218"/>
      <c r="AA31" s="1218"/>
      <c r="AB31" s="1218"/>
      <c r="AC31" s="1218"/>
      <c r="AD31" s="1218"/>
      <c r="AE31" s="1218"/>
      <c r="AF31" s="1218"/>
      <c r="AG31" s="1218"/>
      <c r="AH31" s="189">
        <f t="shared" si="2"/>
        <v>0</v>
      </c>
      <c r="AI31" s="961">
        <f>449000-AH31+350000</f>
        <v>799000</v>
      </c>
      <c r="AJ31" s="194" t="str">
        <f t="shared" si="0"/>
        <v>ML Eats Burger</v>
      </c>
      <c r="AL31" s="234">
        <f t="shared" si="3"/>
        <v>0</v>
      </c>
      <c r="AP31" s="234">
        <v>2774</v>
      </c>
      <c r="AQ31" s="234"/>
      <c r="AR31" s="979">
        <v>29</v>
      </c>
      <c r="AS31" s="981">
        <f t="shared" si="1"/>
        <v>0</v>
      </c>
      <c r="AT31" s="977">
        <f t="shared" si="4"/>
        <v>0</v>
      </c>
      <c r="AU31" s="978" t="str">
        <f t="shared" si="5"/>
        <v>ML Eats Burger</v>
      </c>
    </row>
    <row r="32" spans="1:47" ht="9.6" customHeight="1">
      <c r="A32" s="195" t="s">
        <v>335</v>
      </c>
      <c r="B32" s="252"/>
      <c r="C32" s="252"/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1218"/>
      <c r="Z32" s="1218"/>
      <c r="AA32" s="1218"/>
      <c r="AB32" s="1218"/>
      <c r="AC32" s="1218"/>
      <c r="AD32" s="1218"/>
      <c r="AE32" s="1218"/>
      <c r="AF32" s="1218"/>
      <c r="AG32" s="1218"/>
      <c r="AH32" s="189">
        <f t="shared" si="2"/>
        <v>0</v>
      </c>
      <c r="AI32" s="189">
        <v>99000</v>
      </c>
      <c r="AJ32" s="194" t="str">
        <f t="shared" si="0"/>
        <v>Mumu's</v>
      </c>
      <c r="AL32" s="234">
        <f t="shared" si="3"/>
        <v>0</v>
      </c>
      <c r="AP32" s="234"/>
      <c r="AQ32" s="234"/>
      <c r="AR32" s="979">
        <v>30</v>
      </c>
      <c r="AS32" s="981">
        <f t="shared" si="1"/>
        <v>0</v>
      </c>
      <c r="AT32" s="977">
        <f t="shared" si="4"/>
        <v>0</v>
      </c>
      <c r="AU32" s="978" t="str">
        <f t="shared" si="5"/>
        <v>Mumu's</v>
      </c>
    </row>
    <row r="33" spans="1:47" ht="10.15" customHeight="1">
      <c r="A33" s="195" t="s">
        <v>186</v>
      </c>
      <c r="B33" s="252"/>
      <c r="C33" s="252"/>
      <c r="D33" s="252"/>
      <c r="E33" s="252"/>
      <c r="F33" s="252"/>
      <c r="G33" s="252"/>
      <c r="H33" s="252"/>
      <c r="I33" s="252"/>
      <c r="J33" s="252"/>
      <c r="K33" s="252"/>
      <c r="L33" s="252"/>
      <c r="M33" s="252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1218"/>
      <c r="Z33" s="1218"/>
      <c r="AA33" s="1218"/>
      <c r="AB33" s="1218"/>
      <c r="AC33" s="1218"/>
      <c r="AD33" s="1218"/>
      <c r="AE33" s="1218"/>
      <c r="AF33" s="1218"/>
      <c r="AG33" s="1218"/>
      <c r="AH33" s="189">
        <f t="shared" si="2"/>
        <v>0</v>
      </c>
      <c r="AI33" s="961">
        <f>100000-AH33</f>
        <v>100000</v>
      </c>
      <c r="AJ33" s="194" t="str">
        <f t="shared" si="0"/>
        <v>Ohana Hibachi</v>
      </c>
      <c r="AL33" s="234">
        <f t="shared" si="3"/>
        <v>0</v>
      </c>
      <c r="AP33" s="234">
        <v>29265</v>
      </c>
      <c r="AQ33" s="234"/>
      <c r="AR33" s="979">
        <v>31</v>
      </c>
      <c r="AS33" s="981">
        <f t="shared" si="1"/>
        <v>0</v>
      </c>
      <c r="AT33" s="977">
        <f t="shared" si="4"/>
        <v>0</v>
      </c>
      <c r="AU33" s="978" t="str">
        <f t="shared" si="5"/>
        <v>Ohana Hibachi</v>
      </c>
    </row>
    <row r="34" spans="1:47" ht="10.15" customHeight="1">
      <c r="A34" s="195" t="s">
        <v>44</v>
      </c>
      <c r="B34" s="252"/>
      <c r="C34" s="252"/>
      <c r="D34" s="252"/>
      <c r="E34" s="252"/>
      <c r="F34" s="252"/>
      <c r="G34" s="738">
        <f>'3.6.23'!E29</f>
        <v>2318</v>
      </c>
      <c r="H34" s="738"/>
      <c r="I34" s="738"/>
      <c r="J34" s="738"/>
      <c r="K34" s="738"/>
      <c r="L34" s="738"/>
      <c r="M34" s="738"/>
      <c r="N34" s="589"/>
      <c r="O34" s="589"/>
      <c r="P34" s="589"/>
      <c r="Q34" s="589"/>
      <c r="R34" s="589"/>
      <c r="S34" s="589"/>
      <c r="T34" s="589">
        <f>'3.19.23'!E18</f>
        <v>4360.5</v>
      </c>
      <c r="U34" s="252"/>
      <c r="V34" s="252"/>
      <c r="W34" s="252"/>
      <c r="X34" s="252"/>
      <c r="Y34" s="1218"/>
      <c r="Z34" s="1218"/>
      <c r="AA34" s="1218"/>
      <c r="AB34" s="1218"/>
      <c r="AC34" s="1218"/>
      <c r="AD34" s="1218"/>
      <c r="AE34" s="1218"/>
      <c r="AF34" s="1218"/>
      <c r="AG34" s="1218"/>
      <c r="AH34" s="189">
        <f t="shared" si="2"/>
        <v>6678.5</v>
      </c>
      <c r="AI34" s="961">
        <f>100000-AH34</f>
        <v>93321.5</v>
      </c>
      <c r="AJ34" s="194" t="str">
        <f t="shared" si="0"/>
        <v>Original Herbivore</v>
      </c>
      <c r="AL34" s="234">
        <f t="shared" si="3"/>
        <v>6678.5</v>
      </c>
      <c r="AP34" s="234">
        <v>96200</v>
      </c>
      <c r="AQ34" s="234"/>
      <c r="AR34" s="979">
        <v>32</v>
      </c>
      <c r="AS34" s="981">
        <f t="shared" si="1"/>
        <v>703</v>
      </c>
      <c r="AT34" s="977">
        <f t="shared" si="4"/>
        <v>6678.5</v>
      </c>
      <c r="AU34" s="978" t="str">
        <f t="shared" si="5"/>
        <v>Original Herbivore</v>
      </c>
    </row>
    <row r="35" spans="1:47" ht="10.15" customHeight="1">
      <c r="A35" s="195" t="s">
        <v>143</v>
      </c>
      <c r="B35" s="252"/>
      <c r="C35" s="252"/>
      <c r="D35" s="252"/>
      <c r="E35" s="252"/>
      <c r="F35" s="252"/>
      <c r="G35" s="252"/>
      <c r="H35" s="252"/>
      <c r="I35" s="252"/>
      <c r="J35" s="252"/>
      <c r="K35" s="252"/>
      <c r="L35" s="252"/>
      <c r="M35" s="252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1218"/>
      <c r="Z35" s="1218"/>
      <c r="AA35" s="1218"/>
      <c r="AB35" s="1218"/>
      <c r="AC35" s="1218"/>
      <c r="AD35" s="1218"/>
      <c r="AE35" s="1218"/>
      <c r="AF35" s="1218"/>
      <c r="AG35" s="1218"/>
      <c r="AH35" s="189">
        <f t="shared" si="2"/>
        <v>0</v>
      </c>
      <c r="AI35" s="961">
        <f>100000-AH35+350000+350000</f>
        <v>800000</v>
      </c>
      <c r="AJ35" s="194" t="str">
        <f t="shared" ref="AJ35:AJ60" si="6">A35</f>
        <v>Pacifico Charbroiled</v>
      </c>
      <c r="AL35" s="234">
        <f t="shared" si="3"/>
        <v>0</v>
      </c>
      <c r="AP35" s="234">
        <v>23730</v>
      </c>
      <c r="AQ35" s="234"/>
      <c r="AR35" s="979">
        <v>33</v>
      </c>
      <c r="AS35" s="981">
        <f t="shared" si="1"/>
        <v>0</v>
      </c>
      <c r="AT35" s="977">
        <f t="shared" si="4"/>
        <v>0</v>
      </c>
      <c r="AU35" s="978" t="str">
        <f t="shared" si="5"/>
        <v>Pacifico Charbroiled</v>
      </c>
    </row>
    <row r="36" spans="1:47" ht="10.15" customHeight="1">
      <c r="A36" s="515" t="s">
        <v>242</v>
      </c>
      <c r="B36" s="702"/>
      <c r="C36" s="702"/>
      <c r="D36" s="702"/>
      <c r="E36" s="702"/>
      <c r="F36" s="702"/>
      <c r="G36" s="738"/>
      <c r="H36" s="738"/>
      <c r="I36" s="738">
        <f>'3.8.23'!E28</f>
        <v>4959</v>
      </c>
      <c r="J36" s="738"/>
      <c r="K36" s="738"/>
      <c r="L36" s="738"/>
      <c r="M36" s="738"/>
      <c r="N36" s="589">
        <f>'3.13.23'!E28</f>
        <v>5548</v>
      </c>
      <c r="O36" s="589"/>
      <c r="P36" s="589"/>
      <c r="Q36" s="589"/>
      <c r="R36" s="589"/>
      <c r="S36" s="589"/>
      <c r="T36" s="589"/>
      <c r="U36" s="252"/>
      <c r="V36" s="252"/>
      <c r="W36" s="252"/>
      <c r="X36" s="252"/>
      <c r="Y36" s="1218"/>
      <c r="Z36" s="1218"/>
      <c r="AA36" s="1218"/>
      <c r="AB36" s="1218"/>
      <c r="AC36" s="1218"/>
      <c r="AD36" s="1218"/>
      <c r="AE36" s="1218"/>
      <c r="AF36" s="1218"/>
      <c r="AG36" s="1218"/>
      <c r="AH36" s="189">
        <f t="shared" si="2"/>
        <v>10507</v>
      </c>
      <c r="AI36" s="961">
        <f>100000-AH36+350000+350000</f>
        <v>789493</v>
      </c>
      <c r="AJ36" s="988" t="str">
        <f t="shared" si="6"/>
        <v>Paradise Cookies &amp; Ice Cream</v>
      </c>
      <c r="AL36" s="234">
        <f t="shared" si="3"/>
        <v>10507</v>
      </c>
      <c r="AP36" s="234">
        <v>122348</v>
      </c>
      <c r="AQ36" s="234"/>
      <c r="AR36" s="979">
        <v>34</v>
      </c>
      <c r="AS36" s="981">
        <f t="shared" si="1"/>
        <v>1106</v>
      </c>
      <c r="AT36" s="977">
        <f t="shared" si="4"/>
        <v>10507</v>
      </c>
      <c r="AU36" s="978" t="str">
        <f t="shared" si="5"/>
        <v>Paradise Cookies &amp; Ice Cream</v>
      </c>
    </row>
    <row r="37" spans="1:47" ht="10.15" customHeight="1">
      <c r="A37" s="195" t="s">
        <v>246</v>
      </c>
      <c r="B37" s="702">
        <f>'3.1.23'!E17+'3.1.23'!E27</f>
        <v>12625.5</v>
      </c>
      <c r="C37" s="702"/>
      <c r="D37" s="702"/>
      <c r="E37" s="702">
        <f>'3.4.23'!E18</f>
        <v>7220</v>
      </c>
      <c r="F37" s="702"/>
      <c r="G37" s="738">
        <f>'3.6.23'!E28</f>
        <v>5728.5</v>
      </c>
      <c r="H37" s="738"/>
      <c r="I37" s="738"/>
      <c r="J37" s="738">
        <f>'3.9.23'!E7+'3.9.23'!E17</f>
        <v>12967.5</v>
      </c>
      <c r="K37" s="738"/>
      <c r="L37" s="738">
        <f>'3.11.23'!E27</f>
        <v>5139.5</v>
      </c>
      <c r="M37" s="738">
        <f>'3.12.23'!E17</f>
        <v>6707</v>
      </c>
      <c r="N37" s="589"/>
      <c r="O37" s="589"/>
      <c r="P37" s="589">
        <f>'3.15.23'!E7</f>
        <v>6878</v>
      </c>
      <c r="Q37" s="589"/>
      <c r="R37" s="589"/>
      <c r="S37" s="589">
        <f>'3.18.23'!E8 + '3.18.23'!E18</f>
        <v>13784.5</v>
      </c>
      <c r="T37" s="589">
        <f>'3.19.23'!E17 + '3.19.23'!E27</f>
        <v>13556.5</v>
      </c>
      <c r="U37" s="640"/>
      <c r="V37" s="640">
        <f>'3.21.23'!E29</f>
        <v>6156</v>
      </c>
      <c r="W37" s="640"/>
      <c r="X37" s="640"/>
      <c r="Y37" s="1218"/>
      <c r="Z37" s="1218"/>
      <c r="AA37" s="1218"/>
      <c r="AB37" s="1218"/>
      <c r="AC37" s="1218"/>
      <c r="AD37" s="1218"/>
      <c r="AE37" s="1218"/>
      <c r="AF37" s="1218"/>
      <c r="AG37" s="1218"/>
      <c r="AH37" s="189">
        <f t="shared" si="2"/>
        <v>90763</v>
      </c>
      <c r="AI37" s="961">
        <f>100000-AH37+350000</f>
        <v>359237</v>
      </c>
      <c r="AJ37" s="194" t="str">
        <f t="shared" si="6"/>
        <v>Perro 1-10 Tacos</v>
      </c>
      <c r="AL37" s="234">
        <f t="shared" si="3"/>
        <v>90763</v>
      </c>
      <c r="AP37" s="234">
        <v>197247.5</v>
      </c>
      <c r="AQ37" s="234"/>
      <c r="AR37" s="979">
        <v>35</v>
      </c>
      <c r="AS37" s="981">
        <f t="shared" si="1"/>
        <v>9554</v>
      </c>
      <c r="AT37" s="977">
        <f t="shared" si="4"/>
        <v>90763</v>
      </c>
      <c r="AU37" s="978" t="str">
        <f t="shared" si="5"/>
        <v>Perro 1-10 Tacos</v>
      </c>
    </row>
    <row r="38" spans="1:47" ht="10.15" customHeight="1">
      <c r="A38" s="195" t="s">
        <v>66</v>
      </c>
      <c r="B38" s="252"/>
      <c r="C38" s="252"/>
      <c r="D38" s="252"/>
      <c r="E38" s="252"/>
      <c r="F38" s="252"/>
      <c r="G38" s="252"/>
      <c r="H38" s="252"/>
      <c r="I38" s="252"/>
      <c r="J38" s="252"/>
      <c r="K38" s="252"/>
      <c r="L38" s="252"/>
      <c r="M38" s="252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1218"/>
      <c r="Z38" s="1218"/>
      <c r="AA38" s="1218"/>
      <c r="AB38" s="1218"/>
      <c r="AC38" s="1218"/>
      <c r="AD38" s="1218"/>
      <c r="AE38" s="1218"/>
      <c r="AF38" s="1218"/>
      <c r="AG38" s="1218"/>
      <c r="AH38" s="189">
        <f t="shared" si="2"/>
        <v>0</v>
      </c>
      <c r="AI38" s="961">
        <f>100000-AH38+350000</f>
        <v>450000</v>
      </c>
      <c r="AJ38" s="194" t="str">
        <f t="shared" si="6"/>
        <v>PhillyJay's Steaks</v>
      </c>
      <c r="AL38" s="234">
        <f t="shared" si="3"/>
        <v>0</v>
      </c>
      <c r="AP38" s="234">
        <v>192935</v>
      </c>
      <c r="AQ38" s="234"/>
      <c r="AR38" s="979">
        <v>36</v>
      </c>
      <c r="AS38" s="981">
        <f t="shared" si="1"/>
        <v>0</v>
      </c>
      <c r="AT38" s="977">
        <f t="shared" si="4"/>
        <v>0</v>
      </c>
      <c r="AU38" s="978" t="str">
        <f t="shared" si="5"/>
        <v>PhillyJay's Steaks</v>
      </c>
    </row>
    <row r="39" spans="1:47" ht="10.15" customHeight="1">
      <c r="A39" s="196" t="s">
        <v>65</v>
      </c>
      <c r="B39" s="702"/>
      <c r="C39" s="702">
        <f>'3.2.23'!E29</f>
        <v>3173</v>
      </c>
      <c r="D39" s="702"/>
      <c r="E39" s="702">
        <f>'3.4.23'!E17+'3.4.23'!E27</f>
        <v>6811.5</v>
      </c>
      <c r="F39" s="702"/>
      <c r="G39" s="738"/>
      <c r="H39" s="738">
        <f>'3.7.23'!E18</f>
        <v>5073</v>
      </c>
      <c r="I39" s="738">
        <f>'3.8.23'!E7</f>
        <v>4322.5</v>
      </c>
      <c r="J39" s="738">
        <f>'3.9.23'!E19</f>
        <v>3885.5</v>
      </c>
      <c r="K39" s="738"/>
      <c r="L39" s="738"/>
      <c r="M39" s="738">
        <f>'3.12.23'!E27</f>
        <v>4531.5</v>
      </c>
      <c r="N39" s="589">
        <f>'3.13.23'!E19</f>
        <v>4921</v>
      </c>
      <c r="O39" s="589">
        <f>'3.14.23'!E27</f>
        <v>3144.5</v>
      </c>
      <c r="P39" s="589"/>
      <c r="Q39" s="589"/>
      <c r="R39" s="589"/>
      <c r="S39" s="589"/>
      <c r="T39" s="589"/>
      <c r="U39" s="640"/>
      <c r="V39" s="640"/>
      <c r="W39" s="640"/>
      <c r="X39" s="640">
        <f>'3.23.23'!E9 + '3.23.23'!E19</f>
        <v>7505</v>
      </c>
      <c r="Y39" s="1218"/>
      <c r="Z39" s="1218"/>
      <c r="AA39" s="1218"/>
      <c r="AB39" s="1218"/>
      <c r="AC39" s="1218"/>
      <c r="AD39" s="1218"/>
      <c r="AE39" s="1218"/>
      <c r="AF39" s="1218"/>
      <c r="AG39" s="1218"/>
      <c r="AH39" s="189">
        <f t="shared" si="2"/>
        <v>43367.5</v>
      </c>
      <c r="AI39" s="961">
        <f>449000-AH39+350000</f>
        <v>755632.5</v>
      </c>
      <c r="AJ39" s="194" t="str">
        <f t="shared" si="6"/>
        <v>Pinch of Flavor</v>
      </c>
      <c r="AL39" s="234">
        <f t="shared" si="3"/>
        <v>43367.5</v>
      </c>
      <c r="AP39" s="234">
        <v>6760</v>
      </c>
      <c r="AQ39" s="234"/>
      <c r="AR39" s="979">
        <v>37</v>
      </c>
      <c r="AS39" s="981">
        <f t="shared" si="1"/>
        <v>4565</v>
      </c>
      <c r="AT39" s="977">
        <f t="shared" si="4"/>
        <v>43367.5</v>
      </c>
      <c r="AU39" s="978" t="str">
        <f t="shared" si="5"/>
        <v>Pinch of Flavor</v>
      </c>
    </row>
    <row r="40" spans="1:47" ht="10.15" customHeight="1">
      <c r="A40" s="195" t="s">
        <v>82</v>
      </c>
      <c r="B40" s="702"/>
      <c r="C40" s="702"/>
      <c r="D40" s="702"/>
      <c r="E40" s="702"/>
      <c r="F40" s="702"/>
      <c r="G40" s="738"/>
      <c r="H40" s="738"/>
      <c r="I40" s="738">
        <f>'3.8.23'!E8</f>
        <v>4094.5</v>
      </c>
      <c r="J40" s="738"/>
      <c r="K40" s="738"/>
      <c r="L40" s="738">
        <f>'3.11.23'!E29</f>
        <v>3116</v>
      </c>
      <c r="M40" s="738">
        <f>'3.12.23'!E9</f>
        <v>3078</v>
      </c>
      <c r="N40" s="589">
        <f>'3.13.23'!E27</f>
        <v>3657.5</v>
      </c>
      <c r="O40" s="589"/>
      <c r="P40" s="589"/>
      <c r="Q40" s="589"/>
      <c r="R40" s="589"/>
      <c r="S40" s="589"/>
      <c r="T40" s="589"/>
      <c r="U40" s="640"/>
      <c r="V40" s="640"/>
      <c r="W40" s="640"/>
      <c r="X40" s="640">
        <f>'3.23.23'!E29</f>
        <v>3002</v>
      </c>
      <c r="Y40" s="1218"/>
      <c r="Z40" s="1218"/>
      <c r="AA40" s="1218"/>
      <c r="AB40" s="1218"/>
      <c r="AC40" s="1218"/>
      <c r="AD40" s="1218"/>
      <c r="AE40" s="1218"/>
      <c r="AF40" s="1218"/>
      <c r="AG40" s="1218"/>
      <c r="AH40" s="189">
        <f t="shared" si="2"/>
        <v>16948</v>
      </c>
      <c r="AI40" s="961">
        <f>100000-AH40+350000</f>
        <v>433052</v>
      </c>
      <c r="AJ40" s="194" t="str">
        <f t="shared" si="6"/>
        <v>Poutine Brothers</v>
      </c>
      <c r="AL40" s="234">
        <f t="shared" si="3"/>
        <v>16948</v>
      </c>
      <c r="AP40" s="782">
        <v>127767.5</v>
      </c>
      <c r="AQ40" s="234"/>
      <c r="AR40" s="979">
        <v>38</v>
      </c>
      <c r="AS40" s="981">
        <f t="shared" si="1"/>
        <v>1784</v>
      </c>
      <c r="AT40" s="977">
        <f t="shared" si="4"/>
        <v>16948</v>
      </c>
      <c r="AU40" s="978" t="str">
        <f t="shared" si="5"/>
        <v>Poutine Brothers</v>
      </c>
    </row>
    <row r="41" spans="1:47" ht="10.15" customHeight="1">
      <c r="A41" s="195" t="s">
        <v>825</v>
      </c>
      <c r="B41" s="252"/>
      <c r="C41" s="252"/>
      <c r="D41" s="252"/>
      <c r="E41" s="252"/>
      <c r="F41" s="252"/>
      <c r="G41" s="252"/>
      <c r="H41" s="252"/>
      <c r="I41" s="252"/>
      <c r="J41" s="252"/>
      <c r="K41" s="252"/>
      <c r="L41" s="252"/>
      <c r="M41" s="252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1218"/>
      <c r="Z41" s="1218"/>
      <c r="AA41" s="1218"/>
      <c r="AB41" s="1218"/>
      <c r="AC41" s="1218"/>
      <c r="AD41" s="1218"/>
      <c r="AE41" s="1218"/>
      <c r="AF41" s="1218"/>
      <c r="AG41" s="1218"/>
      <c r="AH41" s="189">
        <f t="shared" si="2"/>
        <v>0</v>
      </c>
      <c r="AI41" s="961"/>
      <c r="AJ41" s="194" t="str">
        <f t="shared" si="6"/>
        <v>Rice Balls Inc.</v>
      </c>
      <c r="AL41" s="234">
        <f t="shared" si="3"/>
        <v>0</v>
      </c>
      <c r="AP41" s="782"/>
      <c r="AQ41" s="234"/>
      <c r="AR41" s="979"/>
      <c r="AS41" s="981"/>
      <c r="AT41" s="977">
        <f t="shared" si="4"/>
        <v>0</v>
      </c>
      <c r="AU41" s="978" t="str">
        <f t="shared" si="5"/>
        <v>Rice Balls Inc.</v>
      </c>
    </row>
    <row r="42" spans="1:47" ht="10.15" customHeight="1">
      <c r="A42" s="195" t="s">
        <v>329</v>
      </c>
      <c r="B42" s="702"/>
      <c r="C42" s="702">
        <f>'3.2.23'!E8</f>
        <v>8284</v>
      </c>
      <c r="D42" s="702"/>
      <c r="E42" s="702">
        <f>'3.4.23'!E7</f>
        <v>8787.5</v>
      </c>
      <c r="F42" s="702"/>
      <c r="G42" s="738">
        <f>'3.6.23'!E8</f>
        <v>8455</v>
      </c>
      <c r="H42" s="738"/>
      <c r="I42" s="738"/>
      <c r="J42" s="738"/>
      <c r="K42" s="738">
        <f>'3.10.23'!E18</f>
        <v>7809</v>
      </c>
      <c r="L42" s="738">
        <f>'3.11.23'!E7</f>
        <v>9101</v>
      </c>
      <c r="M42" s="738"/>
      <c r="N42" s="589">
        <f>'3.13.23'!E7</f>
        <v>8635.5</v>
      </c>
      <c r="O42" s="589"/>
      <c r="P42" s="589"/>
      <c r="Q42" s="589"/>
      <c r="R42" s="589">
        <f>'3.17.23'!E18</f>
        <v>8379</v>
      </c>
      <c r="S42" s="589">
        <f>'3.18.23'!E7</f>
        <v>8645</v>
      </c>
      <c r="T42" s="589"/>
      <c r="U42" s="640">
        <f>'3.20.23'!E7</f>
        <v>8892</v>
      </c>
      <c r="V42" s="640"/>
      <c r="W42" s="640"/>
      <c r="X42" s="640"/>
      <c r="Y42" s="1218"/>
      <c r="Z42" s="1218"/>
      <c r="AA42" s="1218"/>
      <c r="AB42" s="1218"/>
      <c r="AC42" s="1218"/>
      <c r="AD42" s="1218"/>
      <c r="AE42" s="1218"/>
      <c r="AF42" s="1218"/>
      <c r="AG42" s="1218"/>
      <c r="AH42" s="189">
        <f t="shared" si="2"/>
        <v>76988</v>
      </c>
      <c r="AI42" s="961">
        <f>100000-AH42</f>
        <v>23012</v>
      </c>
      <c r="AJ42" s="194" t="str">
        <f t="shared" si="6"/>
        <v>Salpicon</v>
      </c>
      <c r="AL42" s="234">
        <f t="shared" si="3"/>
        <v>76988</v>
      </c>
      <c r="AP42" s="782"/>
      <c r="AQ42" s="234"/>
      <c r="AR42" s="979">
        <v>39</v>
      </c>
      <c r="AS42" s="981">
        <f t="shared" ref="AS42:AS47" si="7">AT42/9.5</f>
        <v>8104</v>
      </c>
      <c r="AT42" s="977">
        <f t="shared" si="4"/>
        <v>76988</v>
      </c>
      <c r="AU42" s="978" t="str">
        <f t="shared" si="5"/>
        <v>Salpicon</v>
      </c>
    </row>
    <row r="43" spans="1:47" ht="10.15" customHeight="1">
      <c r="A43" s="195" t="s">
        <v>83</v>
      </c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1218"/>
      <c r="Z43" s="1218"/>
      <c r="AA43" s="1218"/>
      <c r="AB43" s="1218"/>
      <c r="AC43" s="1218"/>
      <c r="AD43" s="1218"/>
      <c r="AE43" s="1218"/>
      <c r="AF43" s="1218"/>
      <c r="AG43" s="1218"/>
      <c r="AH43" s="189">
        <f t="shared" si="2"/>
        <v>0</v>
      </c>
      <c r="AI43" s="961">
        <f>100000-AH43</f>
        <v>100000</v>
      </c>
      <c r="AJ43" s="194" t="str">
        <f t="shared" si="6"/>
        <v>Salvage Tacos</v>
      </c>
      <c r="AL43" s="234">
        <f t="shared" si="3"/>
        <v>0</v>
      </c>
      <c r="AP43" s="782">
        <v>111263</v>
      </c>
      <c r="AQ43" s="234"/>
      <c r="AR43" s="979">
        <v>40</v>
      </c>
      <c r="AS43" s="981">
        <f t="shared" si="7"/>
        <v>0</v>
      </c>
      <c r="AT43" s="977">
        <f t="shared" si="4"/>
        <v>0</v>
      </c>
      <c r="AU43" s="978" t="str">
        <f t="shared" si="5"/>
        <v>Salvage Tacos</v>
      </c>
    </row>
    <row r="44" spans="1:47" ht="10.15" customHeight="1">
      <c r="A44" s="195" t="s">
        <v>332</v>
      </c>
      <c r="B44" s="702">
        <f>'3.1.23'!E7</f>
        <v>5652.5</v>
      </c>
      <c r="C44" s="702"/>
      <c r="D44" s="702"/>
      <c r="E44" s="702"/>
      <c r="F44" s="702"/>
      <c r="G44" s="738"/>
      <c r="H44" s="738"/>
      <c r="I44" s="738">
        <f>'3.8.23'!E27</f>
        <v>5168</v>
      </c>
      <c r="J44" s="738">
        <f>'3.9.23'!E29</f>
        <v>4351</v>
      </c>
      <c r="K44" s="738">
        <f>'3.10.23'!E19</f>
        <v>5462.5</v>
      </c>
      <c r="L44" s="738"/>
      <c r="M44" s="738"/>
      <c r="N44" s="589">
        <f>'3.13.23'!E18</f>
        <v>6973</v>
      </c>
      <c r="O44" s="589"/>
      <c r="P44" s="589"/>
      <c r="Q44" s="589">
        <f>'3.16.23'!E18 + '3.16.23'!E27</f>
        <v>10716</v>
      </c>
      <c r="R44" s="589"/>
      <c r="S44" s="589"/>
      <c r="T44" s="589"/>
      <c r="U44" s="640">
        <f>'3.20.23'!E29</f>
        <v>5605</v>
      </c>
      <c r="V44" s="640"/>
      <c r="W44" s="640">
        <f>'3.22.23'!E7</f>
        <v>7372</v>
      </c>
      <c r="X44" s="640"/>
      <c r="Y44" s="1218"/>
      <c r="Z44" s="1218"/>
      <c r="AA44" s="1218"/>
      <c r="AB44" s="1218"/>
      <c r="AC44" s="1218"/>
      <c r="AD44" s="1218"/>
      <c r="AE44" s="1218"/>
      <c r="AF44" s="1218"/>
      <c r="AG44" s="1218"/>
      <c r="AH44" s="189">
        <f t="shared" si="2"/>
        <v>51300</v>
      </c>
      <c r="AI44" s="961">
        <f>100000-AH44</f>
        <v>48700</v>
      </c>
      <c r="AJ44" s="194" t="str">
        <f t="shared" si="6"/>
        <v>Smile Hot Dog</v>
      </c>
      <c r="AL44" s="234">
        <f t="shared" si="3"/>
        <v>51300</v>
      </c>
      <c r="AP44" s="782"/>
      <c r="AQ44" s="234"/>
      <c r="AR44" s="979">
        <v>41</v>
      </c>
      <c r="AS44" s="981">
        <f t="shared" si="7"/>
        <v>5400</v>
      </c>
      <c r="AT44" s="977">
        <f t="shared" si="4"/>
        <v>51300</v>
      </c>
      <c r="AU44" s="978" t="str">
        <f t="shared" si="5"/>
        <v>Smile Hot Dog</v>
      </c>
    </row>
    <row r="45" spans="1:47" ht="10.15" customHeight="1">
      <c r="A45" s="195" t="s">
        <v>159</v>
      </c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1218"/>
      <c r="Z45" s="1218"/>
      <c r="AA45" s="1218"/>
      <c r="AB45" s="1218"/>
      <c r="AC45" s="1218"/>
      <c r="AD45" s="1218"/>
      <c r="AE45" s="1218"/>
      <c r="AF45" s="1218"/>
      <c r="AG45" s="1218"/>
      <c r="AH45" s="189">
        <f t="shared" si="2"/>
        <v>0</v>
      </c>
      <c r="AI45" s="961">
        <f>100000-AH45</f>
        <v>100000</v>
      </c>
      <c r="AJ45" s="194" t="str">
        <f t="shared" si="6"/>
        <v>Something Good LA</v>
      </c>
      <c r="AL45" s="234">
        <f t="shared" si="3"/>
        <v>0</v>
      </c>
      <c r="AP45" s="234">
        <v>341055.5</v>
      </c>
      <c r="AQ45" s="234"/>
      <c r="AR45" s="979">
        <v>42</v>
      </c>
      <c r="AS45" s="981">
        <f t="shared" si="7"/>
        <v>0</v>
      </c>
      <c r="AT45" s="977">
        <f t="shared" si="4"/>
        <v>0</v>
      </c>
      <c r="AU45" s="978" t="str">
        <f t="shared" si="5"/>
        <v>Something Good LA</v>
      </c>
    </row>
    <row r="46" spans="1:47" ht="10.15" customHeight="1">
      <c r="A46" s="195" t="s">
        <v>145</v>
      </c>
      <c r="B46" s="702"/>
      <c r="C46" s="702"/>
      <c r="D46" s="702"/>
      <c r="E46" s="702">
        <f>'3.4.23'!E19</f>
        <v>3942.5</v>
      </c>
      <c r="F46" s="702">
        <f>'3.5.23'!E18</f>
        <v>4750</v>
      </c>
      <c r="G46" s="738"/>
      <c r="H46" s="738"/>
      <c r="I46" s="738"/>
      <c r="J46" s="738"/>
      <c r="K46" s="738"/>
      <c r="L46" s="738">
        <f>'3.11.23'!E19</f>
        <v>4645.5</v>
      </c>
      <c r="M46" s="738"/>
      <c r="N46" s="589"/>
      <c r="O46" s="589"/>
      <c r="P46" s="589"/>
      <c r="Q46" s="589">
        <f>'3.16.23'!E19</f>
        <v>4104</v>
      </c>
      <c r="R46" s="589"/>
      <c r="S46" s="589"/>
      <c r="T46" s="589">
        <f>'3.19.23'!E19</f>
        <v>5538.5</v>
      </c>
      <c r="U46" s="252"/>
      <c r="V46" s="252"/>
      <c r="W46" s="252"/>
      <c r="X46" s="252"/>
      <c r="Y46" s="1218"/>
      <c r="Z46" s="1218"/>
      <c r="AA46" s="1218"/>
      <c r="AB46" s="1218"/>
      <c r="AC46" s="1218"/>
      <c r="AD46" s="1218"/>
      <c r="AE46" s="1218"/>
      <c r="AF46" s="1218"/>
      <c r="AG46" s="1218"/>
      <c r="AH46" s="189">
        <f t="shared" si="2"/>
        <v>22980.5</v>
      </c>
      <c r="AI46" s="961">
        <f>100000-AH46+449000</f>
        <v>526019.5</v>
      </c>
      <c r="AJ46" s="194" t="str">
        <f t="shared" si="6"/>
        <v>Stop Bye Café</v>
      </c>
      <c r="AL46" s="234">
        <f t="shared" si="3"/>
        <v>22980.5</v>
      </c>
      <c r="AP46" s="234">
        <v>162662.5</v>
      </c>
      <c r="AQ46" s="234"/>
      <c r="AR46" s="979">
        <v>43</v>
      </c>
      <c r="AS46" s="981">
        <f t="shared" si="7"/>
        <v>2419</v>
      </c>
      <c r="AT46" s="977">
        <f t="shared" si="4"/>
        <v>22980.5</v>
      </c>
      <c r="AU46" s="978" t="str">
        <f t="shared" si="5"/>
        <v>Stop Bye Café</v>
      </c>
    </row>
    <row r="47" spans="1:47" ht="10.15" customHeight="1">
      <c r="A47" s="195" t="s">
        <v>84</v>
      </c>
      <c r="B47" s="252"/>
      <c r="C47" s="252"/>
      <c r="D47" s="252"/>
      <c r="E47" s="252"/>
      <c r="F47" s="252"/>
      <c r="G47" s="252"/>
      <c r="H47" s="252"/>
      <c r="I47" s="252"/>
      <c r="J47" s="252"/>
      <c r="K47" s="252"/>
      <c r="L47" s="252"/>
      <c r="M47" s="252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1218"/>
      <c r="Z47" s="1218"/>
      <c r="AA47" s="1218"/>
      <c r="AB47" s="1218"/>
      <c r="AC47" s="1218"/>
      <c r="AD47" s="1218"/>
      <c r="AE47" s="1218"/>
      <c r="AF47" s="1218"/>
      <c r="AG47" s="1218"/>
      <c r="AH47" s="189">
        <f t="shared" si="2"/>
        <v>0</v>
      </c>
      <c r="AI47" s="961">
        <f>100000-AH47+350000</f>
        <v>450000</v>
      </c>
      <c r="AJ47" s="194" t="str">
        <f t="shared" si="6"/>
        <v>Stout Burgers</v>
      </c>
      <c r="AL47" s="234">
        <f t="shared" si="3"/>
        <v>0</v>
      </c>
      <c r="AP47" s="234">
        <v>52046</v>
      </c>
      <c r="AQ47" s="234"/>
      <c r="AR47" s="979">
        <v>44</v>
      </c>
      <c r="AS47" s="981">
        <f t="shared" si="7"/>
        <v>0</v>
      </c>
      <c r="AT47" s="977">
        <f t="shared" si="4"/>
        <v>0</v>
      </c>
      <c r="AU47" s="978" t="str">
        <f t="shared" si="5"/>
        <v>Stout Burgers</v>
      </c>
    </row>
    <row r="48" spans="1:47" ht="10.15" customHeight="1">
      <c r="A48" s="195" t="s">
        <v>802</v>
      </c>
      <c r="B48" s="702"/>
      <c r="C48" s="702">
        <f>'3.2.23'!E19</f>
        <v>6175</v>
      </c>
      <c r="D48" s="702"/>
      <c r="E48" s="702"/>
      <c r="F48" s="702"/>
      <c r="G48" s="738"/>
      <c r="H48" s="738"/>
      <c r="I48" s="738">
        <f>'3.8.23'!E9</f>
        <v>5795</v>
      </c>
      <c r="J48" s="738"/>
      <c r="K48" s="738"/>
      <c r="L48" s="738"/>
      <c r="M48" s="738"/>
      <c r="N48" s="589">
        <f>'3.13.23'!E17</f>
        <v>6336.5</v>
      </c>
      <c r="O48" s="589"/>
      <c r="P48" s="589"/>
      <c r="Q48" s="589">
        <f>'3.16.23'!E8</f>
        <v>5396</v>
      </c>
      <c r="R48" s="589"/>
      <c r="S48" s="589">
        <f>'3.18.23'!E9</f>
        <v>6745</v>
      </c>
      <c r="T48" s="589"/>
      <c r="U48" s="640"/>
      <c r="V48" s="640"/>
      <c r="W48" s="640">
        <f>'3.22.23'!E17</f>
        <v>6127.5</v>
      </c>
      <c r="X48" s="640">
        <f>'3.23.23'!E7</f>
        <v>4370</v>
      </c>
      <c r="Y48" s="1218"/>
      <c r="Z48" s="1218"/>
      <c r="AA48" s="1218"/>
      <c r="AB48" s="1218"/>
      <c r="AC48" s="1218"/>
      <c r="AD48" s="1218"/>
      <c r="AE48" s="1218"/>
      <c r="AF48" s="1218"/>
      <c r="AG48" s="1218"/>
      <c r="AH48" s="189">
        <f t="shared" si="2"/>
        <v>40945</v>
      </c>
      <c r="AI48" s="961">
        <f>100000-AH48+350000</f>
        <v>409055</v>
      </c>
      <c r="AJ48" s="194" t="str">
        <f t="shared" si="6"/>
        <v>Sugo Italiano</v>
      </c>
      <c r="AL48" s="234">
        <f t="shared" si="3"/>
        <v>40945</v>
      </c>
      <c r="AP48" s="234">
        <v>52046</v>
      </c>
      <c r="AQ48" s="234"/>
      <c r="AR48" s="979"/>
      <c r="AS48" s="981"/>
      <c r="AT48" s="977">
        <f t="shared" si="4"/>
        <v>40945</v>
      </c>
      <c r="AU48" s="978" t="str">
        <f t="shared" si="5"/>
        <v>Sugo Italiano</v>
      </c>
    </row>
    <row r="49" spans="1:47" ht="10.15" customHeight="1">
      <c r="A49" s="195" t="s">
        <v>333</v>
      </c>
      <c r="B49" s="252"/>
      <c r="C49" s="252"/>
      <c r="D49" s="252"/>
      <c r="E49" s="252"/>
      <c r="F49" s="252"/>
      <c r="G49" s="738"/>
      <c r="H49" s="738"/>
      <c r="I49" s="738"/>
      <c r="J49" s="738">
        <f>'3.9.23'!E28</f>
        <v>3401</v>
      </c>
      <c r="K49" s="738"/>
      <c r="L49" s="738"/>
      <c r="M49" s="738"/>
      <c r="N49" s="589"/>
      <c r="O49" s="589"/>
      <c r="P49" s="589">
        <f>'3.15.23'!E28</f>
        <v>3714.5</v>
      </c>
      <c r="Q49" s="589"/>
      <c r="R49" s="589"/>
      <c r="S49" s="589"/>
      <c r="T49" s="589"/>
      <c r="U49" s="640"/>
      <c r="V49" s="640">
        <f>'3.21.23'!E28</f>
        <v>3828.5</v>
      </c>
      <c r="W49" s="640"/>
      <c r="X49" s="640"/>
      <c r="Y49" s="1218"/>
      <c r="Z49" s="1218"/>
      <c r="AA49" s="1218"/>
      <c r="AB49" s="1218"/>
      <c r="AC49" s="1218"/>
      <c r="AD49" s="1218"/>
      <c r="AE49" s="1218"/>
      <c r="AF49" s="1218"/>
      <c r="AG49" s="1218"/>
      <c r="AH49" s="189">
        <f t="shared" si="2"/>
        <v>10944</v>
      </c>
      <c r="AI49" s="189">
        <v>99000</v>
      </c>
      <c r="AJ49" s="194" t="str">
        <f t="shared" si="6"/>
        <v>Sweets on Wheels</v>
      </c>
      <c r="AL49" s="234">
        <f t="shared" si="3"/>
        <v>10944</v>
      </c>
      <c r="AP49" s="234">
        <v>52046</v>
      </c>
      <c r="AQ49" s="234"/>
      <c r="AR49" s="979">
        <v>45</v>
      </c>
      <c r="AS49" s="981">
        <f t="shared" ref="AS49:AS63" si="8">AT49/9.5</f>
        <v>1152</v>
      </c>
      <c r="AT49" s="977">
        <f t="shared" si="4"/>
        <v>10944</v>
      </c>
      <c r="AU49" s="978" t="str">
        <f t="shared" si="5"/>
        <v>Sweets on Wheels</v>
      </c>
    </row>
    <row r="50" spans="1:47" ht="9" customHeight="1">
      <c r="A50" s="195" t="s">
        <v>58</v>
      </c>
      <c r="B50" s="252"/>
      <c r="C50" s="252"/>
      <c r="D50" s="252"/>
      <c r="E50" s="252"/>
      <c r="F50" s="252"/>
      <c r="G50" s="252"/>
      <c r="H50" s="252"/>
      <c r="I50" s="252"/>
      <c r="J50" s="252"/>
      <c r="K50" s="252"/>
      <c r="L50" s="252"/>
      <c r="M50" s="252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1218"/>
      <c r="Z50" s="1218"/>
      <c r="AA50" s="1218"/>
      <c r="AB50" s="1218"/>
      <c r="AC50" s="1218"/>
      <c r="AD50" s="1218"/>
      <c r="AE50" s="1218"/>
      <c r="AF50" s="1218"/>
      <c r="AG50" s="1218"/>
      <c r="AH50" s="189">
        <f t="shared" si="2"/>
        <v>0</v>
      </c>
      <c r="AI50" s="961">
        <f>100000-AH50</f>
        <v>100000</v>
      </c>
      <c r="AJ50" s="194" t="str">
        <f t="shared" si="6"/>
        <v>Taste Collective Burger</v>
      </c>
      <c r="AL50" s="234">
        <f t="shared" si="3"/>
        <v>0</v>
      </c>
      <c r="AP50" s="234">
        <v>50667</v>
      </c>
      <c r="AQ50" s="234"/>
      <c r="AR50" s="979">
        <v>46</v>
      </c>
      <c r="AS50" s="981">
        <f t="shared" si="8"/>
        <v>0</v>
      </c>
      <c r="AT50" s="977">
        <f t="shared" si="4"/>
        <v>0</v>
      </c>
      <c r="AU50" s="978" t="str">
        <f t="shared" si="5"/>
        <v>Taste Collective Burger</v>
      </c>
    </row>
    <row r="51" spans="1:47" ht="10.15" customHeight="1">
      <c r="A51" s="195" t="s">
        <v>728</v>
      </c>
      <c r="B51" s="702"/>
      <c r="C51" s="702"/>
      <c r="D51" s="702">
        <f>'3.3.23'!E19</f>
        <v>1301.5</v>
      </c>
      <c r="E51" s="702"/>
      <c r="F51" s="70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1218"/>
      <c r="Z51" s="1218"/>
      <c r="AA51" s="1218"/>
      <c r="AB51" s="1218"/>
      <c r="AC51" s="1218"/>
      <c r="AD51" s="1218"/>
      <c r="AE51" s="1218"/>
      <c r="AF51" s="1218"/>
      <c r="AG51" s="1218"/>
      <c r="AH51" s="189">
        <f t="shared" si="2"/>
        <v>1301.5</v>
      </c>
      <c r="AI51" s="961">
        <f>100000-AH51</f>
        <v>98698.5</v>
      </c>
      <c r="AJ51" s="194" t="str">
        <f t="shared" si="6"/>
        <v>Thai Mex Cocina</v>
      </c>
      <c r="AL51" s="234">
        <f t="shared" si="3"/>
        <v>1301.5</v>
      </c>
      <c r="AP51" s="234">
        <v>50667</v>
      </c>
      <c r="AQ51" s="234"/>
      <c r="AR51" s="979">
        <v>47</v>
      </c>
      <c r="AS51" s="981">
        <f t="shared" si="8"/>
        <v>137</v>
      </c>
      <c r="AT51" s="977">
        <f t="shared" si="4"/>
        <v>1301.5</v>
      </c>
      <c r="AU51" s="978" t="str">
        <f t="shared" si="5"/>
        <v>Thai Mex Cocina</v>
      </c>
    </row>
    <row r="52" spans="1:47" ht="10.15" customHeight="1">
      <c r="A52" s="195" t="s">
        <v>45</v>
      </c>
      <c r="B52" s="702"/>
      <c r="C52" s="702"/>
      <c r="D52" s="702">
        <f>'3.3.23'!E7</f>
        <v>4740.5</v>
      </c>
      <c r="E52" s="702"/>
      <c r="F52" s="702"/>
      <c r="G52" s="738"/>
      <c r="H52" s="738">
        <f>'3.7.23'!E7</f>
        <v>4892.5</v>
      </c>
      <c r="I52" s="738"/>
      <c r="J52" s="738"/>
      <c r="K52" s="738">
        <f>'3.10.23'!E17+'3.10.23'!E27</f>
        <v>6013.5</v>
      </c>
      <c r="L52" s="738"/>
      <c r="M52" s="738"/>
      <c r="N52" s="589"/>
      <c r="O52" s="589">
        <f>'3.14.23'!E19</f>
        <v>4265.5</v>
      </c>
      <c r="P52" s="589"/>
      <c r="Q52" s="589">
        <f>'3.16.23'!E29</f>
        <v>3790.5</v>
      </c>
      <c r="R52" s="589"/>
      <c r="S52" s="589"/>
      <c r="T52" s="589"/>
      <c r="U52" s="640"/>
      <c r="V52" s="640">
        <f>'3.21.23'!E19</f>
        <v>4930.5</v>
      </c>
      <c r="W52" s="640"/>
      <c r="X52" s="640"/>
      <c r="Y52" s="1218"/>
      <c r="Z52" s="1218"/>
      <c r="AA52" s="1218"/>
      <c r="AB52" s="1218"/>
      <c r="AC52" s="1218"/>
      <c r="AD52" s="1218"/>
      <c r="AE52" s="1218"/>
      <c r="AF52" s="1218"/>
      <c r="AG52" s="1218"/>
      <c r="AH52" s="189">
        <f t="shared" si="2"/>
        <v>28633</v>
      </c>
      <c r="AI52" s="961">
        <f>100000-AH52+350000</f>
        <v>421367</v>
      </c>
      <c r="AJ52" s="194" t="str">
        <f t="shared" si="6"/>
        <v>Tokyo Style</v>
      </c>
      <c r="AL52" s="234">
        <f t="shared" si="3"/>
        <v>28633</v>
      </c>
      <c r="AP52" s="234">
        <v>168025.5</v>
      </c>
      <c r="AQ52" s="234"/>
      <c r="AR52" s="979">
        <v>48</v>
      </c>
      <c r="AS52" s="981">
        <f t="shared" si="8"/>
        <v>3014</v>
      </c>
      <c r="AT52" s="977">
        <f t="shared" si="4"/>
        <v>28633</v>
      </c>
      <c r="AU52" s="978" t="str">
        <f t="shared" si="5"/>
        <v>Tokyo Style</v>
      </c>
    </row>
    <row r="53" spans="1:47" ht="10.15" customHeight="1">
      <c r="A53" s="195" t="s">
        <v>172</v>
      </c>
      <c r="B53" s="252"/>
      <c r="C53" s="252"/>
      <c r="D53" s="252"/>
      <c r="E53" s="252"/>
      <c r="F53" s="252"/>
      <c r="G53" s="252"/>
      <c r="H53" s="252"/>
      <c r="I53" s="252"/>
      <c r="J53" s="252"/>
      <c r="K53" s="252"/>
      <c r="L53" s="252"/>
      <c r="M53" s="252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1218"/>
      <c r="Z53" s="1218"/>
      <c r="AA53" s="1218"/>
      <c r="AB53" s="1218"/>
      <c r="AC53" s="1218"/>
      <c r="AD53" s="1218"/>
      <c r="AE53" s="1218"/>
      <c r="AF53" s="1218"/>
      <c r="AG53" s="1218"/>
      <c r="AH53" s="189">
        <f t="shared" si="2"/>
        <v>0</v>
      </c>
      <c r="AI53" s="961">
        <f>100000-AH53</f>
        <v>100000</v>
      </c>
      <c r="AJ53" s="194" t="str">
        <f t="shared" si="6"/>
        <v>Trapiyaki</v>
      </c>
      <c r="AL53" s="234">
        <f t="shared" si="3"/>
        <v>0</v>
      </c>
      <c r="AP53" s="234">
        <v>21920</v>
      </c>
      <c r="AQ53" s="234"/>
      <c r="AR53" s="979">
        <v>49</v>
      </c>
      <c r="AS53" s="981">
        <f t="shared" si="8"/>
        <v>0</v>
      </c>
      <c r="AT53" s="977">
        <f t="shared" si="4"/>
        <v>0</v>
      </c>
      <c r="AU53" s="978" t="str">
        <f t="shared" si="5"/>
        <v>Trapiyaki</v>
      </c>
    </row>
    <row r="54" spans="1:47" ht="10.15" customHeight="1">
      <c r="A54" s="195" t="s">
        <v>144</v>
      </c>
      <c r="B54" s="702">
        <f>'3.1.23'!E19+'3.1.23'!E29</f>
        <v>4322.5</v>
      </c>
      <c r="C54" s="702"/>
      <c r="D54" s="702"/>
      <c r="E54" s="702"/>
      <c r="F54" s="702"/>
      <c r="G54" s="738"/>
      <c r="H54" s="738"/>
      <c r="I54" s="738">
        <f>'3.8.23'!E19</f>
        <v>2432</v>
      </c>
      <c r="J54" s="738"/>
      <c r="K54" s="738">
        <f>'3.10.23'!E9</f>
        <v>1890.5</v>
      </c>
      <c r="L54" s="738"/>
      <c r="M54" s="738"/>
      <c r="N54" s="589"/>
      <c r="O54" s="589"/>
      <c r="P54" s="589">
        <f>'3.15.23'!E8 + '3.15.23'!E17</f>
        <v>5168</v>
      </c>
      <c r="Q54" s="589"/>
      <c r="R54" s="589">
        <f>'3.17.23'!E19 + '3.17.23'!E29</f>
        <v>4009</v>
      </c>
      <c r="S54" s="589"/>
      <c r="T54" s="589"/>
      <c r="U54" s="640"/>
      <c r="V54" s="640">
        <f>'3.21.23'!E9</f>
        <v>2242</v>
      </c>
      <c r="W54" s="640">
        <f>'3.22.23'!E27</f>
        <v>2394</v>
      </c>
      <c r="X54" s="640"/>
      <c r="Y54" s="1218"/>
      <c r="Z54" s="1218"/>
      <c r="AA54" s="1218"/>
      <c r="AB54" s="1218"/>
      <c r="AC54" s="1218"/>
      <c r="AD54" s="1218"/>
      <c r="AE54" s="1218"/>
      <c r="AF54" s="1218"/>
      <c r="AG54" s="1218"/>
      <c r="AH54" s="189">
        <f t="shared" si="2"/>
        <v>22458</v>
      </c>
      <c r="AI54" s="961">
        <f>100000-AH54</f>
        <v>77542</v>
      </c>
      <c r="AJ54" s="194" t="str">
        <f t="shared" si="6"/>
        <v>Uncle Al's BBQ</v>
      </c>
      <c r="AL54" s="234">
        <f t="shared" si="3"/>
        <v>22458</v>
      </c>
      <c r="AP54" s="234">
        <v>5830</v>
      </c>
      <c r="AQ54" s="234"/>
      <c r="AR54" s="979">
        <v>50</v>
      </c>
      <c r="AS54" s="981">
        <f t="shared" si="8"/>
        <v>2364</v>
      </c>
      <c r="AT54" s="977">
        <f t="shared" si="4"/>
        <v>22458</v>
      </c>
      <c r="AU54" s="978" t="str">
        <f t="shared" si="5"/>
        <v>Uncle Al's BBQ</v>
      </c>
    </row>
    <row r="55" spans="1:47" ht="10.15" customHeight="1">
      <c r="A55" s="195" t="s">
        <v>240</v>
      </c>
      <c r="B55" s="252"/>
      <c r="C55" s="252"/>
      <c r="D55" s="252"/>
      <c r="E55" s="252"/>
      <c r="F55" s="252"/>
      <c r="G55" s="252"/>
      <c r="H55" s="252"/>
      <c r="I55" s="252"/>
      <c r="J55" s="252"/>
      <c r="K55" s="252"/>
      <c r="L55" s="252"/>
      <c r="M55" s="252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1218"/>
      <c r="Z55" s="1218"/>
      <c r="AA55" s="1218"/>
      <c r="AB55" s="1218"/>
      <c r="AC55" s="1218"/>
      <c r="AD55" s="1218"/>
      <c r="AE55" s="1218"/>
      <c r="AF55" s="1218"/>
      <c r="AG55" s="1218"/>
      <c r="AH55" s="189">
        <f t="shared" si="2"/>
        <v>0</v>
      </c>
      <c r="AI55" s="961">
        <f>100000-AH55</f>
        <v>100000</v>
      </c>
      <c r="AJ55" s="194" t="str">
        <f t="shared" si="6"/>
        <v>Veggie Bomb</v>
      </c>
      <c r="AL55" s="234">
        <f t="shared" si="3"/>
        <v>0</v>
      </c>
      <c r="AP55" s="234">
        <v>228015.5</v>
      </c>
      <c r="AQ55" s="234"/>
      <c r="AR55" s="979">
        <v>51</v>
      </c>
      <c r="AS55" s="981">
        <f t="shared" si="8"/>
        <v>0</v>
      </c>
      <c r="AT55" s="977">
        <f t="shared" si="4"/>
        <v>0</v>
      </c>
      <c r="AU55" s="978" t="str">
        <f t="shared" si="5"/>
        <v>Veggie Bomb</v>
      </c>
    </row>
    <row r="56" spans="1:47" ht="10.15" customHeight="1">
      <c r="A56" s="195" t="s">
        <v>797</v>
      </c>
      <c r="B56" s="702"/>
      <c r="C56" s="702"/>
      <c r="D56" s="702"/>
      <c r="E56" s="702"/>
      <c r="F56" s="702"/>
      <c r="G56" s="252"/>
      <c r="H56" s="252"/>
      <c r="I56" s="252"/>
      <c r="J56" s="252"/>
      <c r="K56" s="252"/>
      <c r="L56" s="252"/>
      <c r="M56" s="252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1218"/>
      <c r="Z56" s="1218"/>
      <c r="AA56" s="1218"/>
      <c r="AB56" s="1218"/>
      <c r="AC56" s="1218"/>
      <c r="AD56" s="1218"/>
      <c r="AE56" s="1218"/>
      <c r="AF56" s="1218"/>
      <c r="AG56" s="1218"/>
      <c r="AH56" s="189">
        <f t="shared" si="2"/>
        <v>0</v>
      </c>
      <c r="AI56" s="961">
        <f>100000-AH56</f>
        <v>100000</v>
      </c>
      <c r="AJ56" s="194" t="str">
        <f t="shared" si="6"/>
        <v>Venice Gelato Café</v>
      </c>
      <c r="AL56" s="234">
        <f t="shared" si="3"/>
        <v>0</v>
      </c>
      <c r="AP56" s="234">
        <v>75970</v>
      </c>
      <c r="AQ56" s="234"/>
      <c r="AR56" s="979">
        <v>52</v>
      </c>
      <c r="AS56" s="981">
        <f t="shared" si="8"/>
        <v>0</v>
      </c>
      <c r="AT56" s="977">
        <f t="shared" si="4"/>
        <v>0</v>
      </c>
      <c r="AU56" s="978" t="str">
        <f t="shared" si="5"/>
        <v>Venice Gelato Café</v>
      </c>
    </row>
    <row r="57" spans="1:47" ht="10.15" customHeight="1">
      <c r="A57" s="195" t="s">
        <v>70</v>
      </c>
      <c r="B57" s="702"/>
      <c r="C57" s="702"/>
      <c r="D57" s="702"/>
      <c r="E57" s="702">
        <f>'3.4.23'!E9</f>
        <v>4588.5</v>
      </c>
      <c r="F57" s="702">
        <f>'3.5.23'!E8</f>
        <v>4313</v>
      </c>
      <c r="G57" s="738"/>
      <c r="H57" s="738"/>
      <c r="I57" s="738"/>
      <c r="J57" s="738">
        <f>'3.9.23'!E9</f>
        <v>3771.5</v>
      </c>
      <c r="K57" s="738"/>
      <c r="L57" s="738"/>
      <c r="M57" s="738"/>
      <c r="N57" s="589"/>
      <c r="O57" s="589">
        <f>'3.14.23'!E29</f>
        <v>3287</v>
      </c>
      <c r="P57" s="589">
        <f>'3.15.23'!E29</f>
        <v>4028</v>
      </c>
      <c r="Q57" s="589"/>
      <c r="R57" s="589"/>
      <c r="S57" s="589"/>
      <c r="T57" s="589"/>
      <c r="U57" s="252"/>
      <c r="V57" s="252"/>
      <c r="W57" s="252"/>
      <c r="X57" s="252"/>
      <c r="Y57" s="1218"/>
      <c r="Z57" s="1218"/>
      <c r="AA57" s="1218"/>
      <c r="AB57" s="1218"/>
      <c r="AC57" s="1218"/>
      <c r="AD57" s="1218"/>
      <c r="AE57" s="1218"/>
      <c r="AF57" s="1218"/>
      <c r="AG57" s="1218"/>
      <c r="AH57" s="189">
        <f t="shared" si="2"/>
        <v>19988</v>
      </c>
      <c r="AI57" s="358">
        <f>449000-AH57+350000+350000</f>
        <v>1129012</v>
      </c>
      <c r="AJ57" s="194" t="str">
        <f t="shared" si="6"/>
        <v>Wafl</v>
      </c>
      <c r="AL57" s="234">
        <f t="shared" si="3"/>
        <v>19988</v>
      </c>
      <c r="AP57" s="234">
        <v>71377</v>
      </c>
      <c r="AQ57" s="234"/>
      <c r="AR57" s="979">
        <v>53</v>
      </c>
      <c r="AS57" s="981">
        <f t="shared" si="8"/>
        <v>2104</v>
      </c>
      <c r="AT57" s="977">
        <f t="shared" si="4"/>
        <v>19988</v>
      </c>
      <c r="AU57" s="978" t="str">
        <f t="shared" si="5"/>
        <v>Wafl</v>
      </c>
    </row>
    <row r="58" spans="1:47" ht="10.15" customHeight="1">
      <c r="A58" s="195" t="s">
        <v>181</v>
      </c>
      <c r="B58" s="252"/>
      <c r="C58" s="252"/>
      <c r="D58" s="252"/>
      <c r="E58" s="252"/>
      <c r="F58" s="252"/>
      <c r="G58" s="252"/>
      <c r="H58" s="252"/>
      <c r="I58" s="252"/>
      <c r="J58" s="252"/>
      <c r="K58" s="252"/>
      <c r="L58" s="252"/>
      <c r="M58" s="252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1218"/>
      <c r="Z58" s="1218"/>
      <c r="AA58" s="1218"/>
      <c r="AB58" s="1218"/>
      <c r="AC58" s="1218"/>
      <c r="AD58" s="1218"/>
      <c r="AE58" s="1218"/>
      <c r="AF58" s="1218"/>
      <c r="AG58" s="1218"/>
      <c r="AH58" s="189">
        <f t="shared" si="2"/>
        <v>0</v>
      </c>
      <c r="AI58" s="358">
        <f t="shared" ref="AI58:AI63" si="9">100000-AH58</f>
        <v>100000</v>
      </c>
      <c r="AJ58" s="194" t="str">
        <f t="shared" si="6"/>
        <v>White Rabbit</v>
      </c>
      <c r="AL58" s="234">
        <f t="shared" si="3"/>
        <v>0</v>
      </c>
      <c r="AP58" s="234">
        <v>3570</v>
      </c>
      <c r="AQ58" s="234"/>
      <c r="AR58" s="979">
        <v>54</v>
      </c>
      <c r="AS58" s="981">
        <f t="shared" si="8"/>
        <v>0</v>
      </c>
      <c r="AT58" s="977">
        <f t="shared" si="4"/>
        <v>0</v>
      </c>
      <c r="AU58" s="978" t="str">
        <f t="shared" si="5"/>
        <v>White Rabbit</v>
      </c>
    </row>
    <row r="59" spans="1:47" ht="10.15" customHeight="1">
      <c r="A59" s="515" t="s">
        <v>205</v>
      </c>
      <c r="B59" s="702"/>
      <c r="C59" s="702"/>
      <c r="D59" s="702"/>
      <c r="E59" s="702"/>
      <c r="F59" s="702"/>
      <c r="G59" s="738"/>
      <c r="H59" s="738"/>
      <c r="I59" s="738"/>
      <c r="J59" s="738">
        <f>'3.9.23'!E18</f>
        <v>2907</v>
      </c>
      <c r="K59" s="738"/>
      <c r="L59" s="738"/>
      <c r="M59" s="738"/>
      <c r="N59" s="589"/>
      <c r="O59" s="589"/>
      <c r="P59" s="589">
        <f>'3.15.23'!E9</f>
        <v>2365.5</v>
      </c>
      <c r="Q59" s="589"/>
      <c r="R59" s="589"/>
      <c r="S59" s="589"/>
      <c r="T59" s="589"/>
      <c r="U59" s="640"/>
      <c r="V59" s="640"/>
      <c r="W59" s="640">
        <f>'3.22.23'!E9 + '3.22.23'!E19</f>
        <v>5567</v>
      </c>
      <c r="X59" s="640"/>
      <c r="Y59" s="1218"/>
      <c r="Z59" s="1218"/>
      <c r="AA59" s="1218"/>
      <c r="AB59" s="1218"/>
      <c r="AC59" s="1218"/>
      <c r="AD59" s="1218"/>
      <c r="AE59" s="1218"/>
      <c r="AF59" s="1218"/>
      <c r="AG59" s="1218"/>
      <c r="AH59" s="189">
        <f t="shared" si="2"/>
        <v>10839.5</v>
      </c>
      <c r="AI59" s="522">
        <f t="shared" si="9"/>
        <v>89160.5</v>
      </c>
      <c r="AJ59" s="194" t="str">
        <f t="shared" si="6"/>
        <v>Yalla</v>
      </c>
      <c r="AL59" s="234">
        <f t="shared" si="3"/>
        <v>10839.5</v>
      </c>
      <c r="AP59" s="234">
        <v>43804.5</v>
      </c>
      <c r="AQ59" s="234"/>
      <c r="AR59" s="979">
        <v>55</v>
      </c>
      <c r="AS59" s="981">
        <f t="shared" si="8"/>
        <v>1141</v>
      </c>
      <c r="AT59" s="977">
        <f t="shared" si="4"/>
        <v>10839.5</v>
      </c>
      <c r="AU59" s="978" t="str">
        <f t="shared" si="5"/>
        <v>Yalla</v>
      </c>
    </row>
    <row r="60" spans="1:47" ht="10.15" customHeight="1">
      <c r="A60" s="195" t="s">
        <v>244</v>
      </c>
      <c r="B60" s="702"/>
      <c r="C60" s="702"/>
      <c r="D60" s="702"/>
      <c r="E60" s="702"/>
      <c r="F60" s="702"/>
      <c r="G60" s="738">
        <f>'3.6.23'!E7</f>
        <v>6327</v>
      </c>
      <c r="H60" s="738"/>
      <c r="I60" s="738">
        <f>'3.8.23'!E17</f>
        <v>7039.5</v>
      </c>
      <c r="J60" s="738"/>
      <c r="K60" s="738"/>
      <c r="L60" s="738"/>
      <c r="M60" s="738"/>
      <c r="N60" s="589"/>
      <c r="O60" s="589"/>
      <c r="P60" s="589">
        <f>'3.15.23'!E19</f>
        <v>7723.5</v>
      </c>
      <c r="Q60" s="589"/>
      <c r="R60" s="589">
        <f>'3.17.23'!E7</f>
        <v>6593</v>
      </c>
      <c r="S60" s="589"/>
      <c r="T60" s="589"/>
      <c r="U60" s="640">
        <f>'3.20.23'!E17</f>
        <v>8056</v>
      </c>
      <c r="V60" s="640"/>
      <c r="W60" s="640"/>
      <c r="X60" s="640"/>
      <c r="Y60" s="1218"/>
      <c r="Z60" s="1218"/>
      <c r="AA60" s="1218"/>
      <c r="AB60" s="1218"/>
      <c r="AC60" s="1218"/>
      <c r="AD60" s="1218"/>
      <c r="AE60" s="1218"/>
      <c r="AF60" s="1218"/>
      <c r="AG60" s="1218"/>
      <c r="AH60" s="189">
        <f t="shared" si="2"/>
        <v>35739</v>
      </c>
      <c r="AI60" s="358">
        <f t="shared" si="9"/>
        <v>64261</v>
      </c>
      <c r="AJ60" s="194" t="str">
        <f t="shared" si="6"/>
        <v>Yuna's Bob</v>
      </c>
      <c r="AL60" s="234">
        <f t="shared" si="3"/>
        <v>35739</v>
      </c>
      <c r="AP60" s="234">
        <v>499011.5</v>
      </c>
      <c r="AQ60" s="234"/>
      <c r="AR60" s="979">
        <v>56</v>
      </c>
      <c r="AS60" s="981">
        <f t="shared" si="8"/>
        <v>3762</v>
      </c>
      <c r="AT60" s="977">
        <f t="shared" si="4"/>
        <v>35739</v>
      </c>
      <c r="AU60" s="978" t="str">
        <f t="shared" si="5"/>
        <v>Yuna's Bob</v>
      </c>
    </row>
    <row r="61" spans="1:47" ht="10.15" customHeight="1">
      <c r="A61" s="195"/>
      <c r="B61" s="252"/>
      <c r="C61" s="252"/>
      <c r="D61" s="252"/>
      <c r="E61" s="252"/>
      <c r="F61" s="252"/>
      <c r="G61" s="252"/>
      <c r="H61" s="252"/>
      <c r="I61" s="252"/>
      <c r="J61" s="252"/>
      <c r="K61" s="252"/>
      <c r="L61" s="252"/>
      <c r="M61" s="252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89">
        <f>SUM(B61:AG61)</f>
        <v>0</v>
      </c>
      <c r="AI61" s="961">
        <f t="shared" si="9"/>
        <v>100000</v>
      </c>
      <c r="AJ61" s="195"/>
      <c r="AL61" s="234">
        <f t="shared" si="3"/>
        <v>0</v>
      </c>
      <c r="AP61" s="234">
        <v>7640</v>
      </c>
      <c r="AQ61" s="234"/>
      <c r="AR61" s="979">
        <v>57</v>
      </c>
      <c r="AS61" s="981">
        <f t="shared" si="8"/>
        <v>0</v>
      </c>
      <c r="AT61" s="977">
        <f t="shared" si="4"/>
        <v>0</v>
      </c>
      <c r="AU61" s="978">
        <f t="shared" si="5"/>
        <v>0</v>
      </c>
    </row>
    <row r="62" spans="1:47" ht="10.15" customHeight="1">
      <c r="A62" s="195"/>
      <c r="B62" s="252"/>
      <c r="C62" s="252"/>
      <c r="D62" s="252"/>
      <c r="E62" s="252"/>
      <c r="F62" s="252"/>
      <c r="G62" s="252"/>
      <c r="H62" s="252"/>
      <c r="I62" s="252"/>
      <c r="J62" s="252"/>
      <c r="K62" s="252"/>
      <c r="L62" s="252"/>
      <c r="M62" s="252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1218"/>
      <c r="Z62" s="1218"/>
      <c r="AA62" s="1218"/>
      <c r="AB62" s="1218"/>
      <c r="AC62" s="1218"/>
      <c r="AD62" s="1218"/>
      <c r="AE62" s="1218"/>
      <c r="AF62" s="1218"/>
      <c r="AG62" s="1218"/>
      <c r="AH62" s="189">
        <f>SUM(B62:AG62)</f>
        <v>0</v>
      </c>
      <c r="AI62" s="961">
        <f t="shared" si="9"/>
        <v>100000</v>
      </c>
      <c r="AJ62" s="195"/>
      <c r="AL62" s="234">
        <f t="shared" si="3"/>
        <v>0</v>
      </c>
      <c r="AP62" s="234">
        <v>64586.5</v>
      </c>
      <c r="AQ62" s="234"/>
      <c r="AR62" s="979">
        <v>58</v>
      </c>
      <c r="AS62" s="981">
        <f t="shared" si="8"/>
        <v>0</v>
      </c>
      <c r="AT62" s="977">
        <f t="shared" si="4"/>
        <v>0</v>
      </c>
      <c r="AU62" s="978">
        <f t="shared" si="5"/>
        <v>0</v>
      </c>
    </row>
    <row r="63" spans="1:47" s="521" customFormat="1" ht="10.15" customHeight="1">
      <c r="A63" s="195"/>
      <c r="B63" s="252"/>
      <c r="C63" s="252"/>
      <c r="D63" s="252"/>
      <c r="E63" s="252"/>
      <c r="F63" s="252"/>
      <c r="G63" s="252"/>
      <c r="H63" s="252"/>
      <c r="I63" s="252"/>
      <c r="J63" s="252"/>
      <c r="K63" s="252"/>
      <c r="L63" s="252"/>
      <c r="M63" s="252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1218"/>
      <c r="Z63" s="1218"/>
      <c r="AA63" s="1218"/>
      <c r="AB63" s="1218"/>
      <c r="AC63" s="1218"/>
      <c r="AD63" s="1218"/>
      <c r="AE63" s="1218"/>
      <c r="AF63" s="1218"/>
      <c r="AG63" s="1218"/>
      <c r="AH63" s="189">
        <f>SUM(B63:AG63)</f>
        <v>0</v>
      </c>
      <c r="AI63" s="961">
        <f t="shared" si="9"/>
        <v>100000</v>
      </c>
      <c r="AJ63" s="195"/>
      <c r="AK63" s="934"/>
      <c r="AL63" s="234">
        <f t="shared" si="3"/>
        <v>0</v>
      </c>
      <c r="AM63" s="934"/>
      <c r="AN63" s="934"/>
      <c r="AO63" s="934"/>
      <c r="AP63" s="234">
        <v>42224</v>
      </c>
      <c r="AQ63" s="234"/>
      <c r="AR63" s="979">
        <v>59</v>
      </c>
      <c r="AS63" s="981">
        <f t="shared" si="8"/>
        <v>0</v>
      </c>
      <c r="AT63" s="977">
        <f t="shared" si="4"/>
        <v>0</v>
      </c>
      <c r="AU63" s="978">
        <f t="shared" si="5"/>
        <v>0</v>
      </c>
    </row>
    <row r="64" spans="1:47" ht="13.9" customHeight="1" thickBot="1">
      <c r="A64" s="46" t="s">
        <v>24</v>
      </c>
      <c r="B64" s="530">
        <f t="shared" ref="B64:Y64" si="10">SUM(B3:B63)</f>
        <v>44365</v>
      </c>
      <c r="C64" s="530">
        <f t="shared" si="10"/>
        <v>53656</v>
      </c>
      <c r="D64" s="530">
        <f t="shared" si="10"/>
        <v>29079.5</v>
      </c>
      <c r="E64" s="530">
        <f t="shared" si="10"/>
        <v>47975</v>
      </c>
      <c r="F64" s="530">
        <f t="shared" si="10"/>
        <v>47519</v>
      </c>
      <c r="G64" s="530">
        <f t="shared" si="10"/>
        <v>46027.5</v>
      </c>
      <c r="H64" s="530">
        <f t="shared" si="10"/>
        <v>35581</v>
      </c>
      <c r="I64" s="530">
        <f t="shared" si="10"/>
        <v>41154</v>
      </c>
      <c r="J64" s="530">
        <f t="shared" si="10"/>
        <v>37126</v>
      </c>
      <c r="K64" s="530">
        <f t="shared" si="10"/>
        <v>33516</v>
      </c>
      <c r="L64" s="530">
        <f t="shared" si="10"/>
        <v>54436</v>
      </c>
      <c r="M64" s="530">
        <f t="shared" si="10"/>
        <v>43937.5</v>
      </c>
      <c r="N64" s="530">
        <f t="shared" si="10"/>
        <v>45856.5</v>
      </c>
      <c r="O64" s="530">
        <f t="shared" si="10"/>
        <v>35587</v>
      </c>
      <c r="P64" s="530">
        <f t="shared" si="10"/>
        <v>42360.5</v>
      </c>
      <c r="Q64" s="530">
        <f t="shared" si="10"/>
        <v>48763.5</v>
      </c>
      <c r="R64" s="530">
        <f t="shared" si="10"/>
        <v>44165.5</v>
      </c>
      <c r="S64" s="530">
        <f t="shared" si="10"/>
        <v>58909.5</v>
      </c>
      <c r="T64" s="530">
        <f t="shared" si="10"/>
        <v>53247.5</v>
      </c>
      <c r="U64" s="530">
        <f t="shared" si="10"/>
        <v>43576.5</v>
      </c>
      <c r="V64" s="530">
        <f t="shared" si="10"/>
        <v>48146</v>
      </c>
      <c r="W64" s="530">
        <f t="shared" si="10"/>
        <v>45619</v>
      </c>
      <c r="X64" s="530">
        <f t="shared" si="10"/>
        <v>42370</v>
      </c>
      <c r="Y64" s="1219">
        <f t="shared" si="10"/>
        <v>0</v>
      </c>
      <c r="Z64" s="1219">
        <f t="shared" ref="Z64:AG64" si="11">SUM(Z3:Z63)</f>
        <v>0</v>
      </c>
      <c r="AA64" s="1219">
        <f t="shared" si="11"/>
        <v>0</v>
      </c>
      <c r="AB64" s="1219">
        <f t="shared" si="11"/>
        <v>0</v>
      </c>
      <c r="AC64" s="1219">
        <f t="shared" si="11"/>
        <v>0</v>
      </c>
      <c r="AD64" s="1219">
        <f t="shared" si="11"/>
        <v>0</v>
      </c>
      <c r="AE64" s="1219">
        <f t="shared" si="11"/>
        <v>0</v>
      </c>
      <c r="AF64" s="1219">
        <f t="shared" si="11"/>
        <v>0</v>
      </c>
      <c r="AG64" s="1219">
        <f t="shared" si="11"/>
        <v>0</v>
      </c>
      <c r="AH64" s="55">
        <f>SUM(AH3:AH63)</f>
        <v>1022974</v>
      </c>
      <c r="AI64" s="55">
        <f>SUM(AI3:AI63)</f>
        <v>15350158.5</v>
      </c>
      <c r="AP64" s="234">
        <f>SUM(AP3:AP63)</f>
        <v>5287160.5</v>
      </c>
      <c r="AQ64" s="234"/>
      <c r="AR64" s="980"/>
      <c r="AS64" s="981">
        <f>SUM(AS3:AS63)</f>
        <v>103371.47368421053</v>
      </c>
      <c r="AT64" s="977">
        <f>SUM(AT3:AT63)</f>
        <v>1022974</v>
      </c>
      <c r="AU64" s="937"/>
    </row>
    <row r="65" spans="1:55" ht="12" customHeight="1" thickTop="1">
      <c r="A65" s="198" t="s">
        <v>85</v>
      </c>
      <c r="B65" s="241">
        <f>'3.1.23'!E38</f>
        <v>44365</v>
      </c>
      <c r="C65" s="241">
        <f>'3.2.23'!E38</f>
        <v>53656</v>
      </c>
      <c r="D65" s="241">
        <f>'3.3.23'!E38</f>
        <v>29079.5</v>
      </c>
      <c r="E65" s="241">
        <f>'3.4.23'!E38</f>
        <v>47975</v>
      </c>
      <c r="F65" s="241">
        <f>'3.5.23'!E38</f>
        <v>47519</v>
      </c>
      <c r="G65" s="241">
        <f>'3.6.23'!E38</f>
        <v>46027.5</v>
      </c>
      <c r="H65" s="241">
        <f>'3.7.23'!E38</f>
        <v>35581</v>
      </c>
      <c r="I65" s="241">
        <f>'3.8.23'!E38</f>
        <v>41154</v>
      </c>
      <c r="J65" s="241">
        <f>'3.9.23'!E38</f>
        <v>37126</v>
      </c>
      <c r="K65" s="241">
        <f>'3.10.23'!E38</f>
        <v>33516</v>
      </c>
      <c r="L65" s="241">
        <f>'3.11.23'!E38</f>
        <v>54436</v>
      </c>
      <c r="M65" s="241">
        <f>'3.12.23'!E38</f>
        <v>43937.5</v>
      </c>
      <c r="N65" s="241">
        <f>'3.13.23'!E38</f>
        <v>45856.5</v>
      </c>
      <c r="O65" s="241">
        <f>'3.14.23'!E38</f>
        <v>35587</v>
      </c>
      <c r="P65" s="241">
        <f>'3.15.23'!E38</f>
        <v>42360.5</v>
      </c>
      <c r="Q65" s="241">
        <f>'3.16.23'!E38</f>
        <v>48763.5</v>
      </c>
      <c r="R65" s="241">
        <f>'3.17.23'!E38</f>
        <v>44165.5</v>
      </c>
      <c r="S65" s="241">
        <f>'3.18.23'!E38</f>
        <v>58909.5</v>
      </c>
      <c r="T65" s="241">
        <f>'3.19.23'!E38</f>
        <v>53247.5</v>
      </c>
      <c r="U65" s="241">
        <f>'3.20.23'!E38</f>
        <v>43576.5</v>
      </c>
      <c r="V65" s="241">
        <f>'3.21.23'!E38</f>
        <v>48146</v>
      </c>
      <c r="W65" s="241">
        <f>'3.22.23'!E38</f>
        <v>45619</v>
      </c>
      <c r="X65" s="241">
        <f>'3.23.23'!E38</f>
        <v>42370</v>
      </c>
      <c r="Y65" s="241"/>
      <c r="Z65" s="241"/>
      <c r="AA65" s="241"/>
      <c r="AB65" s="241"/>
      <c r="AC65" s="241"/>
      <c r="AD65" s="241"/>
      <c r="AE65" s="241"/>
      <c r="AF65" s="241"/>
      <c r="AG65" s="241"/>
      <c r="AH65" s="197"/>
      <c r="AI65" s="57"/>
      <c r="AJ65" s="521"/>
      <c r="AK65" s="521"/>
      <c r="AL65" s="521"/>
      <c r="AM65" s="521"/>
      <c r="AN65" s="521"/>
      <c r="AO65" s="521"/>
    </row>
    <row r="66" spans="1:55" ht="12" customHeight="1">
      <c r="A66" s="198" t="s">
        <v>86</v>
      </c>
      <c r="B66" s="242">
        <f t="shared" ref="B66:AG66" si="12">B64-B65</f>
        <v>0</v>
      </c>
      <c r="C66" s="242">
        <f t="shared" si="12"/>
        <v>0</v>
      </c>
      <c r="D66" s="242">
        <f t="shared" si="12"/>
        <v>0</v>
      </c>
      <c r="E66" s="242">
        <f t="shared" si="12"/>
        <v>0</v>
      </c>
      <c r="F66" s="242">
        <f t="shared" si="12"/>
        <v>0</v>
      </c>
      <c r="G66" s="242">
        <f t="shared" si="12"/>
        <v>0</v>
      </c>
      <c r="H66" s="242">
        <f t="shared" si="12"/>
        <v>0</v>
      </c>
      <c r="I66" s="242">
        <f t="shared" si="12"/>
        <v>0</v>
      </c>
      <c r="J66" s="242">
        <f t="shared" si="12"/>
        <v>0</v>
      </c>
      <c r="K66" s="242">
        <f t="shared" si="12"/>
        <v>0</v>
      </c>
      <c r="L66" s="242">
        <f t="shared" si="12"/>
        <v>0</v>
      </c>
      <c r="M66" s="242">
        <f t="shared" si="12"/>
        <v>0</v>
      </c>
      <c r="N66" s="242">
        <f t="shared" si="12"/>
        <v>0</v>
      </c>
      <c r="O66" s="242">
        <f t="shared" si="12"/>
        <v>0</v>
      </c>
      <c r="P66" s="242">
        <f t="shared" si="12"/>
        <v>0</v>
      </c>
      <c r="Q66" s="242">
        <f t="shared" si="12"/>
        <v>0</v>
      </c>
      <c r="R66" s="242">
        <f t="shared" si="12"/>
        <v>0</v>
      </c>
      <c r="S66" s="242">
        <f t="shared" si="12"/>
        <v>0</v>
      </c>
      <c r="T66" s="242">
        <f t="shared" si="12"/>
        <v>0</v>
      </c>
      <c r="U66" s="242">
        <f t="shared" si="12"/>
        <v>0</v>
      </c>
      <c r="V66" s="242">
        <f t="shared" si="12"/>
        <v>0</v>
      </c>
      <c r="W66" s="242">
        <f t="shared" si="12"/>
        <v>0</v>
      </c>
      <c r="X66" s="242">
        <f t="shared" si="12"/>
        <v>0</v>
      </c>
      <c r="Y66" s="242">
        <f t="shared" si="12"/>
        <v>0</v>
      </c>
      <c r="Z66" s="242">
        <f t="shared" si="12"/>
        <v>0</v>
      </c>
      <c r="AA66" s="242">
        <f t="shared" si="12"/>
        <v>0</v>
      </c>
      <c r="AB66" s="242">
        <f t="shared" si="12"/>
        <v>0</v>
      </c>
      <c r="AC66" s="242">
        <f t="shared" si="12"/>
        <v>0</v>
      </c>
      <c r="AD66" s="242">
        <f t="shared" si="12"/>
        <v>0</v>
      </c>
      <c r="AE66" s="242">
        <f t="shared" si="12"/>
        <v>0</v>
      </c>
      <c r="AF66" s="242">
        <f t="shared" si="12"/>
        <v>0</v>
      </c>
      <c r="AG66" s="242">
        <f t="shared" si="12"/>
        <v>0</v>
      </c>
      <c r="AH66" s="233"/>
      <c r="AI66" s="199"/>
      <c r="AK66" s="316"/>
      <c r="AL66" s="316"/>
      <c r="AM66" s="316"/>
      <c r="AN66" s="316"/>
      <c r="AO66" s="316"/>
      <c r="AP66" s="199"/>
      <c r="AQ66" s="199"/>
      <c r="AR66" s="199"/>
      <c r="AS66" s="198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</row>
    <row r="67" spans="1:55" ht="26.25" customHeight="1">
      <c r="B67" s="982"/>
      <c r="C67" s="982"/>
      <c r="D67" s="982"/>
      <c r="E67" s="982"/>
      <c r="F67" s="982"/>
      <c r="G67" s="982"/>
      <c r="H67" s="982"/>
      <c r="I67" s="982"/>
      <c r="J67" s="982"/>
      <c r="K67" s="982"/>
      <c r="L67" s="982"/>
      <c r="M67" s="982"/>
      <c r="N67" s="982"/>
      <c r="O67" s="982"/>
      <c r="P67" s="982"/>
      <c r="Q67" s="982"/>
      <c r="R67" s="982"/>
      <c r="S67" s="982"/>
      <c r="T67" s="982"/>
      <c r="U67" s="982"/>
      <c r="V67" s="982"/>
      <c r="W67" s="982"/>
      <c r="X67" s="982"/>
      <c r="Y67" s="982" t="s">
        <v>871</v>
      </c>
      <c r="Z67" s="982" t="s">
        <v>872</v>
      </c>
      <c r="AA67" s="982" t="s">
        <v>871</v>
      </c>
      <c r="AB67" s="982" t="s">
        <v>872</v>
      </c>
      <c r="AC67" s="982" t="s">
        <v>871</v>
      </c>
      <c r="AD67" s="982" t="s">
        <v>872</v>
      </c>
      <c r="AE67" s="982" t="s">
        <v>871</v>
      </c>
      <c r="AF67" s="982" t="s">
        <v>872</v>
      </c>
      <c r="AG67" s="982" t="s">
        <v>871</v>
      </c>
    </row>
    <row r="68" spans="1:55">
      <c r="AH68" s="234"/>
      <c r="AJ68" s="199"/>
      <c r="AK68" s="199"/>
      <c r="AL68" s="199"/>
      <c r="AM68" s="199"/>
      <c r="AN68" s="199"/>
      <c r="AO68" s="199"/>
    </row>
    <row r="70" spans="1:55">
      <c r="A70" s="188"/>
    </row>
    <row r="71" spans="1:55">
      <c r="A71" s="188"/>
    </row>
  </sheetData>
  <mergeCells count="3">
    <mergeCell ref="A1:A2"/>
    <mergeCell ref="AH1:AH2"/>
    <mergeCell ref="AI1:AI2"/>
  </mergeCells>
  <conditionalFormatting sqref="AI26:AI28 AI36 AI39 AI60 AI53:AI55 AI33 AI63 AI6:AI8 AI11 AI13:AI15 AI19:AI21 AI42:AI48">
    <cfRule type="cellIs" dxfId="646" priority="87" operator="lessThan">
      <formula>20000</formula>
    </cfRule>
    <cfRule type="cellIs" dxfId="645" priority="88" operator="lessThan">
      <formula>25000</formula>
    </cfRule>
    <cfRule type="cellIs" dxfId="644" priority="89" operator="lessThan">
      <formula>50000</formula>
    </cfRule>
  </conditionalFormatting>
  <conditionalFormatting sqref="AI22">
    <cfRule type="cellIs" dxfId="643" priority="84" operator="lessThan">
      <formula>20000</formula>
    </cfRule>
    <cfRule type="cellIs" dxfId="642" priority="85" operator="lessThan">
      <formula>25000</formula>
    </cfRule>
    <cfRule type="cellIs" dxfId="641" priority="86" operator="lessThan">
      <formula>50000</formula>
    </cfRule>
  </conditionalFormatting>
  <conditionalFormatting sqref="AI34">
    <cfRule type="cellIs" dxfId="640" priority="81" operator="lessThan">
      <formula>20000</formula>
    </cfRule>
    <cfRule type="cellIs" dxfId="639" priority="82" operator="lessThan">
      <formula>25000</formula>
    </cfRule>
    <cfRule type="cellIs" dxfId="638" priority="83" operator="lessThan">
      <formula>50000</formula>
    </cfRule>
  </conditionalFormatting>
  <conditionalFormatting sqref="AI37">
    <cfRule type="cellIs" dxfId="637" priority="78" operator="lessThan">
      <formula>20000</formula>
    </cfRule>
    <cfRule type="cellIs" dxfId="636" priority="79" operator="lessThan">
      <formula>25000</formula>
    </cfRule>
    <cfRule type="cellIs" dxfId="635" priority="80" operator="lessThan">
      <formula>50000</formula>
    </cfRule>
  </conditionalFormatting>
  <conditionalFormatting sqref="AI52">
    <cfRule type="cellIs" dxfId="634" priority="75" operator="lessThan">
      <formula>20000</formula>
    </cfRule>
    <cfRule type="cellIs" dxfId="633" priority="76" operator="lessThan">
      <formula>25000</formula>
    </cfRule>
    <cfRule type="cellIs" dxfId="632" priority="77" operator="lessThan">
      <formula>50000</formula>
    </cfRule>
  </conditionalFormatting>
  <conditionalFormatting sqref="AI57">
    <cfRule type="cellIs" dxfId="631" priority="72" operator="lessThan">
      <formula>20000</formula>
    </cfRule>
    <cfRule type="cellIs" dxfId="630" priority="73" operator="lessThan">
      <formula>25000</formula>
    </cfRule>
    <cfRule type="cellIs" dxfId="629" priority="74" operator="lessThan">
      <formula>50000</formula>
    </cfRule>
  </conditionalFormatting>
  <conditionalFormatting sqref="AI50">
    <cfRule type="cellIs" dxfId="628" priority="69" operator="lessThan">
      <formula>20000</formula>
    </cfRule>
    <cfRule type="cellIs" dxfId="627" priority="70" operator="lessThan">
      <formula>25000</formula>
    </cfRule>
    <cfRule type="cellIs" dxfId="626" priority="71" operator="lessThan">
      <formula>50000</formula>
    </cfRule>
  </conditionalFormatting>
  <conditionalFormatting sqref="AI5">
    <cfRule type="cellIs" dxfId="625" priority="66" operator="lessThan">
      <formula>20000</formula>
    </cfRule>
    <cfRule type="cellIs" dxfId="624" priority="67" operator="lessThan">
      <formula>25000</formula>
    </cfRule>
    <cfRule type="cellIs" dxfId="623" priority="68" operator="lessThan">
      <formula>50000</formula>
    </cfRule>
  </conditionalFormatting>
  <conditionalFormatting sqref="AI56">
    <cfRule type="cellIs" dxfId="622" priority="63" operator="lessThan">
      <formula>20000</formula>
    </cfRule>
    <cfRule type="cellIs" dxfId="621" priority="64" operator="lessThan">
      <formula>25000</formula>
    </cfRule>
    <cfRule type="cellIs" dxfId="620" priority="65" operator="lessThan">
      <formula>50000</formula>
    </cfRule>
  </conditionalFormatting>
  <conditionalFormatting sqref="AI35">
    <cfRule type="cellIs" dxfId="619" priority="60" operator="lessThan">
      <formula>20000</formula>
    </cfRule>
    <cfRule type="cellIs" dxfId="618" priority="61" operator="lessThan">
      <formula>25000</formula>
    </cfRule>
    <cfRule type="cellIs" dxfId="617" priority="62" operator="lessThan">
      <formula>50000</formula>
    </cfRule>
  </conditionalFormatting>
  <conditionalFormatting sqref="AI3:AI4">
    <cfRule type="cellIs" dxfId="616" priority="57" operator="lessThan">
      <formula>20000</formula>
    </cfRule>
    <cfRule type="cellIs" dxfId="615" priority="58" operator="lessThan">
      <formula>25000</formula>
    </cfRule>
    <cfRule type="cellIs" dxfId="614" priority="59" operator="lessThan">
      <formula>50000</formula>
    </cfRule>
  </conditionalFormatting>
  <conditionalFormatting sqref="AI16">
    <cfRule type="cellIs" dxfId="613" priority="54" operator="lessThan">
      <formula>20000</formula>
    </cfRule>
    <cfRule type="cellIs" dxfId="612" priority="55" operator="lessThan">
      <formula>25000</formula>
    </cfRule>
    <cfRule type="cellIs" dxfId="611" priority="56" operator="lessThan">
      <formula>50000</formula>
    </cfRule>
  </conditionalFormatting>
  <conditionalFormatting sqref="AI29:AI30">
    <cfRule type="cellIs" dxfId="610" priority="51" operator="lessThan">
      <formula>20000</formula>
    </cfRule>
    <cfRule type="cellIs" dxfId="609" priority="52" operator="lessThan">
      <formula>25000</formula>
    </cfRule>
    <cfRule type="cellIs" dxfId="608" priority="53" operator="lessThan">
      <formula>50000</formula>
    </cfRule>
  </conditionalFormatting>
  <conditionalFormatting sqref="AI61:AI62">
    <cfRule type="cellIs" dxfId="607" priority="48" operator="lessThan">
      <formula>20000</formula>
    </cfRule>
    <cfRule type="cellIs" dxfId="606" priority="49" operator="lessThan">
      <formula>25000</formula>
    </cfRule>
    <cfRule type="cellIs" dxfId="605" priority="50" operator="lessThan">
      <formula>50000</formula>
    </cfRule>
  </conditionalFormatting>
  <conditionalFormatting sqref="AI23">
    <cfRule type="cellIs" dxfId="604" priority="45" operator="lessThan">
      <formula>20000</formula>
    </cfRule>
    <cfRule type="cellIs" dxfId="603" priority="46" operator="lessThan">
      <formula>25000</formula>
    </cfRule>
    <cfRule type="cellIs" dxfId="602" priority="47" operator="lessThan">
      <formula>50000</formula>
    </cfRule>
  </conditionalFormatting>
  <conditionalFormatting sqref="AI10">
    <cfRule type="cellIs" dxfId="601" priority="42" operator="lessThan">
      <formula>20000</formula>
    </cfRule>
    <cfRule type="cellIs" dxfId="600" priority="43" operator="lessThan">
      <formula>25000</formula>
    </cfRule>
    <cfRule type="cellIs" dxfId="599" priority="44" operator="lessThan">
      <formula>50000</formula>
    </cfRule>
  </conditionalFormatting>
  <conditionalFormatting sqref="AI58:AI59">
    <cfRule type="cellIs" dxfId="598" priority="39" operator="lessThan">
      <formula>20000</formula>
    </cfRule>
    <cfRule type="cellIs" dxfId="597" priority="40" operator="lessThan">
      <formula>25000</formula>
    </cfRule>
    <cfRule type="cellIs" dxfId="596" priority="41" operator="lessThan">
      <formula>50000</formula>
    </cfRule>
  </conditionalFormatting>
  <conditionalFormatting sqref="AI38">
    <cfRule type="cellIs" dxfId="595" priority="36" operator="lessThan">
      <formula>20000</formula>
    </cfRule>
    <cfRule type="cellIs" dxfId="594" priority="37" operator="lessThan">
      <formula>25000</formula>
    </cfRule>
    <cfRule type="cellIs" dxfId="593" priority="38" operator="lessThan">
      <formula>50000</formula>
    </cfRule>
  </conditionalFormatting>
  <conditionalFormatting sqref="AI17">
    <cfRule type="cellIs" dxfId="592" priority="33" operator="lessThan">
      <formula>20000</formula>
    </cfRule>
    <cfRule type="cellIs" dxfId="591" priority="34" operator="lessThan">
      <formula>25000</formula>
    </cfRule>
    <cfRule type="cellIs" dxfId="590" priority="35" operator="lessThan">
      <formula>50000</formula>
    </cfRule>
  </conditionalFormatting>
  <conditionalFormatting sqref="AI40:AI41">
    <cfRule type="cellIs" dxfId="589" priority="30" operator="lessThan">
      <formula>20000</formula>
    </cfRule>
    <cfRule type="cellIs" dxfId="588" priority="31" operator="lessThan">
      <formula>25000</formula>
    </cfRule>
    <cfRule type="cellIs" dxfId="587" priority="32" operator="lessThan">
      <formula>50000</formula>
    </cfRule>
  </conditionalFormatting>
  <conditionalFormatting sqref="AI12">
    <cfRule type="cellIs" dxfId="586" priority="27" operator="lessThan">
      <formula>20000</formula>
    </cfRule>
    <cfRule type="cellIs" dxfId="585" priority="28" operator="lessThan">
      <formula>25000</formula>
    </cfRule>
    <cfRule type="cellIs" dxfId="584" priority="29" operator="lessThan">
      <formula>50000</formula>
    </cfRule>
  </conditionalFormatting>
  <conditionalFormatting sqref="B66:AG66">
    <cfRule type="cellIs" dxfId="583" priority="25" operator="lessThan">
      <formula>0</formula>
    </cfRule>
    <cfRule type="cellIs" dxfId="582" priority="26" operator="greaterThan">
      <formula>0</formula>
    </cfRule>
  </conditionalFormatting>
  <conditionalFormatting sqref="AI31">
    <cfRule type="cellIs" dxfId="581" priority="22" operator="lessThan">
      <formula>20000</formula>
    </cfRule>
    <cfRule type="cellIs" dxfId="580" priority="23" operator="lessThan">
      <formula>25000</formula>
    </cfRule>
    <cfRule type="cellIs" dxfId="579" priority="24" operator="lessThan">
      <formula>50000</formula>
    </cfRule>
  </conditionalFormatting>
  <conditionalFormatting sqref="AI9">
    <cfRule type="cellIs" dxfId="578" priority="19" operator="lessThan">
      <formula>20000</formula>
    </cfRule>
    <cfRule type="cellIs" dxfId="577" priority="20" operator="lessThan">
      <formula>25000</formula>
    </cfRule>
    <cfRule type="cellIs" dxfId="576" priority="21" operator="lessThan">
      <formula>50000</formula>
    </cfRule>
  </conditionalFormatting>
  <conditionalFormatting sqref="AI18">
    <cfRule type="cellIs" dxfId="575" priority="16" operator="lessThan">
      <formula>20000</formula>
    </cfRule>
    <cfRule type="cellIs" dxfId="574" priority="17" operator="lessThan">
      <formula>25000</formula>
    </cfRule>
    <cfRule type="cellIs" dxfId="573" priority="18" operator="lessThan">
      <formula>50000</formula>
    </cfRule>
  </conditionalFormatting>
  <conditionalFormatting sqref="AI25">
    <cfRule type="cellIs" dxfId="572" priority="13" operator="lessThan">
      <formula>20000</formula>
    </cfRule>
    <cfRule type="cellIs" dxfId="571" priority="14" operator="lessThan">
      <formula>25000</formula>
    </cfRule>
    <cfRule type="cellIs" dxfId="570" priority="15" operator="lessThan">
      <formula>50000</formula>
    </cfRule>
  </conditionalFormatting>
  <conditionalFormatting sqref="AI32">
    <cfRule type="cellIs" dxfId="569" priority="10" operator="lessThan">
      <formula>20000</formula>
    </cfRule>
    <cfRule type="cellIs" dxfId="568" priority="11" operator="lessThan">
      <formula>25000</formula>
    </cfRule>
    <cfRule type="cellIs" dxfId="567" priority="12" operator="lessThan">
      <formula>50000</formula>
    </cfRule>
  </conditionalFormatting>
  <conditionalFormatting sqref="AI49">
    <cfRule type="cellIs" dxfId="566" priority="7" operator="lessThan">
      <formula>20000</formula>
    </cfRule>
    <cfRule type="cellIs" dxfId="565" priority="8" operator="lessThan">
      <formula>25000</formula>
    </cfRule>
    <cfRule type="cellIs" dxfId="564" priority="9" operator="lessThan">
      <formula>50000</formula>
    </cfRule>
  </conditionalFormatting>
  <conditionalFormatting sqref="AI51">
    <cfRule type="cellIs" dxfId="563" priority="4" operator="lessThan">
      <formula>20000</formula>
    </cfRule>
    <cfRule type="cellIs" dxfId="562" priority="5" operator="lessThan">
      <formula>25000</formula>
    </cfRule>
    <cfRule type="cellIs" dxfId="561" priority="6" operator="lessThan">
      <formula>50000</formula>
    </cfRule>
  </conditionalFormatting>
  <conditionalFormatting sqref="AI24">
    <cfRule type="cellIs" dxfId="560" priority="1" operator="lessThan">
      <formula>20000</formula>
    </cfRule>
    <cfRule type="cellIs" dxfId="559" priority="2" operator="lessThan">
      <formula>25000</formula>
    </cfRule>
    <cfRule type="cellIs" dxfId="558" priority="3" operator="lessThan">
      <formula>50000</formula>
    </cfRule>
  </conditionalFormatting>
  <pageMargins left="0.7" right="0.7" top="0.75" bottom="0.75" header="0.3" footer="0.3"/>
  <pageSetup scale="130" orientation="portrait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8B682-39A3-460C-8138-33A73F9819FE}">
  <sheetPr codeName="Sheet354"/>
  <dimension ref="A1:AY71"/>
  <sheetViews>
    <sheetView workbookViewId="0">
      <selection sqref="A1:A2"/>
    </sheetView>
  </sheetViews>
  <sheetFormatPr defaultColWidth="8.85546875" defaultRowHeight="15"/>
  <cols>
    <col min="1" max="1" width="21.85546875" style="974" bestFit="1" customWidth="1"/>
    <col min="2" max="8" width="8.5703125" style="974" customWidth="1"/>
    <col min="9" max="9" width="8.42578125" style="974" customWidth="1"/>
    <col min="10" max="18" width="8.5703125" style="974" customWidth="1"/>
    <col min="19" max="20" width="8" style="974" customWidth="1"/>
    <col min="21" max="29" width="8.5703125" style="974" bestFit="1" customWidth="1"/>
    <col min="30" max="30" width="12.28515625" style="934" customWidth="1"/>
    <col min="31" max="31" width="18" style="934" customWidth="1"/>
    <col min="32" max="32" width="18.28515625" style="934" customWidth="1"/>
    <col min="33" max="33" width="5.85546875" style="934" customWidth="1"/>
    <col min="34" max="34" width="9.7109375" style="934" customWidth="1"/>
    <col min="35" max="37" width="5.85546875" style="934" customWidth="1"/>
    <col min="38" max="38" width="12.42578125" style="934" customWidth="1"/>
    <col min="39" max="39" width="6.5703125" style="934" customWidth="1"/>
    <col min="40" max="40" width="3.42578125" style="934" customWidth="1"/>
    <col min="41" max="41" width="8.28515625" style="974" customWidth="1"/>
    <col min="42" max="42" width="10.7109375" style="934" customWidth="1"/>
    <col min="43" max="43" width="21.28515625" style="934" bestFit="1" customWidth="1"/>
    <col min="44" max="16384" width="8.85546875" style="934"/>
  </cols>
  <sheetData>
    <row r="1" spans="1:43">
      <c r="A1" s="1251" t="s">
        <v>77</v>
      </c>
      <c r="B1" s="250" t="s">
        <v>89</v>
      </c>
      <c r="C1" s="250" t="s">
        <v>90</v>
      </c>
      <c r="D1" s="250" t="s">
        <v>91</v>
      </c>
      <c r="E1" s="250" t="s">
        <v>92</v>
      </c>
      <c r="F1" s="250" t="s">
        <v>93</v>
      </c>
      <c r="G1" s="250" t="s">
        <v>87</v>
      </c>
      <c r="H1" s="250" t="s">
        <v>88</v>
      </c>
      <c r="I1" s="250" t="s">
        <v>89</v>
      </c>
      <c r="J1" s="250" t="s">
        <v>90</v>
      </c>
      <c r="K1" s="250" t="s">
        <v>91</v>
      </c>
      <c r="L1" s="250" t="s">
        <v>92</v>
      </c>
      <c r="M1" s="250" t="s">
        <v>93</v>
      </c>
      <c r="N1" s="250" t="s">
        <v>87</v>
      </c>
      <c r="O1" s="250" t="s">
        <v>88</v>
      </c>
      <c r="P1" s="250" t="s">
        <v>89</v>
      </c>
      <c r="Q1" s="250" t="s">
        <v>90</v>
      </c>
      <c r="R1" s="250" t="s">
        <v>91</v>
      </c>
      <c r="S1" s="250" t="s">
        <v>92</v>
      </c>
      <c r="T1" s="250" t="s">
        <v>93</v>
      </c>
      <c r="U1" s="250" t="s">
        <v>87</v>
      </c>
      <c r="V1" s="250" t="s">
        <v>88</v>
      </c>
      <c r="W1" s="250" t="s">
        <v>89</v>
      </c>
      <c r="X1" s="250" t="s">
        <v>90</v>
      </c>
      <c r="Y1" s="250" t="s">
        <v>91</v>
      </c>
      <c r="Z1" s="250" t="s">
        <v>92</v>
      </c>
      <c r="AA1" s="250" t="s">
        <v>93</v>
      </c>
      <c r="AB1" s="250" t="s">
        <v>87</v>
      </c>
      <c r="AC1" s="250" t="s">
        <v>88</v>
      </c>
      <c r="AD1" s="1253" t="s">
        <v>31</v>
      </c>
      <c r="AE1" s="1282" t="s">
        <v>190</v>
      </c>
      <c r="AL1" s="974" t="s">
        <v>222</v>
      </c>
    </row>
    <row r="2" spans="1:43" ht="15.75" thickBot="1">
      <c r="A2" s="1280"/>
      <c r="B2" s="251">
        <v>44958</v>
      </c>
      <c r="C2" s="251">
        <v>44959</v>
      </c>
      <c r="D2" s="251">
        <v>44960</v>
      </c>
      <c r="E2" s="251">
        <v>44961</v>
      </c>
      <c r="F2" s="251">
        <v>44962</v>
      </c>
      <c r="G2" s="251">
        <v>44963</v>
      </c>
      <c r="H2" s="251">
        <v>44964</v>
      </c>
      <c r="I2" s="251">
        <v>44965</v>
      </c>
      <c r="J2" s="251">
        <v>44966</v>
      </c>
      <c r="K2" s="251">
        <v>44967</v>
      </c>
      <c r="L2" s="251">
        <v>44968</v>
      </c>
      <c r="M2" s="251">
        <v>44969</v>
      </c>
      <c r="N2" s="251">
        <v>44970</v>
      </c>
      <c r="O2" s="251">
        <v>44971</v>
      </c>
      <c r="P2" s="251">
        <v>44972</v>
      </c>
      <c r="Q2" s="251">
        <v>44973</v>
      </c>
      <c r="R2" s="251">
        <v>44974</v>
      </c>
      <c r="S2" s="251">
        <v>44975</v>
      </c>
      <c r="T2" s="251">
        <v>44976</v>
      </c>
      <c r="U2" s="251">
        <v>44977</v>
      </c>
      <c r="V2" s="251">
        <v>44978</v>
      </c>
      <c r="W2" s="251">
        <v>44979</v>
      </c>
      <c r="X2" s="251">
        <v>44980</v>
      </c>
      <c r="Y2" s="251">
        <v>44981</v>
      </c>
      <c r="Z2" s="251">
        <v>44982</v>
      </c>
      <c r="AA2" s="251">
        <v>44983</v>
      </c>
      <c r="AB2" s="251">
        <v>44984</v>
      </c>
      <c r="AC2" s="251">
        <v>44985</v>
      </c>
      <c r="AD2" s="1281"/>
      <c r="AE2" s="1283"/>
      <c r="AG2" s="974"/>
      <c r="AH2" s="974" t="s">
        <v>705</v>
      </c>
      <c r="AI2" s="974"/>
      <c r="AJ2" s="974"/>
      <c r="AK2" s="974"/>
      <c r="AL2" s="974" t="s">
        <v>132</v>
      </c>
      <c r="AM2" s="974"/>
      <c r="AN2" s="937"/>
      <c r="AO2" s="756" t="s">
        <v>316</v>
      </c>
      <c r="AP2" s="937" t="s">
        <v>326</v>
      </c>
      <c r="AQ2" s="937"/>
    </row>
    <row r="3" spans="1:43" ht="10.9" customHeight="1">
      <c r="A3" s="194" t="s">
        <v>185</v>
      </c>
      <c r="B3" s="591"/>
      <c r="C3" s="591">
        <f>'2.02.23'!E18</f>
        <v>8550</v>
      </c>
      <c r="D3" s="591"/>
      <c r="E3" s="591">
        <f>'2.04.23'!E18</f>
        <v>8863.5</v>
      </c>
      <c r="F3" s="591"/>
      <c r="G3" s="638"/>
      <c r="H3" s="638">
        <f>'2.07.23'!E19</f>
        <v>9044</v>
      </c>
      <c r="I3" s="638"/>
      <c r="J3" s="638">
        <f>'2.09.23'!E17</f>
        <v>9006</v>
      </c>
      <c r="K3" s="638"/>
      <c r="L3" s="638">
        <f>'2.11.23'!E9</f>
        <v>9481</v>
      </c>
      <c r="M3" s="638"/>
      <c r="N3" s="701"/>
      <c r="O3" s="701">
        <f>'2.14.23'!E27</f>
        <v>5234.5</v>
      </c>
      <c r="P3" s="701"/>
      <c r="Q3" s="701">
        <f>'2.16.23'!E9</f>
        <v>8255.5</v>
      </c>
      <c r="R3" s="701"/>
      <c r="S3" s="1164"/>
      <c r="T3" s="1164"/>
      <c r="U3" s="1194"/>
      <c r="V3" s="512">
        <f>'2.21.23'!E9</f>
        <v>8341</v>
      </c>
      <c r="W3" s="512"/>
      <c r="X3" s="512">
        <f>'2.23.23'!E19</f>
        <v>8901.5</v>
      </c>
      <c r="Y3" s="512"/>
      <c r="Z3" s="512"/>
      <c r="AA3" s="512"/>
      <c r="AB3" s="512"/>
      <c r="AC3" s="512">
        <f>'2.28.23'!E19</f>
        <v>7913.5</v>
      </c>
      <c r="AD3" s="189">
        <f t="shared" ref="AD3:AD63" si="0">SUM(B3:AC3)</f>
        <v>83590.5</v>
      </c>
      <c r="AE3" s="189">
        <f>449000-AD3+350000</f>
        <v>715409.5</v>
      </c>
      <c r="AF3" s="194" t="str">
        <f t="shared" ref="AF3:AF34" si="1">A3</f>
        <v>8E8 Thai Street Food</v>
      </c>
      <c r="AH3" s="234">
        <f>AD3</f>
        <v>83590.5</v>
      </c>
      <c r="AL3" s="234">
        <v>415532</v>
      </c>
      <c r="AM3" s="234"/>
      <c r="AN3" s="979">
        <v>1</v>
      </c>
      <c r="AO3" s="981">
        <f t="shared" ref="AO3:AO40" si="2">AP3/9.5</f>
        <v>8799</v>
      </c>
      <c r="AP3" s="977">
        <f>AH3</f>
        <v>83590.5</v>
      </c>
      <c r="AQ3" s="978" t="str">
        <f>AF3</f>
        <v>8E8 Thai Street Food</v>
      </c>
    </row>
    <row r="4" spans="1:43" ht="10.9" customHeight="1">
      <c r="A4" s="194" t="s">
        <v>330</v>
      </c>
      <c r="B4" s="591"/>
      <c r="C4" s="591"/>
      <c r="D4" s="591">
        <f>'2.03.23'!E18</f>
        <v>7866</v>
      </c>
      <c r="E4" s="591"/>
      <c r="F4" s="591"/>
      <c r="G4" s="638"/>
      <c r="H4" s="638">
        <f>'2.07.23'!E8</f>
        <v>7866</v>
      </c>
      <c r="I4" s="638">
        <f>'2.08.23'!E9+'2.08.23'!E19</f>
        <v>13784.5</v>
      </c>
      <c r="J4" s="638"/>
      <c r="K4" s="638"/>
      <c r="L4" s="638"/>
      <c r="M4" s="638"/>
      <c r="N4" s="701">
        <f>'2.13.23'!E19</f>
        <v>9376.5</v>
      </c>
      <c r="O4" s="701">
        <f>'2.14.23'!E7+'2.14.23'!E17</f>
        <v>14487.5</v>
      </c>
      <c r="P4" s="701"/>
      <c r="Q4" s="701"/>
      <c r="R4" s="701"/>
      <c r="S4" s="1164"/>
      <c r="T4" s="1164"/>
      <c r="U4" s="1194"/>
      <c r="V4" s="512"/>
      <c r="W4" s="512"/>
      <c r="X4" s="512"/>
      <c r="Y4" s="512"/>
      <c r="Z4" s="512"/>
      <c r="AA4" s="512"/>
      <c r="AB4" s="512"/>
      <c r="AC4" s="512"/>
      <c r="AD4" s="189">
        <f t="shared" si="0"/>
        <v>53380.5</v>
      </c>
      <c r="AE4" s="189">
        <v>99000</v>
      </c>
      <c r="AF4" s="194" t="str">
        <f t="shared" si="1"/>
        <v>Aloha Friday</v>
      </c>
      <c r="AH4" s="234">
        <f t="shared" ref="AH4:AH63" si="3">AD4</f>
        <v>53380.5</v>
      </c>
      <c r="AL4" s="234"/>
      <c r="AM4" s="234"/>
      <c r="AN4" s="979">
        <v>2</v>
      </c>
      <c r="AO4" s="981">
        <f t="shared" si="2"/>
        <v>5619</v>
      </c>
      <c r="AP4" s="977">
        <f t="shared" ref="AP4:AP63" si="4">AH4</f>
        <v>53380.5</v>
      </c>
      <c r="AQ4" s="978" t="str">
        <f t="shared" ref="AQ4:AQ63" si="5">AF4</f>
        <v>Aloha Friday</v>
      </c>
    </row>
    <row r="5" spans="1:43" ht="10.9" customHeight="1">
      <c r="A5" s="194" t="s">
        <v>164</v>
      </c>
      <c r="B5" s="590"/>
      <c r="C5" s="590"/>
      <c r="D5" s="590"/>
      <c r="E5" s="590"/>
      <c r="F5" s="591">
        <f>'2.05.23'!E17</f>
        <v>4351</v>
      </c>
      <c r="G5" s="639"/>
      <c r="H5" s="639"/>
      <c r="I5" s="639"/>
      <c r="J5" s="639"/>
      <c r="K5" s="639"/>
      <c r="L5" s="639"/>
      <c r="M5" s="639">
        <f>'2.12.23'!E17</f>
        <v>4474.5</v>
      </c>
      <c r="N5" s="452"/>
      <c r="O5" s="452"/>
      <c r="P5" s="452"/>
      <c r="Q5" s="452"/>
      <c r="R5" s="452"/>
      <c r="S5" s="1165"/>
      <c r="T5" s="1165"/>
      <c r="U5" s="1195"/>
      <c r="V5" s="452"/>
      <c r="W5" s="452"/>
      <c r="X5" s="452"/>
      <c r="Y5" s="452"/>
      <c r="Z5" s="512">
        <f>'2.25.23'!E17</f>
        <v>3885.5</v>
      </c>
      <c r="AA5" s="452"/>
      <c r="AB5" s="452"/>
      <c r="AC5" s="452"/>
      <c r="AD5" s="189">
        <f t="shared" si="0"/>
        <v>12711</v>
      </c>
      <c r="AE5" s="189">
        <f>449000-AD5</f>
        <v>436289</v>
      </c>
      <c r="AF5" s="194" t="str">
        <f t="shared" si="1"/>
        <v>Austyn's Burgers</v>
      </c>
      <c r="AH5" s="234">
        <f t="shared" si="3"/>
        <v>12711</v>
      </c>
      <c r="AL5" s="234">
        <v>270375.5</v>
      </c>
      <c r="AM5" s="234"/>
      <c r="AN5" s="979">
        <v>3</v>
      </c>
      <c r="AO5" s="981">
        <f t="shared" si="2"/>
        <v>1338</v>
      </c>
      <c r="AP5" s="977">
        <f t="shared" si="4"/>
        <v>12711</v>
      </c>
      <c r="AQ5" s="978" t="str">
        <f t="shared" si="5"/>
        <v>Austyn's Burgers</v>
      </c>
    </row>
    <row r="6" spans="1:43" ht="10.9" customHeight="1">
      <c r="A6" s="195" t="s">
        <v>51</v>
      </c>
      <c r="B6" s="252"/>
      <c r="C6" s="252"/>
      <c r="D6" s="252"/>
      <c r="E6" s="252"/>
      <c r="F6" s="252"/>
      <c r="G6" s="252"/>
      <c r="H6" s="252"/>
      <c r="I6" s="252"/>
      <c r="J6" s="252"/>
      <c r="K6" s="252"/>
      <c r="L6" s="252"/>
      <c r="M6" s="252"/>
      <c r="N6" s="252"/>
      <c r="O6" s="252"/>
      <c r="P6" s="252"/>
      <c r="Q6" s="252"/>
      <c r="R6" s="252"/>
      <c r="S6" s="1166"/>
      <c r="T6" s="1166"/>
      <c r="U6" s="1196"/>
      <c r="V6" s="252"/>
      <c r="W6" s="252"/>
      <c r="X6" s="252"/>
      <c r="Y6" s="252"/>
      <c r="Z6" s="252"/>
      <c r="AA6" s="252"/>
      <c r="AB6" s="252"/>
      <c r="AC6" s="252"/>
      <c r="AD6" s="189">
        <f t="shared" si="0"/>
        <v>0</v>
      </c>
      <c r="AE6" s="961">
        <f>100000-AD6+350000</f>
        <v>450000</v>
      </c>
      <c r="AF6" s="194" t="str">
        <f t="shared" si="1"/>
        <v>Baby's Burgers</v>
      </c>
      <c r="AH6" s="234">
        <f t="shared" si="3"/>
        <v>0</v>
      </c>
      <c r="AL6" s="234">
        <v>128995</v>
      </c>
      <c r="AM6" s="234"/>
      <c r="AN6" s="979">
        <v>4</v>
      </c>
      <c r="AO6" s="981">
        <f t="shared" si="2"/>
        <v>0</v>
      </c>
      <c r="AP6" s="977">
        <f t="shared" si="4"/>
        <v>0</v>
      </c>
      <c r="AQ6" s="978" t="str">
        <f t="shared" si="5"/>
        <v>Baby's Burgers</v>
      </c>
    </row>
    <row r="7" spans="1:43" ht="10.9" customHeight="1">
      <c r="A7" s="195" t="s">
        <v>62</v>
      </c>
      <c r="B7" s="589">
        <f>'2.01.23'!E19</f>
        <v>1814.5</v>
      </c>
      <c r="C7" s="589"/>
      <c r="D7" s="589"/>
      <c r="E7" s="589"/>
      <c r="F7" s="589"/>
      <c r="G7" s="252"/>
      <c r="H7" s="252"/>
      <c r="I7" s="252"/>
      <c r="J7" s="252"/>
      <c r="K7" s="252"/>
      <c r="L7" s="252"/>
      <c r="M7" s="252"/>
      <c r="N7" s="702"/>
      <c r="O7" s="702"/>
      <c r="P7" s="702"/>
      <c r="Q7" s="702"/>
      <c r="R7" s="702">
        <f>'2.17.23'!E7</f>
        <v>2346.5</v>
      </c>
      <c r="S7" s="1166"/>
      <c r="T7" s="1166"/>
      <c r="U7" s="1196"/>
      <c r="V7" s="252"/>
      <c r="W7" s="252"/>
      <c r="X7" s="252"/>
      <c r="Y7" s="252"/>
      <c r="Z7" s="252"/>
      <c r="AA7" s="252"/>
      <c r="AB7" s="252"/>
      <c r="AC7" s="252"/>
      <c r="AD7" s="189">
        <f t="shared" si="0"/>
        <v>4161</v>
      </c>
      <c r="AE7" s="961">
        <f>100000-AD7</f>
        <v>95839</v>
      </c>
      <c r="AF7" s="194" t="str">
        <f t="shared" si="1"/>
        <v>Belly's Sliders Wings</v>
      </c>
      <c r="AH7" s="234">
        <f t="shared" si="3"/>
        <v>4161</v>
      </c>
      <c r="AL7" s="234">
        <v>67842.5</v>
      </c>
      <c r="AM7" s="234"/>
      <c r="AN7" s="979">
        <v>5</v>
      </c>
      <c r="AO7" s="981">
        <f t="shared" si="2"/>
        <v>438</v>
      </c>
      <c r="AP7" s="977">
        <f t="shared" si="4"/>
        <v>4161</v>
      </c>
      <c r="AQ7" s="978" t="str">
        <f t="shared" si="5"/>
        <v>Belly's Sliders Wings</v>
      </c>
    </row>
    <row r="8" spans="1:43" ht="10.15" customHeight="1">
      <c r="A8" s="195" t="s">
        <v>12</v>
      </c>
      <c r="B8" s="589">
        <f>'2.01.23'!E18</f>
        <v>3040</v>
      </c>
      <c r="C8" s="589"/>
      <c r="D8" s="589"/>
      <c r="E8" s="589"/>
      <c r="F8" s="589"/>
      <c r="G8" s="640">
        <f>'2.06.23'!E29</f>
        <v>3353.5</v>
      </c>
      <c r="H8" s="640"/>
      <c r="I8" s="640"/>
      <c r="J8" s="640"/>
      <c r="K8" s="640">
        <f>'2.10.23'!E19</f>
        <v>3372.5</v>
      </c>
      <c r="L8" s="640">
        <f>'2.11.23'!E27</f>
        <v>3847.5</v>
      </c>
      <c r="M8" s="640">
        <f>'2.12.23'!E29</f>
        <v>3125.5</v>
      </c>
      <c r="N8" s="702"/>
      <c r="O8" s="702"/>
      <c r="P8" s="702">
        <f>'2.15.23'!E27</f>
        <v>2897.5</v>
      </c>
      <c r="Q8" s="702"/>
      <c r="R8" s="702"/>
      <c r="S8" s="1166"/>
      <c r="T8" s="1166"/>
      <c r="U8" s="1196"/>
      <c r="V8" s="252">
        <f>'2.21.23'!E19</f>
        <v>4066</v>
      </c>
      <c r="W8" s="252">
        <f>'2.22.23'!E29</f>
        <v>2612.5</v>
      </c>
      <c r="X8" s="252"/>
      <c r="Y8" s="252"/>
      <c r="Z8" s="252"/>
      <c r="AA8" s="252">
        <f>'2.26.23'!E29</f>
        <v>3809.5</v>
      </c>
      <c r="AB8" s="252"/>
      <c r="AC8" s="252"/>
      <c r="AD8" s="189">
        <f t="shared" si="0"/>
        <v>30124.5</v>
      </c>
      <c r="AE8" s="961">
        <f>100000-AD8</f>
        <v>69875.5</v>
      </c>
      <c r="AF8" s="194" t="str">
        <f t="shared" si="1"/>
        <v>Bison Burger</v>
      </c>
      <c r="AH8" s="234">
        <f t="shared" si="3"/>
        <v>30124.5</v>
      </c>
      <c r="AL8" s="234">
        <v>36161.5</v>
      </c>
      <c r="AM8" s="234"/>
      <c r="AN8" s="979">
        <v>6</v>
      </c>
      <c r="AO8" s="981">
        <f t="shared" si="2"/>
        <v>3171</v>
      </c>
      <c r="AP8" s="977">
        <f t="shared" si="4"/>
        <v>30124.5</v>
      </c>
      <c r="AQ8" s="978" t="str">
        <f t="shared" si="5"/>
        <v>Bison Burger</v>
      </c>
    </row>
    <row r="9" spans="1:43" ht="10.15" customHeight="1">
      <c r="A9" s="195" t="s">
        <v>331</v>
      </c>
      <c r="B9" s="589"/>
      <c r="C9" s="589">
        <f>'2.02.23'!E28</f>
        <v>5282</v>
      </c>
      <c r="D9" s="589">
        <f>'2.03.23'!E28</f>
        <v>5082.5</v>
      </c>
      <c r="E9" s="589"/>
      <c r="F9" s="589"/>
      <c r="G9" s="640"/>
      <c r="H9" s="640">
        <f>'2.07.23'!E28</f>
        <v>5101.5</v>
      </c>
      <c r="I9" s="640"/>
      <c r="J9" s="640">
        <f>'2.09.23'!E28</f>
        <v>5367.5</v>
      </c>
      <c r="K9" s="640"/>
      <c r="L9" s="640"/>
      <c r="M9" s="640"/>
      <c r="N9" s="702">
        <f>'2.13.23'!E28</f>
        <v>4940</v>
      </c>
      <c r="O9" s="702"/>
      <c r="P9" s="702">
        <f>'2.15.23'!E28</f>
        <v>4750</v>
      </c>
      <c r="Q9" s="702"/>
      <c r="R9" s="702"/>
      <c r="S9" s="1166"/>
      <c r="T9" s="1166"/>
      <c r="U9" s="1196">
        <f>'2.20.23'!E28</f>
        <v>4702.5</v>
      </c>
      <c r="V9" s="252"/>
      <c r="W9" s="252"/>
      <c r="X9" s="252"/>
      <c r="Y9" s="252"/>
      <c r="Z9" s="252"/>
      <c r="AA9" s="252"/>
      <c r="AB9" s="252"/>
      <c r="AC9" s="252"/>
      <c r="AD9" s="189">
        <f t="shared" si="0"/>
        <v>35226</v>
      </c>
      <c r="AE9" s="189">
        <v>99000</v>
      </c>
      <c r="AF9" s="194" t="str">
        <f t="shared" si="1"/>
        <v>Bittie Bitez</v>
      </c>
      <c r="AH9" s="234">
        <f t="shared" si="3"/>
        <v>35226</v>
      </c>
      <c r="AL9" s="234"/>
      <c r="AM9" s="234"/>
      <c r="AN9" s="979">
        <v>7</v>
      </c>
      <c r="AO9" s="981">
        <f t="shared" si="2"/>
        <v>3708</v>
      </c>
      <c r="AP9" s="977">
        <f t="shared" si="4"/>
        <v>35226</v>
      </c>
      <c r="AQ9" s="978" t="str">
        <f t="shared" si="5"/>
        <v>Bittie Bitez</v>
      </c>
    </row>
    <row r="10" spans="1:43" ht="10.15" customHeight="1">
      <c r="A10" s="195" t="s">
        <v>239</v>
      </c>
      <c r="B10" s="589"/>
      <c r="C10" s="589"/>
      <c r="D10" s="589"/>
      <c r="E10" s="589"/>
      <c r="F10" s="589"/>
      <c r="G10" s="640">
        <f>'2.06.23'!E19</f>
        <v>2384.5</v>
      </c>
      <c r="H10" s="640"/>
      <c r="I10" s="640"/>
      <c r="J10" s="640"/>
      <c r="K10" s="640"/>
      <c r="L10" s="640"/>
      <c r="M10" s="640">
        <f>'2.12.23'!E19</f>
        <v>3771.5</v>
      </c>
      <c r="N10" s="252"/>
      <c r="O10" s="252"/>
      <c r="P10" s="252"/>
      <c r="Q10" s="252"/>
      <c r="R10" s="252"/>
      <c r="S10" s="1166"/>
      <c r="T10" s="1166"/>
      <c r="U10" s="1196"/>
      <c r="V10" s="252">
        <f>'2.21.23'!E29</f>
        <v>1643.5</v>
      </c>
      <c r="W10" s="252"/>
      <c r="X10" s="252"/>
      <c r="Y10" s="252">
        <f>'2.24.23'!E8</f>
        <v>2641</v>
      </c>
      <c r="Z10" s="252">
        <f>'2.25.23'!E18</f>
        <v>3372.5</v>
      </c>
      <c r="AA10" s="252"/>
      <c r="AB10" s="252"/>
      <c r="AC10" s="252">
        <f>'2.28.23'!E27</f>
        <v>2175.5</v>
      </c>
      <c r="AD10" s="189">
        <f t="shared" si="0"/>
        <v>15988.5</v>
      </c>
      <c r="AE10" s="961">
        <f>100000-AD10</f>
        <v>84011.5</v>
      </c>
      <c r="AF10" s="194" t="str">
        <f t="shared" si="1"/>
        <v>Bollywood Kitchen</v>
      </c>
      <c r="AH10" s="234">
        <f t="shared" si="3"/>
        <v>15988.5</v>
      </c>
      <c r="AL10" s="234">
        <v>41845.5</v>
      </c>
      <c r="AM10" s="234"/>
      <c r="AN10" s="979">
        <v>8</v>
      </c>
      <c r="AO10" s="981">
        <f t="shared" si="2"/>
        <v>1683</v>
      </c>
      <c r="AP10" s="977">
        <f t="shared" si="4"/>
        <v>15988.5</v>
      </c>
      <c r="AQ10" s="978" t="str">
        <f t="shared" si="5"/>
        <v>Bollywood Kitchen</v>
      </c>
    </row>
    <row r="11" spans="1:43" ht="10.15" customHeight="1">
      <c r="A11" s="195" t="s">
        <v>68</v>
      </c>
      <c r="B11" s="252"/>
      <c r="C11" s="252"/>
      <c r="D11" s="252"/>
      <c r="E11" s="252"/>
      <c r="F11" s="252"/>
      <c r="G11" s="252"/>
      <c r="H11" s="252"/>
      <c r="I11" s="252"/>
      <c r="J11" s="252"/>
      <c r="K11" s="252"/>
      <c r="L11" s="252"/>
      <c r="M11" s="252"/>
      <c r="N11" s="252"/>
      <c r="O11" s="252"/>
      <c r="P11" s="252"/>
      <c r="Q11" s="252"/>
      <c r="R11" s="252"/>
      <c r="S11" s="1166"/>
      <c r="T11" s="1166"/>
      <c r="U11" s="1196"/>
      <c r="V11" s="252"/>
      <c r="W11" s="252"/>
      <c r="X11" s="252"/>
      <c r="Y11" s="252"/>
      <c r="Z11" s="252"/>
      <c r="AA11" s="252"/>
      <c r="AB11" s="252"/>
      <c r="AC11" s="252"/>
      <c r="AD11" s="189">
        <f t="shared" si="0"/>
        <v>0</v>
      </c>
      <c r="AE11" s="961">
        <f>100000-AD11</f>
        <v>100000</v>
      </c>
      <c r="AF11" s="194" t="str">
        <f t="shared" si="1"/>
        <v>Bunz Gourmet Burgers</v>
      </c>
      <c r="AH11" s="234">
        <f t="shared" si="3"/>
        <v>0</v>
      </c>
      <c r="AL11" s="234">
        <v>18672</v>
      </c>
      <c r="AM11" s="234"/>
      <c r="AN11" s="979">
        <v>9</v>
      </c>
      <c r="AO11" s="981">
        <f t="shared" si="2"/>
        <v>0</v>
      </c>
      <c r="AP11" s="977">
        <f t="shared" si="4"/>
        <v>0</v>
      </c>
      <c r="AQ11" s="978" t="str">
        <f t="shared" si="5"/>
        <v>Bunz Gourmet Burgers</v>
      </c>
    </row>
    <row r="12" spans="1:43" ht="10.15" customHeight="1">
      <c r="A12" s="195" t="s">
        <v>245</v>
      </c>
      <c r="B12" s="252"/>
      <c r="C12" s="252"/>
      <c r="D12" s="252"/>
      <c r="E12" s="252"/>
      <c r="F12" s="252"/>
      <c r="G12" s="252"/>
      <c r="H12" s="252"/>
      <c r="I12" s="252"/>
      <c r="J12" s="252"/>
      <c r="K12" s="252"/>
      <c r="L12" s="252"/>
      <c r="M12" s="252"/>
      <c r="N12" s="252"/>
      <c r="O12" s="252"/>
      <c r="P12" s="252"/>
      <c r="Q12" s="252"/>
      <c r="R12" s="252"/>
      <c r="S12" s="1166"/>
      <c r="T12" s="1166"/>
      <c r="U12" s="1196"/>
      <c r="V12" s="252"/>
      <c r="W12" s="252"/>
      <c r="X12" s="252"/>
      <c r="Y12" s="252"/>
      <c r="Z12" s="252"/>
      <c r="AA12" s="252"/>
      <c r="AB12" s="252"/>
      <c r="AC12" s="252"/>
      <c r="AD12" s="189">
        <f t="shared" si="0"/>
        <v>0</v>
      </c>
      <c r="AE12" s="961">
        <f>100000-AD12</f>
        <v>100000</v>
      </c>
      <c r="AF12" s="194" t="str">
        <f t="shared" si="1"/>
        <v>Café Vietnam</v>
      </c>
      <c r="AH12" s="234">
        <f t="shared" si="3"/>
        <v>0</v>
      </c>
      <c r="AL12" s="234">
        <v>32515.5</v>
      </c>
      <c r="AM12" s="234"/>
      <c r="AN12" s="979">
        <v>10</v>
      </c>
      <c r="AO12" s="981">
        <f t="shared" si="2"/>
        <v>0</v>
      </c>
      <c r="AP12" s="977">
        <f t="shared" si="4"/>
        <v>0</v>
      </c>
      <c r="AQ12" s="978" t="str">
        <f t="shared" si="5"/>
        <v>Café Vietnam</v>
      </c>
    </row>
    <row r="13" spans="1:43" ht="10.15" customHeight="1">
      <c r="A13" s="195" t="s">
        <v>254</v>
      </c>
      <c r="B13" s="589"/>
      <c r="C13" s="589">
        <f>'2.02.23'!E7</f>
        <v>2945</v>
      </c>
      <c r="D13" s="589"/>
      <c r="E13" s="589"/>
      <c r="F13" s="589"/>
      <c r="G13" s="640"/>
      <c r="H13" s="640">
        <f>'2.07.23'!E18</f>
        <v>2774</v>
      </c>
      <c r="I13" s="640"/>
      <c r="J13" s="640">
        <f>'2.09.23'!E29</f>
        <v>3562.5</v>
      </c>
      <c r="K13" s="640"/>
      <c r="L13" s="640">
        <f>'2.11.23'!E7</f>
        <v>2878.5</v>
      </c>
      <c r="M13" s="640"/>
      <c r="N13" s="702"/>
      <c r="O13" s="702">
        <f>'2.14.23'!E18</f>
        <v>3078</v>
      </c>
      <c r="P13" s="702">
        <f>'2.15.23'!E8</f>
        <v>2859.5</v>
      </c>
      <c r="Q13" s="702"/>
      <c r="R13" s="702"/>
      <c r="S13" s="1166"/>
      <c r="T13" s="1166"/>
      <c r="U13" s="1196"/>
      <c r="V13" s="252"/>
      <c r="W13" s="252">
        <f>'2.22.23'!E7</f>
        <v>2850</v>
      </c>
      <c r="X13" s="252"/>
      <c r="Y13" s="252">
        <f>'2.24.23'!E29</f>
        <v>1463</v>
      </c>
      <c r="Z13" s="252"/>
      <c r="AA13" s="252">
        <f>'2.26.23'!E8</f>
        <v>3239.5</v>
      </c>
      <c r="AB13" s="252"/>
      <c r="AC13" s="252"/>
      <c r="AD13" s="189">
        <f t="shared" si="0"/>
        <v>25650</v>
      </c>
      <c r="AE13" s="961">
        <f>100000-AD13+350000</f>
        <v>424350</v>
      </c>
      <c r="AF13" s="194" t="str">
        <f t="shared" si="1"/>
        <v>Cartel Taco Truck</v>
      </c>
      <c r="AH13" s="234">
        <f t="shared" si="3"/>
        <v>25650</v>
      </c>
      <c r="AL13" s="234">
        <v>126406.5</v>
      </c>
      <c r="AM13" s="234"/>
      <c r="AN13" s="979">
        <v>11</v>
      </c>
      <c r="AO13" s="981">
        <f t="shared" si="2"/>
        <v>2700</v>
      </c>
      <c r="AP13" s="977">
        <f t="shared" si="4"/>
        <v>25650</v>
      </c>
      <c r="AQ13" s="978" t="str">
        <f t="shared" si="5"/>
        <v>Cartel Taco Truck</v>
      </c>
    </row>
    <row r="14" spans="1:43" ht="10.15" customHeight="1">
      <c r="A14" s="195" t="s">
        <v>49</v>
      </c>
      <c r="B14" s="589">
        <f>'2.01.23'!E8</f>
        <v>4123</v>
      </c>
      <c r="C14" s="589"/>
      <c r="D14" s="589"/>
      <c r="E14" s="589"/>
      <c r="F14" s="589">
        <f>'2.05.23'!E27</f>
        <v>4778.5</v>
      </c>
      <c r="G14" s="640"/>
      <c r="H14" s="640">
        <f>'2.07.23'!E9</f>
        <v>3325</v>
      </c>
      <c r="I14" s="640"/>
      <c r="J14" s="640"/>
      <c r="K14" s="640">
        <f>'2.10.23'!E7</f>
        <v>4417.5</v>
      </c>
      <c r="L14" s="640"/>
      <c r="M14" s="640"/>
      <c r="N14" s="702">
        <f>'2.13.23'!E17+'2.13.23'!E27</f>
        <v>8312.5</v>
      </c>
      <c r="O14" s="702"/>
      <c r="P14" s="702"/>
      <c r="Q14" s="702"/>
      <c r="R14" s="702"/>
      <c r="S14" s="1166"/>
      <c r="T14" s="1166"/>
      <c r="U14" s="1196"/>
      <c r="V14" s="252">
        <f>'2.21.23'!E27</f>
        <v>3059</v>
      </c>
      <c r="W14" s="252">
        <f>'2.22.23'!E18</f>
        <v>4161</v>
      </c>
      <c r="X14" s="252"/>
      <c r="Y14" s="252">
        <f>'2.24.23'!E27</f>
        <v>1434.5</v>
      </c>
      <c r="Z14" s="252"/>
      <c r="AA14" s="252">
        <f>'2.26.23'!E17</f>
        <v>4560</v>
      </c>
      <c r="AB14" s="252">
        <f>'2.27.23'!E8</f>
        <v>3800</v>
      </c>
      <c r="AC14" s="252"/>
      <c r="AD14" s="189">
        <f t="shared" si="0"/>
        <v>41971</v>
      </c>
      <c r="AE14" s="961">
        <f>100000-AD14</f>
        <v>58029</v>
      </c>
      <c r="AF14" s="194" t="str">
        <f t="shared" si="1"/>
        <v>Cerda Vega Tacos</v>
      </c>
      <c r="AH14" s="234">
        <f t="shared" si="3"/>
        <v>41971</v>
      </c>
      <c r="AL14" s="782">
        <v>103495</v>
      </c>
      <c r="AM14" s="234"/>
      <c r="AN14" s="979">
        <v>12</v>
      </c>
      <c r="AO14" s="981">
        <f t="shared" si="2"/>
        <v>4418</v>
      </c>
      <c r="AP14" s="977">
        <f t="shared" si="4"/>
        <v>41971</v>
      </c>
      <c r="AQ14" s="978" t="str">
        <f t="shared" si="5"/>
        <v>Cerda Vega Tacos</v>
      </c>
    </row>
    <row r="15" spans="1:43" ht="10.15" customHeight="1">
      <c r="A15" s="195" t="s">
        <v>235</v>
      </c>
      <c r="B15" s="589">
        <f>'2.01.23'!E28</f>
        <v>5120.5</v>
      </c>
      <c r="C15" s="589"/>
      <c r="D15" s="589"/>
      <c r="E15" s="589">
        <f>'2.04.23'!E28</f>
        <v>5614.5</v>
      </c>
      <c r="F15" s="589"/>
      <c r="G15" s="640">
        <f>'2.06.23'!E28</f>
        <v>5519.5</v>
      </c>
      <c r="H15" s="640"/>
      <c r="I15" s="640">
        <f>'2.08.23'!E28</f>
        <v>6203.5</v>
      </c>
      <c r="J15" s="640"/>
      <c r="K15" s="640"/>
      <c r="L15" s="640"/>
      <c r="M15" s="640"/>
      <c r="N15" s="702"/>
      <c r="O15" s="702">
        <f>'2.14.23'!E28</f>
        <v>3990</v>
      </c>
      <c r="P15" s="702"/>
      <c r="Q15" s="702"/>
      <c r="R15" s="702"/>
      <c r="S15" s="1166"/>
      <c r="T15" s="1166"/>
      <c r="U15" s="1196"/>
      <c r="V15" s="252">
        <f>'2.21.23'!E28</f>
        <v>4265.5</v>
      </c>
      <c r="W15" s="252"/>
      <c r="X15" s="252">
        <f>'2.23.23'!E28</f>
        <v>4598</v>
      </c>
      <c r="Y15" s="252"/>
      <c r="Z15" s="252"/>
      <c r="AA15" s="252">
        <f>'2.26.23'!E28</f>
        <v>5111</v>
      </c>
      <c r="AB15" s="252"/>
      <c r="AC15" s="252"/>
      <c r="AD15" s="189">
        <f t="shared" si="0"/>
        <v>40422.5</v>
      </c>
      <c r="AE15" s="961">
        <f>100000-AD15+350000</f>
        <v>409577.5</v>
      </c>
      <c r="AF15" s="194" t="str">
        <f t="shared" si="1"/>
        <v>Creamy Boys</v>
      </c>
      <c r="AH15" s="234">
        <f t="shared" si="3"/>
        <v>40422.5</v>
      </c>
      <c r="AL15" s="234">
        <v>292911</v>
      </c>
      <c r="AM15" s="234"/>
      <c r="AN15" s="979">
        <v>13</v>
      </c>
      <c r="AO15" s="981">
        <f t="shared" si="2"/>
        <v>4255</v>
      </c>
      <c r="AP15" s="977">
        <f t="shared" si="4"/>
        <v>40422.5</v>
      </c>
      <c r="AQ15" s="978" t="str">
        <f t="shared" si="5"/>
        <v>Creamy Boys</v>
      </c>
    </row>
    <row r="16" spans="1:43" ht="10.15" customHeight="1">
      <c r="A16" s="195" t="s">
        <v>188</v>
      </c>
      <c r="B16" s="252"/>
      <c r="C16" s="252"/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52"/>
      <c r="O16" s="252"/>
      <c r="P16" s="252"/>
      <c r="Q16" s="252"/>
      <c r="R16" s="252"/>
      <c r="S16" s="1166"/>
      <c r="T16" s="1166"/>
      <c r="U16" s="1196"/>
      <c r="V16" s="252"/>
      <c r="W16" s="252"/>
      <c r="X16" s="252"/>
      <c r="Y16" s="252"/>
      <c r="Z16" s="252"/>
      <c r="AA16" s="252"/>
      <c r="AB16" s="252"/>
      <c r="AC16" s="252"/>
      <c r="AD16" s="189">
        <f t="shared" si="0"/>
        <v>0</v>
      </c>
      <c r="AE16" s="961">
        <f>100000-AD16</f>
        <v>100000</v>
      </c>
      <c r="AF16" s="194" t="str">
        <f t="shared" si="1"/>
        <v>Deli Doctor</v>
      </c>
      <c r="AH16" s="234">
        <f t="shared" si="3"/>
        <v>0</v>
      </c>
      <c r="AL16" s="234">
        <v>51936.5</v>
      </c>
      <c r="AM16" s="234"/>
      <c r="AN16" s="979">
        <v>14</v>
      </c>
      <c r="AO16" s="981">
        <f t="shared" si="2"/>
        <v>0</v>
      </c>
      <c r="AP16" s="977">
        <f t="shared" si="4"/>
        <v>0</v>
      </c>
      <c r="AQ16" s="978" t="str">
        <f t="shared" si="5"/>
        <v>Deli Doctor</v>
      </c>
    </row>
    <row r="17" spans="1:43" ht="9.75" customHeight="1">
      <c r="A17" s="195" t="s">
        <v>243</v>
      </c>
      <c r="B17" s="589"/>
      <c r="C17" s="589">
        <f>'2.02.23'!E8</f>
        <v>6802</v>
      </c>
      <c r="D17" s="589">
        <f>'2.03.23'!E9</f>
        <v>5415</v>
      </c>
      <c r="E17" s="589"/>
      <c r="F17" s="589"/>
      <c r="G17" s="252"/>
      <c r="H17" s="252"/>
      <c r="I17" s="252"/>
      <c r="J17" s="252"/>
      <c r="K17" s="252"/>
      <c r="L17" s="252"/>
      <c r="M17" s="252"/>
      <c r="N17" s="252"/>
      <c r="O17" s="252"/>
      <c r="P17" s="252"/>
      <c r="Q17" s="252"/>
      <c r="R17" s="252"/>
      <c r="S17" s="1166"/>
      <c r="T17" s="1166"/>
      <c r="U17" s="1196"/>
      <c r="V17" s="252"/>
      <c r="W17" s="252"/>
      <c r="X17" s="252"/>
      <c r="Y17" s="252"/>
      <c r="Z17" s="252"/>
      <c r="AA17" s="252">
        <f>'2.26.23'!E9</f>
        <v>6175</v>
      </c>
      <c r="AB17" s="252"/>
      <c r="AC17" s="252"/>
      <c r="AD17" s="189">
        <f t="shared" si="0"/>
        <v>18392</v>
      </c>
      <c r="AE17" s="961">
        <f>100000-AD17+100000</f>
        <v>181608</v>
      </c>
      <c r="AF17" s="194" t="str">
        <f t="shared" si="1"/>
        <v>Dina's Dumpling</v>
      </c>
      <c r="AH17" s="234">
        <f t="shared" si="3"/>
        <v>18392</v>
      </c>
      <c r="AL17" s="234">
        <v>70634</v>
      </c>
      <c r="AM17" s="234"/>
      <c r="AN17" s="979">
        <v>15</v>
      </c>
      <c r="AO17" s="981">
        <f t="shared" si="2"/>
        <v>1936</v>
      </c>
      <c r="AP17" s="977">
        <f t="shared" si="4"/>
        <v>18392</v>
      </c>
      <c r="AQ17" s="978" t="str">
        <f t="shared" si="5"/>
        <v>Dina's Dumpling</v>
      </c>
    </row>
    <row r="18" spans="1:43" ht="10.15" customHeight="1">
      <c r="A18" s="195" t="s">
        <v>334</v>
      </c>
      <c r="B18" s="252"/>
      <c r="C18" s="252"/>
      <c r="D18" s="252"/>
      <c r="E18" s="252"/>
      <c r="F18" s="252"/>
      <c r="G18" s="640"/>
      <c r="H18" s="640"/>
      <c r="I18" s="640"/>
      <c r="J18" s="640"/>
      <c r="K18" s="640"/>
      <c r="L18" s="640">
        <f>'2.11.23'!E17</f>
        <v>3429.5</v>
      </c>
      <c r="M18" s="640">
        <f>'2.12.23'!E27</f>
        <v>4626.5</v>
      </c>
      <c r="N18" s="252"/>
      <c r="O18" s="252"/>
      <c r="P18" s="252"/>
      <c r="Q18" s="252"/>
      <c r="R18" s="252"/>
      <c r="S18" s="1166"/>
      <c r="T18" s="1166"/>
      <c r="U18" s="1196"/>
      <c r="V18" s="252"/>
      <c r="W18" s="252"/>
      <c r="X18" s="252"/>
      <c r="Y18" s="252"/>
      <c r="Z18" s="252"/>
      <c r="AA18" s="252"/>
      <c r="AB18" s="252"/>
      <c r="AC18" s="252"/>
      <c r="AD18" s="189">
        <f t="shared" si="0"/>
        <v>8056</v>
      </c>
      <c r="AE18" s="189">
        <v>99000</v>
      </c>
      <c r="AF18" s="194" t="str">
        <f t="shared" si="1"/>
        <v>Dulce Europa</v>
      </c>
      <c r="AH18" s="234">
        <f t="shared" si="3"/>
        <v>8056</v>
      </c>
      <c r="AL18" s="234"/>
      <c r="AM18" s="234"/>
      <c r="AN18" s="979">
        <v>16</v>
      </c>
      <c r="AO18" s="981">
        <f t="shared" si="2"/>
        <v>848</v>
      </c>
      <c r="AP18" s="977">
        <f t="shared" si="4"/>
        <v>8056</v>
      </c>
      <c r="AQ18" s="978" t="str">
        <f t="shared" si="5"/>
        <v>Dulce Europa</v>
      </c>
    </row>
    <row r="19" spans="1:43" ht="10.15" customHeight="1">
      <c r="A19" s="195" t="s">
        <v>63</v>
      </c>
      <c r="B19" s="589"/>
      <c r="C19" s="589"/>
      <c r="D19" s="589"/>
      <c r="E19" s="589"/>
      <c r="F19" s="589">
        <f>'2.05.23'!E18</f>
        <v>3781</v>
      </c>
      <c r="G19" s="640"/>
      <c r="H19" s="640">
        <f>'2.07.23'!E7</f>
        <v>3448.5</v>
      </c>
      <c r="I19" s="640">
        <f>'2.08.23'!E18</f>
        <v>4227.5</v>
      </c>
      <c r="J19" s="640"/>
      <c r="K19" s="640"/>
      <c r="L19" s="640"/>
      <c r="M19" s="640"/>
      <c r="N19" s="252"/>
      <c r="O19" s="252"/>
      <c r="P19" s="252"/>
      <c r="Q19" s="252"/>
      <c r="R19" s="252"/>
      <c r="S19" s="1166"/>
      <c r="T19" s="1166"/>
      <c r="U19" s="1196"/>
      <c r="V19" s="252">
        <f>'2.21.23'!E7</f>
        <v>3629</v>
      </c>
      <c r="W19" s="252"/>
      <c r="X19" s="252"/>
      <c r="Y19" s="252"/>
      <c r="Z19" s="252">
        <f>'2.25.23'!E27</f>
        <v>2926</v>
      </c>
      <c r="AA19" s="252"/>
      <c r="AB19" s="252"/>
      <c r="AC19" s="252"/>
      <c r="AD19" s="189">
        <f t="shared" si="0"/>
        <v>18012</v>
      </c>
      <c r="AE19" s="961">
        <f>449000-AD19+350000</f>
        <v>780988</v>
      </c>
      <c r="AF19" s="194" t="str">
        <f t="shared" si="1"/>
        <v>Flamin Hot Chicken</v>
      </c>
      <c r="AH19" s="234">
        <f t="shared" si="3"/>
        <v>18012</v>
      </c>
      <c r="AL19" s="234">
        <v>188115.5</v>
      </c>
      <c r="AM19" s="234"/>
      <c r="AN19" s="979">
        <v>17</v>
      </c>
      <c r="AO19" s="981">
        <f t="shared" si="2"/>
        <v>1896</v>
      </c>
      <c r="AP19" s="977">
        <f t="shared" si="4"/>
        <v>18012</v>
      </c>
      <c r="AQ19" s="978" t="str">
        <f t="shared" si="5"/>
        <v>Flamin Hot Chicken</v>
      </c>
    </row>
    <row r="20" spans="1:43" ht="10.15" customHeight="1">
      <c r="A20" s="195" t="s">
        <v>78</v>
      </c>
      <c r="B20" s="589">
        <f>'2.01.23'!E17</f>
        <v>4275</v>
      </c>
      <c r="C20" s="589"/>
      <c r="D20" s="589"/>
      <c r="E20" s="589"/>
      <c r="F20" s="589"/>
      <c r="G20" s="252"/>
      <c r="H20" s="252"/>
      <c r="I20" s="252"/>
      <c r="J20" s="252"/>
      <c r="K20" s="252"/>
      <c r="L20" s="252"/>
      <c r="M20" s="252"/>
      <c r="N20" s="702">
        <f>'2.13.23'!E8</f>
        <v>4427</v>
      </c>
      <c r="O20" s="702"/>
      <c r="P20" s="702"/>
      <c r="Q20" s="702"/>
      <c r="R20" s="702"/>
      <c r="S20" s="1166"/>
      <c r="T20" s="1166"/>
      <c r="U20" s="1196"/>
      <c r="V20" s="252"/>
      <c r="W20" s="252"/>
      <c r="X20" s="252">
        <f>'2.23.23'!E7</f>
        <v>4626.5</v>
      </c>
      <c r="Y20" s="252"/>
      <c r="Z20" s="252"/>
      <c r="AA20" s="252"/>
      <c r="AB20" s="252"/>
      <c r="AC20" s="252"/>
      <c r="AD20" s="189">
        <f t="shared" si="0"/>
        <v>13328.5</v>
      </c>
      <c r="AE20" s="961">
        <f>100000-AD20</f>
        <v>86671.5</v>
      </c>
      <c r="AF20" s="194" t="str">
        <f t="shared" si="1"/>
        <v>Flaming Grain</v>
      </c>
      <c r="AH20" s="234">
        <f t="shared" si="3"/>
        <v>13328.5</v>
      </c>
      <c r="AL20" s="234">
        <v>55223</v>
      </c>
      <c r="AM20" s="234"/>
      <c r="AN20" s="979">
        <v>18</v>
      </c>
      <c r="AO20" s="981">
        <f t="shared" si="2"/>
        <v>1403</v>
      </c>
      <c r="AP20" s="977">
        <f t="shared" si="4"/>
        <v>13328.5</v>
      </c>
      <c r="AQ20" s="978" t="str">
        <f t="shared" si="5"/>
        <v>Flaming Grain</v>
      </c>
    </row>
    <row r="21" spans="1:43" ht="10.15" customHeight="1">
      <c r="A21" s="195" t="s">
        <v>696</v>
      </c>
      <c r="B21" s="252"/>
      <c r="C21" s="252"/>
      <c r="D21" s="252"/>
      <c r="E21" s="252"/>
      <c r="F21" s="252"/>
      <c r="G21" s="640"/>
      <c r="H21" s="640"/>
      <c r="I21" s="640"/>
      <c r="J21" s="640"/>
      <c r="K21" s="640"/>
      <c r="L21" s="640">
        <f>'2.11.23'!E18</f>
        <v>3467.5</v>
      </c>
      <c r="M21" s="640"/>
      <c r="N21" s="702"/>
      <c r="O21" s="702"/>
      <c r="P21" s="702"/>
      <c r="Q21" s="702"/>
      <c r="R21" s="702">
        <f>'2.17.23'!E19</f>
        <v>1976</v>
      </c>
      <c r="S21" s="1166"/>
      <c r="T21" s="1166"/>
      <c r="U21" s="1196"/>
      <c r="V21" s="252">
        <f>'2.21.23'!E17</f>
        <v>3154</v>
      </c>
      <c r="W21" s="252"/>
      <c r="X21" s="252"/>
      <c r="Y21" s="252"/>
      <c r="Z21" s="252"/>
      <c r="AA21" s="252">
        <f>'2.26.23'!E18</f>
        <v>3999.5</v>
      </c>
      <c r="AB21" s="252"/>
      <c r="AC21" s="252"/>
      <c r="AD21" s="189">
        <f t="shared" si="0"/>
        <v>12597</v>
      </c>
      <c r="AE21" s="961">
        <f>100000-AD21</f>
        <v>87403</v>
      </c>
      <c r="AF21" s="194" t="str">
        <f t="shared" si="1"/>
        <v>Go Fusion</v>
      </c>
      <c r="AH21" s="234">
        <f t="shared" si="3"/>
        <v>12597</v>
      </c>
      <c r="AL21" s="234"/>
      <c r="AM21" s="234"/>
      <c r="AN21" s="979">
        <v>19</v>
      </c>
      <c r="AO21" s="981">
        <f t="shared" si="2"/>
        <v>1326</v>
      </c>
      <c r="AP21" s="977">
        <f t="shared" si="4"/>
        <v>12597</v>
      </c>
      <c r="AQ21" s="978" t="str">
        <f t="shared" si="5"/>
        <v>Go Fusion</v>
      </c>
    </row>
    <row r="22" spans="1:43" ht="10.15" customHeight="1">
      <c r="A22" s="195" t="s">
        <v>129</v>
      </c>
      <c r="B22" s="252"/>
      <c r="C22" s="252"/>
      <c r="D22" s="252"/>
      <c r="E22" s="252"/>
      <c r="F22" s="252"/>
      <c r="G22" s="252"/>
      <c r="H22" s="252"/>
      <c r="I22" s="252"/>
      <c r="J22" s="252"/>
      <c r="K22" s="252"/>
      <c r="L22" s="252"/>
      <c r="M22" s="252"/>
      <c r="N22" s="252"/>
      <c r="O22" s="252"/>
      <c r="P22" s="252"/>
      <c r="Q22" s="252"/>
      <c r="R22" s="252"/>
      <c r="S22" s="1166"/>
      <c r="T22" s="1166"/>
      <c r="U22" s="1196"/>
      <c r="V22" s="252"/>
      <c r="W22" s="252"/>
      <c r="X22" s="252"/>
      <c r="Y22" s="252"/>
      <c r="Z22" s="252"/>
      <c r="AA22" s="252"/>
      <c r="AB22" s="252"/>
      <c r="AC22" s="252"/>
      <c r="AD22" s="189">
        <f t="shared" si="0"/>
        <v>0</v>
      </c>
      <c r="AE22" s="961">
        <f>100000-AD22</f>
        <v>100000</v>
      </c>
      <c r="AF22" s="194" t="str">
        <f t="shared" si="1"/>
        <v>Good East and Vibes</v>
      </c>
      <c r="AH22" s="234">
        <f t="shared" si="3"/>
        <v>0</v>
      </c>
      <c r="AL22" s="234">
        <v>11600</v>
      </c>
      <c r="AM22" s="234"/>
      <c r="AN22" s="979">
        <v>20</v>
      </c>
      <c r="AO22" s="981">
        <f t="shared" si="2"/>
        <v>0</v>
      </c>
      <c r="AP22" s="977">
        <f t="shared" si="4"/>
        <v>0</v>
      </c>
      <c r="AQ22" s="978" t="str">
        <f t="shared" si="5"/>
        <v>Good East and Vibes</v>
      </c>
    </row>
    <row r="23" spans="1:43" ht="10.15" customHeight="1">
      <c r="A23" s="195" t="s">
        <v>238</v>
      </c>
      <c r="B23" s="252"/>
      <c r="C23" s="252"/>
      <c r="D23" s="252"/>
      <c r="E23" s="252"/>
      <c r="F23" s="252"/>
      <c r="G23" s="640"/>
      <c r="H23" s="640">
        <f>'2.07.23'!E17</f>
        <v>3306</v>
      </c>
      <c r="I23" s="640">
        <f>'2.08.23'!E7</f>
        <v>2935.5</v>
      </c>
      <c r="J23" s="640"/>
      <c r="K23" s="640"/>
      <c r="L23" s="640"/>
      <c r="M23" s="640"/>
      <c r="N23" s="702"/>
      <c r="O23" s="702"/>
      <c r="P23" s="702"/>
      <c r="Q23" s="702">
        <f>'2.16.23'!E27</f>
        <v>2441.5</v>
      </c>
      <c r="R23" s="702">
        <f>'2.17.23'!E29</f>
        <v>1282.5</v>
      </c>
      <c r="S23" s="1166"/>
      <c r="T23" s="1166"/>
      <c r="U23" s="1196"/>
      <c r="V23" s="252"/>
      <c r="W23" s="252"/>
      <c r="X23" s="252">
        <f>'2.23.23'!E29</f>
        <v>1928.5</v>
      </c>
      <c r="Y23" s="252">
        <f>'2.24.23'!E19</f>
        <v>1824</v>
      </c>
      <c r="Z23" s="252"/>
      <c r="AA23" s="252"/>
      <c r="AB23" s="252"/>
      <c r="AC23" s="252">
        <f>'2.28.23'!E8:E8</f>
        <v>3135</v>
      </c>
      <c r="AD23" s="189">
        <f t="shared" si="0"/>
        <v>16853</v>
      </c>
      <c r="AE23" s="961">
        <f>100000-AD23</f>
        <v>83147</v>
      </c>
      <c r="AF23" s="194" t="str">
        <f t="shared" si="1"/>
        <v>Habibi Shack</v>
      </c>
      <c r="AH23" s="234">
        <f t="shared" si="3"/>
        <v>16853</v>
      </c>
      <c r="AL23" s="234">
        <v>38069</v>
      </c>
      <c r="AM23" s="234"/>
      <c r="AN23" s="979">
        <v>21</v>
      </c>
      <c r="AO23" s="981">
        <f t="shared" si="2"/>
        <v>1774</v>
      </c>
      <c r="AP23" s="977">
        <f t="shared" si="4"/>
        <v>16853</v>
      </c>
      <c r="AQ23" s="978" t="str">
        <f t="shared" si="5"/>
        <v>Habibi Shack</v>
      </c>
    </row>
    <row r="24" spans="1:43" ht="10.15" customHeight="1">
      <c r="A24" s="195" t="s">
        <v>790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1166"/>
      <c r="T24" s="1166"/>
      <c r="U24" s="1196"/>
      <c r="V24" s="252"/>
      <c r="W24" s="252"/>
      <c r="X24" s="252"/>
      <c r="Y24" s="252"/>
      <c r="Z24" s="252"/>
      <c r="AA24" s="252"/>
      <c r="AB24" s="252"/>
      <c r="AC24" s="252"/>
      <c r="AD24" s="189">
        <f t="shared" si="0"/>
        <v>0</v>
      </c>
      <c r="AE24" s="189">
        <v>99000</v>
      </c>
      <c r="AF24" s="194" t="str">
        <f t="shared" si="1"/>
        <v>Heritage Kitchen</v>
      </c>
      <c r="AH24" s="234">
        <f t="shared" si="3"/>
        <v>0</v>
      </c>
      <c r="AL24" s="234"/>
      <c r="AM24" s="234"/>
      <c r="AN24" s="979">
        <v>22</v>
      </c>
      <c r="AO24" s="981">
        <f t="shared" si="2"/>
        <v>0</v>
      </c>
      <c r="AP24" s="977">
        <f t="shared" si="4"/>
        <v>0</v>
      </c>
      <c r="AQ24" s="978" t="str">
        <f t="shared" si="5"/>
        <v>Heritage Kitchen</v>
      </c>
    </row>
    <row r="25" spans="1:43" ht="10.15" customHeight="1">
      <c r="A25" s="195" t="s">
        <v>328</v>
      </c>
      <c r="B25" s="252"/>
      <c r="C25" s="252"/>
      <c r="D25" s="252"/>
      <c r="E25" s="252"/>
      <c r="F25" s="252"/>
      <c r="G25" s="252"/>
      <c r="H25" s="252"/>
      <c r="I25" s="252"/>
      <c r="J25" s="252"/>
      <c r="K25" s="252"/>
      <c r="L25" s="252"/>
      <c r="M25" s="252"/>
      <c r="N25" s="252"/>
      <c r="O25" s="252"/>
      <c r="P25" s="252"/>
      <c r="Q25" s="252"/>
      <c r="R25" s="252"/>
      <c r="S25" s="1166"/>
      <c r="T25" s="1166"/>
      <c r="U25" s="1196"/>
      <c r="V25" s="252"/>
      <c r="W25" s="252"/>
      <c r="X25" s="252"/>
      <c r="Y25" s="252"/>
      <c r="Z25" s="252"/>
      <c r="AA25" s="252"/>
      <c r="AB25" s="252"/>
      <c r="AC25" s="252"/>
      <c r="AD25" s="189">
        <f t="shared" si="0"/>
        <v>0</v>
      </c>
      <c r="AE25" s="189">
        <v>99000</v>
      </c>
      <c r="AF25" s="194" t="str">
        <f t="shared" si="1"/>
        <v>Heritage LA</v>
      </c>
      <c r="AH25" s="234">
        <f t="shared" si="3"/>
        <v>0</v>
      </c>
      <c r="AL25" s="234"/>
      <c r="AM25" s="234"/>
      <c r="AN25" s="979">
        <v>23</v>
      </c>
      <c r="AO25" s="981">
        <f t="shared" si="2"/>
        <v>0</v>
      </c>
      <c r="AP25" s="977">
        <f t="shared" si="4"/>
        <v>0</v>
      </c>
      <c r="AQ25" s="978" t="str">
        <f t="shared" si="5"/>
        <v>Heritage LA</v>
      </c>
    </row>
    <row r="26" spans="1:43" ht="10.15" customHeight="1">
      <c r="A26" s="195" t="s">
        <v>53</v>
      </c>
      <c r="B26" s="252"/>
      <c r="C26" s="252"/>
      <c r="D26" s="252"/>
      <c r="E26" s="252"/>
      <c r="F26" s="252"/>
      <c r="G26" s="252"/>
      <c r="H26" s="252"/>
      <c r="I26" s="252"/>
      <c r="J26" s="252"/>
      <c r="K26" s="252"/>
      <c r="L26" s="252"/>
      <c r="M26" s="252"/>
      <c r="N26" s="702"/>
      <c r="O26" s="702">
        <f>'2.14.23'!E19+'2.14.23'!E29</f>
        <v>4710</v>
      </c>
      <c r="P26" s="702"/>
      <c r="Q26" s="702"/>
      <c r="R26" s="702"/>
      <c r="S26" s="1166"/>
      <c r="T26" s="1166"/>
      <c r="U26" s="1196"/>
      <c r="V26" s="252"/>
      <c r="W26" s="252"/>
      <c r="X26" s="252"/>
      <c r="Y26" s="252"/>
      <c r="Z26" s="252"/>
      <c r="AA26" s="252"/>
      <c r="AB26" s="252"/>
      <c r="AC26" s="252"/>
      <c r="AD26" s="189">
        <f t="shared" si="0"/>
        <v>4710</v>
      </c>
      <c r="AE26" s="358">
        <f>350000-AD26+700000</f>
        <v>1045290</v>
      </c>
      <c r="AF26" s="194" t="str">
        <f t="shared" si="1"/>
        <v>Kogi</v>
      </c>
      <c r="AH26" s="234">
        <f t="shared" si="3"/>
        <v>4710</v>
      </c>
      <c r="AL26" s="234">
        <v>500</v>
      </c>
      <c r="AM26" s="234"/>
      <c r="AN26" s="979">
        <v>24</v>
      </c>
      <c r="AO26" s="981">
        <f t="shared" si="2"/>
        <v>495.78947368421052</v>
      </c>
      <c r="AP26" s="977">
        <f t="shared" si="4"/>
        <v>4710</v>
      </c>
      <c r="AQ26" s="978" t="str">
        <f t="shared" si="5"/>
        <v>Kogi</v>
      </c>
    </row>
    <row r="27" spans="1:43" ht="10.15" customHeight="1">
      <c r="A27" s="515" t="s">
        <v>267</v>
      </c>
      <c r="B27" s="589"/>
      <c r="C27" s="589"/>
      <c r="D27" s="589">
        <f>'2.03.23'!E19</f>
        <v>3809.5</v>
      </c>
      <c r="E27" s="589"/>
      <c r="F27" s="589">
        <f>'2.05.23'!E29</f>
        <v>4484</v>
      </c>
      <c r="G27" s="640">
        <f>'2.06.23'!E18</f>
        <v>4417.5</v>
      </c>
      <c r="H27" s="640"/>
      <c r="I27" s="640">
        <f>'2.08.23'!E29</f>
        <v>4683.5</v>
      </c>
      <c r="J27" s="640"/>
      <c r="K27" s="640"/>
      <c r="L27" s="640"/>
      <c r="M27" s="640">
        <f>'2.12.23'!E28</f>
        <v>2916.5</v>
      </c>
      <c r="N27" s="252"/>
      <c r="O27" s="252"/>
      <c r="P27" s="252"/>
      <c r="Q27" s="252"/>
      <c r="R27" s="252"/>
      <c r="S27" s="1166"/>
      <c r="T27" s="1166"/>
      <c r="U27" s="1196">
        <f>'2.20.23'!E29</f>
        <v>3486.5</v>
      </c>
      <c r="V27" s="252"/>
      <c r="W27" s="252"/>
      <c r="X27" s="252"/>
      <c r="Y27" s="252"/>
      <c r="Z27" s="252">
        <f>'2.25.23'!E19</f>
        <v>4484</v>
      </c>
      <c r="AA27" s="252"/>
      <c r="AB27" s="252">
        <f>'2.27.23'!E9</f>
        <v>3705</v>
      </c>
      <c r="AC27" s="252"/>
      <c r="AD27" s="189">
        <f t="shared" si="0"/>
        <v>31986.5</v>
      </c>
      <c r="AE27" s="961">
        <f>100000-AD27</f>
        <v>68013.5</v>
      </c>
      <c r="AF27" s="988" t="str">
        <f t="shared" si="1"/>
        <v>Love Greek Cuisine/Kalamaki Greek LA</v>
      </c>
      <c r="AH27" s="234">
        <f t="shared" si="3"/>
        <v>31986.5</v>
      </c>
      <c r="AL27" s="234">
        <v>362210.5</v>
      </c>
      <c r="AM27" s="234"/>
      <c r="AN27" s="979">
        <v>25</v>
      </c>
      <c r="AO27" s="981">
        <f t="shared" si="2"/>
        <v>3367</v>
      </c>
      <c r="AP27" s="977">
        <f t="shared" si="4"/>
        <v>31986.5</v>
      </c>
      <c r="AQ27" s="978" t="str">
        <f t="shared" si="5"/>
        <v>Love Greek Cuisine/Kalamaki Greek LA</v>
      </c>
    </row>
    <row r="28" spans="1:43" ht="10.15" customHeight="1">
      <c r="A28" s="195" t="s">
        <v>234</v>
      </c>
      <c r="B28" s="252"/>
      <c r="C28" s="252"/>
      <c r="D28" s="252"/>
      <c r="E28" s="252"/>
      <c r="F28" s="252"/>
      <c r="G28" s="252"/>
      <c r="H28" s="252"/>
      <c r="I28" s="252"/>
      <c r="J28" s="252"/>
      <c r="K28" s="252"/>
      <c r="L28" s="252"/>
      <c r="M28" s="252"/>
      <c r="N28" s="252"/>
      <c r="O28" s="252"/>
      <c r="P28" s="252"/>
      <c r="Q28" s="252"/>
      <c r="R28" s="252"/>
      <c r="S28" s="1166"/>
      <c r="T28" s="1166"/>
      <c r="U28" s="1196"/>
      <c r="V28" s="252"/>
      <c r="W28" s="252"/>
      <c r="X28" s="252"/>
      <c r="Y28" s="252"/>
      <c r="Z28" s="252"/>
      <c r="AA28" s="252"/>
      <c r="AB28" s="252"/>
      <c r="AC28" s="252"/>
      <c r="AD28" s="189">
        <f t="shared" si="0"/>
        <v>0</v>
      </c>
      <c r="AE28" s="961">
        <f>100000-AD28</f>
        <v>100000</v>
      </c>
      <c r="AF28" s="194" t="str">
        <f t="shared" si="1"/>
        <v>Manna From Heaven</v>
      </c>
      <c r="AH28" s="234">
        <f t="shared" si="3"/>
        <v>0</v>
      </c>
      <c r="AL28" s="234">
        <v>8000</v>
      </c>
      <c r="AM28" s="234"/>
      <c r="AN28" s="979">
        <v>26</v>
      </c>
      <c r="AO28" s="981">
        <f t="shared" si="2"/>
        <v>0</v>
      </c>
      <c r="AP28" s="977">
        <f t="shared" si="4"/>
        <v>0</v>
      </c>
      <c r="AQ28" s="978" t="str">
        <f t="shared" si="5"/>
        <v>Manna From Heaven</v>
      </c>
    </row>
    <row r="29" spans="1:43" ht="9.6" customHeight="1">
      <c r="A29" s="195" t="s">
        <v>265</v>
      </c>
      <c r="B29" s="252"/>
      <c r="C29" s="252"/>
      <c r="D29" s="252"/>
      <c r="E29" s="252"/>
      <c r="F29" s="252"/>
      <c r="G29" s="252"/>
      <c r="H29" s="252"/>
      <c r="I29" s="252"/>
      <c r="J29" s="252"/>
      <c r="K29" s="252"/>
      <c r="L29" s="252"/>
      <c r="M29" s="252"/>
      <c r="N29" s="252"/>
      <c r="O29" s="252"/>
      <c r="P29" s="252"/>
      <c r="Q29" s="252"/>
      <c r="R29" s="252"/>
      <c r="S29" s="1166"/>
      <c r="T29" s="1166"/>
      <c r="U29" s="1196"/>
      <c r="V29" s="252"/>
      <c r="W29" s="252"/>
      <c r="X29" s="252"/>
      <c r="Y29" s="252"/>
      <c r="Z29" s="252"/>
      <c r="AA29" s="252"/>
      <c r="AB29" s="252"/>
      <c r="AC29" s="252"/>
      <c r="AD29" s="189">
        <f t="shared" si="0"/>
        <v>0</v>
      </c>
      <c r="AE29" s="961">
        <f>100000-AD29</f>
        <v>100000</v>
      </c>
      <c r="AF29" s="194" t="str">
        <f t="shared" si="1"/>
        <v>Messi Burgers</v>
      </c>
      <c r="AH29" s="234">
        <f t="shared" si="3"/>
        <v>0</v>
      </c>
      <c r="AL29" s="234">
        <v>27987</v>
      </c>
      <c r="AM29" s="234"/>
      <c r="AN29" s="979">
        <v>27</v>
      </c>
      <c r="AO29" s="981">
        <f t="shared" si="2"/>
        <v>0</v>
      </c>
      <c r="AP29" s="977">
        <f t="shared" si="4"/>
        <v>0</v>
      </c>
      <c r="AQ29" s="978" t="str">
        <f t="shared" si="5"/>
        <v>Messi Burgers</v>
      </c>
    </row>
    <row r="30" spans="1:43" ht="9.6" customHeight="1">
      <c r="A30" s="195" t="s">
        <v>69</v>
      </c>
      <c r="B30" s="252"/>
      <c r="C30" s="252"/>
      <c r="D30" s="252"/>
      <c r="E30" s="252"/>
      <c r="F30" s="252"/>
      <c r="G30" s="252"/>
      <c r="H30" s="252"/>
      <c r="I30" s="252"/>
      <c r="J30" s="252"/>
      <c r="K30" s="252"/>
      <c r="L30" s="252"/>
      <c r="M30" s="252"/>
      <c r="N30" s="252"/>
      <c r="O30" s="252"/>
      <c r="P30" s="252"/>
      <c r="Q30" s="252"/>
      <c r="R30" s="252"/>
      <c r="S30" s="1166"/>
      <c r="T30" s="1166"/>
      <c r="U30" s="1196"/>
      <c r="V30" s="252"/>
      <c r="W30" s="252"/>
      <c r="X30" s="252"/>
      <c r="Y30" s="252"/>
      <c r="Z30" s="252"/>
      <c r="AA30" s="252"/>
      <c r="AB30" s="252"/>
      <c r="AC30" s="252"/>
      <c r="AD30" s="189">
        <f t="shared" si="0"/>
        <v>0</v>
      </c>
      <c r="AE30" s="961">
        <f>100000-AD30</f>
        <v>100000</v>
      </c>
      <c r="AF30" s="194" t="str">
        <f t="shared" si="1"/>
        <v>Mikhuna</v>
      </c>
      <c r="AH30" s="234">
        <f t="shared" si="3"/>
        <v>0</v>
      </c>
      <c r="AL30" s="234">
        <v>34678.5</v>
      </c>
      <c r="AM30" s="234"/>
      <c r="AN30" s="979">
        <v>28</v>
      </c>
      <c r="AO30" s="981">
        <f t="shared" si="2"/>
        <v>0</v>
      </c>
      <c r="AP30" s="977">
        <f t="shared" si="4"/>
        <v>0</v>
      </c>
      <c r="AQ30" s="978" t="str">
        <f t="shared" si="5"/>
        <v>Mikhuna</v>
      </c>
    </row>
    <row r="31" spans="1:43" ht="9.6" customHeight="1">
      <c r="A31" s="195" t="s">
        <v>76</v>
      </c>
      <c r="B31" s="252"/>
      <c r="C31" s="252"/>
      <c r="D31" s="252"/>
      <c r="E31" s="252"/>
      <c r="F31" s="252"/>
      <c r="G31" s="252"/>
      <c r="H31" s="252"/>
      <c r="I31" s="252"/>
      <c r="J31" s="252"/>
      <c r="K31" s="252"/>
      <c r="L31" s="252"/>
      <c r="M31" s="252"/>
      <c r="N31" s="252"/>
      <c r="O31" s="252"/>
      <c r="P31" s="252"/>
      <c r="Q31" s="252"/>
      <c r="R31" s="252"/>
      <c r="S31" s="1166"/>
      <c r="T31" s="1166"/>
      <c r="U31" s="1196"/>
      <c r="V31" s="252"/>
      <c r="W31" s="252"/>
      <c r="X31" s="252"/>
      <c r="Y31" s="252"/>
      <c r="Z31" s="252"/>
      <c r="AA31" s="252"/>
      <c r="AB31" s="252"/>
      <c r="AC31" s="252"/>
      <c r="AD31" s="189">
        <f t="shared" si="0"/>
        <v>0</v>
      </c>
      <c r="AE31" s="961">
        <f>449000-AD31+350000</f>
        <v>799000</v>
      </c>
      <c r="AF31" s="194" t="str">
        <f t="shared" si="1"/>
        <v>ML Eats Burger</v>
      </c>
      <c r="AH31" s="234">
        <f t="shared" si="3"/>
        <v>0</v>
      </c>
      <c r="AL31" s="234">
        <v>2774</v>
      </c>
      <c r="AM31" s="234"/>
      <c r="AN31" s="979">
        <v>29</v>
      </c>
      <c r="AO31" s="981">
        <f t="shared" si="2"/>
        <v>0</v>
      </c>
      <c r="AP31" s="977">
        <f t="shared" si="4"/>
        <v>0</v>
      </c>
      <c r="AQ31" s="978" t="str">
        <f t="shared" si="5"/>
        <v>ML Eats Burger</v>
      </c>
    </row>
    <row r="32" spans="1:43" ht="9.6" customHeight="1">
      <c r="A32" s="195" t="s">
        <v>335</v>
      </c>
      <c r="B32" s="252"/>
      <c r="C32" s="252"/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1166"/>
      <c r="T32" s="1166"/>
      <c r="U32" s="1196"/>
      <c r="V32" s="252"/>
      <c r="W32" s="252"/>
      <c r="X32" s="252"/>
      <c r="Y32" s="252"/>
      <c r="Z32" s="252"/>
      <c r="AA32" s="252"/>
      <c r="AB32" s="252"/>
      <c r="AC32" s="252"/>
      <c r="AD32" s="189">
        <f t="shared" si="0"/>
        <v>0</v>
      </c>
      <c r="AE32" s="189">
        <v>99000</v>
      </c>
      <c r="AF32" s="194" t="str">
        <f t="shared" si="1"/>
        <v>Mumu's</v>
      </c>
      <c r="AH32" s="234">
        <f t="shared" si="3"/>
        <v>0</v>
      </c>
      <c r="AL32" s="234"/>
      <c r="AM32" s="234"/>
      <c r="AN32" s="979">
        <v>30</v>
      </c>
      <c r="AO32" s="981">
        <f t="shared" si="2"/>
        <v>0</v>
      </c>
      <c r="AP32" s="977">
        <f t="shared" si="4"/>
        <v>0</v>
      </c>
      <c r="AQ32" s="978" t="str">
        <f t="shared" si="5"/>
        <v>Mumu's</v>
      </c>
    </row>
    <row r="33" spans="1:43" ht="10.15" customHeight="1">
      <c r="A33" s="195" t="s">
        <v>186</v>
      </c>
      <c r="B33" s="252"/>
      <c r="C33" s="252"/>
      <c r="D33" s="252"/>
      <c r="E33" s="252"/>
      <c r="F33" s="252"/>
      <c r="G33" s="252"/>
      <c r="H33" s="252"/>
      <c r="I33" s="252"/>
      <c r="J33" s="252"/>
      <c r="K33" s="252"/>
      <c r="L33" s="252"/>
      <c r="M33" s="252"/>
      <c r="N33" s="252"/>
      <c r="O33" s="252"/>
      <c r="P33" s="252"/>
      <c r="Q33" s="252"/>
      <c r="R33" s="252"/>
      <c r="S33" s="1166"/>
      <c r="T33" s="1166"/>
      <c r="U33" s="1196"/>
      <c r="V33" s="252"/>
      <c r="W33" s="252"/>
      <c r="X33" s="252"/>
      <c r="Y33" s="252"/>
      <c r="Z33" s="252"/>
      <c r="AA33" s="252"/>
      <c r="AB33" s="252"/>
      <c r="AC33" s="252"/>
      <c r="AD33" s="189">
        <f t="shared" si="0"/>
        <v>0</v>
      </c>
      <c r="AE33" s="961">
        <f>100000-AD33</f>
        <v>100000</v>
      </c>
      <c r="AF33" s="194" t="str">
        <f t="shared" si="1"/>
        <v>Ohana Hibachi</v>
      </c>
      <c r="AH33" s="234">
        <f t="shared" si="3"/>
        <v>0</v>
      </c>
      <c r="AL33" s="234">
        <v>29265</v>
      </c>
      <c r="AM33" s="234"/>
      <c r="AN33" s="979">
        <v>31</v>
      </c>
      <c r="AO33" s="981">
        <f t="shared" si="2"/>
        <v>0</v>
      </c>
      <c r="AP33" s="977">
        <f t="shared" si="4"/>
        <v>0</v>
      </c>
      <c r="AQ33" s="978" t="str">
        <f t="shared" si="5"/>
        <v>Ohana Hibachi</v>
      </c>
    </row>
    <row r="34" spans="1:43" ht="10.15" customHeight="1">
      <c r="A34" s="195" t="s">
        <v>44</v>
      </c>
      <c r="B34" s="589">
        <f>'2.01.23'!E27</f>
        <v>2840.5</v>
      </c>
      <c r="C34" s="589"/>
      <c r="D34" s="589"/>
      <c r="E34" s="589"/>
      <c r="F34" s="589"/>
      <c r="G34" s="640"/>
      <c r="H34" s="640"/>
      <c r="I34" s="640"/>
      <c r="J34" s="640">
        <f>'2.09.23'!E27</f>
        <v>3173</v>
      </c>
      <c r="K34" s="640"/>
      <c r="L34" s="640"/>
      <c r="M34" s="640"/>
      <c r="N34" s="702"/>
      <c r="O34" s="702"/>
      <c r="P34" s="702">
        <f>'2.15.23'!E9</f>
        <v>2489</v>
      </c>
      <c r="Q34" s="702"/>
      <c r="R34" s="702"/>
      <c r="S34" s="1166"/>
      <c r="T34" s="1166"/>
      <c r="U34" s="1196"/>
      <c r="V34" s="252"/>
      <c r="W34" s="252"/>
      <c r="X34" s="252"/>
      <c r="Y34" s="252">
        <f>'2.24.23'!E9</f>
        <v>2384.5</v>
      </c>
      <c r="Z34" s="252"/>
      <c r="AA34" s="252">
        <f>'2.26.23'!E27</f>
        <v>2593.5</v>
      </c>
      <c r="AB34" s="252"/>
      <c r="AC34" s="252"/>
      <c r="AD34" s="189">
        <f t="shared" si="0"/>
        <v>13480.5</v>
      </c>
      <c r="AE34" s="961">
        <f>100000-AD34</f>
        <v>86519.5</v>
      </c>
      <c r="AF34" s="194" t="str">
        <f t="shared" si="1"/>
        <v>Original Herbivore</v>
      </c>
      <c r="AH34" s="234">
        <f t="shared" si="3"/>
        <v>13480.5</v>
      </c>
      <c r="AL34" s="234">
        <v>96200</v>
      </c>
      <c r="AM34" s="234"/>
      <c r="AN34" s="979">
        <v>32</v>
      </c>
      <c r="AO34" s="981">
        <f t="shared" si="2"/>
        <v>1419</v>
      </c>
      <c r="AP34" s="977">
        <f t="shared" si="4"/>
        <v>13480.5</v>
      </c>
      <c r="AQ34" s="978" t="str">
        <f t="shared" si="5"/>
        <v>Original Herbivore</v>
      </c>
    </row>
    <row r="35" spans="1:43" ht="10.15" customHeight="1">
      <c r="A35" s="195" t="s">
        <v>143</v>
      </c>
      <c r="B35" s="252"/>
      <c r="C35" s="252"/>
      <c r="D35" s="252"/>
      <c r="E35" s="252"/>
      <c r="F35" s="252"/>
      <c r="G35" s="252"/>
      <c r="H35" s="252"/>
      <c r="I35" s="252"/>
      <c r="J35" s="252"/>
      <c r="K35" s="252"/>
      <c r="L35" s="252"/>
      <c r="M35" s="252"/>
      <c r="N35" s="252"/>
      <c r="O35" s="252"/>
      <c r="P35" s="252"/>
      <c r="Q35" s="252"/>
      <c r="R35" s="252"/>
      <c r="S35" s="1166"/>
      <c r="T35" s="1166"/>
      <c r="U35" s="1196"/>
      <c r="V35" s="252"/>
      <c r="W35" s="252"/>
      <c r="X35" s="252"/>
      <c r="Y35" s="252"/>
      <c r="Z35" s="252"/>
      <c r="AA35" s="252"/>
      <c r="AB35" s="252"/>
      <c r="AC35" s="252"/>
      <c r="AD35" s="189">
        <f t="shared" si="0"/>
        <v>0</v>
      </c>
      <c r="AE35" s="961">
        <f>100000-AD35+350000+350000</f>
        <v>800000</v>
      </c>
      <c r="AF35" s="194" t="str">
        <f t="shared" ref="AF35:AF60" si="6">A35</f>
        <v>Pacifico Charbroiled</v>
      </c>
      <c r="AH35" s="234">
        <f t="shared" si="3"/>
        <v>0</v>
      </c>
      <c r="AL35" s="234">
        <v>23730</v>
      </c>
      <c r="AM35" s="234"/>
      <c r="AN35" s="979">
        <v>33</v>
      </c>
      <c r="AO35" s="981">
        <f t="shared" si="2"/>
        <v>0</v>
      </c>
      <c r="AP35" s="977">
        <f t="shared" si="4"/>
        <v>0</v>
      </c>
      <c r="AQ35" s="978" t="str">
        <f t="shared" si="5"/>
        <v>Pacifico Charbroiled</v>
      </c>
    </row>
    <row r="36" spans="1:43" ht="10.15" customHeight="1">
      <c r="A36" s="515" t="s">
        <v>242</v>
      </c>
      <c r="B36" s="589"/>
      <c r="C36" s="589"/>
      <c r="D36" s="589"/>
      <c r="E36" s="589"/>
      <c r="F36" s="589"/>
      <c r="G36" s="640"/>
      <c r="H36" s="640"/>
      <c r="I36" s="640"/>
      <c r="J36" s="640"/>
      <c r="K36" s="640">
        <f>'2.10.23'!E28</f>
        <v>5035</v>
      </c>
      <c r="L36" s="640">
        <f>'2.11.23'!E28</f>
        <v>4854.5</v>
      </c>
      <c r="M36" s="640"/>
      <c r="N36" s="702"/>
      <c r="O36" s="702"/>
      <c r="P36" s="702"/>
      <c r="Q36" s="702"/>
      <c r="R36" s="702">
        <f>'2.17.23'!E27</f>
        <v>3686</v>
      </c>
      <c r="S36" s="1166"/>
      <c r="T36" s="1166"/>
      <c r="U36" s="1196"/>
      <c r="V36" s="252"/>
      <c r="W36" s="252">
        <f>'2.22.23'!E28</f>
        <v>4446</v>
      </c>
      <c r="X36" s="252"/>
      <c r="Y36" s="252"/>
      <c r="Z36" s="252"/>
      <c r="AA36" s="252"/>
      <c r="AB36" s="252"/>
      <c r="AC36" s="252">
        <f>'2.28.23'!E28</f>
        <v>3600.5</v>
      </c>
      <c r="AD36" s="189">
        <f t="shared" si="0"/>
        <v>21622</v>
      </c>
      <c r="AE36" s="961">
        <f>100000-AD36+350000+350000</f>
        <v>778378</v>
      </c>
      <c r="AF36" s="988" t="str">
        <f t="shared" si="6"/>
        <v>Paradise Cookies &amp; Ice Cream</v>
      </c>
      <c r="AH36" s="234">
        <f t="shared" si="3"/>
        <v>21622</v>
      </c>
      <c r="AL36" s="234">
        <v>122348</v>
      </c>
      <c r="AM36" s="234"/>
      <c r="AN36" s="979">
        <v>34</v>
      </c>
      <c r="AO36" s="981">
        <f t="shared" si="2"/>
        <v>2276</v>
      </c>
      <c r="AP36" s="977">
        <f t="shared" si="4"/>
        <v>21622</v>
      </c>
      <c r="AQ36" s="978" t="str">
        <f t="shared" si="5"/>
        <v>Paradise Cookies &amp; Ice Cream</v>
      </c>
    </row>
    <row r="37" spans="1:43" ht="10.15" customHeight="1">
      <c r="A37" s="195" t="s">
        <v>246</v>
      </c>
      <c r="B37" s="589"/>
      <c r="C37" s="589"/>
      <c r="D37" s="589">
        <f>'2.03.23'!E17+'2.03.23'!E27</f>
        <v>9367</v>
      </c>
      <c r="E37" s="589">
        <f>'2.04.23'!E19</f>
        <v>3676.5</v>
      </c>
      <c r="F37" s="589"/>
      <c r="G37" s="640"/>
      <c r="H37" s="640"/>
      <c r="I37" s="640">
        <f>'2.08.23'!E17+'2.08.23'!E27</f>
        <v>12568.5</v>
      </c>
      <c r="J37" s="640">
        <f>'2.09.23'!E7</f>
        <v>4645.5</v>
      </c>
      <c r="K37" s="640"/>
      <c r="L37" s="640"/>
      <c r="M37" s="640"/>
      <c r="N37" s="702"/>
      <c r="O37" s="702"/>
      <c r="P37" s="702">
        <f>'2.15.23'!E7 + '2.15.23'!E17</f>
        <v>12122</v>
      </c>
      <c r="Q37" s="702"/>
      <c r="R37" s="702">
        <f>'2.17.23'!E17</f>
        <v>5624</v>
      </c>
      <c r="S37" s="1166"/>
      <c r="T37" s="1166"/>
      <c r="U37" s="1196"/>
      <c r="V37" s="252">
        <f>'2.21.23'!E18</f>
        <v>7267.5</v>
      </c>
      <c r="W37" s="252"/>
      <c r="X37" s="252"/>
      <c r="Y37" s="252"/>
      <c r="Z37" s="252">
        <f>'2.25.23'!E29</f>
        <v>3961.5</v>
      </c>
      <c r="AA37" s="252"/>
      <c r="AB37" s="252">
        <f>'2.27.23'!E17</f>
        <v>7277</v>
      </c>
      <c r="AC37" s="252"/>
      <c r="AD37" s="189">
        <f t="shared" si="0"/>
        <v>66509.5</v>
      </c>
      <c r="AE37" s="961">
        <f>100000-AD37+350000</f>
        <v>383490.5</v>
      </c>
      <c r="AF37" s="194" t="str">
        <f t="shared" si="6"/>
        <v>Perro 1-10 Tacos</v>
      </c>
      <c r="AH37" s="234">
        <f t="shared" si="3"/>
        <v>66509.5</v>
      </c>
      <c r="AL37" s="234">
        <v>197247.5</v>
      </c>
      <c r="AM37" s="234"/>
      <c r="AN37" s="979">
        <v>35</v>
      </c>
      <c r="AO37" s="981">
        <f t="shared" si="2"/>
        <v>7001</v>
      </c>
      <c r="AP37" s="977">
        <f t="shared" si="4"/>
        <v>66509.5</v>
      </c>
      <c r="AQ37" s="978" t="str">
        <f t="shared" si="5"/>
        <v>Perro 1-10 Tacos</v>
      </c>
    </row>
    <row r="38" spans="1:43" ht="10.15" customHeight="1">
      <c r="A38" s="195" t="s">
        <v>66</v>
      </c>
      <c r="B38" s="589"/>
      <c r="C38" s="589">
        <f>'2.02.23'!E27</f>
        <v>3543.5</v>
      </c>
      <c r="D38" s="589">
        <f>'2.03.23'!E29</f>
        <v>2954.5</v>
      </c>
      <c r="E38" s="589">
        <f>'2.04.23'!E29</f>
        <v>3828.5</v>
      </c>
      <c r="F38" s="589"/>
      <c r="G38" s="640">
        <f>'2.06.23'!E8</f>
        <v>4294</v>
      </c>
      <c r="H38" s="640"/>
      <c r="I38" s="640"/>
      <c r="J38" s="640">
        <f>'2.09.23'!E9</f>
        <v>3496</v>
      </c>
      <c r="K38" s="640"/>
      <c r="L38" s="640"/>
      <c r="M38" s="640"/>
      <c r="N38" s="702"/>
      <c r="O38" s="702">
        <f>'2.14.23'!E8</f>
        <v>3467.5</v>
      </c>
      <c r="P38" s="702">
        <f>'2.15.23'!E18</f>
        <v>2926</v>
      </c>
      <c r="Q38" s="702"/>
      <c r="R38" s="702"/>
      <c r="S38" s="1166"/>
      <c r="T38" s="1166"/>
      <c r="U38" s="1196"/>
      <c r="V38" s="252"/>
      <c r="W38" s="252"/>
      <c r="X38" s="252"/>
      <c r="Y38" s="252"/>
      <c r="Z38" s="252"/>
      <c r="AA38" s="252"/>
      <c r="AB38" s="252"/>
      <c r="AC38" s="252"/>
      <c r="AD38" s="189">
        <f t="shared" si="0"/>
        <v>24510</v>
      </c>
      <c r="AE38" s="961">
        <f>100000-AD38+350000</f>
        <v>425490</v>
      </c>
      <c r="AF38" s="194" t="str">
        <f t="shared" si="6"/>
        <v>PhillyJay's Steaks</v>
      </c>
      <c r="AH38" s="234">
        <f t="shared" si="3"/>
        <v>24510</v>
      </c>
      <c r="AL38" s="234">
        <v>192935</v>
      </c>
      <c r="AM38" s="234"/>
      <c r="AN38" s="979">
        <v>36</v>
      </c>
      <c r="AO38" s="981">
        <f t="shared" si="2"/>
        <v>2580</v>
      </c>
      <c r="AP38" s="977">
        <f t="shared" si="4"/>
        <v>24510</v>
      </c>
      <c r="AQ38" s="978" t="str">
        <f t="shared" si="5"/>
        <v>PhillyJay's Steaks</v>
      </c>
    </row>
    <row r="39" spans="1:43" ht="10.15" customHeight="1">
      <c r="A39" s="196" t="s">
        <v>65</v>
      </c>
      <c r="B39" s="589">
        <f>'2.01.23'!E7</f>
        <v>4379.5</v>
      </c>
      <c r="C39" s="589">
        <f>'2.02.23'!E29</f>
        <v>4341.5</v>
      </c>
      <c r="D39" s="589"/>
      <c r="E39" s="589"/>
      <c r="F39" s="589"/>
      <c r="G39" s="640"/>
      <c r="H39" s="640">
        <f>'2.07.23'!E29</f>
        <v>4275</v>
      </c>
      <c r="I39" s="640"/>
      <c r="J39" s="640">
        <f>'2.09.23'!E19</f>
        <v>3439</v>
      </c>
      <c r="K39" s="640">
        <f>'2.10.23'!E9</f>
        <v>3287</v>
      </c>
      <c r="L39" s="640"/>
      <c r="M39" s="640">
        <f>'2.12.23'!E9</f>
        <v>4892.5</v>
      </c>
      <c r="N39" s="702"/>
      <c r="O39" s="702"/>
      <c r="P39" s="702">
        <f>'2.15.23'!E19</f>
        <v>4351</v>
      </c>
      <c r="Q39" s="702"/>
      <c r="R39" s="702">
        <f>'2.17.23'!E28</f>
        <v>1928.5</v>
      </c>
      <c r="S39" s="1166"/>
      <c r="T39" s="1166"/>
      <c r="U39" s="1196">
        <f>'2.20.23'!E17</f>
        <v>5054</v>
      </c>
      <c r="V39" s="252"/>
      <c r="W39" s="252">
        <f>'2.22.23'!E19+'2.22.23'!E27</f>
        <v>5624</v>
      </c>
      <c r="X39" s="252">
        <f>'2.23.23'!E9</f>
        <v>3857</v>
      </c>
      <c r="Y39" s="252"/>
      <c r="Z39" s="252"/>
      <c r="AA39" s="252"/>
      <c r="AB39" s="252"/>
      <c r="AC39" s="252">
        <f>'2.28.23'!E7</f>
        <v>4142</v>
      </c>
      <c r="AD39" s="189">
        <f t="shared" si="0"/>
        <v>49571</v>
      </c>
      <c r="AE39" s="961">
        <f>449000-AD39+350000</f>
        <v>749429</v>
      </c>
      <c r="AF39" s="194" t="str">
        <f t="shared" si="6"/>
        <v>Pinch of Flavor</v>
      </c>
      <c r="AH39" s="234">
        <f t="shared" si="3"/>
        <v>49571</v>
      </c>
      <c r="AL39" s="234">
        <v>6760</v>
      </c>
      <c r="AM39" s="234"/>
      <c r="AN39" s="979">
        <v>37</v>
      </c>
      <c r="AO39" s="981">
        <f t="shared" si="2"/>
        <v>5218</v>
      </c>
      <c r="AP39" s="977">
        <f t="shared" si="4"/>
        <v>49571</v>
      </c>
      <c r="AQ39" s="978" t="str">
        <f t="shared" si="5"/>
        <v>Pinch of Flavor</v>
      </c>
    </row>
    <row r="40" spans="1:43" ht="10.15" customHeight="1">
      <c r="A40" s="195" t="s">
        <v>82</v>
      </c>
      <c r="B40" s="589">
        <f>'2.01.23'!E9</f>
        <v>3467.5</v>
      </c>
      <c r="C40" s="589"/>
      <c r="D40" s="589"/>
      <c r="E40" s="589"/>
      <c r="F40" s="589"/>
      <c r="G40" s="640"/>
      <c r="H40" s="640">
        <f>'2.07.23'!E27</f>
        <v>4180</v>
      </c>
      <c r="I40" s="640">
        <f>'2.08.23'!E8</f>
        <v>3325</v>
      </c>
      <c r="J40" s="640"/>
      <c r="K40" s="640"/>
      <c r="L40" s="640"/>
      <c r="M40" s="640"/>
      <c r="N40" s="702">
        <f>'2.13.23'!E18</f>
        <v>3420</v>
      </c>
      <c r="O40" s="702"/>
      <c r="P40" s="702"/>
      <c r="Q40" s="702"/>
      <c r="R40" s="702"/>
      <c r="S40" s="1166"/>
      <c r="T40" s="1166"/>
      <c r="U40" s="1196"/>
      <c r="V40" s="252"/>
      <c r="W40" s="252"/>
      <c r="X40" s="252"/>
      <c r="Y40" s="252">
        <f>'2.24.23'!E17</f>
        <v>2584</v>
      </c>
      <c r="Z40" s="252"/>
      <c r="AA40" s="252"/>
      <c r="AB40" s="252">
        <f>'2.27.23'!E27</f>
        <v>2821.5</v>
      </c>
      <c r="AC40" s="252">
        <f>'2.28.23'!E17</f>
        <v>3657.5</v>
      </c>
      <c r="AD40" s="189">
        <f t="shared" si="0"/>
        <v>23455.5</v>
      </c>
      <c r="AE40" s="961">
        <f>100000-AD40+350000</f>
        <v>426544.5</v>
      </c>
      <c r="AF40" s="194" t="str">
        <f t="shared" si="6"/>
        <v>Poutine Brothers</v>
      </c>
      <c r="AH40" s="234">
        <f t="shared" si="3"/>
        <v>23455.5</v>
      </c>
      <c r="AL40" s="782">
        <v>127767.5</v>
      </c>
      <c r="AM40" s="234"/>
      <c r="AN40" s="979">
        <v>38</v>
      </c>
      <c r="AO40" s="981">
        <f t="shared" si="2"/>
        <v>2469</v>
      </c>
      <c r="AP40" s="977">
        <f t="shared" si="4"/>
        <v>23455.5</v>
      </c>
      <c r="AQ40" s="978" t="str">
        <f t="shared" si="5"/>
        <v>Poutine Brothers</v>
      </c>
    </row>
    <row r="41" spans="1:43" ht="10.15" customHeight="1">
      <c r="A41" s="195" t="s">
        <v>825</v>
      </c>
      <c r="B41" s="252"/>
      <c r="C41" s="252"/>
      <c r="D41" s="252"/>
      <c r="E41" s="252"/>
      <c r="F41" s="252"/>
      <c r="G41" s="252"/>
      <c r="H41" s="252"/>
      <c r="I41" s="252"/>
      <c r="J41" s="252"/>
      <c r="K41" s="252"/>
      <c r="L41" s="252"/>
      <c r="M41" s="252"/>
      <c r="N41" s="252"/>
      <c r="O41" s="252"/>
      <c r="P41" s="252"/>
      <c r="Q41" s="252"/>
      <c r="R41" s="252"/>
      <c r="S41" s="1166"/>
      <c r="T41" s="1166"/>
      <c r="U41" s="1196"/>
      <c r="V41" s="252"/>
      <c r="W41" s="252"/>
      <c r="X41" s="252"/>
      <c r="Y41" s="252"/>
      <c r="Z41" s="252"/>
      <c r="AA41" s="252"/>
      <c r="AB41" s="252"/>
      <c r="AC41" s="252"/>
      <c r="AD41" s="189">
        <f t="shared" si="0"/>
        <v>0</v>
      </c>
      <c r="AE41" s="961"/>
      <c r="AF41" s="194" t="str">
        <f t="shared" si="6"/>
        <v>Rice Balls Inc.</v>
      </c>
      <c r="AH41" s="234">
        <f t="shared" si="3"/>
        <v>0</v>
      </c>
      <c r="AL41" s="782"/>
      <c r="AM41" s="234"/>
      <c r="AN41" s="979"/>
      <c r="AO41" s="981"/>
      <c r="AP41" s="977">
        <f t="shared" si="4"/>
        <v>0</v>
      </c>
      <c r="AQ41" s="978" t="str">
        <f t="shared" si="5"/>
        <v>Rice Balls Inc.</v>
      </c>
    </row>
    <row r="42" spans="1:43" ht="10.15" customHeight="1">
      <c r="A42" s="195" t="s">
        <v>329</v>
      </c>
      <c r="B42" s="589"/>
      <c r="C42" s="589">
        <f>'2.02.23'!E19</f>
        <v>7638</v>
      </c>
      <c r="D42" s="589"/>
      <c r="E42" s="589">
        <f>'2.04.23'!E7</f>
        <v>8683</v>
      </c>
      <c r="F42" s="589">
        <f>'2.05.23'!E9</f>
        <v>7476.5</v>
      </c>
      <c r="G42" s="640">
        <f>'2.06.23'!E7</f>
        <v>7581</v>
      </c>
      <c r="H42" s="640"/>
      <c r="I42" s="640"/>
      <c r="J42" s="640"/>
      <c r="K42" s="640"/>
      <c r="L42" s="640">
        <f>'2.11.23'!E8</f>
        <v>7980</v>
      </c>
      <c r="M42" s="640">
        <f>'2.12.23'!E8</f>
        <v>7486</v>
      </c>
      <c r="N42" s="702">
        <f>'2.13.23'!E7</f>
        <v>7182</v>
      </c>
      <c r="O42" s="702"/>
      <c r="P42" s="702"/>
      <c r="Q42" s="702"/>
      <c r="R42" s="702">
        <f>'2.17.23'!E8</f>
        <v>7495.5</v>
      </c>
      <c r="S42" s="1166"/>
      <c r="T42" s="1166"/>
      <c r="U42" s="1196"/>
      <c r="V42" s="252">
        <f>'2.21.23'!E8</f>
        <v>7381.5</v>
      </c>
      <c r="W42" s="252"/>
      <c r="X42" s="252">
        <f>'2.23.23'!E8</f>
        <v>7001.5</v>
      </c>
      <c r="Y42" s="252"/>
      <c r="Z42" s="252">
        <f>'2.25.23'!E9</f>
        <v>7058.5</v>
      </c>
      <c r="AA42" s="252">
        <f>'2.26.23'!E7</f>
        <v>8474</v>
      </c>
      <c r="AB42" s="252">
        <f>'2.27.23'!E7</f>
        <v>6450.5</v>
      </c>
      <c r="AC42" s="252"/>
      <c r="AD42" s="189">
        <f t="shared" si="0"/>
        <v>97888</v>
      </c>
      <c r="AE42" s="961">
        <f>100000-AD42</f>
        <v>2112</v>
      </c>
      <c r="AF42" s="194" t="str">
        <f t="shared" si="6"/>
        <v>Salpicon</v>
      </c>
      <c r="AH42" s="234">
        <f t="shared" si="3"/>
        <v>97888</v>
      </c>
      <c r="AL42" s="782"/>
      <c r="AM42" s="234"/>
      <c r="AN42" s="979">
        <v>39</v>
      </c>
      <c r="AO42" s="981">
        <f t="shared" ref="AO42:AO47" si="7">AP42/9.5</f>
        <v>10304</v>
      </c>
      <c r="AP42" s="977">
        <f t="shared" si="4"/>
        <v>97888</v>
      </c>
      <c r="AQ42" s="978" t="str">
        <f t="shared" si="5"/>
        <v>Salpicon</v>
      </c>
    </row>
    <row r="43" spans="1:43" ht="10.15" customHeight="1">
      <c r="A43" s="195" t="s">
        <v>83</v>
      </c>
      <c r="B43" s="589"/>
      <c r="C43" s="589"/>
      <c r="D43" s="589"/>
      <c r="E43" s="589"/>
      <c r="F43" s="589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2"/>
      <c r="S43" s="1166"/>
      <c r="T43" s="1166"/>
      <c r="U43" s="1196"/>
      <c r="V43" s="252"/>
      <c r="W43" s="252"/>
      <c r="X43" s="252"/>
      <c r="Y43" s="252"/>
      <c r="Z43" s="252"/>
      <c r="AA43" s="252"/>
      <c r="AB43" s="252"/>
      <c r="AC43" s="252"/>
      <c r="AD43" s="189">
        <f t="shared" si="0"/>
        <v>0</v>
      </c>
      <c r="AE43" s="961">
        <f>100000-AD43</f>
        <v>100000</v>
      </c>
      <c r="AF43" s="194" t="str">
        <f t="shared" si="6"/>
        <v>Salvage Tacos</v>
      </c>
      <c r="AH43" s="234">
        <f t="shared" si="3"/>
        <v>0</v>
      </c>
      <c r="AL43" s="782">
        <v>111263</v>
      </c>
      <c r="AM43" s="234"/>
      <c r="AN43" s="979">
        <v>40</v>
      </c>
      <c r="AO43" s="981">
        <f t="shared" si="7"/>
        <v>0</v>
      </c>
      <c r="AP43" s="977">
        <f t="shared" si="4"/>
        <v>0</v>
      </c>
      <c r="AQ43" s="978" t="str">
        <f t="shared" si="5"/>
        <v>Salvage Tacos</v>
      </c>
    </row>
    <row r="44" spans="1:43" ht="10.15" customHeight="1">
      <c r="A44" s="195" t="s">
        <v>332</v>
      </c>
      <c r="B44" s="589"/>
      <c r="C44" s="589">
        <f>'2.02.23'!E17</f>
        <v>6308</v>
      </c>
      <c r="D44" s="589">
        <f>'2.03.23'!E8</f>
        <v>5567</v>
      </c>
      <c r="E44" s="589"/>
      <c r="F44" s="589"/>
      <c r="G44" s="640"/>
      <c r="H44" s="640"/>
      <c r="I44" s="640"/>
      <c r="J44" s="640"/>
      <c r="K44" s="640">
        <f>'2.10.23'!E17+'2.10.23'!E27</f>
        <v>10602</v>
      </c>
      <c r="L44" s="640"/>
      <c r="M44" s="640"/>
      <c r="N44" s="702"/>
      <c r="O44" s="702"/>
      <c r="P44" s="702">
        <f>'2.15.23'!E29</f>
        <v>4626.5</v>
      </c>
      <c r="Q44" s="702">
        <f>'2.16.23'!E19 + '2.16.23'!E29</f>
        <v>10203</v>
      </c>
      <c r="R44" s="702"/>
      <c r="S44" s="1166"/>
      <c r="T44" s="1166"/>
      <c r="U44" s="1196"/>
      <c r="V44" s="252"/>
      <c r="W44" s="252"/>
      <c r="X44" s="252"/>
      <c r="Y44" s="252">
        <f>'2.24.23'!E7+'2.24.23'!E18</f>
        <v>8977.5</v>
      </c>
      <c r="Z44" s="252"/>
      <c r="AA44" s="252"/>
      <c r="AB44" s="252">
        <f>'2.27.23'!E29+'2.27.23'!E19</f>
        <v>11115</v>
      </c>
      <c r="AC44" s="252"/>
      <c r="AD44" s="189">
        <f t="shared" si="0"/>
        <v>57399</v>
      </c>
      <c r="AE44" s="961">
        <f>100000-AD44</f>
        <v>42601</v>
      </c>
      <c r="AF44" s="194" t="str">
        <f t="shared" si="6"/>
        <v>Smile Hot Dog</v>
      </c>
      <c r="AH44" s="234">
        <f t="shared" si="3"/>
        <v>57399</v>
      </c>
      <c r="AL44" s="782"/>
      <c r="AM44" s="234"/>
      <c r="AN44" s="979">
        <v>41</v>
      </c>
      <c r="AO44" s="981">
        <f t="shared" si="7"/>
        <v>6042</v>
      </c>
      <c r="AP44" s="977">
        <f t="shared" si="4"/>
        <v>57399</v>
      </c>
      <c r="AQ44" s="978" t="str">
        <f t="shared" si="5"/>
        <v>Smile Hot Dog</v>
      </c>
    </row>
    <row r="45" spans="1:43" ht="10.15" customHeight="1">
      <c r="A45" s="195" t="s">
        <v>159</v>
      </c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1166"/>
      <c r="T45" s="1166"/>
      <c r="U45" s="1196"/>
      <c r="V45" s="252"/>
      <c r="W45" s="252"/>
      <c r="X45" s="252"/>
      <c r="Y45" s="252"/>
      <c r="Z45" s="252"/>
      <c r="AA45" s="252"/>
      <c r="AB45" s="252"/>
      <c r="AC45" s="252"/>
      <c r="AD45" s="189">
        <f t="shared" si="0"/>
        <v>0</v>
      </c>
      <c r="AE45" s="961">
        <f>100000-AD45</f>
        <v>100000</v>
      </c>
      <c r="AF45" s="194" t="str">
        <f t="shared" si="6"/>
        <v>Something Good LA</v>
      </c>
      <c r="AH45" s="234">
        <f t="shared" si="3"/>
        <v>0</v>
      </c>
      <c r="AL45" s="234">
        <v>341055.5</v>
      </c>
      <c r="AM45" s="234"/>
      <c r="AN45" s="979">
        <v>42</v>
      </c>
      <c r="AO45" s="981">
        <f t="shared" si="7"/>
        <v>0</v>
      </c>
      <c r="AP45" s="977">
        <f t="shared" si="4"/>
        <v>0</v>
      </c>
      <c r="AQ45" s="978" t="str">
        <f t="shared" si="5"/>
        <v>Something Good LA</v>
      </c>
    </row>
    <row r="46" spans="1:43" ht="10.15" customHeight="1">
      <c r="A46" s="195" t="s">
        <v>145</v>
      </c>
      <c r="B46" s="589"/>
      <c r="C46" s="589">
        <f>'2.02.23'!E9</f>
        <v>3068.5</v>
      </c>
      <c r="D46" s="589"/>
      <c r="E46" s="589">
        <f>'2.04.23'!E17</f>
        <v>3334.5</v>
      </c>
      <c r="F46" s="589"/>
      <c r="G46" s="640"/>
      <c r="H46" s="640"/>
      <c r="I46" s="640"/>
      <c r="J46" s="640"/>
      <c r="K46" s="640"/>
      <c r="L46" s="640">
        <f>'2.11.23'!E29</f>
        <v>3876</v>
      </c>
      <c r="M46" s="640">
        <f>'2.12.23'!E18</f>
        <v>5500.5</v>
      </c>
      <c r="N46" s="702"/>
      <c r="O46" s="702"/>
      <c r="P46" s="702"/>
      <c r="Q46" s="702"/>
      <c r="R46" s="702">
        <f>'2.17.23'!E9</f>
        <v>3496</v>
      </c>
      <c r="S46" s="1166"/>
      <c r="T46" s="1166"/>
      <c r="U46" s="1196"/>
      <c r="V46" s="252"/>
      <c r="W46" s="252">
        <f>'2.22.23'!E17</f>
        <v>4332</v>
      </c>
      <c r="X46" s="252"/>
      <c r="Y46" s="252"/>
      <c r="Z46" s="252">
        <f>'2.25.23'!E7</f>
        <v>5272.5</v>
      </c>
      <c r="AA46" s="252">
        <f>'2.26.23'!E19</f>
        <v>5006.5</v>
      </c>
      <c r="AB46" s="252"/>
      <c r="AC46" s="252"/>
      <c r="AD46" s="189">
        <f t="shared" si="0"/>
        <v>33886.5</v>
      </c>
      <c r="AE46" s="961">
        <f>100000-AD46+449000</f>
        <v>515113.5</v>
      </c>
      <c r="AF46" s="194" t="str">
        <f t="shared" si="6"/>
        <v>Stop Bye Café</v>
      </c>
      <c r="AH46" s="234">
        <f t="shared" si="3"/>
        <v>33886.5</v>
      </c>
      <c r="AL46" s="234">
        <v>162662.5</v>
      </c>
      <c r="AM46" s="234"/>
      <c r="AN46" s="979">
        <v>43</v>
      </c>
      <c r="AO46" s="981">
        <f t="shared" si="7"/>
        <v>3567</v>
      </c>
      <c r="AP46" s="977">
        <f t="shared" si="4"/>
        <v>33886.5</v>
      </c>
      <c r="AQ46" s="978" t="str">
        <f t="shared" si="5"/>
        <v>Stop Bye Café</v>
      </c>
    </row>
    <row r="47" spans="1:43" ht="10.15" customHeight="1">
      <c r="A47" s="195" t="s">
        <v>84</v>
      </c>
      <c r="B47" s="252"/>
      <c r="C47" s="252"/>
      <c r="D47" s="252"/>
      <c r="E47" s="252"/>
      <c r="F47" s="252"/>
      <c r="G47" s="252"/>
      <c r="H47" s="252"/>
      <c r="I47" s="252"/>
      <c r="J47" s="252"/>
      <c r="K47" s="252"/>
      <c r="L47" s="252"/>
      <c r="M47" s="252"/>
      <c r="N47" s="252"/>
      <c r="O47" s="252"/>
      <c r="P47" s="252"/>
      <c r="Q47" s="252"/>
      <c r="R47" s="252"/>
      <c r="S47" s="1166"/>
      <c r="T47" s="1166"/>
      <c r="U47" s="1196"/>
      <c r="V47" s="252"/>
      <c r="W47" s="252"/>
      <c r="X47" s="252"/>
      <c r="Y47" s="252"/>
      <c r="Z47" s="252"/>
      <c r="AA47" s="252"/>
      <c r="AB47" s="252"/>
      <c r="AC47" s="252"/>
      <c r="AD47" s="189">
        <f t="shared" si="0"/>
        <v>0</v>
      </c>
      <c r="AE47" s="961">
        <f>100000-AD47+350000</f>
        <v>450000</v>
      </c>
      <c r="AF47" s="194" t="str">
        <f t="shared" si="6"/>
        <v>Stout Burgers</v>
      </c>
      <c r="AH47" s="234">
        <f t="shared" si="3"/>
        <v>0</v>
      </c>
      <c r="AL47" s="234">
        <v>52046</v>
      </c>
      <c r="AM47" s="234"/>
      <c r="AN47" s="979">
        <v>44</v>
      </c>
      <c r="AO47" s="981">
        <f t="shared" si="7"/>
        <v>0</v>
      </c>
      <c r="AP47" s="977">
        <f t="shared" si="4"/>
        <v>0</v>
      </c>
      <c r="AQ47" s="978" t="str">
        <f t="shared" si="5"/>
        <v>Stout Burgers</v>
      </c>
    </row>
    <row r="48" spans="1:43" ht="10.15" customHeight="1">
      <c r="A48" s="195" t="s">
        <v>802</v>
      </c>
      <c r="B48" s="252"/>
      <c r="C48" s="252"/>
      <c r="D48" s="252"/>
      <c r="E48" s="252"/>
      <c r="F48" s="252"/>
      <c r="G48" s="640">
        <f>'2.06.23'!E17</f>
        <v>4940</v>
      </c>
      <c r="H48" s="640"/>
      <c r="I48" s="640"/>
      <c r="J48" s="640"/>
      <c r="K48" s="640">
        <f>'2.10.23'!E29</f>
        <v>4797.5</v>
      </c>
      <c r="L48" s="640"/>
      <c r="M48" s="640"/>
      <c r="N48" s="702"/>
      <c r="O48" s="702">
        <f>'2.14.23'!E9</f>
        <v>5386.5</v>
      </c>
      <c r="P48" s="702"/>
      <c r="Q48" s="702"/>
      <c r="R48" s="702"/>
      <c r="S48" s="1166"/>
      <c r="T48" s="1166"/>
      <c r="U48" s="1196"/>
      <c r="V48" s="252"/>
      <c r="W48" s="252">
        <f>'2.22.23'!E8</f>
        <v>5738</v>
      </c>
      <c r="X48" s="252"/>
      <c r="Y48" s="252"/>
      <c r="Z48" s="252"/>
      <c r="AA48" s="252"/>
      <c r="AB48" s="252"/>
      <c r="AC48" s="252"/>
      <c r="AD48" s="189">
        <f t="shared" si="0"/>
        <v>20862</v>
      </c>
      <c r="AE48" s="961">
        <f>100000-AD48+350000</f>
        <v>429138</v>
      </c>
      <c r="AF48" s="194" t="str">
        <f t="shared" si="6"/>
        <v>Sugo Italiano</v>
      </c>
      <c r="AH48" s="234">
        <f t="shared" si="3"/>
        <v>20862</v>
      </c>
      <c r="AL48" s="234">
        <v>52046</v>
      </c>
      <c r="AM48" s="234"/>
      <c r="AN48" s="979"/>
      <c r="AO48" s="981"/>
      <c r="AP48" s="977">
        <f t="shared" si="4"/>
        <v>20862</v>
      </c>
      <c r="AQ48" s="978" t="str">
        <f t="shared" si="5"/>
        <v>Sugo Italiano</v>
      </c>
    </row>
    <row r="49" spans="1:43" ht="10.15" customHeight="1">
      <c r="A49" s="195" t="s">
        <v>333</v>
      </c>
      <c r="B49" s="589"/>
      <c r="C49" s="589"/>
      <c r="D49" s="589"/>
      <c r="E49" s="589">
        <f>'2.04.23'!E9</f>
        <v>3182.5</v>
      </c>
      <c r="F49" s="589">
        <f>'2.05.23'!E7</f>
        <v>3030.5</v>
      </c>
      <c r="G49" s="640"/>
      <c r="H49" s="640"/>
      <c r="I49" s="640"/>
      <c r="J49" s="640"/>
      <c r="K49" s="640"/>
      <c r="L49" s="640"/>
      <c r="M49" s="640">
        <f>'2.12.23'!E7</f>
        <v>3990</v>
      </c>
      <c r="N49" s="252"/>
      <c r="O49" s="252"/>
      <c r="P49" s="252"/>
      <c r="Q49" s="252"/>
      <c r="R49" s="252"/>
      <c r="S49" s="1166"/>
      <c r="T49" s="1166"/>
      <c r="U49" s="1196"/>
      <c r="V49" s="252"/>
      <c r="W49" s="252"/>
      <c r="X49" s="252"/>
      <c r="Y49" s="252"/>
      <c r="Z49" s="252">
        <f>'2.25.23'!E28</f>
        <v>3268</v>
      </c>
      <c r="AA49" s="252"/>
      <c r="AB49" s="252"/>
      <c r="AC49" s="252"/>
      <c r="AD49" s="189">
        <f t="shared" si="0"/>
        <v>13471</v>
      </c>
      <c r="AE49" s="189">
        <v>99000</v>
      </c>
      <c r="AF49" s="194" t="str">
        <f t="shared" si="6"/>
        <v>Sweets on Wheels</v>
      </c>
      <c r="AH49" s="234">
        <f t="shared" si="3"/>
        <v>13471</v>
      </c>
      <c r="AL49" s="234">
        <v>52046</v>
      </c>
      <c r="AM49" s="234"/>
      <c r="AN49" s="979">
        <v>45</v>
      </c>
      <c r="AO49" s="981">
        <f t="shared" ref="AO49:AO63" si="8">AP49/9.5</f>
        <v>1418</v>
      </c>
      <c r="AP49" s="977">
        <f t="shared" si="4"/>
        <v>13471</v>
      </c>
      <c r="AQ49" s="978" t="str">
        <f t="shared" si="5"/>
        <v>Sweets on Wheels</v>
      </c>
    </row>
    <row r="50" spans="1:43" ht="9" customHeight="1">
      <c r="A50" s="195" t="s">
        <v>58</v>
      </c>
      <c r="B50" s="252"/>
      <c r="C50" s="252"/>
      <c r="D50" s="252"/>
      <c r="E50" s="252"/>
      <c r="F50" s="252"/>
      <c r="G50" s="252"/>
      <c r="H50" s="252"/>
      <c r="I50" s="252"/>
      <c r="J50" s="252"/>
      <c r="K50" s="252"/>
      <c r="L50" s="252"/>
      <c r="M50" s="252"/>
      <c r="N50" s="252"/>
      <c r="O50" s="252"/>
      <c r="P50" s="252"/>
      <c r="Q50" s="252"/>
      <c r="R50" s="252"/>
      <c r="S50" s="1166"/>
      <c r="T50" s="1166"/>
      <c r="U50" s="1196"/>
      <c r="V50" s="252"/>
      <c r="W50" s="252"/>
      <c r="X50" s="252"/>
      <c r="Y50" s="252"/>
      <c r="Z50" s="252"/>
      <c r="AA50" s="252"/>
      <c r="AB50" s="252"/>
      <c r="AC50" s="252"/>
      <c r="AD50" s="189">
        <f t="shared" si="0"/>
        <v>0</v>
      </c>
      <c r="AE50" s="961">
        <f>100000-AD50</f>
        <v>100000</v>
      </c>
      <c r="AF50" s="194" t="str">
        <f t="shared" si="6"/>
        <v>Taste Collective Burger</v>
      </c>
      <c r="AH50" s="234">
        <f t="shared" si="3"/>
        <v>0</v>
      </c>
      <c r="AL50" s="234">
        <v>50667</v>
      </c>
      <c r="AM50" s="234"/>
      <c r="AN50" s="979">
        <v>46</v>
      </c>
      <c r="AO50" s="981">
        <f t="shared" si="8"/>
        <v>0</v>
      </c>
      <c r="AP50" s="977">
        <f t="shared" si="4"/>
        <v>0</v>
      </c>
      <c r="AQ50" s="978" t="str">
        <f t="shared" si="5"/>
        <v>Taste Collective Burger</v>
      </c>
    </row>
    <row r="51" spans="1:43" ht="10.15" customHeight="1">
      <c r="A51" s="195" t="s">
        <v>728</v>
      </c>
      <c r="B51" s="589"/>
      <c r="C51" s="589"/>
      <c r="D51" s="589"/>
      <c r="E51" s="589">
        <f>'2.04.23'!E27</f>
        <v>2375</v>
      </c>
      <c r="F51" s="589"/>
      <c r="G51" s="640"/>
      <c r="H51" s="640"/>
      <c r="I51" s="640"/>
      <c r="J51" s="640">
        <f>'2.09.23'!E18</f>
        <v>2023.5</v>
      </c>
      <c r="K51" s="640"/>
      <c r="L51" s="640"/>
      <c r="M51" s="640"/>
      <c r="N51" s="702"/>
      <c r="O51" s="702"/>
      <c r="P51" s="702"/>
      <c r="Q51" s="702">
        <f>'2.16.23'!E17</f>
        <v>2242</v>
      </c>
      <c r="R51" s="702"/>
      <c r="S51" s="1166"/>
      <c r="T51" s="1166"/>
      <c r="U51" s="1196">
        <f>'2.20.23'!E19</f>
        <v>2888</v>
      </c>
      <c r="V51" s="252"/>
      <c r="W51" s="252"/>
      <c r="X51" s="252"/>
      <c r="Y51" s="252"/>
      <c r="Z51" s="252"/>
      <c r="AA51" s="252"/>
      <c r="AB51" s="252"/>
      <c r="AC51" s="252"/>
      <c r="AD51" s="189">
        <f t="shared" si="0"/>
        <v>9528.5</v>
      </c>
      <c r="AE51" s="961">
        <f>100000-AD51</f>
        <v>90471.5</v>
      </c>
      <c r="AF51" s="194" t="str">
        <f t="shared" si="6"/>
        <v>Thai Mex Cocina</v>
      </c>
      <c r="AH51" s="234">
        <f t="shared" si="3"/>
        <v>9528.5</v>
      </c>
      <c r="AL51" s="234">
        <v>50667</v>
      </c>
      <c r="AM51" s="234"/>
      <c r="AN51" s="979">
        <v>47</v>
      </c>
      <c r="AO51" s="981">
        <f t="shared" si="8"/>
        <v>1003</v>
      </c>
      <c r="AP51" s="977">
        <f t="shared" si="4"/>
        <v>9528.5</v>
      </c>
      <c r="AQ51" s="978" t="str">
        <f t="shared" si="5"/>
        <v>Thai Mex Cocina</v>
      </c>
    </row>
    <row r="52" spans="1:43" ht="10.15" customHeight="1">
      <c r="A52" s="195" t="s">
        <v>45</v>
      </c>
      <c r="B52" s="589"/>
      <c r="C52" s="589"/>
      <c r="D52" s="589"/>
      <c r="E52" s="589"/>
      <c r="F52" s="589"/>
      <c r="G52" s="640">
        <f>'2.06.23'!E27</f>
        <v>4189.5</v>
      </c>
      <c r="H52" s="640"/>
      <c r="I52" s="640"/>
      <c r="J52" s="640">
        <f>'2.09.23'!E8</f>
        <v>4256</v>
      </c>
      <c r="K52" s="640"/>
      <c r="L52" s="640"/>
      <c r="M52" s="640"/>
      <c r="N52" s="252"/>
      <c r="O52" s="252"/>
      <c r="P52" s="252"/>
      <c r="Q52" s="252"/>
      <c r="R52" s="252"/>
      <c r="S52" s="1166"/>
      <c r="T52" s="1166"/>
      <c r="U52" s="1196"/>
      <c r="V52" s="252"/>
      <c r="W52" s="252"/>
      <c r="X52" s="252">
        <f>'2.23.23'!E17+'2.23.23'!E27</f>
        <v>6498</v>
      </c>
      <c r="Y52" s="252"/>
      <c r="Z52" s="252"/>
      <c r="AA52" s="252"/>
      <c r="AB52" s="252"/>
      <c r="AC52" s="252"/>
      <c r="AD52" s="189">
        <f t="shared" si="0"/>
        <v>14943.5</v>
      </c>
      <c r="AE52" s="961">
        <f>100000-AD52+350000</f>
        <v>435056.5</v>
      </c>
      <c r="AF52" s="194" t="str">
        <f t="shared" si="6"/>
        <v>Tokyo Style</v>
      </c>
      <c r="AH52" s="234">
        <f t="shared" si="3"/>
        <v>14943.5</v>
      </c>
      <c r="AL52" s="234">
        <v>168025.5</v>
      </c>
      <c r="AM52" s="234"/>
      <c r="AN52" s="979">
        <v>48</v>
      </c>
      <c r="AO52" s="981">
        <f t="shared" si="8"/>
        <v>1573</v>
      </c>
      <c r="AP52" s="977">
        <f t="shared" si="4"/>
        <v>14943.5</v>
      </c>
      <c r="AQ52" s="978" t="str">
        <f t="shared" si="5"/>
        <v>Tokyo Style</v>
      </c>
    </row>
    <row r="53" spans="1:43" ht="10.15" customHeight="1">
      <c r="A53" s="195" t="s">
        <v>172</v>
      </c>
      <c r="B53" s="252"/>
      <c r="C53" s="252"/>
      <c r="D53" s="252"/>
      <c r="E53" s="252"/>
      <c r="F53" s="252"/>
      <c r="G53" s="252"/>
      <c r="H53" s="252"/>
      <c r="I53" s="252"/>
      <c r="J53" s="252"/>
      <c r="K53" s="252"/>
      <c r="L53" s="252"/>
      <c r="M53" s="252"/>
      <c r="N53" s="252"/>
      <c r="O53" s="252"/>
      <c r="P53" s="252"/>
      <c r="Q53" s="252"/>
      <c r="R53" s="252"/>
      <c r="S53" s="1166"/>
      <c r="T53" s="1166"/>
      <c r="U53" s="1196"/>
      <c r="V53" s="252"/>
      <c r="W53" s="252"/>
      <c r="X53" s="252"/>
      <c r="Y53" s="252"/>
      <c r="Z53" s="252"/>
      <c r="AA53" s="252"/>
      <c r="AB53" s="252"/>
      <c r="AC53" s="252"/>
      <c r="AD53" s="189">
        <f t="shared" si="0"/>
        <v>0</v>
      </c>
      <c r="AE53" s="961">
        <f>100000-AD53</f>
        <v>100000</v>
      </c>
      <c r="AF53" s="194" t="str">
        <f t="shared" si="6"/>
        <v>Trapiyaki</v>
      </c>
      <c r="AH53" s="234">
        <f t="shared" si="3"/>
        <v>0</v>
      </c>
      <c r="AL53" s="234">
        <v>21920</v>
      </c>
      <c r="AM53" s="234"/>
      <c r="AN53" s="979">
        <v>49</v>
      </c>
      <c r="AO53" s="981">
        <f t="shared" si="8"/>
        <v>0</v>
      </c>
      <c r="AP53" s="977">
        <f t="shared" si="4"/>
        <v>0</v>
      </c>
      <c r="AQ53" s="978" t="str">
        <f t="shared" si="5"/>
        <v>Trapiyaki</v>
      </c>
    </row>
    <row r="54" spans="1:43" ht="10.15" customHeight="1">
      <c r="A54" s="195" t="s">
        <v>144</v>
      </c>
      <c r="B54" s="589"/>
      <c r="C54" s="589"/>
      <c r="D54" s="589">
        <f>'2.03.23'!E7</f>
        <v>2527</v>
      </c>
      <c r="E54" s="589"/>
      <c r="F54" s="589"/>
      <c r="G54" s="252"/>
      <c r="H54" s="252"/>
      <c r="I54" s="252"/>
      <c r="J54" s="252"/>
      <c r="K54" s="252"/>
      <c r="L54" s="252"/>
      <c r="M54" s="252"/>
      <c r="N54" s="702">
        <f>'2.13.23'!E29</f>
        <v>2156.5</v>
      </c>
      <c r="O54" s="702"/>
      <c r="P54" s="702"/>
      <c r="Q54" s="702">
        <f>'2.16.23'!E7</f>
        <v>2517.5</v>
      </c>
      <c r="R54" s="702"/>
      <c r="S54" s="1166"/>
      <c r="T54" s="1166"/>
      <c r="U54" s="1196"/>
      <c r="V54" s="252"/>
      <c r="W54" s="252">
        <f>'2.22.23'!E9</f>
        <v>2356</v>
      </c>
      <c r="X54" s="252"/>
      <c r="Y54" s="252"/>
      <c r="Z54" s="252"/>
      <c r="AA54" s="252"/>
      <c r="AB54" s="252"/>
      <c r="AC54" s="252">
        <f>'2.28.23'!E9</f>
        <v>2536.5</v>
      </c>
      <c r="AD54" s="189">
        <f t="shared" si="0"/>
        <v>12093.5</v>
      </c>
      <c r="AE54" s="961">
        <f>100000-AD54</f>
        <v>87906.5</v>
      </c>
      <c r="AF54" s="194" t="str">
        <f t="shared" si="6"/>
        <v>Uncle Al's BBQ</v>
      </c>
      <c r="AH54" s="234">
        <f t="shared" si="3"/>
        <v>12093.5</v>
      </c>
      <c r="AL54" s="234">
        <v>5830</v>
      </c>
      <c r="AM54" s="234"/>
      <c r="AN54" s="979">
        <v>50</v>
      </c>
      <c r="AO54" s="981">
        <f t="shared" si="8"/>
        <v>1273</v>
      </c>
      <c r="AP54" s="977">
        <f t="shared" si="4"/>
        <v>12093.5</v>
      </c>
      <c r="AQ54" s="978" t="str">
        <f t="shared" si="5"/>
        <v>Uncle Al's BBQ</v>
      </c>
    </row>
    <row r="55" spans="1:43" ht="10.15" customHeight="1">
      <c r="A55" s="195" t="s">
        <v>240</v>
      </c>
      <c r="B55" s="252"/>
      <c r="C55" s="252"/>
      <c r="D55" s="252"/>
      <c r="E55" s="252"/>
      <c r="F55" s="252"/>
      <c r="G55" s="252"/>
      <c r="H55" s="252"/>
      <c r="I55" s="252"/>
      <c r="J55" s="252"/>
      <c r="K55" s="252"/>
      <c r="L55" s="252"/>
      <c r="M55" s="252"/>
      <c r="N55" s="252"/>
      <c r="O55" s="252"/>
      <c r="P55" s="252"/>
      <c r="Q55" s="252"/>
      <c r="R55" s="252"/>
      <c r="S55" s="1166"/>
      <c r="T55" s="1166"/>
      <c r="U55" s="1196"/>
      <c r="V55" s="252"/>
      <c r="W55" s="252"/>
      <c r="X55" s="252"/>
      <c r="Y55" s="252"/>
      <c r="Z55" s="252"/>
      <c r="AA55" s="252"/>
      <c r="AB55" s="252"/>
      <c r="AC55" s="252"/>
      <c r="AD55" s="189">
        <f t="shared" si="0"/>
        <v>0</v>
      </c>
      <c r="AE55" s="961">
        <f>100000-AD55</f>
        <v>100000</v>
      </c>
      <c r="AF55" s="194" t="str">
        <f t="shared" si="6"/>
        <v>Veggie Bomb</v>
      </c>
      <c r="AH55" s="234">
        <f t="shared" si="3"/>
        <v>0</v>
      </c>
      <c r="AL55" s="234">
        <v>228015.5</v>
      </c>
      <c r="AM55" s="234"/>
      <c r="AN55" s="979">
        <v>51</v>
      </c>
      <c r="AO55" s="981">
        <f t="shared" si="8"/>
        <v>0</v>
      </c>
      <c r="AP55" s="977">
        <f t="shared" si="4"/>
        <v>0</v>
      </c>
      <c r="AQ55" s="978" t="str">
        <f t="shared" si="5"/>
        <v>Veggie Bomb</v>
      </c>
    </row>
    <row r="56" spans="1:43" ht="10.15" customHeight="1">
      <c r="A56" s="195" t="s">
        <v>797</v>
      </c>
      <c r="B56" s="589"/>
      <c r="C56" s="589"/>
      <c r="D56" s="589"/>
      <c r="E56" s="589"/>
      <c r="F56" s="589">
        <f>'2.05.23'!E28</f>
        <v>3277.5</v>
      </c>
      <c r="G56" s="252"/>
      <c r="H56" s="252"/>
      <c r="I56" s="252"/>
      <c r="J56" s="252"/>
      <c r="K56" s="252"/>
      <c r="L56" s="252"/>
      <c r="M56" s="252"/>
      <c r="N56" s="702"/>
      <c r="O56" s="702"/>
      <c r="P56" s="702"/>
      <c r="Q56" s="702">
        <f>'2.16.23'!E28</f>
        <v>1776.5</v>
      </c>
      <c r="R56" s="702"/>
      <c r="S56" s="1166"/>
      <c r="T56" s="1166"/>
      <c r="U56" s="1196"/>
      <c r="V56" s="252"/>
      <c r="W56" s="252"/>
      <c r="X56" s="252"/>
      <c r="Y56" s="252"/>
      <c r="Z56" s="252"/>
      <c r="AA56" s="252"/>
      <c r="AB56" s="252">
        <f>'2.27.23'!E28</f>
        <v>1814.5</v>
      </c>
      <c r="AC56" s="252"/>
      <c r="AD56" s="189">
        <f t="shared" si="0"/>
        <v>6868.5</v>
      </c>
      <c r="AE56" s="961">
        <f>100000-AD56</f>
        <v>93131.5</v>
      </c>
      <c r="AF56" s="194" t="str">
        <f t="shared" si="6"/>
        <v>Venice Gelato Café</v>
      </c>
      <c r="AH56" s="234">
        <f t="shared" si="3"/>
        <v>6868.5</v>
      </c>
      <c r="AL56" s="234">
        <v>75970</v>
      </c>
      <c r="AM56" s="234"/>
      <c r="AN56" s="979">
        <v>52</v>
      </c>
      <c r="AO56" s="981">
        <f t="shared" si="8"/>
        <v>723</v>
      </c>
      <c r="AP56" s="977">
        <f t="shared" si="4"/>
        <v>6868.5</v>
      </c>
      <c r="AQ56" s="978" t="str">
        <f t="shared" si="5"/>
        <v>Venice Gelato Café</v>
      </c>
    </row>
    <row r="57" spans="1:43" ht="10.15" customHeight="1">
      <c r="A57" s="195" t="s">
        <v>70</v>
      </c>
      <c r="B57" s="589">
        <f>'2.01.23'!E29</f>
        <v>6241.5</v>
      </c>
      <c r="C57" s="589"/>
      <c r="D57" s="589"/>
      <c r="E57" s="589">
        <f>'2.04.23'!E8</f>
        <v>5044.5</v>
      </c>
      <c r="F57" s="589">
        <f>'2.05.23'!E8</f>
        <v>5310.5</v>
      </c>
      <c r="G57" s="640"/>
      <c r="H57" s="640"/>
      <c r="I57" s="640"/>
      <c r="J57" s="640"/>
      <c r="K57" s="640"/>
      <c r="L57" s="640">
        <f>'2.11.23'!E19</f>
        <v>5329.5</v>
      </c>
      <c r="M57" s="640"/>
      <c r="N57" s="702">
        <f>'2.13.23'!E9</f>
        <v>4218</v>
      </c>
      <c r="O57" s="702"/>
      <c r="P57" s="702"/>
      <c r="Q57" s="702"/>
      <c r="R57" s="702">
        <f>'2.17.23'!E18</f>
        <v>3828.5</v>
      </c>
      <c r="S57" s="1166"/>
      <c r="T57" s="1166"/>
      <c r="U57" s="1196">
        <f>'2.20.23'!E18</f>
        <v>5472</v>
      </c>
      <c r="V57" s="252"/>
      <c r="W57" s="252"/>
      <c r="X57" s="252"/>
      <c r="Y57" s="252"/>
      <c r="Z57" s="252"/>
      <c r="AA57" s="252"/>
      <c r="AB57" s="252"/>
      <c r="AC57" s="252">
        <f>'2.28.23'!E29</f>
        <v>3439</v>
      </c>
      <c r="AD57" s="189">
        <f t="shared" si="0"/>
        <v>38883.5</v>
      </c>
      <c r="AE57" s="358">
        <f>449000-AD57+350000+350000</f>
        <v>1110116.5</v>
      </c>
      <c r="AF57" s="194" t="str">
        <f t="shared" si="6"/>
        <v>Wafl</v>
      </c>
      <c r="AH57" s="234">
        <f t="shared" si="3"/>
        <v>38883.5</v>
      </c>
      <c r="AL57" s="234">
        <v>71377</v>
      </c>
      <c r="AM57" s="234"/>
      <c r="AN57" s="979">
        <v>53</v>
      </c>
      <c r="AO57" s="981">
        <f t="shared" si="8"/>
        <v>4093</v>
      </c>
      <c r="AP57" s="977">
        <f t="shared" si="4"/>
        <v>38883.5</v>
      </c>
      <c r="AQ57" s="978" t="str">
        <f t="shared" si="5"/>
        <v>Wafl</v>
      </c>
    </row>
    <row r="58" spans="1:43" ht="10.15" customHeight="1">
      <c r="A58" s="195" t="s">
        <v>181</v>
      </c>
      <c r="B58" s="252"/>
      <c r="C58" s="252"/>
      <c r="D58" s="252"/>
      <c r="E58" s="252"/>
      <c r="F58" s="252"/>
      <c r="G58" s="252"/>
      <c r="H58" s="252"/>
      <c r="I58" s="252"/>
      <c r="J58" s="252"/>
      <c r="K58" s="252"/>
      <c r="L58" s="252"/>
      <c r="M58" s="252"/>
      <c r="N58" s="252"/>
      <c r="O58" s="252"/>
      <c r="P58" s="252"/>
      <c r="Q58" s="252"/>
      <c r="R58" s="252"/>
      <c r="S58" s="1166"/>
      <c r="T58" s="1166"/>
      <c r="U58" s="1196"/>
      <c r="V58" s="252"/>
      <c r="W58" s="252"/>
      <c r="X58" s="252"/>
      <c r="Y58" s="252"/>
      <c r="Z58" s="252"/>
      <c r="AA58" s="252"/>
      <c r="AB58" s="252"/>
      <c r="AC58" s="252"/>
      <c r="AD58" s="189">
        <f t="shared" si="0"/>
        <v>0</v>
      </c>
      <c r="AE58" s="358">
        <f t="shared" ref="AE58:AE63" si="9">100000-AD58</f>
        <v>100000</v>
      </c>
      <c r="AF58" s="194" t="str">
        <f t="shared" si="6"/>
        <v>White Rabbit</v>
      </c>
      <c r="AH58" s="234">
        <f t="shared" si="3"/>
        <v>0</v>
      </c>
      <c r="AL58" s="234">
        <v>3570</v>
      </c>
      <c r="AM58" s="234"/>
      <c r="AN58" s="979">
        <v>54</v>
      </c>
      <c r="AO58" s="981">
        <f t="shared" si="8"/>
        <v>0</v>
      </c>
      <c r="AP58" s="977">
        <f t="shared" si="4"/>
        <v>0</v>
      </c>
      <c r="AQ58" s="978" t="str">
        <f t="shared" si="5"/>
        <v>White Rabbit</v>
      </c>
    </row>
    <row r="59" spans="1:43" ht="10.15" customHeight="1">
      <c r="A59" s="515" t="s">
        <v>205</v>
      </c>
      <c r="B59" s="589"/>
      <c r="C59" s="589"/>
      <c r="D59" s="589"/>
      <c r="E59" s="589"/>
      <c r="F59" s="589"/>
      <c r="G59" s="640"/>
      <c r="H59" s="640"/>
      <c r="I59" s="640"/>
      <c r="J59" s="640"/>
      <c r="K59" s="640">
        <f>'2.10.23'!E18</f>
        <v>2185</v>
      </c>
      <c r="L59" s="640"/>
      <c r="M59" s="640"/>
      <c r="N59" s="702"/>
      <c r="O59" s="702"/>
      <c r="P59" s="702"/>
      <c r="Q59" s="702">
        <f>'2.16.23'!E18</f>
        <v>2185</v>
      </c>
      <c r="R59" s="702"/>
      <c r="S59" s="1166"/>
      <c r="T59" s="1166"/>
      <c r="U59" s="1196">
        <f>'2.20.23'!E27</f>
        <v>1700.5</v>
      </c>
      <c r="V59" s="252"/>
      <c r="W59" s="252"/>
      <c r="X59" s="252"/>
      <c r="Y59" s="252"/>
      <c r="Z59" s="252"/>
      <c r="AA59" s="252"/>
      <c r="AB59" s="252">
        <f>'2.27.23'!E18</f>
        <v>2926</v>
      </c>
      <c r="AC59" s="252"/>
      <c r="AD59" s="189">
        <f t="shared" si="0"/>
        <v>8996.5</v>
      </c>
      <c r="AE59" s="522">
        <f t="shared" si="9"/>
        <v>91003.5</v>
      </c>
      <c r="AF59" s="194" t="str">
        <f t="shared" si="6"/>
        <v>Yalla</v>
      </c>
      <c r="AH59" s="234">
        <f t="shared" si="3"/>
        <v>8996.5</v>
      </c>
      <c r="AL59" s="234">
        <v>43804.5</v>
      </c>
      <c r="AM59" s="234"/>
      <c r="AN59" s="979">
        <v>55</v>
      </c>
      <c r="AO59" s="981">
        <f t="shared" si="8"/>
        <v>947</v>
      </c>
      <c r="AP59" s="977">
        <f t="shared" si="4"/>
        <v>8996.5</v>
      </c>
      <c r="AQ59" s="978" t="str">
        <f t="shared" si="5"/>
        <v>Yalla</v>
      </c>
    </row>
    <row r="60" spans="1:43" ht="10.15" customHeight="1">
      <c r="A60" s="195" t="s">
        <v>244</v>
      </c>
      <c r="B60" s="589"/>
      <c r="C60" s="589"/>
      <c r="D60" s="589"/>
      <c r="E60" s="589"/>
      <c r="F60" s="589"/>
      <c r="G60" s="252">
        <f>'2.06.23'!E9</f>
        <v>5139.5</v>
      </c>
      <c r="H60" s="252"/>
      <c r="I60" s="252"/>
      <c r="J60" s="252"/>
      <c r="K60" s="252">
        <f>'2.10.23'!E8</f>
        <v>5225</v>
      </c>
      <c r="L60" s="252"/>
      <c r="M60" s="252"/>
      <c r="N60" s="702"/>
      <c r="O60" s="702"/>
      <c r="P60" s="702"/>
      <c r="Q60" s="702">
        <f>'2.16.23'!E8</f>
        <v>5367.5</v>
      </c>
      <c r="R60" s="702"/>
      <c r="S60" s="1166"/>
      <c r="T60" s="1166"/>
      <c r="U60" s="1196"/>
      <c r="V60" s="252"/>
      <c r="W60" s="252"/>
      <c r="X60" s="252">
        <f>'2.23.23'!E18</f>
        <v>6203.5</v>
      </c>
      <c r="Y60" s="252"/>
      <c r="Z60" s="252"/>
      <c r="AA60" s="252"/>
      <c r="AB60" s="252"/>
      <c r="AC60" s="252">
        <f>'2.28.23'!E18</f>
        <v>6127.5</v>
      </c>
      <c r="AD60" s="189">
        <f t="shared" si="0"/>
        <v>28063</v>
      </c>
      <c r="AE60" s="358">
        <f t="shared" si="9"/>
        <v>71937</v>
      </c>
      <c r="AF60" s="194" t="str">
        <f t="shared" si="6"/>
        <v>Yuna's Bob</v>
      </c>
      <c r="AH60" s="234">
        <f t="shared" si="3"/>
        <v>28063</v>
      </c>
      <c r="AL60" s="234">
        <v>499011.5</v>
      </c>
      <c r="AM60" s="234"/>
      <c r="AN60" s="979">
        <v>56</v>
      </c>
      <c r="AO60" s="981">
        <f t="shared" si="8"/>
        <v>2954</v>
      </c>
      <c r="AP60" s="977">
        <f t="shared" si="4"/>
        <v>28063</v>
      </c>
      <c r="AQ60" s="978" t="str">
        <f t="shared" si="5"/>
        <v>Yuna's Bob</v>
      </c>
    </row>
    <row r="61" spans="1:43" ht="10.15" customHeight="1">
      <c r="A61" s="195"/>
      <c r="B61" s="252"/>
      <c r="C61" s="252"/>
      <c r="D61" s="252"/>
      <c r="E61" s="252"/>
      <c r="F61" s="252"/>
      <c r="G61" s="252"/>
      <c r="H61" s="252"/>
      <c r="I61" s="252"/>
      <c r="J61" s="252"/>
      <c r="K61" s="252"/>
      <c r="L61" s="252"/>
      <c r="M61" s="252"/>
      <c r="N61" s="252"/>
      <c r="O61" s="252"/>
      <c r="P61" s="252"/>
      <c r="Q61" s="252"/>
      <c r="R61" s="252"/>
      <c r="S61" s="1166"/>
      <c r="T61" s="1166"/>
      <c r="U61" s="1196"/>
      <c r="V61" s="252"/>
      <c r="W61" s="252"/>
      <c r="X61" s="252"/>
      <c r="Y61" s="252"/>
      <c r="Z61" s="252"/>
      <c r="AA61" s="252"/>
      <c r="AB61" s="252"/>
      <c r="AC61" s="252"/>
      <c r="AD61" s="189">
        <f t="shared" si="0"/>
        <v>0</v>
      </c>
      <c r="AE61" s="961">
        <f t="shared" si="9"/>
        <v>100000</v>
      </c>
      <c r="AF61" s="195"/>
      <c r="AH61" s="234">
        <f t="shared" si="3"/>
        <v>0</v>
      </c>
      <c r="AL61" s="234">
        <v>7640</v>
      </c>
      <c r="AM61" s="234"/>
      <c r="AN61" s="979">
        <v>57</v>
      </c>
      <c r="AO61" s="981">
        <f t="shared" si="8"/>
        <v>0</v>
      </c>
      <c r="AP61" s="977">
        <f t="shared" si="4"/>
        <v>0</v>
      </c>
      <c r="AQ61" s="978">
        <f t="shared" si="5"/>
        <v>0</v>
      </c>
    </row>
    <row r="62" spans="1:43" ht="10.15" customHeight="1">
      <c r="A62" s="195"/>
      <c r="B62" s="252"/>
      <c r="C62" s="252"/>
      <c r="D62" s="252"/>
      <c r="E62" s="252"/>
      <c r="F62" s="252"/>
      <c r="G62" s="252"/>
      <c r="H62" s="252"/>
      <c r="I62" s="252"/>
      <c r="J62" s="252"/>
      <c r="K62" s="252"/>
      <c r="L62" s="252"/>
      <c r="M62" s="252"/>
      <c r="N62" s="252"/>
      <c r="O62" s="252"/>
      <c r="P62" s="252"/>
      <c r="Q62" s="252"/>
      <c r="R62" s="252"/>
      <c r="S62" s="1166"/>
      <c r="T62" s="1166"/>
      <c r="U62" s="1196"/>
      <c r="V62" s="252"/>
      <c r="W62" s="252"/>
      <c r="X62" s="252"/>
      <c r="Y62" s="252"/>
      <c r="Z62" s="252"/>
      <c r="AA62" s="252"/>
      <c r="AB62" s="252"/>
      <c r="AC62" s="252"/>
      <c r="AD62" s="189">
        <f t="shared" si="0"/>
        <v>0</v>
      </c>
      <c r="AE62" s="961">
        <f t="shared" si="9"/>
        <v>100000</v>
      </c>
      <c r="AF62" s="195"/>
      <c r="AH62" s="234">
        <f t="shared" si="3"/>
        <v>0</v>
      </c>
      <c r="AL62" s="234">
        <v>64586.5</v>
      </c>
      <c r="AM62" s="234"/>
      <c r="AN62" s="979">
        <v>58</v>
      </c>
      <c r="AO62" s="981">
        <f t="shared" si="8"/>
        <v>0</v>
      </c>
      <c r="AP62" s="977">
        <f t="shared" si="4"/>
        <v>0</v>
      </c>
      <c r="AQ62" s="978">
        <f t="shared" si="5"/>
        <v>0</v>
      </c>
    </row>
    <row r="63" spans="1:43" s="521" customFormat="1" ht="10.15" customHeight="1">
      <c r="A63" s="195"/>
      <c r="B63" s="252"/>
      <c r="C63" s="252"/>
      <c r="D63" s="252"/>
      <c r="E63" s="252"/>
      <c r="F63" s="252"/>
      <c r="G63" s="252"/>
      <c r="H63" s="252"/>
      <c r="I63" s="252"/>
      <c r="J63" s="252"/>
      <c r="K63" s="252"/>
      <c r="L63" s="252"/>
      <c r="M63" s="252"/>
      <c r="N63" s="252"/>
      <c r="O63" s="252"/>
      <c r="P63" s="252"/>
      <c r="Q63" s="252"/>
      <c r="R63" s="252"/>
      <c r="S63" s="1166"/>
      <c r="T63" s="1166"/>
      <c r="U63" s="1196"/>
      <c r="V63" s="252"/>
      <c r="W63" s="252"/>
      <c r="X63" s="252"/>
      <c r="Y63" s="252"/>
      <c r="Z63" s="252"/>
      <c r="AA63" s="252"/>
      <c r="AB63" s="252"/>
      <c r="AC63" s="252"/>
      <c r="AD63" s="189">
        <f t="shared" si="0"/>
        <v>0</v>
      </c>
      <c r="AE63" s="961">
        <f t="shared" si="9"/>
        <v>100000</v>
      </c>
      <c r="AF63" s="195"/>
      <c r="AG63" s="934"/>
      <c r="AH63" s="234">
        <f t="shared" si="3"/>
        <v>0</v>
      </c>
      <c r="AI63" s="934"/>
      <c r="AJ63" s="934"/>
      <c r="AK63" s="934"/>
      <c r="AL63" s="234">
        <v>42224</v>
      </c>
      <c r="AM63" s="234"/>
      <c r="AN63" s="979">
        <v>59</v>
      </c>
      <c r="AO63" s="981">
        <f t="shared" si="8"/>
        <v>0</v>
      </c>
      <c r="AP63" s="977">
        <f t="shared" si="4"/>
        <v>0</v>
      </c>
      <c r="AQ63" s="978">
        <f t="shared" si="5"/>
        <v>0</v>
      </c>
    </row>
    <row r="64" spans="1:43" ht="13.9" customHeight="1" thickBot="1">
      <c r="A64" s="46" t="s">
        <v>24</v>
      </c>
      <c r="B64" s="530">
        <f t="shared" ref="B64:AC64" si="10">SUM(B3:B63)</f>
        <v>35302</v>
      </c>
      <c r="C64" s="530">
        <f t="shared" si="10"/>
        <v>48478.5</v>
      </c>
      <c r="D64" s="530">
        <f t="shared" si="10"/>
        <v>42588.5</v>
      </c>
      <c r="E64" s="530">
        <f t="shared" si="10"/>
        <v>44602.5</v>
      </c>
      <c r="F64" s="530">
        <f t="shared" si="10"/>
        <v>36489.5</v>
      </c>
      <c r="G64" s="530">
        <f t="shared" si="10"/>
        <v>41819</v>
      </c>
      <c r="H64" s="530">
        <f t="shared" si="10"/>
        <v>43320</v>
      </c>
      <c r="I64" s="530">
        <f t="shared" si="10"/>
        <v>47728</v>
      </c>
      <c r="J64" s="530">
        <f t="shared" si="10"/>
        <v>38969</v>
      </c>
      <c r="K64" s="530">
        <f t="shared" si="10"/>
        <v>38921.5</v>
      </c>
      <c r="L64" s="530">
        <f t="shared" si="10"/>
        <v>45144</v>
      </c>
      <c r="M64" s="530">
        <f t="shared" si="10"/>
        <v>40783.5</v>
      </c>
      <c r="N64" s="530">
        <f t="shared" si="10"/>
        <v>44032.5</v>
      </c>
      <c r="O64" s="530">
        <f t="shared" si="10"/>
        <v>40354</v>
      </c>
      <c r="P64" s="530">
        <f t="shared" si="10"/>
        <v>37021.5</v>
      </c>
      <c r="Q64" s="530">
        <f t="shared" si="10"/>
        <v>34988.5</v>
      </c>
      <c r="R64" s="530">
        <f t="shared" si="10"/>
        <v>31663.5</v>
      </c>
      <c r="S64" s="1167">
        <f t="shared" si="10"/>
        <v>0</v>
      </c>
      <c r="T64" s="1167">
        <f t="shared" si="10"/>
        <v>0</v>
      </c>
      <c r="U64" s="1197">
        <f t="shared" si="10"/>
        <v>23303.5</v>
      </c>
      <c r="V64" s="530">
        <f t="shared" si="10"/>
        <v>42807</v>
      </c>
      <c r="W64" s="530">
        <f t="shared" si="10"/>
        <v>32119.5</v>
      </c>
      <c r="X64" s="530">
        <f t="shared" si="10"/>
        <v>43614.5</v>
      </c>
      <c r="Y64" s="530">
        <f t="shared" si="10"/>
        <v>21308.5</v>
      </c>
      <c r="Z64" s="530">
        <f t="shared" si="10"/>
        <v>34228.5</v>
      </c>
      <c r="AA64" s="530">
        <f t="shared" si="10"/>
        <v>42968.5</v>
      </c>
      <c r="AB64" s="530">
        <f t="shared" si="10"/>
        <v>39909.5</v>
      </c>
      <c r="AC64" s="530">
        <f t="shared" si="10"/>
        <v>36727</v>
      </c>
      <c r="AD64" s="55">
        <f>SUM(AD3:AD63)</f>
        <v>1009192.5</v>
      </c>
      <c r="AE64" s="55">
        <f>SUM(AE3:AE63)</f>
        <v>15336941</v>
      </c>
      <c r="AL64" s="234">
        <f>SUM(AL3:AL63)</f>
        <v>5287160.5</v>
      </c>
      <c r="AM64" s="234"/>
      <c r="AN64" s="980"/>
      <c r="AO64" s="981">
        <f>SUM(AO3:AO63)</f>
        <v>104034.78947368421</v>
      </c>
      <c r="AP64" s="977">
        <f>SUM(AP3:AP63)</f>
        <v>1009192.5</v>
      </c>
      <c r="AQ64" s="937"/>
    </row>
    <row r="65" spans="1:51" ht="12" customHeight="1" thickTop="1">
      <c r="A65" s="198" t="s">
        <v>85</v>
      </c>
      <c r="B65" s="241">
        <f>'2.01.23'!E38</f>
        <v>35302</v>
      </c>
      <c r="C65" s="241">
        <f>'2.02.23'!E38</f>
        <v>48478.5</v>
      </c>
      <c r="D65" s="241">
        <f>'2.03.23'!E38</f>
        <v>42588.5</v>
      </c>
      <c r="E65" s="241">
        <f>'2.04.23'!E38</f>
        <v>44602.5</v>
      </c>
      <c r="F65" s="241">
        <f>'2.05.23'!E38</f>
        <v>36489.5</v>
      </c>
      <c r="G65" s="241">
        <f>'2.06.23'!E38</f>
        <v>41819</v>
      </c>
      <c r="H65" s="241">
        <f>'2.07.23'!E38</f>
        <v>43320</v>
      </c>
      <c r="I65" s="241">
        <f>'2.08.23'!E38</f>
        <v>47728</v>
      </c>
      <c r="J65" s="241">
        <f>'2.09.23'!E38</f>
        <v>38969</v>
      </c>
      <c r="K65" s="241">
        <f>'2.10.23'!E38</f>
        <v>38921.5</v>
      </c>
      <c r="L65" s="241">
        <f>'2.11.23'!E38</f>
        <v>45144</v>
      </c>
      <c r="M65" s="241">
        <f>'2.12.23'!E38</f>
        <v>40783.5</v>
      </c>
      <c r="N65" s="241">
        <f>'2.13.23'!E38</f>
        <v>44032.5</v>
      </c>
      <c r="O65" s="241">
        <f>'2.14.23'!E38</f>
        <v>40354</v>
      </c>
      <c r="P65" s="241">
        <f>'2.15.23'!E38</f>
        <v>37021.5</v>
      </c>
      <c r="Q65" s="241">
        <f>'2.16.23'!E38</f>
        <v>34988.5</v>
      </c>
      <c r="R65" s="241">
        <f>'2.17.23'!E38</f>
        <v>31663.5</v>
      </c>
      <c r="S65" s="241"/>
      <c r="T65" s="241"/>
      <c r="U65" s="241">
        <f>'2.20.23'!E38</f>
        <v>23303.5</v>
      </c>
      <c r="V65" s="241">
        <f>'2.21.23'!E38</f>
        <v>42807</v>
      </c>
      <c r="W65" s="241">
        <f>'2.22.23'!E38</f>
        <v>32119.5</v>
      </c>
      <c r="X65" s="241">
        <f>'2.23.23'!E38</f>
        <v>43614.5</v>
      </c>
      <c r="Y65" s="241">
        <f>'2.24.23'!E38</f>
        <v>21308.5</v>
      </c>
      <c r="Z65" s="241">
        <f>'2.25.23'!E38</f>
        <v>34228.5</v>
      </c>
      <c r="AA65" s="241">
        <f>'2.26.23'!E38</f>
        <v>42968.5</v>
      </c>
      <c r="AB65" s="241">
        <f>'2.27.23'!E38</f>
        <v>39909.5</v>
      </c>
      <c r="AC65" s="241">
        <f>'2.28.23'!E38</f>
        <v>36727</v>
      </c>
      <c r="AD65" s="197"/>
      <c r="AE65" s="57"/>
      <c r="AF65" s="521"/>
      <c r="AG65" s="521"/>
      <c r="AH65" s="521"/>
      <c r="AI65" s="521"/>
      <c r="AJ65" s="521"/>
      <c r="AK65" s="521"/>
    </row>
    <row r="66" spans="1:51" ht="12" customHeight="1">
      <c r="A66" s="198" t="s">
        <v>86</v>
      </c>
      <c r="B66" s="242">
        <f t="shared" ref="B66:AC66" si="11">B64-B65</f>
        <v>0</v>
      </c>
      <c r="C66" s="242">
        <f t="shared" si="11"/>
        <v>0</v>
      </c>
      <c r="D66" s="242">
        <f t="shared" si="11"/>
        <v>0</v>
      </c>
      <c r="E66" s="242">
        <f t="shared" si="11"/>
        <v>0</v>
      </c>
      <c r="F66" s="242">
        <f t="shared" si="11"/>
        <v>0</v>
      </c>
      <c r="G66" s="242">
        <f t="shared" si="11"/>
        <v>0</v>
      </c>
      <c r="H66" s="242">
        <f t="shared" si="11"/>
        <v>0</v>
      </c>
      <c r="I66" s="242">
        <f t="shared" si="11"/>
        <v>0</v>
      </c>
      <c r="J66" s="242">
        <f t="shared" si="11"/>
        <v>0</v>
      </c>
      <c r="K66" s="242">
        <f t="shared" si="11"/>
        <v>0</v>
      </c>
      <c r="L66" s="242">
        <f t="shared" si="11"/>
        <v>0</v>
      </c>
      <c r="M66" s="242">
        <f t="shared" si="11"/>
        <v>0</v>
      </c>
      <c r="N66" s="242">
        <f t="shared" si="11"/>
        <v>0</v>
      </c>
      <c r="O66" s="242">
        <f t="shared" si="11"/>
        <v>0</v>
      </c>
      <c r="P66" s="242">
        <f t="shared" si="11"/>
        <v>0</v>
      </c>
      <c r="Q66" s="242">
        <f t="shared" si="11"/>
        <v>0</v>
      </c>
      <c r="R66" s="242">
        <f t="shared" si="11"/>
        <v>0</v>
      </c>
      <c r="S66" s="242">
        <f t="shared" si="11"/>
        <v>0</v>
      </c>
      <c r="T66" s="242">
        <f t="shared" si="11"/>
        <v>0</v>
      </c>
      <c r="U66" s="242">
        <f t="shared" si="11"/>
        <v>0</v>
      </c>
      <c r="V66" s="242">
        <f t="shared" si="11"/>
        <v>0</v>
      </c>
      <c r="W66" s="242">
        <f t="shared" si="11"/>
        <v>0</v>
      </c>
      <c r="X66" s="242">
        <f t="shared" si="11"/>
        <v>0</v>
      </c>
      <c r="Y66" s="242">
        <f t="shared" si="11"/>
        <v>0</v>
      </c>
      <c r="Z66" s="242">
        <f t="shared" si="11"/>
        <v>0</v>
      </c>
      <c r="AA66" s="242">
        <f t="shared" si="11"/>
        <v>0</v>
      </c>
      <c r="AB66" s="242">
        <f t="shared" si="11"/>
        <v>0</v>
      </c>
      <c r="AC66" s="242">
        <f t="shared" si="11"/>
        <v>0</v>
      </c>
      <c r="AD66" s="233"/>
      <c r="AE66" s="199"/>
      <c r="AG66" s="316"/>
      <c r="AH66" s="316"/>
      <c r="AI66" s="316"/>
      <c r="AJ66" s="316"/>
      <c r="AK66" s="316"/>
      <c r="AL66" s="199"/>
      <c r="AM66" s="199"/>
      <c r="AN66" s="199"/>
      <c r="AO66" s="198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</row>
    <row r="67" spans="1:51" ht="26.25" customHeight="1">
      <c r="B67" s="982"/>
      <c r="C67" s="982"/>
      <c r="D67" s="982"/>
      <c r="E67" s="982"/>
      <c r="F67" s="982"/>
      <c r="G67" s="982"/>
      <c r="H67" s="982"/>
      <c r="I67" s="982"/>
      <c r="J67" s="982"/>
      <c r="K67" s="982"/>
      <c r="L67" s="982"/>
      <c r="M67" s="982"/>
      <c r="N67" s="982"/>
      <c r="O67" s="982"/>
      <c r="P67" s="982"/>
      <c r="Q67" s="982"/>
      <c r="R67" s="982"/>
      <c r="S67" s="982" t="s">
        <v>839</v>
      </c>
      <c r="T67" s="982" t="s">
        <v>839</v>
      </c>
      <c r="U67" s="982"/>
      <c r="V67" s="982"/>
      <c r="W67" s="982"/>
      <c r="X67" s="982"/>
      <c r="Y67" s="982"/>
      <c r="Z67" s="982"/>
      <c r="AA67" s="982"/>
      <c r="AB67" s="982"/>
      <c r="AC67" s="982"/>
    </row>
    <row r="68" spans="1:51">
      <c r="AD68" s="234"/>
      <c r="AF68" s="199"/>
      <c r="AG68" s="199"/>
      <c r="AH68" s="199"/>
      <c r="AI68" s="199"/>
      <c r="AJ68" s="199"/>
      <c r="AK68" s="199"/>
    </row>
    <row r="70" spans="1:51">
      <c r="A70" s="188"/>
    </row>
    <row r="71" spans="1:51">
      <c r="A71" s="188"/>
    </row>
  </sheetData>
  <mergeCells count="3">
    <mergeCell ref="A1:A2"/>
    <mergeCell ref="AD1:AD2"/>
    <mergeCell ref="AE1:AE2"/>
  </mergeCells>
  <conditionalFormatting sqref="AE26:AE28 AE36 AE39 AE60 AE53:AE55 AE33 AE63 AE6:AE8 AE11 AE13:AE15 AE19:AE21 AE42:AE48">
    <cfRule type="cellIs" dxfId="557" priority="87" operator="lessThan">
      <formula>20000</formula>
    </cfRule>
    <cfRule type="cellIs" dxfId="556" priority="88" operator="lessThan">
      <formula>25000</formula>
    </cfRule>
    <cfRule type="cellIs" dxfId="555" priority="89" operator="lessThan">
      <formula>50000</formula>
    </cfRule>
  </conditionalFormatting>
  <conditionalFormatting sqref="AE22">
    <cfRule type="cellIs" dxfId="554" priority="84" operator="lessThan">
      <formula>20000</formula>
    </cfRule>
    <cfRule type="cellIs" dxfId="553" priority="85" operator="lessThan">
      <formula>25000</formula>
    </cfRule>
    <cfRule type="cellIs" dxfId="552" priority="86" operator="lessThan">
      <formula>50000</formula>
    </cfRule>
  </conditionalFormatting>
  <conditionalFormatting sqref="AE34">
    <cfRule type="cellIs" dxfId="551" priority="81" operator="lessThan">
      <formula>20000</formula>
    </cfRule>
    <cfRule type="cellIs" dxfId="550" priority="82" operator="lessThan">
      <formula>25000</formula>
    </cfRule>
    <cfRule type="cellIs" dxfId="549" priority="83" operator="lessThan">
      <formula>50000</formula>
    </cfRule>
  </conditionalFormatting>
  <conditionalFormatting sqref="AE37">
    <cfRule type="cellIs" dxfId="548" priority="78" operator="lessThan">
      <formula>20000</formula>
    </cfRule>
    <cfRule type="cellIs" dxfId="547" priority="79" operator="lessThan">
      <formula>25000</formula>
    </cfRule>
    <cfRule type="cellIs" dxfId="546" priority="80" operator="lessThan">
      <formula>50000</formula>
    </cfRule>
  </conditionalFormatting>
  <conditionalFormatting sqref="AE52">
    <cfRule type="cellIs" dxfId="545" priority="75" operator="lessThan">
      <formula>20000</formula>
    </cfRule>
    <cfRule type="cellIs" dxfId="544" priority="76" operator="lessThan">
      <formula>25000</formula>
    </cfRule>
    <cfRule type="cellIs" dxfId="543" priority="77" operator="lessThan">
      <formula>50000</formula>
    </cfRule>
  </conditionalFormatting>
  <conditionalFormatting sqref="AE57">
    <cfRule type="cellIs" dxfId="542" priority="72" operator="lessThan">
      <formula>20000</formula>
    </cfRule>
    <cfRule type="cellIs" dxfId="541" priority="73" operator="lessThan">
      <formula>25000</formula>
    </cfRule>
    <cfRule type="cellIs" dxfId="540" priority="74" operator="lessThan">
      <formula>50000</formula>
    </cfRule>
  </conditionalFormatting>
  <conditionalFormatting sqref="AE50">
    <cfRule type="cellIs" dxfId="539" priority="69" operator="lessThan">
      <formula>20000</formula>
    </cfRule>
    <cfRule type="cellIs" dxfId="538" priority="70" operator="lessThan">
      <formula>25000</formula>
    </cfRule>
    <cfRule type="cellIs" dxfId="537" priority="71" operator="lessThan">
      <formula>50000</formula>
    </cfRule>
  </conditionalFormatting>
  <conditionalFormatting sqref="AE5">
    <cfRule type="cellIs" dxfId="536" priority="66" operator="lessThan">
      <formula>20000</formula>
    </cfRule>
    <cfRule type="cellIs" dxfId="535" priority="67" operator="lessThan">
      <formula>25000</formula>
    </cfRule>
    <cfRule type="cellIs" dxfId="534" priority="68" operator="lessThan">
      <formula>50000</formula>
    </cfRule>
  </conditionalFormatting>
  <conditionalFormatting sqref="AE56">
    <cfRule type="cellIs" dxfId="533" priority="63" operator="lessThan">
      <formula>20000</formula>
    </cfRule>
    <cfRule type="cellIs" dxfId="532" priority="64" operator="lessThan">
      <formula>25000</formula>
    </cfRule>
    <cfRule type="cellIs" dxfId="531" priority="65" operator="lessThan">
      <formula>50000</formula>
    </cfRule>
  </conditionalFormatting>
  <conditionalFormatting sqref="AE35">
    <cfRule type="cellIs" dxfId="530" priority="60" operator="lessThan">
      <formula>20000</formula>
    </cfRule>
    <cfRule type="cellIs" dxfId="529" priority="61" operator="lessThan">
      <formula>25000</formula>
    </cfRule>
    <cfRule type="cellIs" dxfId="528" priority="62" operator="lessThan">
      <formula>50000</formula>
    </cfRule>
  </conditionalFormatting>
  <conditionalFormatting sqref="AE3:AE4">
    <cfRule type="cellIs" dxfId="527" priority="57" operator="lessThan">
      <formula>20000</formula>
    </cfRule>
    <cfRule type="cellIs" dxfId="526" priority="58" operator="lessThan">
      <formula>25000</formula>
    </cfRule>
    <cfRule type="cellIs" dxfId="525" priority="59" operator="lessThan">
      <formula>50000</formula>
    </cfRule>
  </conditionalFormatting>
  <conditionalFormatting sqref="AE16">
    <cfRule type="cellIs" dxfId="524" priority="54" operator="lessThan">
      <formula>20000</formula>
    </cfRule>
    <cfRule type="cellIs" dxfId="523" priority="55" operator="lessThan">
      <formula>25000</formula>
    </cfRule>
    <cfRule type="cellIs" dxfId="522" priority="56" operator="lessThan">
      <formula>50000</formula>
    </cfRule>
  </conditionalFormatting>
  <conditionalFormatting sqref="AE29:AE30">
    <cfRule type="cellIs" dxfId="521" priority="51" operator="lessThan">
      <formula>20000</formula>
    </cfRule>
    <cfRule type="cellIs" dxfId="520" priority="52" operator="lessThan">
      <formula>25000</formula>
    </cfRule>
    <cfRule type="cellIs" dxfId="519" priority="53" operator="lessThan">
      <formula>50000</formula>
    </cfRule>
  </conditionalFormatting>
  <conditionalFormatting sqref="AE61:AE62">
    <cfRule type="cellIs" dxfId="518" priority="48" operator="lessThan">
      <formula>20000</formula>
    </cfRule>
    <cfRule type="cellIs" dxfId="517" priority="49" operator="lessThan">
      <formula>25000</formula>
    </cfRule>
    <cfRule type="cellIs" dxfId="516" priority="50" operator="lessThan">
      <formula>50000</formula>
    </cfRule>
  </conditionalFormatting>
  <conditionalFormatting sqref="AE23">
    <cfRule type="cellIs" dxfId="515" priority="45" operator="lessThan">
      <formula>20000</formula>
    </cfRule>
    <cfRule type="cellIs" dxfId="514" priority="46" operator="lessThan">
      <formula>25000</formula>
    </cfRule>
    <cfRule type="cellIs" dxfId="513" priority="47" operator="lessThan">
      <formula>50000</formula>
    </cfRule>
  </conditionalFormatting>
  <conditionalFormatting sqref="AE10">
    <cfRule type="cellIs" dxfId="512" priority="42" operator="lessThan">
      <formula>20000</formula>
    </cfRule>
    <cfRule type="cellIs" dxfId="511" priority="43" operator="lessThan">
      <formula>25000</formula>
    </cfRule>
    <cfRule type="cellIs" dxfId="510" priority="44" operator="lessThan">
      <formula>50000</formula>
    </cfRule>
  </conditionalFormatting>
  <conditionalFormatting sqref="AE58:AE59">
    <cfRule type="cellIs" dxfId="509" priority="39" operator="lessThan">
      <formula>20000</formula>
    </cfRule>
    <cfRule type="cellIs" dxfId="508" priority="40" operator="lessThan">
      <formula>25000</formula>
    </cfRule>
    <cfRule type="cellIs" dxfId="507" priority="41" operator="lessThan">
      <formula>50000</formula>
    </cfRule>
  </conditionalFormatting>
  <conditionalFormatting sqref="AE38">
    <cfRule type="cellIs" dxfId="506" priority="36" operator="lessThan">
      <formula>20000</formula>
    </cfRule>
    <cfRule type="cellIs" dxfId="505" priority="37" operator="lessThan">
      <formula>25000</formula>
    </cfRule>
    <cfRule type="cellIs" dxfId="504" priority="38" operator="lessThan">
      <formula>50000</formula>
    </cfRule>
  </conditionalFormatting>
  <conditionalFormatting sqref="AE17">
    <cfRule type="cellIs" dxfId="503" priority="33" operator="lessThan">
      <formula>20000</formula>
    </cfRule>
    <cfRule type="cellIs" dxfId="502" priority="34" operator="lessThan">
      <formula>25000</formula>
    </cfRule>
    <cfRule type="cellIs" dxfId="501" priority="35" operator="lessThan">
      <formula>50000</formula>
    </cfRule>
  </conditionalFormatting>
  <conditionalFormatting sqref="AE40:AE41">
    <cfRule type="cellIs" dxfId="500" priority="30" operator="lessThan">
      <formula>20000</formula>
    </cfRule>
    <cfRule type="cellIs" dxfId="499" priority="31" operator="lessThan">
      <formula>25000</formula>
    </cfRule>
    <cfRule type="cellIs" dxfId="498" priority="32" operator="lessThan">
      <formula>50000</formula>
    </cfRule>
  </conditionalFormatting>
  <conditionalFormatting sqref="AE12">
    <cfRule type="cellIs" dxfId="497" priority="27" operator="lessThan">
      <formula>20000</formula>
    </cfRule>
    <cfRule type="cellIs" dxfId="496" priority="28" operator="lessThan">
      <formula>25000</formula>
    </cfRule>
    <cfRule type="cellIs" dxfId="495" priority="29" operator="lessThan">
      <formula>50000</formula>
    </cfRule>
  </conditionalFormatting>
  <conditionalFormatting sqref="B66:AC66">
    <cfRule type="cellIs" dxfId="494" priority="25" operator="lessThan">
      <formula>0</formula>
    </cfRule>
    <cfRule type="cellIs" dxfId="493" priority="26" operator="greaterThan">
      <formula>0</formula>
    </cfRule>
  </conditionalFormatting>
  <conditionalFormatting sqref="AE31">
    <cfRule type="cellIs" dxfId="492" priority="22" operator="lessThan">
      <formula>20000</formula>
    </cfRule>
    <cfRule type="cellIs" dxfId="491" priority="23" operator="lessThan">
      <formula>25000</formula>
    </cfRule>
    <cfRule type="cellIs" dxfId="490" priority="24" operator="lessThan">
      <formula>50000</formula>
    </cfRule>
  </conditionalFormatting>
  <conditionalFormatting sqref="AE9">
    <cfRule type="cellIs" dxfId="489" priority="19" operator="lessThan">
      <formula>20000</formula>
    </cfRule>
    <cfRule type="cellIs" dxfId="488" priority="20" operator="lessThan">
      <formula>25000</formula>
    </cfRule>
    <cfRule type="cellIs" dxfId="487" priority="21" operator="lessThan">
      <formula>50000</formula>
    </cfRule>
  </conditionalFormatting>
  <conditionalFormatting sqref="AE18">
    <cfRule type="cellIs" dxfId="486" priority="16" operator="lessThan">
      <formula>20000</formula>
    </cfRule>
    <cfRule type="cellIs" dxfId="485" priority="17" operator="lessThan">
      <formula>25000</formula>
    </cfRule>
    <cfRule type="cellIs" dxfId="484" priority="18" operator="lessThan">
      <formula>50000</formula>
    </cfRule>
  </conditionalFormatting>
  <conditionalFormatting sqref="AE25">
    <cfRule type="cellIs" dxfId="483" priority="13" operator="lessThan">
      <formula>20000</formula>
    </cfRule>
    <cfRule type="cellIs" dxfId="482" priority="14" operator="lessThan">
      <formula>25000</formula>
    </cfRule>
    <cfRule type="cellIs" dxfId="481" priority="15" operator="lessThan">
      <formula>50000</formula>
    </cfRule>
  </conditionalFormatting>
  <conditionalFormatting sqref="AE32">
    <cfRule type="cellIs" dxfId="480" priority="10" operator="lessThan">
      <formula>20000</formula>
    </cfRule>
    <cfRule type="cellIs" dxfId="479" priority="11" operator="lessThan">
      <formula>25000</formula>
    </cfRule>
    <cfRule type="cellIs" dxfId="478" priority="12" operator="lessThan">
      <formula>50000</formula>
    </cfRule>
  </conditionalFormatting>
  <conditionalFormatting sqref="AE49">
    <cfRule type="cellIs" dxfId="477" priority="7" operator="lessThan">
      <formula>20000</formula>
    </cfRule>
    <cfRule type="cellIs" dxfId="476" priority="8" operator="lessThan">
      <formula>25000</formula>
    </cfRule>
    <cfRule type="cellIs" dxfId="475" priority="9" operator="lessThan">
      <formula>50000</formula>
    </cfRule>
  </conditionalFormatting>
  <conditionalFormatting sqref="AE51">
    <cfRule type="cellIs" dxfId="474" priority="4" operator="lessThan">
      <formula>20000</formula>
    </cfRule>
    <cfRule type="cellIs" dxfId="473" priority="5" operator="lessThan">
      <formula>25000</formula>
    </cfRule>
    <cfRule type="cellIs" dxfId="472" priority="6" operator="lessThan">
      <formula>50000</formula>
    </cfRule>
  </conditionalFormatting>
  <conditionalFormatting sqref="AE24">
    <cfRule type="cellIs" dxfId="471" priority="1" operator="lessThan">
      <formula>20000</formula>
    </cfRule>
    <cfRule type="cellIs" dxfId="470" priority="2" operator="lessThan">
      <formula>25000</formula>
    </cfRule>
    <cfRule type="cellIs" dxfId="469" priority="3" operator="lessThan">
      <formula>50000</formula>
    </cfRule>
  </conditionalFormatting>
  <pageMargins left="0.7" right="0.7" top="0.75" bottom="0.75" header="0.3" footer="0.3"/>
  <pageSetup scale="130" orientation="portrait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E6CBB-31A3-4234-A37B-F8E8932BF548}">
  <sheetPr codeName="Sheet355"/>
  <dimension ref="A1:AU71"/>
  <sheetViews>
    <sheetView workbookViewId="0">
      <selection sqref="A1:A2"/>
    </sheetView>
  </sheetViews>
  <sheetFormatPr defaultColWidth="8.85546875" defaultRowHeight="15"/>
  <cols>
    <col min="1" max="1" width="21.85546875" style="974" bestFit="1" customWidth="1"/>
    <col min="2" max="7" width="8.5703125" style="974" customWidth="1"/>
    <col min="8" max="9" width="8" style="974" customWidth="1"/>
    <col min="10" max="16" width="8.5703125" style="974" customWidth="1"/>
    <col min="17" max="24" width="8.5703125" style="974" bestFit="1" customWidth="1"/>
    <col min="25" max="25" width="8" style="974" customWidth="1"/>
    <col min="26" max="26" width="12.28515625" style="934" customWidth="1"/>
    <col min="27" max="27" width="18" style="934" customWidth="1"/>
    <col min="28" max="28" width="18.28515625" style="934" customWidth="1"/>
    <col min="29" max="29" width="5.85546875" style="934" customWidth="1"/>
    <col min="30" max="30" width="9.7109375" style="934" customWidth="1"/>
    <col min="31" max="33" width="5.85546875" style="934" customWidth="1"/>
    <col min="34" max="34" width="12.42578125" style="934" customWidth="1"/>
    <col min="35" max="35" width="6.5703125" style="934" customWidth="1"/>
    <col min="36" max="36" width="3.42578125" style="934" customWidth="1"/>
    <col min="37" max="37" width="8.28515625" style="974" customWidth="1"/>
    <col min="38" max="38" width="10.7109375" style="934" customWidth="1"/>
    <col min="39" max="39" width="21.28515625" style="934" bestFit="1" customWidth="1"/>
    <col min="40" max="16384" width="8.85546875" style="934"/>
  </cols>
  <sheetData>
    <row r="1" spans="1:39">
      <c r="A1" s="1251" t="s">
        <v>77</v>
      </c>
      <c r="B1" s="1135" t="s">
        <v>93</v>
      </c>
      <c r="C1" s="250" t="s">
        <v>87</v>
      </c>
      <c r="D1" s="250" t="s">
        <v>88</v>
      </c>
      <c r="E1" s="250" t="s">
        <v>89</v>
      </c>
      <c r="F1" s="250" t="s">
        <v>90</v>
      </c>
      <c r="G1" s="250" t="s">
        <v>91</v>
      </c>
      <c r="H1" s="250" t="s">
        <v>92</v>
      </c>
      <c r="I1" s="250" t="s">
        <v>93</v>
      </c>
      <c r="J1" s="250" t="s">
        <v>87</v>
      </c>
      <c r="K1" s="250" t="s">
        <v>88</v>
      </c>
      <c r="L1" s="250" t="s">
        <v>89</v>
      </c>
      <c r="M1" s="250" t="s">
        <v>90</v>
      </c>
      <c r="N1" s="250" t="s">
        <v>91</v>
      </c>
      <c r="O1" s="250" t="s">
        <v>92</v>
      </c>
      <c r="P1" s="250" t="s">
        <v>93</v>
      </c>
      <c r="Q1" s="250" t="s">
        <v>87</v>
      </c>
      <c r="R1" s="250" t="s">
        <v>88</v>
      </c>
      <c r="S1" s="250" t="s">
        <v>89</v>
      </c>
      <c r="T1" s="250" t="s">
        <v>90</v>
      </c>
      <c r="U1" s="250" t="s">
        <v>91</v>
      </c>
      <c r="V1" s="250" t="s">
        <v>92</v>
      </c>
      <c r="W1" s="250" t="s">
        <v>93</v>
      </c>
      <c r="X1" s="250" t="s">
        <v>87</v>
      </c>
      <c r="Y1" s="250" t="s">
        <v>88</v>
      </c>
      <c r="Z1" s="1253" t="s">
        <v>31</v>
      </c>
      <c r="AA1" s="1282" t="s">
        <v>190</v>
      </c>
      <c r="AH1" s="974" t="s">
        <v>222</v>
      </c>
    </row>
    <row r="2" spans="1:39" ht="15.75" thickBot="1">
      <c r="A2" s="1280"/>
      <c r="B2" s="1136">
        <v>44934</v>
      </c>
      <c r="C2" s="251">
        <v>44935</v>
      </c>
      <c r="D2" s="251">
        <v>44936</v>
      </c>
      <c r="E2" s="251">
        <v>44937</v>
      </c>
      <c r="F2" s="251">
        <v>44938</v>
      </c>
      <c r="G2" s="251">
        <v>44939</v>
      </c>
      <c r="H2" s="251">
        <v>44940</v>
      </c>
      <c r="I2" s="251">
        <v>44941</v>
      </c>
      <c r="J2" s="251">
        <v>44942</v>
      </c>
      <c r="K2" s="251">
        <v>44943</v>
      </c>
      <c r="L2" s="251">
        <v>44944</v>
      </c>
      <c r="M2" s="251">
        <v>44945</v>
      </c>
      <c r="N2" s="251">
        <v>44946</v>
      </c>
      <c r="O2" s="251">
        <v>44947</v>
      </c>
      <c r="P2" s="251">
        <v>44948</v>
      </c>
      <c r="Q2" s="251">
        <v>44949</v>
      </c>
      <c r="R2" s="251">
        <v>44950</v>
      </c>
      <c r="S2" s="251">
        <v>44951</v>
      </c>
      <c r="T2" s="251">
        <v>44952</v>
      </c>
      <c r="U2" s="251">
        <v>44953</v>
      </c>
      <c r="V2" s="251">
        <v>44954</v>
      </c>
      <c r="W2" s="251">
        <v>44955</v>
      </c>
      <c r="X2" s="251">
        <v>44956</v>
      </c>
      <c r="Y2" s="251">
        <v>44957</v>
      </c>
      <c r="Z2" s="1281"/>
      <c r="AA2" s="1283"/>
      <c r="AC2" s="974"/>
      <c r="AD2" s="974" t="s">
        <v>705</v>
      </c>
      <c r="AE2" s="974"/>
      <c r="AF2" s="974"/>
      <c r="AG2" s="974"/>
      <c r="AH2" s="974" t="s">
        <v>132</v>
      </c>
      <c r="AI2" s="974"/>
      <c r="AJ2" s="937"/>
      <c r="AK2" s="756" t="s">
        <v>316</v>
      </c>
      <c r="AL2" s="937" t="s">
        <v>326</v>
      </c>
      <c r="AM2" s="937"/>
    </row>
    <row r="3" spans="1:39" ht="10.9" customHeight="1">
      <c r="A3" s="194" t="s">
        <v>185</v>
      </c>
      <c r="B3" s="638"/>
      <c r="C3" s="638"/>
      <c r="D3" s="638">
        <f>'1.10.23'!E27</f>
        <v>6631</v>
      </c>
      <c r="E3" s="638">
        <f>'1.11.23'!E27</f>
        <v>5985</v>
      </c>
      <c r="F3" s="638">
        <f>'1.12.23'!E9</f>
        <v>7210.5</v>
      </c>
      <c r="G3" s="638"/>
      <c r="H3" s="1164"/>
      <c r="I3" s="1164"/>
      <c r="J3" s="701"/>
      <c r="K3" s="701"/>
      <c r="L3" s="701"/>
      <c r="M3" s="701"/>
      <c r="N3" s="701"/>
      <c r="O3" s="701">
        <f>'1.21.23'!E19</f>
        <v>8236.5</v>
      </c>
      <c r="P3" s="701"/>
      <c r="Q3" s="512"/>
      <c r="R3" s="512"/>
      <c r="S3" s="512"/>
      <c r="T3" s="512"/>
      <c r="U3" s="512"/>
      <c r="V3" s="512"/>
      <c r="W3" s="512"/>
      <c r="X3" s="512"/>
      <c r="Y3" s="512">
        <f>'1.31.23'!E7</f>
        <v>7932.5</v>
      </c>
      <c r="Z3" s="189">
        <f t="shared" ref="Z3:Z34" si="0">SUM(B3:Y3)</f>
        <v>35995.5</v>
      </c>
      <c r="AA3" s="189">
        <f>449000-Z3+350000</f>
        <v>763004.5</v>
      </c>
      <c r="AB3" s="194" t="str">
        <f t="shared" ref="AB3:AB34" si="1">A3</f>
        <v>8E8 Thai Street Food</v>
      </c>
      <c r="AD3" s="234">
        <f>Z3</f>
        <v>35995.5</v>
      </c>
      <c r="AH3" s="234">
        <v>415532</v>
      </c>
      <c r="AI3" s="234"/>
      <c r="AJ3" s="979">
        <v>1</v>
      </c>
      <c r="AK3" s="981">
        <f>AL3/9.5</f>
        <v>3789</v>
      </c>
      <c r="AL3" s="977">
        <f t="shared" ref="AL3:AL63" si="2">AD3</f>
        <v>35995.5</v>
      </c>
      <c r="AM3" s="978" t="str">
        <f t="shared" ref="AM3:AM63" si="3">AB3</f>
        <v>8E8 Thai Street Food</v>
      </c>
    </row>
    <row r="4" spans="1:39" ht="10.9" customHeight="1">
      <c r="A4" s="194" t="s">
        <v>330</v>
      </c>
      <c r="B4" s="638"/>
      <c r="C4" s="638">
        <f>'1.09.23'!E7</f>
        <v>6868.5</v>
      </c>
      <c r="D4" s="638">
        <f>'1.10.23'!E19 +'1.10.23'!E29</f>
        <v>11143.5</v>
      </c>
      <c r="E4" s="638"/>
      <c r="F4" s="638"/>
      <c r="G4" s="638">
        <f>'1.13.23'!E29</f>
        <v>4636</v>
      </c>
      <c r="H4" s="1164"/>
      <c r="I4" s="1164"/>
      <c r="J4" s="512"/>
      <c r="K4" s="512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2"/>
      <c r="X4" s="512">
        <f>'1.30.23'!E18</f>
        <v>7704.5</v>
      </c>
      <c r="Y4" s="512"/>
      <c r="Z4" s="189">
        <f t="shared" si="0"/>
        <v>30352.5</v>
      </c>
      <c r="AA4" s="189">
        <v>99000</v>
      </c>
      <c r="AB4" s="194" t="str">
        <f t="shared" si="1"/>
        <v>Aloha Friday</v>
      </c>
      <c r="AD4" s="234">
        <f t="shared" ref="AD4:AD63" si="4">Z4</f>
        <v>30352.5</v>
      </c>
      <c r="AH4" s="234"/>
      <c r="AI4" s="234"/>
      <c r="AJ4" s="979">
        <v>2</v>
      </c>
      <c r="AK4" s="981">
        <f t="shared" ref="AK4:AK63" si="5">AL4/9.5</f>
        <v>3195</v>
      </c>
      <c r="AL4" s="977">
        <f t="shared" si="2"/>
        <v>30352.5</v>
      </c>
      <c r="AM4" s="978" t="str">
        <f t="shared" si="3"/>
        <v>Aloha Friday</v>
      </c>
    </row>
    <row r="5" spans="1:39" ht="10.9" customHeight="1">
      <c r="A5" s="194" t="s">
        <v>164</v>
      </c>
      <c r="B5" s="639">
        <f>'1.08.23'!E27</f>
        <v>3686</v>
      </c>
      <c r="C5" s="639"/>
      <c r="D5" s="639"/>
      <c r="E5" s="639"/>
      <c r="F5" s="639"/>
      <c r="G5" s="639"/>
      <c r="H5" s="1165"/>
      <c r="I5" s="1165"/>
      <c r="J5" s="701"/>
      <c r="K5" s="701"/>
      <c r="L5" s="701"/>
      <c r="M5" s="701"/>
      <c r="N5" s="701"/>
      <c r="O5" s="701"/>
      <c r="P5" s="701">
        <f>'1.22.23'!E27</f>
        <v>4313</v>
      </c>
      <c r="Q5" s="736"/>
      <c r="R5" s="736"/>
      <c r="S5" s="737"/>
      <c r="T5" s="737"/>
      <c r="U5" s="736">
        <f>'1.27.23'!E7</f>
        <v>4408</v>
      </c>
      <c r="V5" s="737"/>
      <c r="W5" s="736">
        <f>'1.29.23'!E18</f>
        <v>4569.5</v>
      </c>
      <c r="X5" s="452"/>
      <c r="Y5" s="452"/>
      <c r="Z5" s="189">
        <f t="shared" si="0"/>
        <v>16976.5</v>
      </c>
      <c r="AA5" s="189">
        <f>449000-Z5</f>
        <v>432023.5</v>
      </c>
      <c r="AB5" s="194" t="str">
        <f t="shared" si="1"/>
        <v>Austyn's Burgers</v>
      </c>
      <c r="AD5" s="234">
        <f t="shared" si="4"/>
        <v>16976.5</v>
      </c>
      <c r="AH5" s="234">
        <v>270375.5</v>
      </c>
      <c r="AI5" s="234"/>
      <c r="AJ5" s="979">
        <v>3</v>
      </c>
      <c r="AK5" s="981">
        <f t="shared" si="5"/>
        <v>1787</v>
      </c>
      <c r="AL5" s="977">
        <f t="shared" si="2"/>
        <v>16976.5</v>
      </c>
      <c r="AM5" s="978" t="str">
        <f t="shared" si="3"/>
        <v>Austyn's Burgers</v>
      </c>
    </row>
    <row r="6" spans="1:39" ht="10.9" customHeight="1">
      <c r="A6" s="195" t="s">
        <v>51</v>
      </c>
      <c r="B6" s="1139"/>
      <c r="C6" s="252"/>
      <c r="D6" s="252"/>
      <c r="E6" s="252"/>
      <c r="F6" s="252"/>
      <c r="G6" s="252"/>
      <c r="H6" s="1166"/>
      <c r="I6" s="1166"/>
      <c r="J6" s="252"/>
      <c r="K6" s="252"/>
      <c r="L6" s="252"/>
      <c r="M6" s="252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189">
        <f t="shared" si="0"/>
        <v>0</v>
      </c>
      <c r="AA6" s="961">
        <f>100000-Z6+350000</f>
        <v>450000</v>
      </c>
      <c r="AB6" s="194" t="str">
        <f t="shared" si="1"/>
        <v>Baby's Burgers</v>
      </c>
      <c r="AD6" s="234">
        <f t="shared" si="4"/>
        <v>0</v>
      </c>
      <c r="AH6" s="234">
        <v>128995</v>
      </c>
      <c r="AI6" s="234"/>
      <c r="AJ6" s="979">
        <v>4</v>
      </c>
      <c r="AK6" s="981">
        <f t="shared" si="5"/>
        <v>0</v>
      </c>
      <c r="AL6" s="977">
        <f t="shared" si="2"/>
        <v>0</v>
      </c>
      <c r="AM6" s="978" t="str">
        <f t="shared" si="3"/>
        <v>Baby's Burgers</v>
      </c>
    </row>
    <row r="7" spans="1:39" ht="10.9" customHeight="1">
      <c r="A7" s="195" t="s">
        <v>62</v>
      </c>
      <c r="B7" s="1139"/>
      <c r="C7" s="252"/>
      <c r="D7" s="252"/>
      <c r="E7" s="252"/>
      <c r="F7" s="252"/>
      <c r="G7" s="252"/>
      <c r="H7" s="1166"/>
      <c r="I7" s="1166"/>
      <c r="J7" s="252"/>
      <c r="K7" s="252"/>
      <c r="L7" s="252"/>
      <c r="M7" s="252"/>
      <c r="N7" s="252"/>
      <c r="O7" s="252"/>
      <c r="P7" s="252"/>
      <c r="Q7" s="738"/>
      <c r="R7" s="738"/>
      <c r="S7" s="738"/>
      <c r="T7" s="738">
        <f>'1.26.23'!E7</f>
        <v>2299</v>
      </c>
      <c r="U7" s="738"/>
      <c r="V7" s="738"/>
      <c r="W7" s="738"/>
      <c r="X7" s="252"/>
      <c r="Y7" s="252"/>
      <c r="Z7" s="189">
        <f t="shared" si="0"/>
        <v>2299</v>
      </c>
      <c r="AA7" s="961">
        <f>100000-Z7</f>
        <v>97701</v>
      </c>
      <c r="AB7" s="194" t="str">
        <f t="shared" si="1"/>
        <v>Belly's Sliders Wings</v>
      </c>
      <c r="AD7" s="234">
        <f t="shared" si="4"/>
        <v>2299</v>
      </c>
      <c r="AH7" s="234">
        <v>67842.5</v>
      </c>
      <c r="AI7" s="234"/>
      <c r="AJ7" s="979">
        <v>5</v>
      </c>
      <c r="AK7" s="981">
        <f t="shared" si="5"/>
        <v>242</v>
      </c>
      <c r="AL7" s="977">
        <f t="shared" si="2"/>
        <v>2299</v>
      </c>
      <c r="AM7" s="978" t="str">
        <f t="shared" si="3"/>
        <v>Belly's Sliders Wings</v>
      </c>
    </row>
    <row r="8" spans="1:39" ht="10.15" customHeight="1">
      <c r="A8" s="195" t="s">
        <v>12</v>
      </c>
      <c r="B8" s="640"/>
      <c r="C8" s="640">
        <f>'1.09.23'!E29</f>
        <v>1890.5</v>
      </c>
      <c r="D8" s="640"/>
      <c r="E8" s="640"/>
      <c r="F8" s="640"/>
      <c r="G8" s="640"/>
      <c r="H8" s="1166"/>
      <c r="I8" s="1166"/>
      <c r="J8" s="702"/>
      <c r="K8" s="702"/>
      <c r="L8" s="702">
        <f>'1.18.23'!E27</f>
        <v>3059</v>
      </c>
      <c r="M8" s="702"/>
      <c r="N8" s="702"/>
      <c r="O8" s="702"/>
      <c r="P8" s="702"/>
      <c r="Q8" s="252"/>
      <c r="R8" s="252"/>
      <c r="S8" s="252"/>
      <c r="T8" s="252"/>
      <c r="U8" s="252"/>
      <c r="V8" s="252"/>
      <c r="W8" s="252"/>
      <c r="X8" s="252">
        <f>'1.30.23'!E8</f>
        <v>3638.5</v>
      </c>
      <c r="Y8" s="252"/>
      <c r="Z8" s="189">
        <f t="shared" si="0"/>
        <v>8588</v>
      </c>
      <c r="AA8" s="961">
        <f>100000-Z8</f>
        <v>91412</v>
      </c>
      <c r="AB8" s="194" t="str">
        <f t="shared" si="1"/>
        <v>Bison Burger</v>
      </c>
      <c r="AD8" s="234">
        <f t="shared" si="4"/>
        <v>8588</v>
      </c>
      <c r="AH8" s="234">
        <v>36161.5</v>
      </c>
      <c r="AI8" s="234"/>
      <c r="AJ8" s="979">
        <v>6</v>
      </c>
      <c r="AK8" s="981">
        <f t="shared" si="5"/>
        <v>904</v>
      </c>
      <c r="AL8" s="977">
        <f t="shared" si="2"/>
        <v>8588</v>
      </c>
      <c r="AM8" s="978" t="str">
        <f t="shared" si="3"/>
        <v>Bison Burger</v>
      </c>
    </row>
    <row r="9" spans="1:39" ht="10.15" customHeight="1">
      <c r="A9" s="195" t="s">
        <v>331</v>
      </c>
      <c r="B9" s="640">
        <f>'1.08.23'!E28</f>
        <v>3619.5</v>
      </c>
      <c r="C9" s="640">
        <f>'1.09.23'!E28</f>
        <v>2812</v>
      </c>
      <c r="D9" s="640"/>
      <c r="E9" s="640"/>
      <c r="F9" s="640"/>
      <c r="G9" s="640"/>
      <c r="H9" s="1166"/>
      <c r="I9" s="1166"/>
      <c r="J9" s="702">
        <f>'1.16.23'!E28</f>
        <v>4968.5</v>
      </c>
      <c r="K9" s="702"/>
      <c r="L9" s="702"/>
      <c r="M9" s="702"/>
      <c r="N9" s="702"/>
      <c r="O9" s="702">
        <f>'1.21.23'!E7</f>
        <v>2679</v>
      </c>
      <c r="P9" s="702"/>
      <c r="Q9" s="738"/>
      <c r="R9" s="738">
        <f>'1.24.23'!E28</f>
        <v>4712</v>
      </c>
      <c r="S9" s="738"/>
      <c r="T9" s="738"/>
      <c r="U9" s="738">
        <f>'1.27.23'!E28</f>
        <v>5073</v>
      </c>
      <c r="V9" s="738"/>
      <c r="W9" s="738"/>
      <c r="X9" s="252"/>
      <c r="Y9" s="252"/>
      <c r="Z9" s="189">
        <f t="shared" si="0"/>
        <v>23864</v>
      </c>
      <c r="AA9" s="189">
        <v>99000</v>
      </c>
      <c r="AB9" s="194" t="str">
        <f t="shared" si="1"/>
        <v>Bittie Bitez</v>
      </c>
      <c r="AD9" s="234">
        <f t="shared" si="4"/>
        <v>23864</v>
      </c>
      <c r="AH9" s="234"/>
      <c r="AI9" s="234"/>
      <c r="AJ9" s="979">
        <v>7</v>
      </c>
      <c r="AK9" s="981">
        <f t="shared" si="5"/>
        <v>2512</v>
      </c>
      <c r="AL9" s="977">
        <f t="shared" si="2"/>
        <v>23864</v>
      </c>
      <c r="AM9" s="978" t="str">
        <f t="shared" si="3"/>
        <v>Bittie Bitez</v>
      </c>
    </row>
    <row r="10" spans="1:39" ht="10.15" customHeight="1">
      <c r="A10" s="195" t="s">
        <v>239</v>
      </c>
      <c r="B10" s="640">
        <f>'1.08.23'!E17</f>
        <v>1197</v>
      </c>
      <c r="C10" s="640"/>
      <c r="D10" s="640"/>
      <c r="E10" s="640"/>
      <c r="F10" s="640"/>
      <c r="G10" s="640"/>
      <c r="H10" s="1166"/>
      <c r="I10" s="1166"/>
      <c r="J10" s="702"/>
      <c r="K10" s="702">
        <f>'1.17.23'!E19+'1.17.23'!E29</f>
        <v>4417.5</v>
      </c>
      <c r="L10" s="702"/>
      <c r="M10" s="702"/>
      <c r="N10" s="702"/>
      <c r="O10" s="702"/>
      <c r="P10" s="702">
        <f>'1.22.23'!E18</f>
        <v>2318</v>
      </c>
      <c r="Q10" s="738"/>
      <c r="R10" s="738"/>
      <c r="S10" s="738"/>
      <c r="T10" s="738"/>
      <c r="U10" s="738">
        <f>'1.27.23'!E19</f>
        <v>2099.5</v>
      </c>
      <c r="V10" s="738"/>
      <c r="W10" s="738"/>
      <c r="X10" s="252">
        <f>'1.30.23'!E19</f>
        <v>2289.5</v>
      </c>
      <c r="Y10" s="252">
        <f>'1.31.23'!E8</f>
        <v>2555.5</v>
      </c>
      <c r="Z10" s="189">
        <f t="shared" si="0"/>
        <v>14877</v>
      </c>
      <c r="AA10" s="961">
        <f>100000-Z10</f>
        <v>85123</v>
      </c>
      <c r="AB10" s="194" t="str">
        <f t="shared" si="1"/>
        <v>Bollywood Kitchen</v>
      </c>
      <c r="AD10" s="234">
        <f t="shared" si="4"/>
        <v>14877</v>
      </c>
      <c r="AH10" s="234">
        <v>41845.5</v>
      </c>
      <c r="AI10" s="234"/>
      <c r="AJ10" s="979">
        <v>8</v>
      </c>
      <c r="AK10" s="981">
        <f t="shared" si="5"/>
        <v>1566</v>
      </c>
      <c r="AL10" s="977">
        <f t="shared" si="2"/>
        <v>14877</v>
      </c>
      <c r="AM10" s="978" t="str">
        <f t="shared" si="3"/>
        <v>Bollywood Kitchen</v>
      </c>
    </row>
    <row r="11" spans="1:39" ht="10.15" customHeight="1">
      <c r="A11" s="195" t="s">
        <v>68</v>
      </c>
      <c r="B11" s="1139"/>
      <c r="C11" s="252"/>
      <c r="D11" s="252"/>
      <c r="E11" s="252"/>
      <c r="F11" s="252"/>
      <c r="G11" s="252"/>
      <c r="H11" s="1166"/>
      <c r="I11" s="1166"/>
      <c r="J11" s="252"/>
      <c r="K11" s="252"/>
      <c r="L11" s="252"/>
      <c r="M11" s="252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189">
        <f t="shared" si="0"/>
        <v>0</v>
      </c>
      <c r="AA11" s="961">
        <f>100000-Z11</f>
        <v>100000</v>
      </c>
      <c r="AB11" s="194" t="str">
        <f t="shared" si="1"/>
        <v>Bunz Gourmet Burgers</v>
      </c>
      <c r="AD11" s="234">
        <f t="shared" si="4"/>
        <v>0</v>
      </c>
      <c r="AH11" s="234">
        <v>18672</v>
      </c>
      <c r="AI11" s="234"/>
      <c r="AJ11" s="979">
        <v>9</v>
      </c>
      <c r="AK11" s="981">
        <f t="shared" si="5"/>
        <v>0</v>
      </c>
      <c r="AL11" s="977">
        <f t="shared" si="2"/>
        <v>0</v>
      </c>
      <c r="AM11" s="978" t="str">
        <f t="shared" si="3"/>
        <v>Bunz Gourmet Burgers</v>
      </c>
    </row>
    <row r="12" spans="1:39" ht="10.15" customHeight="1">
      <c r="A12" s="195" t="s">
        <v>245</v>
      </c>
      <c r="B12" s="1139"/>
      <c r="C12" s="252"/>
      <c r="D12" s="252"/>
      <c r="E12" s="252"/>
      <c r="F12" s="252"/>
      <c r="G12" s="252"/>
      <c r="H12" s="1166"/>
      <c r="I12" s="1166"/>
      <c r="J12" s="252"/>
      <c r="K12" s="252"/>
      <c r="L12" s="252"/>
      <c r="M12" s="252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189">
        <f t="shared" si="0"/>
        <v>0</v>
      </c>
      <c r="AA12" s="961">
        <f>100000-Z12</f>
        <v>100000</v>
      </c>
      <c r="AB12" s="194" t="str">
        <f t="shared" si="1"/>
        <v>Café Vietnam</v>
      </c>
      <c r="AD12" s="234">
        <f t="shared" si="4"/>
        <v>0</v>
      </c>
      <c r="AH12" s="234">
        <v>32515.5</v>
      </c>
      <c r="AI12" s="234"/>
      <c r="AJ12" s="979">
        <v>10</v>
      </c>
      <c r="AK12" s="981">
        <f t="shared" si="5"/>
        <v>0</v>
      </c>
      <c r="AL12" s="977">
        <f t="shared" si="2"/>
        <v>0</v>
      </c>
      <c r="AM12" s="978" t="str">
        <f t="shared" si="3"/>
        <v>Café Vietnam</v>
      </c>
    </row>
    <row r="13" spans="1:39" ht="10.15" customHeight="1">
      <c r="A13" s="195" t="s">
        <v>254</v>
      </c>
      <c r="B13" s="640"/>
      <c r="C13" s="640"/>
      <c r="D13" s="640"/>
      <c r="E13" s="640">
        <f>'1.11.23'!E8</f>
        <v>2821.5</v>
      </c>
      <c r="F13" s="640"/>
      <c r="G13" s="640">
        <f>'1.13.23'!E8 +'1.13.23'!E18</f>
        <v>5405.5</v>
      </c>
      <c r="H13" s="1166"/>
      <c r="I13" s="1166"/>
      <c r="J13" s="702"/>
      <c r="K13" s="702"/>
      <c r="L13" s="702"/>
      <c r="M13" s="702">
        <f>'1.19.23'!E7</f>
        <v>2546</v>
      </c>
      <c r="N13" s="702"/>
      <c r="O13" s="702">
        <f>'1.21.23'!E27</f>
        <v>2926</v>
      </c>
      <c r="P13" s="702">
        <f>'1.22.23'!E8</f>
        <v>2764.5</v>
      </c>
      <c r="Q13" s="738">
        <f>'1.23.23'!E17</f>
        <v>2460.5</v>
      </c>
      <c r="R13" s="738"/>
      <c r="S13" s="738"/>
      <c r="T13" s="738">
        <f>'1.26.23'!E29</f>
        <v>2736</v>
      </c>
      <c r="U13" s="738">
        <f>'1.27.23'!E8</f>
        <v>3325</v>
      </c>
      <c r="V13" s="738">
        <f>'1.28.23'!E29</f>
        <v>2878.5</v>
      </c>
      <c r="W13" s="738">
        <f>'1.29.23'!E29</f>
        <v>3258.5</v>
      </c>
      <c r="X13" s="252"/>
      <c r="Y13" s="252"/>
      <c r="Z13" s="189">
        <f t="shared" si="0"/>
        <v>31122</v>
      </c>
      <c r="AA13" s="961">
        <f>100000-Z13+350000</f>
        <v>418878</v>
      </c>
      <c r="AB13" s="194" t="str">
        <f t="shared" si="1"/>
        <v>Cartel Taco Truck</v>
      </c>
      <c r="AD13" s="234">
        <f t="shared" si="4"/>
        <v>31122</v>
      </c>
      <c r="AH13" s="234">
        <v>126406.5</v>
      </c>
      <c r="AI13" s="234"/>
      <c r="AJ13" s="979">
        <v>11</v>
      </c>
      <c r="AK13" s="981">
        <f t="shared" si="5"/>
        <v>3276</v>
      </c>
      <c r="AL13" s="977">
        <f t="shared" si="2"/>
        <v>31122</v>
      </c>
      <c r="AM13" s="978" t="str">
        <f t="shared" si="3"/>
        <v>Cartel Taco Truck</v>
      </c>
    </row>
    <row r="14" spans="1:39" ht="10.15" customHeight="1">
      <c r="A14" s="195" t="s">
        <v>49</v>
      </c>
      <c r="B14" s="640">
        <f>'1.08.23'!E19</f>
        <v>1976</v>
      </c>
      <c r="C14" s="640"/>
      <c r="D14" s="640"/>
      <c r="E14" s="640"/>
      <c r="F14" s="640"/>
      <c r="G14" s="640">
        <f>'1.13.23'!E27</f>
        <v>2584</v>
      </c>
      <c r="H14" s="1166"/>
      <c r="I14" s="1166"/>
      <c r="J14" s="702"/>
      <c r="K14" s="702"/>
      <c r="L14" s="702"/>
      <c r="M14" s="702"/>
      <c r="N14" s="702"/>
      <c r="O14" s="702"/>
      <c r="P14" s="702">
        <f>'1.22.23'!E17</f>
        <v>4275</v>
      </c>
      <c r="Q14" s="738">
        <f>'1.23.23'!E29</f>
        <v>3809.5</v>
      </c>
      <c r="R14" s="738"/>
      <c r="S14" s="738"/>
      <c r="T14" s="738"/>
      <c r="U14" s="738">
        <f>'1.27.23'!E17</f>
        <v>3562.5</v>
      </c>
      <c r="V14" s="738"/>
      <c r="W14" s="738">
        <f>'1.29.23'!E7</f>
        <v>4455.5</v>
      </c>
      <c r="X14" s="252"/>
      <c r="Y14" s="252"/>
      <c r="Z14" s="189">
        <f t="shared" si="0"/>
        <v>20662.5</v>
      </c>
      <c r="AA14" s="961">
        <f>100000-Z14</f>
        <v>79337.5</v>
      </c>
      <c r="AB14" s="194" t="str">
        <f t="shared" si="1"/>
        <v>Cerda Vega Tacos</v>
      </c>
      <c r="AD14" s="234">
        <f t="shared" si="4"/>
        <v>20662.5</v>
      </c>
      <c r="AH14" s="782">
        <v>103495</v>
      </c>
      <c r="AI14" s="234"/>
      <c r="AJ14" s="979">
        <v>12</v>
      </c>
      <c r="AK14" s="981">
        <f t="shared" si="5"/>
        <v>2175</v>
      </c>
      <c r="AL14" s="977">
        <f t="shared" si="2"/>
        <v>20662.5</v>
      </c>
      <c r="AM14" s="978" t="str">
        <f t="shared" si="3"/>
        <v>Cerda Vega Tacos</v>
      </c>
    </row>
    <row r="15" spans="1:39" ht="10.15" customHeight="1">
      <c r="A15" s="195" t="s">
        <v>235</v>
      </c>
      <c r="B15" s="640"/>
      <c r="C15" s="640"/>
      <c r="D15" s="640">
        <f>'1.10.23'!E28</f>
        <v>2764.5</v>
      </c>
      <c r="E15" s="640"/>
      <c r="F15" s="640"/>
      <c r="G15" s="640"/>
      <c r="H15" s="1166"/>
      <c r="I15" s="1166"/>
      <c r="J15" s="702"/>
      <c r="K15" s="702"/>
      <c r="L15" s="702">
        <f>'1.18.23'!E28</f>
        <v>4892.5</v>
      </c>
      <c r="M15" s="702"/>
      <c r="N15" s="702"/>
      <c r="O15" s="702">
        <f>'1.21.23'!E28</f>
        <v>4275</v>
      </c>
      <c r="P15" s="702"/>
      <c r="Q15" s="738"/>
      <c r="R15" s="738"/>
      <c r="S15" s="738"/>
      <c r="T15" s="738">
        <f>'1.26.23'!E28</f>
        <v>5225</v>
      </c>
      <c r="U15" s="738"/>
      <c r="V15" s="738">
        <f>'1.28.23'!E28</f>
        <v>5187</v>
      </c>
      <c r="W15" s="738"/>
      <c r="X15" s="252"/>
      <c r="Y15" s="252"/>
      <c r="Z15" s="189">
        <f t="shared" si="0"/>
        <v>22344</v>
      </c>
      <c r="AA15" s="961">
        <f>100000-Z15+350000</f>
        <v>427656</v>
      </c>
      <c r="AB15" s="194" t="str">
        <f t="shared" si="1"/>
        <v>Creamy Boys</v>
      </c>
      <c r="AD15" s="234">
        <f t="shared" si="4"/>
        <v>22344</v>
      </c>
      <c r="AH15" s="234">
        <v>292911</v>
      </c>
      <c r="AI15" s="234"/>
      <c r="AJ15" s="979">
        <v>13</v>
      </c>
      <c r="AK15" s="981">
        <f t="shared" si="5"/>
        <v>2352</v>
      </c>
      <c r="AL15" s="977">
        <f t="shared" si="2"/>
        <v>22344</v>
      </c>
      <c r="AM15" s="978" t="str">
        <f t="shared" si="3"/>
        <v>Creamy Boys</v>
      </c>
    </row>
    <row r="16" spans="1:39" ht="10.15" customHeight="1">
      <c r="A16" s="195" t="s">
        <v>188</v>
      </c>
      <c r="B16" s="1139"/>
      <c r="C16" s="252"/>
      <c r="D16" s="252"/>
      <c r="E16" s="252"/>
      <c r="F16" s="252"/>
      <c r="G16" s="252"/>
      <c r="H16" s="1166"/>
      <c r="I16" s="1166"/>
      <c r="J16" s="252"/>
      <c r="K16" s="252"/>
      <c r="L16" s="252"/>
      <c r="M16" s="252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189">
        <f t="shared" si="0"/>
        <v>0</v>
      </c>
      <c r="AA16" s="961">
        <f>100000-Z16</f>
        <v>100000</v>
      </c>
      <c r="AB16" s="194" t="str">
        <f t="shared" si="1"/>
        <v>Deli Doctor</v>
      </c>
      <c r="AD16" s="234">
        <f t="shared" si="4"/>
        <v>0</v>
      </c>
      <c r="AH16" s="234">
        <v>51936.5</v>
      </c>
      <c r="AI16" s="234"/>
      <c r="AJ16" s="979">
        <v>14</v>
      </c>
      <c r="AK16" s="981">
        <f t="shared" si="5"/>
        <v>0</v>
      </c>
      <c r="AL16" s="977">
        <f t="shared" si="2"/>
        <v>0</v>
      </c>
      <c r="AM16" s="978" t="str">
        <f t="shared" si="3"/>
        <v>Deli Doctor</v>
      </c>
    </row>
    <row r="17" spans="1:39" ht="9.75" customHeight="1">
      <c r="A17" s="195" t="s">
        <v>243</v>
      </c>
      <c r="B17" s="640">
        <f>'1.08.23'!E18</f>
        <v>4997</v>
      </c>
      <c r="C17" s="640">
        <f>'1.09.23'!E17</f>
        <v>5158.5</v>
      </c>
      <c r="D17" s="640"/>
      <c r="E17" s="640"/>
      <c r="F17" s="640"/>
      <c r="G17" s="640"/>
      <c r="H17" s="1166"/>
      <c r="I17" s="1166"/>
      <c r="J17" s="702"/>
      <c r="K17" s="702"/>
      <c r="L17" s="702">
        <f>'1.18.23'!E9</f>
        <v>5443.5</v>
      </c>
      <c r="M17" s="702"/>
      <c r="N17" s="702">
        <f>'1.20.23'!E19</f>
        <v>4484</v>
      </c>
      <c r="O17" s="702"/>
      <c r="P17" s="702"/>
      <c r="Q17" s="738"/>
      <c r="R17" s="738"/>
      <c r="S17" s="738">
        <f>'1.25.23'!E7</f>
        <v>6859</v>
      </c>
      <c r="T17" s="738"/>
      <c r="U17" s="738">
        <f>'1.27.23'!E29</f>
        <v>5044.5</v>
      </c>
      <c r="V17" s="738">
        <f>'1.28.23'!E9</f>
        <v>6764</v>
      </c>
      <c r="W17" s="738">
        <f>'1.29.23'!E9</f>
        <v>7020.5</v>
      </c>
      <c r="X17" s="252"/>
      <c r="Y17" s="252"/>
      <c r="Z17" s="189">
        <f t="shared" si="0"/>
        <v>45771</v>
      </c>
      <c r="AA17" s="961">
        <f>100000-Z17+100000</f>
        <v>154229</v>
      </c>
      <c r="AB17" s="194" t="str">
        <f t="shared" si="1"/>
        <v>Dina's Dumpling</v>
      </c>
      <c r="AD17" s="234">
        <f t="shared" si="4"/>
        <v>45771</v>
      </c>
      <c r="AH17" s="234">
        <v>70634</v>
      </c>
      <c r="AI17" s="234"/>
      <c r="AJ17" s="979">
        <v>15</v>
      </c>
      <c r="AK17" s="981">
        <f t="shared" si="5"/>
        <v>4818</v>
      </c>
      <c r="AL17" s="977">
        <f t="shared" si="2"/>
        <v>45771</v>
      </c>
      <c r="AM17" s="978" t="str">
        <f t="shared" si="3"/>
        <v>Dina's Dumpling</v>
      </c>
    </row>
    <row r="18" spans="1:39" ht="10.15" customHeight="1">
      <c r="A18" s="195" t="s">
        <v>334</v>
      </c>
      <c r="B18" s="1139"/>
      <c r="C18" s="252"/>
      <c r="D18" s="252"/>
      <c r="E18" s="252"/>
      <c r="F18" s="252"/>
      <c r="G18" s="252"/>
      <c r="H18" s="1166"/>
      <c r="I18" s="1166"/>
      <c r="J18" s="252"/>
      <c r="K18" s="252"/>
      <c r="L18" s="252"/>
      <c r="M18" s="252"/>
      <c r="N18" s="252"/>
      <c r="O18" s="252"/>
      <c r="P18" s="252"/>
      <c r="Q18" s="738">
        <f>'1.23.23'!E28</f>
        <v>5880.5</v>
      </c>
      <c r="R18" s="738"/>
      <c r="S18" s="738"/>
      <c r="T18" s="738"/>
      <c r="U18" s="738"/>
      <c r="V18" s="738"/>
      <c r="W18" s="738">
        <f>'1.29.23'!E28</f>
        <v>5282</v>
      </c>
      <c r="X18" s="252"/>
      <c r="Y18" s="252"/>
      <c r="Z18" s="189">
        <f t="shared" si="0"/>
        <v>11162.5</v>
      </c>
      <c r="AA18" s="189">
        <v>99000</v>
      </c>
      <c r="AB18" s="194" t="str">
        <f t="shared" si="1"/>
        <v>Dulce Europa</v>
      </c>
      <c r="AD18" s="234">
        <f t="shared" si="4"/>
        <v>11162.5</v>
      </c>
      <c r="AH18" s="234"/>
      <c r="AI18" s="234"/>
      <c r="AJ18" s="979">
        <v>16</v>
      </c>
      <c r="AK18" s="981">
        <f t="shared" si="5"/>
        <v>1175</v>
      </c>
      <c r="AL18" s="977">
        <f t="shared" si="2"/>
        <v>11162.5</v>
      </c>
      <c r="AM18" s="978" t="str">
        <f t="shared" si="3"/>
        <v>Dulce Europa</v>
      </c>
    </row>
    <row r="19" spans="1:39" ht="10.15" customHeight="1">
      <c r="A19" s="195" t="s">
        <v>63</v>
      </c>
      <c r="B19" s="640"/>
      <c r="C19" s="640">
        <f>'1.09.23'!E27</f>
        <v>2099.5</v>
      </c>
      <c r="D19" s="640"/>
      <c r="E19" s="640"/>
      <c r="F19" s="640"/>
      <c r="G19" s="640"/>
      <c r="H19" s="1166"/>
      <c r="I19" s="1166"/>
      <c r="J19" s="702"/>
      <c r="K19" s="702">
        <f>'1.17.23'!E17</f>
        <v>3467.5</v>
      </c>
      <c r="L19" s="702"/>
      <c r="M19" s="702"/>
      <c r="N19" s="702"/>
      <c r="O19" s="702"/>
      <c r="P19" s="702"/>
      <c r="Q19" s="738"/>
      <c r="R19" s="738"/>
      <c r="S19" s="738"/>
      <c r="T19" s="738"/>
      <c r="U19" s="738"/>
      <c r="V19" s="738">
        <f>'1.28.23'!E19</f>
        <v>3990</v>
      </c>
      <c r="W19" s="738"/>
      <c r="X19" s="252"/>
      <c r="Y19" s="252"/>
      <c r="Z19" s="189">
        <f t="shared" si="0"/>
        <v>9557</v>
      </c>
      <c r="AA19" s="961">
        <f>449000-Z19+350000</f>
        <v>789443</v>
      </c>
      <c r="AB19" s="194" t="str">
        <f t="shared" si="1"/>
        <v>Flamin Hot Chicken</v>
      </c>
      <c r="AD19" s="234">
        <f t="shared" si="4"/>
        <v>9557</v>
      </c>
      <c r="AH19" s="234">
        <v>188115.5</v>
      </c>
      <c r="AI19" s="234"/>
      <c r="AJ19" s="979">
        <v>17</v>
      </c>
      <c r="AK19" s="981">
        <f t="shared" si="5"/>
        <v>1006</v>
      </c>
      <c r="AL19" s="977">
        <f t="shared" si="2"/>
        <v>9557</v>
      </c>
      <c r="AM19" s="978" t="str">
        <f t="shared" si="3"/>
        <v>Flamin Hot Chicken</v>
      </c>
    </row>
    <row r="20" spans="1:39" ht="10.15" customHeight="1">
      <c r="A20" s="195" t="s">
        <v>78</v>
      </c>
      <c r="B20" s="640"/>
      <c r="C20" s="640"/>
      <c r="D20" s="640">
        <f>'1.10.23'!E17</f>
        <v>2527</v>
      </c>
      <c r="E20" s="640"/>
      <c r="F20" s="640"/>
      <c r="G20" s="640"/>
      <c r="H20" s="1166"/>
      <c r="I20" s="1166"/>
      <c r="J20" s="702"/>
      <c r="K20" s="702"/>
      <c r="L20" s="702">
        <f>'1.18.23'!E7</f>
        <v>4560</v>
      </c>
      <c r="M20" s="702"/>
      <c r="N20" s="702">
        <f>'1.20.23'!E8</f>
        <v>4246.5</v>
      </c>
      <c r="O20" s="702"/>
      <c r="P20" s="702"/>
      <c r="Q20" s="738"/>
      <c r="R20" s="738">
        <f>'1.24.23'!E17</f>
        <v>3733.5</v>
      </c>
      <c r="S20" s="738"/>
      <c r="T20" s="738"/>
      <c r="U20" s="738"/>
      <c r="V20" s="738"/>
      <c r="W20" s="738"/>
      <c r="X20" s="252"/>
      <c r="Y20" s="252"/>
      <c r="Z20" s="189">
        <f t="shared" si="0"/>
        <v>15067</v>
      </c>
      <c r="AA20" s="961">
        <f>100000-Z20</f>
        <v>84933</v>
      </c>
      <c r="AB20" s="194" t="str">
        <f t="shared" si="1"/>
        <v>Flaming Grain</v>
      </c>
      <c r="AD20" s="234">
        <f t="shared" si="4"/>
        <v>15067</v>
      </c>
      <c r="AH20" s="234">
        <v>55223</v>
      </c>
      <c r="AI20" s="234"/>
      <c r="AJ20" s="979">
        <v>18</v>
      </c>
      <c r="AK20" s="981">
        <f t="shared" si="5"/>
        <v>1586</v>
      </c>
      <c r="AL20" s="977">
        <f t="shared" si="2"/>
        <v>15067</v>
      </c>
      <c r="AM20" s="978" t="str">
        <f t="shared" si="3"/>
        <v>Flaming Grain</v>
      </c>
    </row>
    <row r="21" spans="1:39" ht="10.15" customHeight="1">
      <c r="A21" s="195" t="s">
        <v>696</v>
      </c>
      <c r="B21" s="640"/>
      <c r="C21" s="640"/>
      <c r="D21" s="640"/>
      <c r="E21" s="640">
        <f>'1.11.23'!E29</f>
        <v>1890.5</v>
      </c>
      <c r="F21" s="640"/>
      <c r="G21" s="640">
        <f>'1.13.23'!E9</f>
        <v>2451</v>
      </c>
      <c r="H21" s="1166"/>
      <c r="I21" s="1166"/>
      <c r="J21" s="702"/>
      <c r="K21" s="702">
        <f>'1.17.23'!E18</f>
        <v>2812</v>
      </c>
      <c r="L21" s="702"/>
      <c r="M21" s="702"/>
      <c r="N21" s="702"/>
      <c r="O21" s="702">
        <f>'1.21.23'!E29</f>
        <v>2033</v>
      </c>
      <c r="P21" s="702"/>
      <c r="Q21" s="252"/>
      <c r="R21" s="252"/>
      <c r="S21" s="252"/>
      <c r="T21" s="252"/>
      <c r="U21" s="252"/>
      <c r="V21" s="252"/>
      <c r="W21" s="252"/>
      <c r="X21" s="252"/>
      <c r="Y21" s="252"/>
      <c r="Z21" s="189">
        <f t="shared" si="0"/>
        <v>9186.5</v>
      </c>
      <c r="AA21" s="961">
        <f>100000-Z21</f>
        <v>90813.5</v>
      </c>
      <c r="AB21" s="194" t="str">
        <f t="shared" si="1"/>
        <v>Go Fusion</v>
      </c>
      <c r="AD21" s="234">
        <f t="shared" si="4"/>
        <v>9186.5</v>
      </c>
      <c r="AH21" s="234"/>
      <c r="AI21" s="234"/>
      <c r="AJ21" s="979">
        <v>19</v>
      </c>
      <c r="AK21" s="981">
        <f t="shared" si="5"/>
        <v>967</v>
      </c>
      <c r="AL21" s="977">
        <f t="shared" si="2"/>
        <v>9186.5</v>
      </c>
      <c r="AM21" s="978" t="str">
        <f t="shared" si="3"/>
        <v>Go Fusion</v>
      </c>
    </row>
    <row r="22" spans="1:39" ht="10.15" customHeight="1">
      <c r="A22" s="195" t="s">
        <v>129</v>
      </c>
      <c r="B22" s="1139"/>
      <c r="C22" s="252"/>
      <c r="D22" s="252"/>
      <c r="E22" s="252"/>
      <c r="F22" s="252"/>
      <c r="G22" s="252"/>
      <c r="H22" s="1166"/>
      <c r="I22" s="1166"/>
      <c r="J22" s="252"/>
      <c r="K22" s="252"/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189">
        <f t="shared" si="0"/>
        <v>0</v>
      </c>
      <c r="AA22" s="961">
        <f>100000-Z22</f>
        <v>100000</v>
      </c>
      <c r="AB22" s="194" t="str">
        <f t="shared" si="1"/>
        <v>Good East and Vibes</v>
      </c>
      <c r="AD22" s="234">
        <f t="shared" si="4"/>
        <v>0</v>
      </c>
      <c r="AH22" s="234">
        <v>11600</v>
      </c>
      <c r="AI22" s="234"/>
      <c r="AJ22" s="979">
        <v>20</v>
      </c>
      <c r="AK22" s="981">
        <f t="shared" si="5"/>
        <v>0</v>
      </c>
      <c r="AL22" s="977">
        <f t="shared" si="2"/>
        <v>0</v>
      </c>
      <c r="AM22" s="978" t="str">
        <f t="shared" si="3"/>
        <v>Good East and Vibes</v>
      </c>
    </row>
    <row r="23" spans="1:39" ht="10.15" customHeight="1">
      <c r="A23" s="195" t="s">
        <v>238</v>
      </c>
      <c r="B23" s="640"/>
      <c r="C23" s="640"/>
      <c r="D23" s="640">
        <f>'1.10.23'!E8</f>
        <v>2527</v>
      </c>
      <c r="E23" s="640"/>
      <c r="F23" s="640"/>
      <c r="G23" s="640"/>
      <c r="H23" s="1166"/>
      <c r="I23" s="1166"/>
      <c r="J23" s="252"/>
      <c r="K23" s="252"/>
      <c r="L23" s="252"/>
      <c r="M23" s="252"/>
      <c r="N23" s="252"/>
      <c r="O23" s="252"/>
      <c r="P23" s="252"/>
      <c r="Q23" s="738"/>
      <c r="R23" s="738"/>
      <c r="S23" s="738"/>
      <c r="T23" s="738"/>
      <c r="U23" s="738"/>
      <c r="V23" s="738"/>
      <c r="W23" s="738">
        <f>'1.29.23'!E19</f>
        <v>3116</v>
      </c>
      <c r="X23" s="252"/>
      <c r="Y23" s="252"/>
      <c r="Z23" s="189">
        <f t="shared" si="0"/>
        <v>5643</v>
      </c>
      <c r="AA23" s="961">
        <f>100000-Z23</f>
        <v>94357</v>
      </c>
      <c r="AB23" s="194" t="str">
        <f t="shared" si="1"/>
        <v>Habibi Shack</v>
      </c>
      <c r="AD23" s="234">
        <f t="shared" si="4"/>
        <v>5643</v>
      </c>
      <c r="AH23" s="234">
        <v>38069</v>
      </c>
      <c r="AI23" s="234"/>
      <c r="AJ23" s="979">
        <v>21</v>
      </c>
      <c r="AK23" s="981">
        <f t="shared" si="5"/>
        <v>594</v>
      </c>
      <c r="AL23" s="977">
        <f t="shared" si="2"/>
        <v>5643</v>
      </c>
      <c r="AM23" s="978" t="str">
        <f t="shared" si="3"/>
        <v>Habibi Shack</v>
      </c>
    </row>
    <row r="24" spans="1:39" ht="10.15" customHeight="1">
      <c r="A24" s="195" t="s">
        <v>790</v>
      </c>
      <c r="B24" s="1139"/>
      <c r="C24" s="252"/>
      <c r="D24" s="252"/>
      <c r="E24" s="252"/>
      <c r="F24" s="252"/>
      <c r="G24" s="252"/>
      <c r="H24" s="1166"/>
      <c r="I24" s="1166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189">
        <f t="shared" si="0"/>
        <v>0</v>
      </c>
      <c r="AA24" s="189">
        <v>99000</v>
      </c>
      <c r="AB24" s="194" t="str">
        <f t="shared" si="1"/>
        <v>Heritage Kitchen</v>
      </c>
      <c r="AD24" s="234">
        <f t="shared" si="4"/>
        <v>0</v>
      </c>
      <c r="AH24" s="234"/>
      <c r="AI24" s="234"/>
      <c r="AJ24" s="979">
        <v>22</v>
      </c>
      <c r="AK24" s="981">
        <f t="shared" si="5"/>
        <v>0</v>
      </c>
      <c r="AL24" s="977">
        <f t="shared" si="2"/>
        <v>0</v>
      </c>
      <c r="AM24" s="978" t="str">
        <f t="shared" si="3"/>
        <v>Heritage Kitchen</v>
      </c>
    </row>
    <row r="25" spans="1:39" ht="10.15" customHeight="1">
      <c r="A25" s="195" t="s">
        <v>328</v>
      </c>
      <c r="B25" s="1139"/>
      <c r="C25" s="252"/>
      <c r="D25" s="252"/>
      <c r="E25" s="252"/>
      <c r="F25" s="252"/>
      <c r="G25" s="252"/>
      <c r="H25" s="1166"/>
      <c r="I25" s="1166"/>
      <c r="J25" s="252"/>
      <c r="K25" s="252"/>
      <c r="L25" s="252"/>
      <c r="M25" s="252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189">
        <f t="shared" si="0"/>
        <v>0</v>
      </c>
      <c r="AA25" s="189">
        <v>99000</v>
      </c>
      <c r="AB25" s="194" t="str">
        <f t="shared" si="1"/>
        <v>Heritage LA</v>
      </c>
      <c r="AD25" s="234">
        <f t="shared" si="4"/>
        <v>0</v>
      </c>
      <c r="AH25" s="234"/>
      <c r="AI25" s="234"/>
      <c r="AJ25" s="979">
        <v>23</v>
      </c>
      <c r="AK25" s="981">
        <f t="shared" si="5"/>
        <v>0</v>
      </c>
      <c r="AL25" s="977">
        <f t="shared" si="2"/>
        <v>0</v>
      </c>
      <c r="AM25" s="978" t="str">
        <f t="shared" si="3"/>
        <v>Heritage LA</v>
      </c>
    </row>
    <row r="26" spans="1:39" ht="10.15" customHeight="1">
      <c r="A26" s="195" t="s">
        <v>53</v>
      </c>
      <c r="B26" s="1139"/>
      <c r="C26" s="252"/>
      <c r="D26" s="252"/>
      <c r="E26" s="252"/>
      <c r="F26" s="252"/>
      <c r="G26" s="252"/>
      <c r="H26" s="1166"/>
      <c r="I26" s="1166"/>
      <c r="J26" s="702"/>
      <c r="K26" s="702"/>
      <c r="L26" s="702">
        <f>'1.18.23'!E19 + '1.18.23'!E29</f>
        <v>5380</v>
      </c>
      <c r="M26" s="702">
        <f>'1.19.23'!E29</f>
        <v>2500</v>
      </c>
      <c r="N26" s="702"/>
      <c r="O26" s="702"/>
      <c r="P26" s="702"/>
      <c r="Q26" s="252"/>
      <c r="R26" s="252"/>
      <c r="S26" s="252"/>
      <c r="T26" s="252"/>
      <c r="U26" s="252"/>
      <c r="V26" s="252"/>
      <c r="W26" s="252"/>
      <c r="X26" s="252"/>
      <c r="Y26" s="252"/>
      <c r="Z26" s="189">
        <f t="shared" si="0"/>
        <v>7880</v>
      </c>
      <c r="AA26" s="358">
        <f>350000-Z26+700000</f>
        <v>1042120</v>
      </c>
      <c r="AB26" s="194" t="str">
        <f t="shared" si="1"/>
        <v>Kogi</v>
      </c>
      <c r="AD26" s="234">
        <f t="shared" si="4"/>
        <v>7880</v>
      </c>
      <c r="AH26" s="234">
        <v>500</v>
      </c>
      <c r="AI26" s="234"/>
      <c r="AJ26" s="979">
        <v>24</v>
      </c>
      <c r="AK26" s="981">
        <f t="shared" si="5"/>
        <v>829.47368421052636</v>
      </c>
      <c r="AL26" s="977">
        <f t="shared" si="2"/>
        <v>7880</v>
      </c>
      <c r="AM26" s="978" t="str">
        <f t="shared" si="3"/>
        <v>Kogi</v>
      </c>
    </row>
    <row r="27" spans="1:39" ht="10.15" customHeight="1">
      <c r="A27" s="515" t="s">
        <v>267</v>
      </c>
      <c r="B27" s="640">
        <f>'1.08.23'!E29</f>
        <v>2185</v>
      </c>
      <c r="C27" s="640"/>
      <c r="D27" s="640"/>
      <c r="E27" s="640">
        <f>'1.11.23'!E19</f>
        <v>3667</v>
      </c>
      <c r="F27" s="640">
        <f>'1.12.23'!E29</f>
        <v>3705</v>
      </c>
      <c r="G27" s="640"/>
      <c r="H27" s="1166"/>
      <c r="I27" s="1166"/>
      <c r="J27" s="702">
        <f>'1.16.23'!E29</f>
        <v>4341.5</v>
      </c>
      <c r="K27" s="702"/>
      <c r="L27" s="702"/>
      <c r="M27" s="702">
        <f>'1.19.23'!E9</f>
        <v>3220.5</v>
      </c>
      <c r="N27" s="702"/>
      <c r="O27" s="702"/>
      <c r="P27" s="702">
        <f>'1.22.23'!E9</f>
        <v>4541</v>
      </c>
      <c r="Q27" s="738">
        <f>'1.23.23'!E27</f>
        <v>3828.5</v>
      </c>
      <c r="R27" s="738"/>
      <c r="S27" s="738">
        <f>'1.25.23'!E18</f>
        <v>3933</v>
      </c>
      <c r="T27" s="738"/>
      <c r="U27" s="738"/>
      <c r="V27" s="738"/>
      <c r="W27" s="738">
        <f>'1.29.23'!E17</f>
        <v>5168</v>
      </c>
      <c r="X27" s="252"/>
      <c r="Y27" s="252"/>
      <c r="Z27" s="189">
        <f t="shared" si="0"/>
        <v>34589.5</v>
      </c>
      <c r="AA27" s="961">
        <f>100000-Z27</f>
        <v>65410.5</v>
      </c>
      <c r="AB27" s="988" t="str">
        <f t="shared" si="1"/>
        <v>Love Greek Cuisine/Kalamaki Greek LA</v>
      </c>
      <c r="AD27" s="234">
        <f t="shared" si="4"/>
        <v>34589.5</v>
      </c>
      <c r="AH27" s="234">
        <v>362210.5</v>
      </c>
      <c r="AI27" s="234"/>
      <c r="AJ27" s="979">
        <v>25</v>
      </c>
      <c r="AK27" s="981">
        <f t="shared" si="5"/>
        <v>3641</v>
      </c>
      <c r="AL27" s="977">
        <f t="shared" si="2"/>
        <v>34589.5</v>
      </c>
      <c r="AM27" s="978" t="str">
        <f t="shared" si="3"/>
        <v>Love Greek Cuisine/Kalamaki Greek LA</v>
      </c>
    </row>
    <row r="28" spans="1:39" ht="10.15" customHeight="1">
      <c r="A28" s="195" t="s">
        <v>234</v>
      </c>
      <c r="B28" s="1139"/>
      <c r="C28" s="252"/>
      <c r="D28" s="252"/>
      <c r="E28" s="252"/>
      <c r="F28" s="252"/>
      <c r="G28" s="252"/>
      <c r="H28" s="1166"/>
      <c r="I28" s="1166"/>
      <c r="J28" s="252"/>
      <c r="K28" s="252"/>
      <c r="L28" s="252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189">
        <f t="shared" si="0"/>
        <v>0</v>
      </c>
      <c r="AA28" s="961">
        <f>100000-Z28</f>
        <v>100000</v>
      </c>
      <c r="AB28" s="194" t="str">
        <f t="shared" si="1"/>
        <v>Manna From Heaven</v>
      </c>
      <c r="AD28" s="234">
        <f t="shared" si="4"/>
        <v>0</v>
      </c>
      <c r="AH28" s="234">
        <v>8000</v>
      </c>
      <c r="AI28" s="234"/>
      <c r="AJ28" s="979">
        <v>26</v>
      </c>
      <c r="AK28" s="981">
        <f t="shared" si="5"/>
        <v>0</v>
      </c>
      <c r="AL28" s="977">
        <f t="shared" si="2"/>
        <v>0</v>
      </c>
      <c r="AM28" s="978" t="str">
        <f t="shared" si="3"/>
        <v>Manna From Heaven</v>
      </c>
    </row>
    <row r="29" spans="1:39" ht="9.6" customHeight="1">
      <c r="A29" s="195" t="s">
        <v>265</v>
      </c>
      <c r="B29" s="1139"/>
      <c r="C29" s="252"/>
      <c r="D29" s="252"/>
      <c r="E29" s="252"/>
      <c r="F29" s="252"/>
      <c r="G29" s="252"/>
      <c r="H29" s="1166"/>
      <c r="I29" s="1166"/>
      <c r="J29" s="252"/>
      <c r="K29" s="252"/>
      <c r="L29" s="252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189">
        <f t="shared" si="0"/>
        <v>0</v>
      </c>
      <c r="AA29" s="961">
        <f>100000-Z29</f>
        <v>100000</v>
      </c>
      <c r="AB29" s="194" t="str">
        <f t="shared" si="1"/>
        <v>Messi Burgers</v>
      </c>
      <c r="AD29" s="234">
        <f t="shared" si="4"/>
        <v>0</v>
      </c>
      <c r="AH29" s="234">
        <v>27987</v>
      </c>
      <c r="AI29" s="234"/>
      <c r="AJ29" s="979">
        <v>27</v>
      </c>
      <c r="AK29" s="981">
        <f t="shared" si="5"/>
        <v>0</v>
      </c>
      <c r="AL29" s="977">
        <f t="shared" si="2"/>
        <v>0</v>
      </c>
      <c r="AM29" s="978" t="str">
        <f t="shared" si="3"/>
        <v>Messi Burgers</v>
      </c>
    </row>
    <row r="30" spans="1:39" ht="9.6" customHeight="1">
      <c r="A30" s="195" t="s">
        <v>69</v>
      </c>
      <c r="B30" s="1139"/>
      <c r="C30" s="252"/>
      <c r="D30" s="252"/>
      <c r="E30" s="252"/>
      <c r="F30" s="252"/>
      <c r="G30" s="252"/>
      <c r="H30" s="1166"/>
      <c r="I30" s="1166"/>
      <c r="J30" s="252"/>
      <c r="K30" s="252"/>
      <c r="L30" s="252"/>
      <c r="M30" s="252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189">
        <f t="shared" si="0"/>
        <v>0</v>
      </c>
      <c r="AA30" s="961">
        <f>100000-Z30</f>
        <v>100000</v>
      </c>
      <c r="AB30" s="194" t="str">
        <f t="shared" si="1"/>
        <v>Mikhuna</v>
      </c>
      <c r="AD30" s="234">
        <f t="shared" si="4"/>
        <v>0</v>
      </c>
      <c r="AH30" s="234">
        <v>34678.5</v>
      </c>
      <c r="AI30" s="234"/>
      <c r="AJ30" s="979">
        <v>28</v>
      </c>
      <c r="AK30" s="981">
        <f t="shared" si="5"/>
        <v>0</v>
      </c>
      <c r="AL30" s="977">
        <f t="shared" si="2"/>
        <v>0</v>
      </c>
      <c r="AM30" s="978" t="str">
        <f t="shared" si="3"/>
        <v>Mikhuna</v>
      </c>
    </row>
    <row r="31" spans="1:39" ht="9.6" customHeight="1">
      <c r="A31" s="195" t="s">
        <v>76</v>
      </c>
      <c r="B31" s="1139"/>
      <c r="C31" s="252"/>
      <c r="D31" s="252"/>
      <c r="E31" s="252"/>
      <c r="F31" s="252"/>
      <c r="G31" s="252"/>
      <c r="H31" s="1166"/>
      <c r="I31" s="1166"/>
      <c r="J31" s="252"/>
      <c r="K31" s="252"/>
      <c r="L31" s="252"/>
      <c r="M31" s="252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189">
        <f t="shared" si="0"/>
        <v>0</v>
      </c>
      <c r="AA31" s="961">
        <f>449000-Z31+350000</f>
        <v>799000</v>
      </c>
      <c r="AB31" s="194" t="str">
        <f t="shared" si="1"/>
        <v>ML Eats Burger</v>
      </c>
      <c r="AD31" s="234">
        <f t="shared" si="4"/>
        <v>0</v>
      </c>
      <c r="AH31" s="234">
        <v>2774</v>
      </c>
      <c r="AI31" s="234"/>
      <c r="AJ31" s="979">
        <v>29</v>
      </c>
      <c r="AK31" s="981">
        <f t="shared" si="5"/>
        <v>0</v>
      </c>
      <c r="AL31" s="977">
        <f t="shared" si="2"/>
        <v>0</v>
      </c>
      <c r="AM31" s="978" t="str">
        <f t="shared" si="3"/>
        <v>ML Eats Burger</v>
      </c>
    </row>
    <row r="32" spans="1:39" ht="9.6" customHeight="1">
      <c r="A32" s="195" t="s">
        <v>335</v>
      </c>
      <c r="B32" s="1139"/>
      <c r="C32" s="252"/>
      <c r="D32" s="252"/>
      <c r="E32" s="252"/>
      <c r="F32" s="252"/>
      <c r="G32" s="252"/>
      <c r="H32" s="1166"/>
      <c r="I32" s="1166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189">
        <f t="shared" si="0"/>
        <v>0</v>
      </c>
      <c r="AA32" s="189">
        <v>99000</v>
      </c>
      <c r="AB32" s="194" t="str">
        <f t="shared" si="1"/>
        <v>Mumu's</v>
      </c>
      <c r="AD32" s="234">
        <f t="shared" si="4"/>
        <v>0</v>
      </c>
      <c r="AH32" s="234"/>
      <c r="AI32" s="234"/>
      <c r="AJ32" s="979">
        <v>30</v>
      </c>
      <c r="AK32" s="981">
        <f t="shared" si="5"/>
        <v>0</v>
      </c>
      <c r="AL32" s="977">
        <f t="shared" si="2"/>
        <v>0</v>
      </c>
      <c r="AM32" s="978" t="str">
        <f t="shared" si="3"/>
        <v>Mumu's</v>
      </c>
    </row>
    <row r="33" spans="1:39" ht="10.15" customHeight="1">
      <c r="A33" s="195" t="s">
        <v>186</v>
      </c>
      <c r="B33" s="1139"/>
      <c r="C33" s="252"/>
      <c r="D33" s="252"/>
      <c r="E33" s="252"/>
      <c r="F33" s="252"/>
      <c r="G33" s="252"/>
      <c r="H33" s="1166"/>
      <c r="I33" s="1166"/>
      <c r="J33" s="252"/>
      <c r="K33" s="252"/>
      <c r="L33" s="252"/>
      <c r="M33" s="252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189">
        <f t="shared" si="0"/>
        <v>0</v>
      </c>
      <c r="AA33" s="961">
        <f>100000-Z33</f>
        <v>100000</v>
      </c>
      <c r="AB33" s="194" t="str">
        <f t="shared" si="1"/>
        <v>Ohana Hibachi</v>
      </c>
      <c r="AD33" s="234">
        <f t="shared" si="4"/>
        <v>0</v>
      </c>
      <c r="AH33" s="234">
        <v>29265</v>
      </c>
      <c r="AI33" s="234"/>
      <c r="AJ33" s="979">
        <v>31</v>
      </c>
      <c r="AK33" s="981">
        <f t="shared" si="5"/>
        <v>0</v>
      </c>
      <c r="AL33" s="977">
        <f t="shared" si="2"/>
        <v>0</v>
      </c>
      <c r="AM33" s="978" t="str">
        <f t="shared" si="3"/>
        <v>Ohana Hibachi</v>
      </c>
    </row>
    <row r="34" spans="1:39" ht="10.15" customHeight="1">
      <c r="A34" s="195" t="s">
        <v>44</v>
      </c>
      <c r="B34" s="640"/>
      <c r="C34" s="640"/>
      <c r="D34" s="640"/>
      <c r="E34" s="640">
        <f>'1.11.23'!E17</f>
        <v>2232.5</v>
      </c>
      <c r="F34" s="640"/>
      <c r="G34" s="640"/>
      <c r="H34" s="1166"/>
      <c r="I34" s="1166"/>
      <c r="J34" s="252"/>
      <c r="K34" s="252"/>
      <c r="L34" s="252"/>
      <c r="M34" s="252"/>
      <c r="N34" s="252"/>
      <c r="O34" s="252"/>
      <c r="P34" s="252"/>
      <c r="Q34" s="738"/>
      <c r="R34" s="738"/>
      <c r="S34" s="738">
        <f>'1.25.23'!E9</f>
        <v>2128</v>
      </c>
      <c r="T34" s="738"/>
      <c r="U34" s="738"/>
      <c r="V34" s="738"/>
      <c r="W34" s="738"/>
      <c r="X34" s="252"/>
      <c r="Y34" s="252">
        <f>'1.31.23'!E17</f>
        <v>3106.5</v>
      </c>
      <c r="Z34" s="189">
        <f t="shared" si="0"/>
        <v>7467</v>
      </c>
      <c r="AA34" s="961">
        <f>100000-Z34</f>
        <v>92533</v>
      </c>
      <c r="AB34" s="194" t="str">
        <f t="shared" si="1"/>
        <v>Original Herbivore</v>
      </c>
      <c r="AD34" s="234">
        <f t="shared" si="4"/>
        <v>7467</v>
      </c>
      <c r="AH34" s="234">
        <v>96200</v>
      </c>
      <c r="AI34" s="234"/>
      <c r="AJ34" s="979">
        <v>32</v>
      </c>
      <c r="AK34" s="981">
        <f t="shared" si="5"/>
        <v>786</v>
      </c>
      <c r="AL34" s="977">
        <f t="shared" si="2"/>
        <v>7467</v>
      </c>
      <c r="AM34" s="978" t="str">
        <f t="shared" si="3"/>
        <v>Original Herbivore</v>
      </c>
    </row>
    <row r="35" spans="1:39" ht="10.15" customHeight="1">
      <c r="A35" s="195" t="s">
        <v>143</v>
      </c>
      <c r="B35" s="1139"/>
      <c r="C35" s="252"/>
      <c r="D35" s="252"/>
      <c r="E35" s="252"/>
      <c r="F35" s="252"/>
      <c r="G35" s="252"/>
      <c r="H35" s="1166"/>
      <c r="I35" s="1166"/>
      <c r="J35" s="252"/>
      <c r="K35" s="252"/>
      <c r="L35" s="252"/>
      <c r="M35" s="252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189">
        <f t="shared" ref="Z35:Z63" si="6">SUM(B35:Y35)</f>
        <v>0</v>
      </c>
      <c r="AA35" s="961">
        <f>100000-Z35+350000+350000</f>
        <v>800000</v>
      </c>
      <c r="AB35" s="194" t="str">
        <f t="shared" ref="AB35:AB60" si="7">A35</f>
        <v>Pacifico Charbroiled</v>
      </c>
      <c r="AD35" s="234">
        <f t="shared" si="4"/>
        <v>0</v>
      </c>
      <c r="AH35" s="234">
        <v>23730</v>
      </c>
      <c r="AI35" s="234"/>
      <c r="AJ35" s="979">
        <v>33</v>
      </c>
      <c r="AK35" s="981">
        <f t="shared" si="5"/>
        <v>0</v>
      </c>
      <c r="AL35" s="977">
        <f t="shared" si="2"/>
        <v>0</v>
      </c>
      <c r="AM35" s="978" t="str">
        <f t="shared" si="3"/>
        <v>Pacifico Charbroiled</v>
      </c>
    </row>
    <row r="36" spans="1:39" ht="10.15" customHeight="1">
      <c r="A36" s="515" t="s">
        <v>242</v>
      </c>
      <c r="B36" s="640"/>
      <c r="C36" s="640"/>
      <c r="D36" s="640"/>
      <c r="E36" s="640">
        <f>'1.11.23'!E28</f>
        <v>5054</v>
      </c>
      <c r="F36" s="640">
        <f>'1.12.23'!E28</f>
        <v>4598</v>
      </c>
      <c r="G36" s="640"/>
      <c r="H36" s="1166"/>
      <c r="I36" s="1166"/>
      <c r="J36" s="702"/>
      <c r="K36" s="702"/>
      <c r="L36" s="702"/>
      <c r="M36" s="702">
        <f>'1.19.23'!E28</f>
        <v>4826</v>
      </c>
      <c r="N36" s="702"/>
      <c r="O36" s="702"/>
      <c r="P36" s="702"/>
      <c r="Q36" s="738"/>
      <c r="R36" s="738"/>
      <c r="S36" s="738">
        <f>'1.25.23'!E28</f>
        <v>6270</v>
      </c>
      <c r="T36" s="738"/>
      <c r="U36" s="738"/>
      <c r="V36" s="738"/>
      <c r="W36" s="738"/>
      <c r="X36" s="252"/>
      <c r="Y36" s="252">
        <f>'1.31.23'!E28</f>
        <v>6773.5</v>
      </c>
      <c r="Z36" s="189">
        <f t="shared" si="6"/>
        <v>27521.5</v>
      </c>
      <c r="AA36" s="961">
        <f>100000-Z36+350000+350000</f>
        <v>772478.5</v>
      </c>
      <c r="AB36" s="988" t="str">
        <f t="shared" si="7"/>
        <v>Paradise Cookies &amp; Ice Cream</v>
      </c>
      <c r="AD36" s="234">
        <f t="shared" si="4"/>
        <v>27521.5</v>
      </c>
      <c r="AH36" s="234">
        <v>122348</v>
      </c>
      <c r="AI36" s="234"/>
      <c r="AJ36" s="979">
        <v>34</v>
      </c>
      <c r="AK36" s="981">
        <f t="shared" si="5"/>
        <v>2897</v>
      </c>
      <c r="AL36" s="977">
        <f t="shared" si="2"/>
        <v>27521.5</v>
      </c>
      <c r="AM36" s="978" t="str">
        <f t="shared" si="3"/>
        <v>Paradise Cookies &amp; Ice Cream</v>
      </c>
    </row>
    <row r="37" spans="1:39" ht="10.15" customHeight="1">
      <c r="A37" s="195" t="s">
        <v>246</v>
      </c>
      <c r="B37" s="640"/>
      <c r="C37" s="640"/>
      <c r="D37" s="640">
        <f>'1.10.23'!E7</f>
        <v>4332</v>
      </c>
      <c r="E37" s="640"/>
      <c r="F37" s="640">
        <f>'1.12.23'!E27</f>
        <v>4617</v>
      </c>
      <c r="G37" s="640"/>
      <c r="H37" s="1166"/>
      <c r="I37" s="1166"/>
      <c r="J37" s="702"/>
      <c r="K37" s="702">
        <f>'1.17.23'!E8</f>
        <v>4712</v>
      </c>
      <c r="L37" s="702"/>
      <c r="M37" s="702"/>
      <c r="N37" s="702">
        <f>'1.20.23'!E17 + '1.20.23'!E27</f>
        <v>7809</v>
      </c>
      <c r="O37" s="702"/>
      <c r="P37" s="702"/>
      <c r="Q37" s="738"/>
      <c r="R37" s="738">
        <f>'1.24.23'!E27</f>
        <v>5377</v>
      </c>
      <c r="S37" s="738">
        <f>'1.25.23'!E17+'1.25.23'!E27</f>
        <v>10535.5</v>
      </c>
      <c r="T37" s="738"/>
      <c r="U37" s="738">
        <f>'1.27.23'!E27</f>
        <v>5111</v>
      </c>
      <c r="V37" s="738">
        <f>'1.28.23'!E18</f>
        <v>3724</v>
      </c>
      <c r="W37" s="738"/>
      <c r="X37" s="252"/>
      <c r="Y37" s="252">
        <f>'1.31.23'!E29</f>
        <v>6593</v>
      </c>
      <c r="Z37" s="189">
        <f t="shared" si="6"/>
        <v>52810.5</v>
      </c>
      <c r="AA37" s="961">
        <f>100000-Z37+350000</f>
        <v>397189.5</v>
      </c>
      <c r="AB37" s="194" t="str">
        <f t="shared" si="7"/>
        <v>Perro 1-10 Tacos</v>
      </c>
      <c r="AD37" s="234">
        <f t="shared" si="4"/>
        <v>52810.5</v>
      </c>
      <c r="AH37" s="234">
        <v>197247.5</v>
      </c>
      <c r="AI37" s="234"/>
      <c r="AJ37" s="979">
        <v>35</v>
      </c>
      <c r="AK37" s="981">
        <f t="shared" si="5"/>
        <v>5559</v>
      </c>
      <c r="AL37" s="977">
        <f t="shared" si="2"/>
        <v>52810.5</v>
      </c>
      <c r="AM37" s="978" t="str">
        <f t="shared" si="3"/>
        <v>Perro 1-10 Tacos</v>
      </c>
    </row>
    <row r="38" spans="1:39" ht="10.15" customHeight="1">
      <c r="A38" s="195" t="s">
        <v>66</v>
      </c>
      <c r="B38" s="640"/>
      <c r="C38" s="640"/>
      <c r="D38" s="640"/>
      <c r="E38" s="640">
        <f>'1.11.23'!E7</f>
        <v>4303.5</v>
      </c>
      <c r="F38" s="640"/>
      <c r="G38" s="640">
        <f>'1.13.23'!E17</f>
        <v>3980.5</v>
      </c>
      <c r="H38" s="1166"/>
      <c r="I38" s="1166"/>
      <c r="J38" s="702"/>
      <c r="K38" s="702"/>
      <c r="L38" s="702"/>
      <c r="M38" s="702"/>
      <c r="N38" s="702">
        <f>'1.20.23'!E18</f>
        <v>4104</v>
      </c>
      <c r="O38" s="702"/>
      <c r="P38" s="702"/>
      <c r="Q38" s="252"/>
      <c r="R38" s="252"/>
      <c r="S38" s="252"/>
      <c r="T38" s="252"/>
      <c r="U38" s="252"/>
      <c r="V38" s="252"/>
      <c r="W38" s="252"/>
      <c r="X38" s="252">
        <f>'1.30.23'!E29</f>
        <v>3534</v>
      </c>
      <c r="Y38" s="252"/>
      <c r="Z38" s="189">
        <f t="shared" si="6"/>
        <v>15922</v>
      </c>
      <c r="AA38" s="961">
        <f>100000-Z38+350000</f>
        <v>434078</v>
      </c>
      <c r="AB38" s="194" t="str">
        <f t="shared" si="7"/>
        <v>PhillyJay's Steaks</v>
      </c>
      <c r="AD38" s="234">
        <f t="shared" si="4"/>
        <v>15922</v>
      </c>
      <c r="AH38" s="234">
        <v>192935</v>
      </c>
      <c r="AI38" s="234"/>
      <c r="AJ38" s="979">
        <v>36</v>
      </c>
      <c r="AK38" s="981">
        <f t="shared" si="5"/>
        <v>1676</v>
      </c>
      <c r="AL38" s="977">
        <f t="shared" si="2"/>
        <v>15922</v>
      </c>
      <c r="AM38" s="978" t="str">
        <f t="shared" si="3"/>
        <v>PhillyJay's Steaks</v>
      </c>
    </row>
    <row r="39" spans="1:39" ht="10.15" customHeight="1">
      <c r="A39" s="196" t="s">
        <v>65</v>
      </c>
      <c r="B39" s="640"/>
      <c r="C39" s="640"/>
      <c r="D39" s="640"/>
      <c r="E39" s="640">
        <f>'1.11.23'!E9</f>
        <v>4047</v>
      </c>
      <c r="F39" s="640">
        <f>'1.12.23'!E18</f>
        <v>3515</v>
      </c>
      <c r="G39" s="640"/>
      <c r="H39" s="1166"/>
      <c r="I39" s="1166"/>
      <c r="J39" s="702">
        <f>'1.16.23'!E18</f>
        <v>5101.5</v>
      </c>
      <c r="K39" s="702">
        <f>'1.17.23'!E9</f>
        <v>3325</v>
      </c>
      <c r="L39" s="702"/>
      <c r="M39" s="702"/>
      <c r="N39" s="702">
        <f>'1.20.23'!E9</f>
        <v>3676.5</v>
      </c>
      <c r="O39" s="702">
        <f>'1.21.23'!E17</f>
        <v>2992.5</v>
      </c>
      <c r="P39" s="702"/>
      <c r="Q39" s="738">
        <f>'1.23.23'!E8</f>
        <v>4294</v>
      </c>
      <c r="R39" s="738">
        <f>'1.24.23'!E19</f>
        <v>3914</v>
      </c>
      <c r="S39" s="738"/>
      <c r="T39" s="738">
        <f>'1.26.23'!E18+'1.26.23'!E27</f>
        <v>7638</v>
      </c>
      <c r="U39" s="738"/>
      <c r="V39" s="738"/>
      <c r="W39" s="738"/>
      <c r="X39" s="252"/>
      <c r="Y39" s="252">
        <f>'1.31.23'!E9</f>
        <v>3505.5</v>
      </c>
      <c r="Z39" s="189">
        <f t="shared" si="6"/>
        <v>42009</v>
      </c>
      <c r="AA39" s="961">
        <f>449000-Z39+350000</f>
        <v>756991</v>
      </c>
      <c r="AB39" s="194" t="str">
        <f t="shared" si="7"/>
        <v>Pinch of Flavor</v>
      </c>
      <c r="AD39" s="234">
        <f t="shared" si="4"/>
        <v>42009</v>
      </c>
      <c r="AH39" s="234">
        <v>6760</v>
      </c>
      <c r="AI39" s="234"/>
      <c r="AJ39" s="979">
        <v>37</v>
      </c>
      <c r="AK39" s="981">
        <f t="shared" si="5"/>
        <v>4422</v>
      </c>
      <c r="AL39" s="977">
        <f t="shared" si="2"/>
        <v>42009</v>
      </c>
      <c r="AM39" s="978" t="str">
        <f t="shared" si="3"/>
        <v>Pinch of Flavor</v>
      </c>
    </row>
    <row r="40" spans="1:39" ht="10.15" customHeight="1">
      <c r="A40" s="195" t="s">
        <v>82</v>
      </c>
      <c r="B40" s="640"/>
      <c r="C40" s="640"/>
      <c r="D40" s="640"/>
      <c r="E40" s="640"/>
      <c r="F40" s="640"/>
      <c r="G40" s="640">
        <f>'1.13.23'!E7</f>
        <v>3866.5</v>
      </c>
      <c r="H40" s="1166"/>
      <c r="I40" s="1166"/>
      <c r="J40" s="702"/>
      <c r="K40" s="702"/>
      <c r="L40" s="702">
        <f>'1.18.23'!E17</f>
        <v>3667</v>
      </c>
      <c r="M40" s="702"/>
      <c r="N40" s="702"/>
      <c r="O40" s="702"/>
      <c r="P40" s="702">
        <f>'1.22.23'!E19</f>
        <v>3382</v>
      </c>
      <c r="Q40" s="738"/>
      <c r="R40" s="738">
        <f>'1.24.23'!E8</f>
        <v>3828.5</v>
      </c>
      <c r="S40" s="738"/>
      <c r="T40" s="738"/>
      <c r="U40" s="738"/>
      <c r="V40" s="738"/>
      <c r="W40" s="738"/>
      <c r="X40" s="252"/>
      <c r="Y40" s="252"/>
      <c r="Z40" s="189">
        <f t="shared" si="6"/>
        <v>14744</v>
      </c>
      <c r="AA40" s="961">
        <f>100000-Z40+350000</f>
        <v>435256</v>
      </c>
      <c r="AB40" s="194" t="str">
        <f t="shared" si="7"/>
        <v>Poutine Brothers</v>
      </c>
      <c r="AD40" s="234">
        <f t="shared" si="4"/>
        <v>14744</v>
      </c>
      <c r="AH40" s="782">
        <v>127767.5</v>
      </c>
      <c r="AI40" s="234"/>
      <c r="AJ40" s="979">
        <v>38</v>
      </c>
      <c r="AK40" s="981">
        <f t="shared" si="5"/>
        <v>1552</v>
      </c>
      <c r="AL40" s="977">
        <f t="shared" si="2"/>
        <v>14744</v>
      </c>
      <c r="AM40" s="978" t="str">
        <f t="shared" si="3"/>
        <v>Poutine Brothers</v>
      </c>
    </row>
    <row r="41" spans="1:39" ht="10.15" customHeight="1">
      <c r="A41" s="195" t="s">
        <v>825</v>
      </c>
      <c r="B41" s="640"/>
      <c r="C41" s="640"/>
      <c r="D41" s="640"/>
      <c r="E41" s="640"/>
      <c r="F41" s="640"/>
      <c r="G41" s="640"/>
      <c r="H41" s="1166"/>
      <c r="I41" s="1166"/>
      <c r="J41" s="252"/>
      <c r="K41" s="252"/>
      <c r="L41" s="252"/>
      <c r="M41" s="252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189">
        <f t="shared" si="6"/>
        <v>0</v>
      </c>
      <c r="AA41" s="961"/>
      <c r="AB41" s="194" t="str">
        <f t="shared" si="7"/>
        <v>Rice Balls Inc.</v>
      </c>
      <c r="AD41" s="234">
        <f t="shared" si="4"/>
        <v>0</v>
      </c>
      <c r="AH41" s="782"/>
      <c r="AI41" s="234"/>
      <c r="AJ41" s="979"/>
      <c r="AK41" s="981"/>
      <c r="AL41" s="977"/>
      <c r="AM41" s="978" t="str">
        <f t="shared" si="3"/>
        <v>Rice Balls Inc.</v>
      </c>
    </row>
    <row r="42" spans="1:39" ht="10.15" customHeight="1">
      <c r="A42" s="195" t="s">
        <v>329</v>
      </c>
      <c r="B42" s="640"/>
      <c r="C42" s="640">
        <f>'1.09.23'!E8</f>
        <v>3182.5</v>
      </c>
      <c r="D42" s="640"/>
      <c r="E42" s="640"/>
      <c r="F42" s="640"/>
      <c r="G42" s="640"/>
      <c r="H42" s="1166"/>
      <c r="I42" s="1166"/>
      <c r="J42" s="702"/>
      <c r="K42" s="702">
        <f>'1.17.23'!E7</f>
        <v>6184.5</v>
      </c>
      <c r="L42" s="702">
        <f>'1.18.23'!E8</f>
        <v>6108.5</v>
      </c>
      <c r="M42" s="702">
        <f>'1.19.23'!E17</f>
        <v>5842.5</v>
      </c>
      <c r="N42" s="702"/>
      <c r="O42" s="702">
        <f>'1.21.23'!E8</f>
        <v>7277</v>
      </c>
      <c r="P42" s="702">
        <f>'1.22.23'!E7</f>
        <v>7495.5</v>
      </c>
      <c r="Q42" s="738"/>
      <c r="R42" s="738">
        <f>'1.24.23'!E7</f>
        <v>7182</v>
      </c>
      <c r="S42" s="738"/>
      <c r="T42" s="738"/>
      <c r="U42" s="738"/>
      <c r="V42" s="738">
        <f>'1.28.23'!E8</f>
        <v>8483.5</v>
      </c>
      <c r="W42" s="738"/>
      <c r="X42" s="252">
        <f>'1.30.23'!E7</f>
        <v>7638</v>
      </c>
      <c r="Y42" s="252"/>
      <c r="Z42" s="189">
        <f t="shared" si="6"/>
        <v>59394</v>
      </c>
      <c r="AA42" s="961">
        <f>100000-Z42</f>
        <v>40606</v>
      </c>
      <c r="AB42" s="194" t="str">
        <f t="shared" si="7"/>
        <v>Salpicon</v>
      </c>
      <c r="AD42" s="234">
        <f t="shared" si="4"/>
        <v>59394</v>
      </c>
      <c r="AH42" s="782"/>
      <c r="AI42" s="234"/>
      <c r="AJ42" s="979">
        <v>39</v>
      </c>
      <c r="AK42" s="981">
        <f t="shared" si="5"/>
        <v>6252</v>
      </c>
      <c r="AL42" s="977">
        <f t="shared" si="2"/>
        <v>59394</v>
      </c>
      <c r="AM42" s="978" t="str">
        <f t="shared" si="3"/>
        <v>Salpicon</v>
      </c>
    </row>
    <row r="43" spans="1:39" ht="10.15" customHeight="1">
      <c r="A43" s="195" t="s">
        <v>83</v>
      </c>
      <c r="B43" s="640"/>
      <c r="C43" s="640"/>
      <c r="D43" s="640"/>
      <c r="E43" s="640"/>
      <c r="F43" s="640">
        <f>'1.12.23'!E17</f>
        <v>2346.5</v>
      </c>
      <c r="G43" s="640"/>
      <c r="H43" s="1166"/>
      <c r="I43" s="1166"/>
      <c r="J43" s="702">
        <f>'1.16.23'!E17</f>
        <v>2812</v>
      </c>
      <c r="K43" s="702"/>
      <c r="L43" s="702"/>
      <c r="M43" s="702"/>
      <c r="N43" s="702"/>
      <c r="O43" s="702"/>
      <c r="P43" s="702">
        <f>'1.22.23'!E29</f>
        <v>3534</v>
      </c>
      <c r="Q43" s="738">
        <f>'1.23.23'!E7</f>
        <v>2992.5</v>
      </c>
      <c r="R43" s="738"/>
      <c r="S43" s="738"/>
      <c r="T43" s="738">
        <f>'1.26.23'!E17</f>
        <v>2812</v>
      </c>
      <c r="U43" s="738"/>
      <c r="V43" s="738"/>
      <c r="W43" s="738"/>
      <c r="X43" s="252"/>
      <c r="Y43" s="252"/>
      <c r="Z43" s="189">
        <f t="shared" si="6"/>
        <v>14497</v>
      </c>
      <c r="AA43" s="961">
        <f>100000-Z43</f>
        <v>85503</v>
      </c>
      <c r="AB43" s="194" t="str">
        <f t="shared" si="7"/>
        <v>Salvage Tacos</v>
      </c>
      <c r="AD43" s="234">
        <f t="shared" si="4"/>
        <v>14497</v>
      </c>
      <c r="AH43" s="782">
        <v>111263</v>
      </c>
      <c r="AI43" s="234"/>
      <c r="AJ43" s="979">
        <v>40</v>
      </c>
      <c r="AK43" s="981">
        <f t="shared" si="5"/>
        <v>1526</v>
      </c>
      <c r="AL43" s="977">
        <f t="shared" si="2"/>
        <v>14497</v>
      </c>
      <c r="AM43" s="978" t="str">
        <f t="shared" si="3"/>
        <v>Salvage Tacos</v>
      </c>
    </row>
    <row r="44" spans="1:39" ht="10.15" customHeight="1">
      <c r="A44" s="195" t="s">
        <v>332</v>
      </c>
      <c r="B44" s="640"/>
      <c r="C44" s="640">
        <f>'1.09.23'!E18</f>
        <v>2641</v>
      </c>
      <c r="D44" s="640"/>
      <c r="E44" s="640"/>
      <c r="F44" s="640"/>
      <c r="G44" s="640"/>
      <c r="H44" s="1166"/>
      <c r="I44" s="1166"/>
      <c r="J44" s="702"/>
      <c r="K44" s="702">
        <f>'1.17.23'!E10</f>
        <v>959.5</v>
      </c>
      <c r="L44" s="702"/>
      <c r="M44" s="702"/>
      <c r="N44" s="702"/>
      <c r="O44" s="702"/>
      <c r="P44" s="702"/>
      <c r="Q44" s="738"/>
      <c r="R44" s="738"/>
      <c r="S44" s="738">
        <f>'1.25.23'!E8</f>
        <v>5225</v>
      </c>
      <c r="T44" s="738"/>
      <c r="U44" s="738">
        <f>'1.27.23'!E9</f>
        <v>5947</v>
      </c>
      <c r="V44" s="738"/>
      <c r="W44" s="738"/>
      <c r="X44" s="252"/>
      <c r="Y44" s="252"/>
      <c r="Z44" s="189">
        <f t="shared" si="6"/>
        <v>14772.5</v>
      </c>
      <c r="AA44" s="961">
        <f>100000-Z44</f>
        <v>85227.5</v>
      </c>
      <c r="AB44" s="194" t="str">
        <f t="shared" si="7"/>
        <v>Smile Hot Dog</v>
      </c>
      <c r="AD44" s="234">
        <f t="shared" si="4"/>
        <v>14772.5</v>
      </c>
      <c r="AH44" s="782"/>
      <c r="AI44" s="234"/>
      <c r="AJ44" s="979">
        <v>41</v>
      </c>
      <c r="AK44" s="981">
        <f t="shared" si="5"/>
        <v>1555</v>
      </c>
      <c r="AL44" s="977">
        <f t="shared" si="2"/>
        <v>14772.5</v>
      </c>
      <c r="AM44" s="978" t="str">
        <f t="shared" si="3"/>
        <v>Smile Hot Dog</v>
      </c>
    </row>
    <row r="45" spans="1:39" ht="10.15" customHeight="1">
      <c r="A45" s="195" t="s">
        <v>159</v>
      </c>
      <c r="B45" s="1139"/>
      <c r="C45" s="252"/>
      <c r="D45" s="252"/>
      <c r="E45" s="252"/>
      <c r="F45" s="252"/>
      <c r="G45" s="252"/>
      <c r="H45" s="1166"/>
      <c r="I45" s="1166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189">
        <f t="shared" si="6"/>
        <v>0</v>
      </c>
      <c r="AA45" s="961">
        <f>100000-Z45</f>
        <v>100000</v>
      </c>
      <c r="AB45" s="194" t="str">
        <f t="shared" si="7"/>
        <v>Something Good LA</v>
      </c>
      <c r="AD45" s="234">
        <f t="shared" si="4"/>
        <v>0</v>
      </c>
      <c r="AH45" s="234">
        <v>341055.5</v>
      </c>
      <c r="AI45" s="234"/>
      <c r="AJ45" s="979">
        <v>42</v>
      </c>
      <c r="AK45" s="981">
        <f t="shared" si="5"/>
        <v>0</v>
      </c>
      <c r="AL45" s="977">
        <f t="shared" si="2"/>
        <v>0</v>
      </c>
      <c r="AM45" s="978" t="str">
        <f t="shared" si="3"/>
        <v>Something Good LA</v>
      </c>
    </row>
    <row r="46" spans="1:39" ht="10.15" customHeight="1">
      <c r="A46" s="195" t="s">
        <v>145</v>
      </c>
      <c r="B46" s="640"/>
      <c r="C46" s="640">
        <f>'1.09.23'!E9</f>
        <v>2042.5</v>
      </c>
      <c r="D46" s="640"/>
      <c r="E46" s="640"/>
      <c r="F46" s="640"/>
      <c r="G46" s="640"/>
      <c r="H46" s="1166"/>
      <c r="I46" s="1166"/>
      <c r="J46" s="702"/>
      <c r="K46" s="702"/>
      <c r="L46" s="702"/>
      <c r="M46" s="702">
        <f>'1.19.23'!E19</f>
        <v>3011.5</v>
      </c>
      <c r="N46" s="702"/>
      <c r="O46" s="702">
        <f>'1.21.23'!E18</f>
        <v>2964</v>
      </c>
      <c r="P46" s="702"/>
      <c r="Q46" s="738">
        <f>'1.23.23'!E18</f>
        <v>3847.5</v>
      </c>
      <c r="R46" s="738"/>
      <c r="S46" s="738"/>
      <c r="T46" s="738">
        <f>'1.26.23'!E19</f>
        <v>2565</v>
      </c>
      <c r="U46" s="738"/>
      <c r="V46" s="738">
        <f>'1.28.23'!E27</f>
        <v>3667</v>
      </c>
      <c r="W46" s="738"/>
      <c r="X46" s="252"/>
      <c r="Y46" s="252"/>
      <c r="Z46" s="189">
        <f t="shared" si="6"/>
        <v>18097.5</v>
      </c>
      <c r="AA46" s="961">
        <f>100000-Z46+449000</f>
        <v>530902.5</v>
      </c>
      <c r="AB46" s="194" t="str">
        <f t="shared" si="7"/>
        <v>Stop Bye Café</v>
      </c>
      <c r="AD46" s="234">
        <f t="shared" si="4"/>
        <v>18097.5</v>
      </c>
      <c r="AH46" s="234">
        <v>162662.5</v>
      </c>
      <c r="AI46" s="234"/>
      <c r="AJ46" s="979">
        <v>43</v>
      </c>
      <c r="AK46" s="981">
        <f t="shared" si="5"/>
        <v>1905</v>
      </c>
      <c r="AL46" s="977">
        <f t="shared" si="2"/>
        <v>18097.5</v>
      </c>
      <c r="AM46" s="978" t="str">
        <f t="shared" si="3"/>
        <v>Stop Bye Café</v>
      </c>
    </row>
    <row r="47" spans="1:39" ht="10.15" customHeight="1">
      <c r="A47" s="195" t="s">
        <v>84</v>
      </c>
      <c r="B47" s="1139"/>
      <c r="C47" s="252"/>
      <c r="D47" s="252"/>
      <c r="E47" s="252"/>
      <c r="F47" s="252"/>
      <c r="G47" s="252"/>
      <c r="H47" s="1166"/>
      <c r="I47" s="1166"/>
      <c r="J47" s="252"/>
      <c r="K47" s="252"/>
      <c r="L47" s="252"/>
      <c r="M47" s="252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189">
        <f t="shared" si="6"/>
        <v>0</v>
      </c>
      <c r="AA47" s="961">
        <f>100000-Z47+350000</f>
        <v>450000</v>
      </c>
      <c r="AB47" s="194" t="str">
        <f t="shared" si="7"/>
        <v>Stout Burgers</v>
      </c>
      <c r="AD47" s="234">
        <f t="shared" si="4"/>
        <v>0</v>
      </c>
      <c r="AH47" s="234">
        <v>52046</v>
      </c>
      <c r="AI47" s="234"/>
      <c r="AJ47" s="979">
        <v>44</v>
      </c>
      <c r="AK47" s="981">
        <f t="shared" si="5"/>
        <v>0</v>
      </c>
      <c r="AL47" s="977">
        <f t="shared" si="2"/>
        <v>0</v>
      </c>
      <c r="AM47" s="978" t="str">
        <f t="shared" si="3"/>
        <v>Stout Burgers</v>
      </c>
    </row>
    <row r="48" spans="1:39" ht="10.15" customHeight="1">
      <c r="A48" s="195" t="s">
        <v>802</v>
      </c>
      <c r="B48" s="1139"/>
      <c r="C48" s="252"/>
      <c r="D48" s="252"/>
      <c r="E48" s="252"/>
      <c r="F48" s="252"/>
      <c r="G48" s="252"/>
      <c r="H48" s="1166"/>
      <c r="I48" s="1166"/>
      <c r="J48" s="252"/>
      <c r="K48" s="252"/>
      <c r="L48" s="252"/>
      <c r="M48" s="252"/>
      <c r="N48" s="252"/>
      <c r="O48" s="252"/>
      <c r="P48" s="252"/>
      <c r="Q48" s="738"/>
      <c r="R48" s="738">
        <f>'1.24.23'!E18</f>
        <v>3211</v>
      </c>
      <c r="S48" s="738"/>
      <c r="T48" s="738"/>
      <c r="U48" s="738"/>
      <c r="V48" s="738">
        <f>'1.28.23'!E7</f>
        <v>4968.5</v>
      </c>
      <c r="W48" s="738"/>
      <c r="X48" s="252"/>
      <c r="Y48" s="252"/>
      <c r="Z48" s="189">
        <f t="shared" si="6"/>
        <v>8179.5</v>
      </c>
      <c r="AA48" s="961">
        <f>100000-Z48+350000</f>
        <v>441820.5</v>
      </c>
      <c r="AB48" s="194" t="str">
        <f t="shared" si="7"/>
        <v>Sugo Italiano</v>
      </c>
      <c r="AD48" s="234">
        <f t="shared" si="4"/>
        <v>8179.5</v>
      </c>
      <c r="AH48" s="234">
        <v>52046</v>
      </c>
      <c r="AI48" s="234"/>
      <c r="AJ48" s="979"/>
      <c r="AK48" s="981"/>
      <c r="AL48" s="977"/>
      <c r="AM48" s="978" t="str">
        <f t="shared" si="3"/>
        <v>Sugo Italiano</v>
      </c>
    </row>
    <row r="49" spans="1:39" ht="10.15" customHeight="1">
      <c r="A49" s="195" t="s">
        <v>333</v>
      </c>
      <c r="B49" s="1139"/>
      <c r="C49" s="252"/>
      <c r="D49" s="252"/>
      <c r="E49" s="252"/>
      <c r="F49" s="252"/>
      <c r="G49" s="252"/>
      <c r="H49" s="1166"/>
      <c r="I49" s="1166"/>
      <c r="J49" s="702"/>
      <c r="K49" s="702"/>
      <c r="L49" s="702"/>
      <c r="M49" s="702"/>
      <c r="N49" s="702">
        <f>'1.20.23'!E28</f>
        <v>3201.5</v>
      </c>
      <c r="O49" s="702"/>
      <c r="P49" s="702"/>
      <c r="Q49" s="252"/>
      <c r="R49" s="252"/>
      <c r="S49" s="252"/>
      <c r="T49" s="252"/>
      <c r="U49" s="252"/>
      <c r="V49" s="252"/>
      <c r="W49" s="252"/>
      <c r="X49" s="252"/>
      <c r="Y49" s="252"/>
      <c r="Z49" s="189">
        <f t="shared" si="6"/>
        <v>3201.5</v>
      </c>
      <c r="AA49" s="189">
        <v>99000</v>
      </c>
      <c r="AB49" s="194" t="str">
        <f t="shared" si="7"/>
        <v>Sweets on Wheels</v>
      </c>
      <c r="AD49" s="234">
        <f t="shared" si="4"/>
        <v>3201.5</v>
      </c>
      <c r="AH49" s="234">
        <v>52046</v>
      </c>
      <c r="AI49" s="234"/>
      <c r="AJ49" s="979">
        <v>45</v>
      </c>
      <c r="AK49" s="981">
        <f t="shared" si="5"/>
        <v>337</v>
      </c>
      <c r="AL49" s="977">
        <f t="shared" si="2"/>
        <v>3201.5</v>
      </c>
      <c r="AM49" s="978" t="str">
        <f t="shared" si="3"/>
        <v>Sweets on Wheels</v>
      </c>
    </row>
    <row r="50" spans="1:39" ht="9" customHeight="1">
      <c r="A50" s="195" t="s">
        <v>58</v>
      </c>
      <c r="B50" s="1139"/>
      <c r="C50" s="252"/>
      <c r="D50" s="252"/>
      <c r="E50" s="252"/>
      <c r="F50" s="252"/>
      <c r="G50" s="252"/>
      <c r="H50" s="1166"/>
      <c r="I50" s="1166"/>
      <c r="J50" s="252"/>
      <c r="K50" s="252"/>
      <c r="L50" s="252"/>
      <c r="M50" s="252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189">
        <f t="shared" si="6"/>
        <v>0</v>
      </c>
      <c r="AA50" s="961">
        <f>100000-Z50</f>
        <v>100000</v>
      </c>
      <c r="AB50" s="194" t="str">
        <f t="shared" si="7"/>
        <v>Taste Collective Burger</v>
      </c>
      <c r="AD50" s="234">
        <f t="shared" si="4"/>
        <v>0</v>
      </c>
      <c r="AH50" s="234">
        <v>50667</v>
      </c>
      <c r="AI50" s="234"/>
      <c r="AJ50" s="979">
        <v>46</v>
      </c>
      <c r="AK50" s="981">
        <f t="shared" si="5"/>
        <v>0</v>
      </c>
      <c r="AL50" s="977">
        <f t="shared" si="2"/>
        <v>0</v>
      </c>
      <c r="AM50" s="978" t="str">
        <f t="shared" si="3"/>
        <v>Taste Collective Burger</v>
      </c>
    </row>
    <row r="51" spans="1:39" ht="10.15" customHeight="1">
      <c r="A51" s="195" t="s">
        <v>728</v>
      </c>
      <c r="B51" s="640"/>
      <c r="C51" s="640"/>
      <c r="D51" s="640"/>
      <c r="E51" s="640"/>
      <c r="F51" s="640">
        <f>'1.12.23'!E7</f>
        <v>2565</v>
      </c>
      <c r="G51" s="640"/>
      <c r="H51" s="1166"/>
      <c r="I51" s="1166"/>
      <c r="J51" s="252"/>
      <c r="K51" s="252"/>
      <c r="L51" s="252"/>
      <c r="M51" s="252"/>
      <c r="N51" s="252"/>
      <c r="O51" s="252"/>
      <c r="P51" s="252"/>
      <c r="Q51" s="738"/>
      <c r="R51" s="738"/>
      <c r="S51" s="738"/>
      <c r="T51" s="738"/>
      <c r="U51" s="738"/>
      <c r="V51" s="738">
        <f>'1.28.23'!E17</f>
        <v>2299</v>
      </c>
      <c r="W51" s="738"/>
      <c r="X51" s="252"/>
      <c r="Y51" s="252"/>
      <c r="Z51" s="189">
        <f t="shared" si="6"/>
        <v>4864</v>
      </c>
      <c r="AA51" s="961">
        <f>100000-Z51</f>
        <v>95136</v>
      </c>
      <c r="AB51" s="194" t="str">
        <f t="shared" si="7"/>
        <v>Thai Mex Cocina</v>
      </c>
      <c r="AD51" s="234">
        <f t="shared" si="4"/>
        <v>4864</v>
      </c>
      <c r="AH51" s="234">
        <v>50667</v>
      </c>
      <c r="AI51" s="234"/>
      <c r="AJ51" s="979">
        <v>47</v>
      </c>
      <c r="AK51" s="981">
        <f t="shared" si="5"/>
        <v>512</v>
      </c>
      <c r="AL51" s="977">
        <f t="shared" si="2"/>
        <v>4864</v>
      </c>
      <c r="AM51" s="978" t="str">
        <f t="shared" si="3"/>
        <v>Thai Mex Cocina</v>
      </c>
    </row>
    <row r="52" spans="1:39" ht="10.15" customHeight="1">
      <c r="A52" s="195" t="s">
        <v>45</v>
      </c>
      <c r="B52" s="640"/>
      <c r="C52" s="640"/>
      <c r="D52" s="640">
        <f>'1.10.23'!E9</f>
        <v>4284.5</v>
      </c>
      <c r="E52" s="640"/>
      <c r="F52" s="640">
        <f>'1.12.23'!E19</f>
        <v>4028</v>
      </c>
      <c r="G52" s="640"/>
      <c r="H52" s="1166"/>
      <c r="I52" s="1166"/>
      <c r="J52" s="702">
        <f>'1.16.23'!E27</f>
        <v>4427</v>
      </c>
      <c r="K52" s="702"/>
      <c r="L52" s="702">
        <f>'1.18.23'!E18</f>
        <v>3999.5</v>
      </c>
      <c r="M52" s="702"/>
      <c r="N52" s="702">
        <f>'1.20.23'!E7</f>
        <v>3952</v>
      </c>
      <c r="O52" s="702"/>
      <c r="P52" s="702"/>
      <c r="Q52" s="738">
        <f>'1.23.23'!E9</f>
        <v>4066</v>
      </c>
      <c r="R52" s="738">
        <f>'1.24.23'!E29</f>
        <v>3686</v>
      </c>
      <c r="S52" s="738"/>
      <c r="T52" s="738"/>
      <c r="U52" s="738"/>
      <c r="V52" s="738"/>
      <c r="W52" s="738"/>
      <c r="X52" s="252">
        <f>'1.30.23'!E27</f>
        <v>4370</v>
      </c>
      <c r="Y52" s="252">
        <f>'1.31.23'!E18</f>
        <v>3895</v>
      </c>
      <c r="Z52" s="189">
        <f t="shared" si="6"/>
        <v>36708</v>
      </c>
      <c r="AA52" s="961">
        <f>100000-Z52+350000</f>
        <v>413292</v>
      </c>
      <c r="AB52" s="194" t="str">
        <f t="shared" si="7"/>
        <v>Tokyo Style</v>
      </c>
      <c r="AD52" s="234">
        <f t="shared" si="4"/>
        <v>36708</v>
      </c>
      <c r="AH52" s="234">
        <v>168025.5</v>
      </c>
      <c r="AI52" s="234"/>
      <c r="AJ52" s="979">
        <v>48</v>
      </c>
      <c r="AK52" s="981">
        <f t="shared" si="5"/>
        <v>3864</v>
      </c>
      <c r="AL52" s="977">
        <f t="shared" si="2"/>
        <v>36708</v>
      </c>
      <c r="AM52" s="978" t="str">
        <f t="shared" si="3"/>
        <v>Tokyo Style</v>
      </c>
    </row>
    <row r="53" spans="1:39" ht="10.15" customHeight="1">
      <c r="A53" s="195" t="s">
        <v>172</v>
      </c>
      <c r="B53" s="1139"/>
      <c r="C53" s="252"/>
      <c r="D53" s="252"/>
      <c r="E53" s="252"/>
      <c r="F53" s="252"/>
      <c r="G53" s="252"/>
      <c r="H53" s="1166"/>
      <c r="I53" s="1166"/>
      <c r="J53" s="252"/>
      <c r="K53" s="252"/>
      <c r="L53" s="252"/>
      <c r="M53" s="252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189">
        <f t="shared" si="6"/>
        <v>0</v>
      </c>
      <c r="AA53" s="961">
        <f>100000-Z53</f>
        <v>100000</v>
      </c>
      <c r="AB53" s="194" t="str">
        <f t="shared" si="7"/>
        <v>Trapiyaki</v>
      </c>
      <c r="AD53" s="234">
        <f t="shared" si="4"/>
        <v>0</v>
      </c>
      <c r="AH53" s="234">
        <v>21920</v>
      </c>
      <c r="AI53" s="234"/>
      <c r="AJ53" s="979">
        <v>49</v>
      </c>
      <c r="AK53" s="981">
        <f t="shared" si="5"/>
        <v>0</v>
      </c>
      <c r="AL53" s="977">
        <f t="shared" si="2"/>
        <v>0</v>
      </c>
      <c r="AM53" s="978" t="str">
        <f t="shared" si="3"/>
        <v>Trapiyaki</v>
      </c>
    </row>
    <row r="54" spans="1:39" ht="10.15" customHeight="1">
      <c r="A54" s="195" t="s">
        <v>144</v>
      </c>
      <c r="B54" s="640"/>
      <c r="C54" s="640"/>
      <c r="D54" s="640"/>
      <c r="E54" s="640"/>
      <c r="F54" s="640">
        <f>'1.12.23'!E8</f>
        <v>2422.5</v>
      </c>
      <c r="G54" s="640"/>
      <c r="H54" s="1166"/>
      <c r="I54" s="1166"/>
      <c r="J54" s="702"/>
      <c r="K54" s="702">
        <f>'1.17.23'!E27</f>
        <v>2318</v>
      </c>
      <c r="L54" s="702"/>
      <c r="M54" s="702">
        <f>'1.19.23'!E8 + '1.19.23'!E18</f>
        <v>4930.5</v>
      </c>
      <c r="N54" s="702"/>
      <c r="O54" s="702"/>
      <c r="P54" s="702"/>
      <c r="Q54" s="738"/>
      <c r="R54" s="738"/>
      <c r="S54" s="738">
        <f>'1.25.23'!E19+'1.25.23'!E29</f>
        <v>5006.5</v>
      </c>
      <c r="T54" s="738"/>
      <c r="U54" s="738">
        <f>'1.27.23'!E18</f>
        <v>2308.5</v>
      </c>
      <c r="V54" s="738"/>
      <c r="W54" s="738">
        <f>'1.29.23'!E27</f>
        <v>2565</v>
      </c>
      <c r="X54" s="252"/>
      <c r="Y54" s="252"/>
      <c r="Z54" s="189">
        <f t="shared" si="6"/>
        <v>19551</v>
      </c>
      <c r="AA54" s="961">
        <f>100000-Z54</f>
        <v>80449</v>
      </c>
      <c r="AB54" s="194" t="str">
        <f t="shared" si="7"/>
        <v>Uncle Al's BBQ</v>
      </c>
      <c r="AD54" s="234">
        <f t="shared" si="4"/>
        <v>19551</v>
      </c>
      <c r="AH54" s="234">
        <v>5830</v>
      </c>
      <c r="AI54" s="234"/>
      <c r="AJ54" s="979">
        <v>50</v>
      </c>
      <c r="AK54" s="981">
        <f t="shared" si="5"/>
        <v>2058</v>
      </c>
      <c r="AL54" s="977">
        <f t="shared" si="2"/>
        <v>19551</v>
      </c>
      <c r="AM54" s="978" t="str">
        <f t="shared" si="3"/>
        <v>Uncle Al's BBQ</v>
      </c>
    </row>
    <row r="55" spans="1:39" ht="10.15" customHeight="1">
      <c r="A55" s="195" t="s">
        <v>240</v>
      </c>
      <c r="B55" s="1139"/>
      <c r="C55" s="252"/>
      <c r="D55" s="252"/>
      <c r="E55" s="252"/>
      <c r="F55" s="252"/>
      <c r="G55" s="252"/>
      <c r="H55" s="1166"/>
      <c r="I55" s="1166"/>
      <c r="J55" s="252"/>
      <c r="K55" s="252"/>
      <c r="L55" s="252"/>
      <c r="M55" s="252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189">
        <f t="shared" si="6"/>
        <v>0</v>
      </c>
      <c r="AA55" s="961">
        <f>100000-Z55</f>
        <v>100000</v>
      </c>
      <c r="AB55" s="194" t="str">
        <f t="shared" si="7"/>
        <v>Veggie Bomb</v>
      </c>
      <c r="AD55" s="234">
        <f t="shared" si="4"/>
        <v>0</v>
      </c>
      <c r="AH55" s="234">
        <v>228015.5</v>
      </c>
      <c r="AI55" s="234"/>
      <c r="AJ55" s="979">
        <v>51</v>
      </c>
      <c r="AK55" s="981">
        <f t="shared" si="5"/>
        <v>0</v>
      </c>
      <c r="AL55" s="977">
        <f t="shared" si="2"/>
        <v>0</v>
      </c>
      <c r="AM55" s="978" t="str">
        <f t="shared" si="3"/>
        <v>Veggie Bomb</v>
      </c>
    </row>
    <row r="56" spans="1:39" ht="10.15" customHeight="1">
      <c r="A56" s="195" t="s">
        <v>797</v>
      </c>
      <c r="B56" s="640"/>
      <c r="C56" s="640"/>
      <c r="D56" s="640"/>
      <c r="E56" s="640"/>
      <c r="F56" s="640"/>
      <c r="G56" s="640">
        <f>'1.13.23'!E28</f>
        <v>2356</v>
      </c>
      <c r="H56" s="1166"/>
      <c r="I56" s="1166"/>
      <c r="J56" s="702"/>
      <c r="K56" s="702">
        <f>'1.17.23'!E28</f>
        <v>3220.5</v>
      </c>
      <c r="L56" s="702"/>
      <c r="M56" s="702"/>
      <c r="N56" s="702"/>
      <c r="O56" s="702"/>
      <c r="P56" s="702">
        <f>'1.22.23'!E28</f>
        <v>3049.5</v>
      </c>
      <c r="Q56" s="252"/>
      <c r="R56" s="252"/>
      <c r="S56" s="252"/>
      <c r="T56" s="252"/>
      <c r="U56" s="252"/>
      <c r="V56" s="252"/>
      <c r="W56" s="252"/>
      <c r="X56" s="252">
        <f>'1.30.23'!E28</f>
        <v>2593.5</v>
      </c>
      <c r="Y56" s="252"/>
      <c r="Z56" s="189">
        <f t="shared" si="6"/>
        <v>11219.5</v>
      </c>
      <c r="AA56" s="961">
        <f>100000-Z56</f>
        <v>88780.5</v>
      </c>
      <c r="AB56" s="194" t="str">
        <f t="shared" si="7"/>
        <v>Venice Gelato Café</v>
      </c>
      <c r="AD56" s="234">
        <f t="shared" si="4"/>
        <v>11219.5</v>
      </c>
      <c r="AH56" s="234">
        <v>75970</v>
      </c>
      <c r="AI56" s="234"/>
      <c r="AJ56" s="979">
        <v>52</v>
      </c>
      <c r="AK56" s="981">
        <f t="shared" si="5"/>
        <v>1181</v>
      </c>
      <c r="AL56" s="977">
        <f t="shared" si="2"/>
        <v>11219.5</v>
      </c>
      <c r="AM56" s="978" t="str">
        <f t="shared" si="3"/>
        <v>Venice Gelato Café</v>
      </c>
    </row>
    <row r="57" spans="1:39" ht="10.15" customHeight="1">
      <c r="A57" s="195" t="s">
        <v>70</v>
      </c>
      <c r="B57" s="640"/>
      <c r="C57" s="640">
        <f>'1.09.23'!E19</f>
        <v>2052</v>
      </c>
      <c r="D57" s="640"/>
      <c r="E57" s="640"/>
      <c r="F57" s="640"/>
      <c r="G57" s="640"/>
      <c r="H57" s="1166"/>
      <c r="I57" s="1166"/>
      <c r="J57" s="702"/>
      <c r="K57" s="702"/>
      <c r="L57" s="702"/>
      <c r="M57" s="702">
        <f>'1.19.23'!E27</f>
        <v>4664.5</v>
      </c>
      <c r="N57" s="702"/>
      <c r="O57" s="702">
        <f>'1.21.23'!E9</f>
        <v>4693</v>
      </c>
      <c r="P57" s="702"/>
      <c r="Q57" s="738"/>
      <c r="R57" s="738"/>
      <c r="S57" s="738"/>
      <c r="T57" s="738"/>
      <c r="U57" s="738"/>
      <c r="V57" s="738"/>
      <c r="W57" s="738">
        <f>'1.29.23'!E8</f>
        <v>5405.5</v>
      </c>
      <c r="X57" s="252"/>
      <c r="Y57" s="252">
        <f>'1.31.23'!E27</f>
        <v>0</v>
      </c>
      <c r="Z57" s="189">
        <f t="shared" si="6"/>
        <v>16815</v>
      </c>
      <c r="AA57" s="358">
        <f>449000-Z57+350000+350000</f>
        <v>1132185</v>
      </c>
      <c r="AB57" s="194" t="str">
        <f t="shared" si="7"/>
        <v>Wafl</v>
      </c>
      <c r="AD57" s="234">
        <f t="shared" si="4"/>
        <v>16815</v>
      </c>
      <c r="AH57" s="234">
        <v>71377</v>
      </c>
      <c r="AI57" s="234"/>
      <c r="AJ57" s="979">
        <v>53</v>
      </c>
      <c r="AK57" s="981">
        <f t="shared" si="5"/>
        <v>1770</v>
      </c>
      <c r="AL57" s="977">
        <f t="shared" si="2"/>
        <v>16815</v>
      </c>
      <c r="AM57" s="978" t="str">
        <f t="shared" si="3"/>
        <v>Wafl</v>
      </c>
    </row>
    <row r="58" spans="1:39" ht="10.15" customHeight="1">
      <c r="A58" s="195" t="s">
        <v>181</v>
      </c>
      <c r="B58" s="1139"/>
      <c r="C58" s="252"/>
      <c r="D58" s="252"/>
      <c r="E58" s="252"/>
      <c r="F58" s="252"/>
      <c r="G58" s="252"/>
      <c r="H58" s="1166"/>
      <c r="I58" s="1166"/>
      <c r="J58" s="252"/>
      <c r="K58" s="252"/>
      <c r="L58" s="252"/>
      <c r="M58" s="252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189">
        <f t="shared" si="6"/>
        <v>0</v>
      </c>
      <c r="AA58" s="358">
        <f t="shared" ref="AA58:AA63" si="8">100000-Z58</f>
        <v>100000</v>
      </c>
      <c r="AB58" s="194" t="str">
        <f t="shared" si="7"/>
        <v>White Rabbit</v>
      </c>
      <c r="AD58" s="234">
        <f t="shared" si="4"/>
        <v>0</v>
      </c>
      <c r="AH58" s="234">
        <v>3570</v>
      </c>
      <c r="AI58" s="234"/>
      <c r="AJ58" s="979">
        <v>54</v>
      </c>
      <c r="AK58" s="981">
        <f t="shared" si="5"/>
        <v>0</v>
      </c>
      <c r="AL58" s="977">
        <f t="shared" si="2"/>
        <v>0</v>
      </c>
      <c r="AM58" s="978" t="str">
        <f t="shared" si="3"/>
        <v>White Rabbit</v>
      </c>
    </row>
    <row r="59" spans="1:39" ht="10.15" customHeight="1">
      <c r="A59" s="515" t="s">
        <v>205</v>
      </c>
      <c r="B59" s="640"/>
      <c r="C59" s="640"/>
      <c r="D59" s="640"/>
      <c r="E59" s="640">
        <f>'1.11.23'!E18</f>
        <v>1738.5</v>
      </c>
      <c r="F59" s="640"/>
      <c r="G59" s="640"/>
      <c r="H59" s="1166"/>
      <c r="I59" s="1166"/>
      <c r="J59" s="252"/>
      <c r="K59" s="252"/>
      <c r="L59" s="252"/>
      <c r="M59" s="252"/>
      <c r="N59" s="252"/>
      <c r="O59" s="252"/>
      <c r="P59" s="252"/>
      <c r="Q59" s="738"/>
      <c r="R59" s="738">
        <f>'1.24.23'!E9</f>
        <v>2175.5</v>
      </c>
      <c r="S59" s="738"/>
      <c r="T59" s="738"/>
      <c r="U59" s="738"/>
      <c r="V59" s="738"/>
      <c r="W59" s="738"/>
      <c r="X59" s="252">
        <f>'1.30.23'!E17</f>
        <v>2612.5</v>
      </c>
      <c r="Y59" s="252"/>
      <c r="Z59" s="189">
        <f t="shared" si="6"/>
        <v>6526.5</v>
      </c>
      <c r="AA59" s="522">
        <f t="shared" si="8"/>
        <v>93473.5</v>
      </c>
      <c r="AB59" s="194" t="str">
        <f t="shared" si="7"/>
        <v>Yalla</v>
      </c>
      <c r="AD59" s="234">
        <f t="shared" si="4"/>
        <v>6526.5</v>
      </c>
      <c r="AH59" s="234">
        <v>43804.5</v>
      </c>
      <c r="AI59" s="234"/>
      <c r="AJ59" s="979">
        <v>55</v>
      </c>
      <c r="AK59" s="981">
        <f t="shared" si="5"/>
        <v>687</v>
      </c>
      <c r="AL59" s="977">
        <f t="shared" si="2"/>
        <v>6526.5</v>
      </c>
      <c r="AM59" s="978" t="str">
        <f t="shared" si="3"/>
        <v>Yalla</v>
      </c>
    </row>
    <row r="60" spans="1:39" ht="10.15" customHeight="1">
      <c r="A60" s="195" t="s">
        <v>244</v>
      </c>
      <c r="B60" s="640"/>
      <c r="C60" s="640"/>
      <c r="D60" s="640">
        <f>'1.10.23'!E18</f>
        <v>4199</v>
      </c>
      <c r="E60" s="640"/>
      <c r="F60" s="640"/>
      <c r="G60" s="640">
        <f>'1.13.23'!E19</f>
        <v>4816.5</v>
      </c>
      <c r="H60" s="1166"/>
      <c r="I60" s="1166"/>
      <c r="J60" s="702"/>
      <c r="K60" s="702"/>
      <c r="L60" s="702"/>
      <c r="M60" s="702"/>
      <c r="N60" s="702">
        <f>'1.20.23'!E29</f>
        <v>2669.5</v>
      </c>
      <c r="O60" s="702"/>
      <c r="P60" s="702"/>
      <c r="Q60" s="738">
        <f>'1.23.23'!E19</f>
        <v>4769</v>
      </c>
      <c r="R60" s="738"/>
      <c r="S60" s="738"/>
      <c r="T60" s="738">
        <f>'1.26.23'!E8</f>
        <v>5434</v>
      </c>
      <c r="U60" s="738"/>
      <c r="V60" s="738"/>
      <c r="W60" s="738"/>
      <c r="X60" s="252">
        <f>'1.30.23'!E9</f>
        <v>5263</v>
      </c>
      <c r="Y60" s="252">
        <f>'1.31.23'!E19</f>
        <v>5671.5</v>
      </c>
      <c r="Z60" s="189">
        <f t="shared" si="6"/>
        <v>32822.5</v>
      </c>
      <c r="AA60" s="358">
        <f t="shared" si="8"/>
        <v>67177.5</v>
      </c>
      <c r="AB60" s="194" t="str">
        <f t="shared" si="7"/>
        <v>Yuna's Bob</v>
      </c>
      <c r="AD60" s="234">
        <f t="shared" si="4"/>
        <v>32822.5</v>
      </c>
      <c r="AH60" s="234">
        <v>499011.5</v>
      </c>
      <c r="AI60" s="234"/>
      <c r="AJ60" s="979">
        <v>56</v>
      </c>
      <c r="AK60" s="981">
        <f t="shared" si="5"/>
        <v>3455</v>
      </c>
      <c r="AL60" s="977">
        <f t="shared" si="2"/>
        <v>32822.5</v>
      </c>
      <c r="AM60" s="978" t="str">
        <f t="shared" si="3"/>
        <v>Yuna's Bob</v>
      </c>
    </row>
    <row r="61" spans="1:39" ht="10.15" customHeight="1">
      <c r="A61" s="195"/>
      <c r="B61" s="1139"/>
      <c r="C61" s="252"/>
      <c r="D61" s="252"/>
      <c r="E61" s="252"/>
      <c r="F61" s="252"/>
      <c r="G61" s="252"/>
      <c r="H61" s="1166"/>
      <c r="I61" s="1166"/>
      <c r="J61" s="252"/>
      <c r="K61" s="252"/>
      <c r="L61" s="252"/>
      <c r="M61" s="252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189">
        <f t="shared" si="6"/>
        <v>0</v>
      </c>
      <c r="AA61" s="961">
        <f t="shared" si="8"/>
        <v>100000</v>
      </c>
      <c r="AB61" s="195"/>
      <c r="AD61" s="234">
        <f t="shared" si="4"/>
        <v>0</v>
      </c>
      <c r="AH61" s="234">
        <v>7640</v>
      </c>
      <c r="AI61" s="234"/>
      <c r="AJ61" s="979">
        <v>57</v>
      </c>
      <c r="AK61" s="981">
        <f t="shared" si="5"/>
        <v>0</v>
      </c>
      <c r="AL61" s="977">
        <f t="shared" si="2"/>
        <v>0</v>
      </c>
      <c r="AM61" s="978">
        <f t="shared" si="3"/>
        <v>0</v>
      </c>
    </row>
    <row r="62" spans="1:39" ht="10.15" customHeight="1">
      <c r="A62" s="195"/>
      <c r="B62" s="1139"/>
      <c r="C62" s="252"/>
      <c r="D62" s="252"/>
      <c r="E62" s="252"/>
      <c r="F62" s="252"/>
      <c r="G62" s="252"/>
      <c r="H62" s="1166"/>
      <c r="I62" s="1166"/>
      <c r="J62" s="252"/>
      <c r="K62" s="252"/>
      <c r="L62" s="252"/>
      <c r="M62" s="252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189">
        <f t="shared" si="6"/>
        <v>0</v>
      </c>
      <c r="AA62" s="961">
        <f t="shared" si="8"/>
        <v>100000</v>
      </c>
      <c r="AB62" s="195"/>
      <c r="AD62" s="234">
        <f t="shared" si="4"/>
        <v>0</v>
      </c>
      <c r="AH62" s="234">
        <v>64586.5</v>
      </c>
      <c r="AI62" s="234"/>
      <c r="AJ62" s="979">
        <v>58</v>
      </c>
      <c r="AK62" s="981">
        <f t="shared" si="5"/>
        <v>0</v>
      </c>
      <c r="AL62" s="977">
        <f t="shared" si="2"/>
        <v>0</v>
      </c>
      <c r="AM62" s="978">
        <f t="shared" si="3"/>
        <v>0</v>
      </c>
    </row>
    <row r="63" spans="1:39" s="521" customFormat="1" ht="10.15" customHeight="1">
      <c r="A63" s="195"/>
      <c r="B63" s="1139"/>
      <c r="C63" s="252"/>
      <c r="D63" s="252"/>
      <c r="E63" s="252"/>
      <c r="F63" s="252"/>
      <c r="G63" s="252"/>
      <c r="H63" s="1166"/>
      <c r="I63" s="1166"/>
      <c r="J63" s="252"/>
      <c r="K63" s="252"/>
      <c r="L63" s="252"/>
      <c r="M63" s="252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189">
        <f t="shared" si="6"/>
        <v>0</v>
      </c>
      <c r="AA63" s="961">
        <f t="shared" si="8"/>
        <v>100000</v>
      </c>
      <c r="AB63" s="195"/>
      <c r="AC63" s="934"/>
      <c r="AD63" s="234">
        <f t="shared" si="4"/>
        <v>0</v>
      </c>
      <c r="AE63" s="934"/>
      <c r="AF63" s="934"/>
      <c r="AG63" s="934"/>
      <c r="AH63" s="234">
        <v>42224</v>
      </c>
      <c r="AI63" s="234"/>
      <c r="AJ63" s="979">
        <v>59</v>
      </c>
      <c r="AK63" s="981">
        <f t="shared" si="5"/>
        <v>0</v>
      </c>
      <c r="AL63" s="977">
        <f t="shared" si="2"/>
        <v>0</v>
      </c>
      <c r="AM63" s="978">
        <f t="shared" si="3"/>
        <v>0</v>
      </c>
    </row>
    <row r="64" spans="1:39" ht="13.9" customHeight="1" thickBot="1">
      <c r="A64" s="46" t="s">
        <v>24</v>
      </c>
      <c r="B64" s="1140">
        <f t="shared" ref="B64:L64" si="9">SUM(B3:B63)</f>
        <v>17660.5</v>
      </c>
      <c r="C64" s="530">
        <f t="shared" si="9"/>
        <v>28747</v>
      </c>
      <c r="D64" s="530">
        <f t="shared" si="9"/>
        <v>38408.5</v>
      </c>
      <c r="E64" s="530">
        <f t="shared" si="9"/>
        <v>31739.5</v>
      </c>
      <c r="F64" s="530">
        <f t="shared" si="9"/>
        <v>35007.5</v>
      </c>
      <c r="G64" s="530">
        <f t="shared" si="9"/>
        <v>30096</v>
      </c>
      <c r="H64" s="1167">
        <f t="shared" si="9"/>
        <v>0</v>
      </c>
      <c r="I64" s="1167">
        <f t="shared" si="9"/>
        <v>0</v>
      </c>
      <c r="J64" s="530">
        <f t="shared" si="9"/>
        <v>21650.5</v>
      </c>
      <c r="K64" s="530">
        <f t="shared" si="9"/>
        <v>31416.5</v>
      </c>
      <c r="L64" s="530">
        <f t="shared" si="9"/>
        <v>37110</v>
      </c>
      <c r="M64" s="530">
        <f t="shared" ref="M64:Y64" si="10">SUM(M3:M63)</f>
        <v>31541.5</v>
      </c>
      <c r="N64" s="530">
        <f t="shared" si="10"/>
        <v>34143</v>
      </c>
      <c r="O64" s="530">
        <f t="shared" si="10"/>
        <v>38076</v>
      </c>
      <c r="P64" s="530">
        <f t="shared" si="10"/>
        <v>35672.5</v>
      </c>
      <c r="Q64" s="530">
        <f t="shared" si="10"/>
        <v>35948</v>
      </c>
      <c r="R64" s="530">
        <f t="shared" si="10"/>
        <v>37819.5</v>
      </c>
      <c r="S64" s="530">
        <f t="shared" si="10"/>
        <v>39957</v>
      </c>
      <c r="T64" s="530">
        <f t="shared" si="10"/>
        <v>28709</v>
      </c>
      <c r="U64" s="530">
        <f t="shared" si="10"/>
        <v>36879</v>
      </c>
      <c r="V64" s="530">
        <f t="shared" si="10"/>
        <v>41961.5</v>
      </c>
      <c r="W64" s="530">
        <f t="shared" si="10"/>
        <v>40840.5</v>
      </c>
      <c r="X64" s="530">
        <f t="shared" si="10"/>
        <v>39643.5</v>
      </c>
      <c r="Y64" s="530">
        <f t="shared" si="10"/>
        <v>40033</v>
      </c>
      <c r="Z64" s="55">
        <f>SUM(Z3:Z63)</f>
        <v>753060</v>
      </c>
      <c r="AA64" s="55">
        <f>SUM(AA3:AA63)</f>
        <v>15551520.5</v>
      </c>
      <c r="AH64" s="234">
        <f>SUM(AH3:AH63)</f>
        <v>5287160.5</v>
      </c>
      <c r="AI64" s="234"/>
      <c r="AJ64" s="980"/>
      <c r="AK64" s="981">
        <f>SUM(AK3:AK63)</f>
        <v>78408.473684210534</v>
      </c>
      <c r="AL64" s="977">
        <f>SUM(AL3:AL63)</f>
        <v>744880.5</v>
      </c>
      <c r="AM64" s="937"/>
    </row>
    <row r="65" spans="1:47" ht="12" customHeight="1" thickTop="1">
      <c r="A65" s="198" t="s">
        <v>85</v>
      </c>
      <c r="B65" s="241">
        <f>'1.08.23'!E38</f>
        <v>17660.5</v>
      </c>
      <c r="C65" s="241">
        <f>'1.09.23'!E38</f>
        <v>28747</v>
      </c>
      <c r="D65" s="241">
        <f>'1.10.23'!E38</f>
        <v>38408.5</v>
      </c>
      <c r="E65" s="241">
        <f>'1.11.23'!E38</f>
        <v>31739.5</v>
      </c>
      <c r="F65" s="241">
        <f>'1.12.23'!E38</f>
        <v>35007.5</v>
      </c>
      <c r="G65" s="241">
        <f>'1.13.23'!E38</f>
        <v>30096</v>
      </c>
      <c r="H65" s="241"/>
      <c r="I65" s="241"/>
      <c r="J65" s="241">
        <f>'1.16.23'!E38</f>
        <v>21650.5</v>
      </c>
      <c r="K65" s="241">
        <f>'1.17.23'!E38</f>
        <v>31416.5</v>
      </c>
      <c r="L65" s="241">
        <f>'1.18.23'!E38</f>
        <v>37110</v>
      </c>
      <c r="M65" s="241">
        <f>'1.19.23'!E38</f>
        <v>31541.5</v>
      </c>
      <c r="N65" s="241">
        <f>'1.20.23'!E38</f>
        <v>34143</v>
      </c>
      <c r="O65" s="241">
        <f>'1.21.23'!E38</f>
        <v>38076</v>
      </c>
      <c r="P65" s="241">
        <f>'1.22.23'!E38</f>
        <v>35672.5</v>
      </c>
      <c r="Q65" s="241">
        <f>'1.23.23'!E38</f>
        <v>35948</v>
      </c>
      <c r="R65" s="241">
        <f>'1.24.23'!E38</f>
        <v>37819.5</v>
      </c>
      <c r="S65" s="241">
        <f>'1.25.23'!E38</f>
        <v>39957</v>
      </c>
      <c r="T65" s="241">
        <f>'1.26.23'!E38</f>
        <v>28709</v>
      </c>
      <c r="U65" s="241">
        <f>'1.27.23'!E38</f>
        <v>36879</v>
      </c>
      <c r="V65" s="241">
        <f>'1.28.23'!E38</f>
        <v>41961.5</v>
      </c>
      <c r="W65" s="241">
        <f>'1.29.23'!E38</f>
        <v>40840.5</v>
      </c>
      <c r="X65" s="241">
        <f>'1.30.23'!E38</f>
        <v>39643.5</v>
      </c>
      <c r="Y65" s="241">
        <f>'1.31.23'!E38</f>
        <v>40033</v>
      </c>
      <c r="Z65" s="197"/>
      <c r="AA65" s="57"/>
      <c r="AB65" s="521"/>
      <c r="AC65" s="521"/>
      <c r="AD65" s="521"/>
      <c r="AE65" s="521"/>
      <c r="AF65" s="521"/>
      <c r="AG65" s="521"/>
    </row>
    <row r="66" spans="1:47" ht="12" customHeight="1">
      <c r="A66" s="198" t="s">
        <v>86</v>
      </c>
      <c r="B66" s="242">
        <f t="shared" ref="B66:Y66" si="11">B64-B65</f>
        <v>0</v>
      </c>
      <c r="C66" s="242">
        <f t="shared" si="11"/>
        <v>0</v>
      </c>
      <c r="D66" s="242">
        <f t="shared" si="11"/>
        <v>0</v>
      </c>
      <c r="E66" s="242">
        <f t="shared" si="11"/>
        <v>0</v>
      </c>
      <c r="F66" s="242">
        <f t="shared" si="11"/>
        <v>0</v>
      </c>
      <c r="G66" s="242">
        <f t="shared" si="11"/>
        <v>0</v>
      </c>
      <c r="H66" s="242">
        <f t="shared" si="11"/>
        <v>0</v>
      </c>
      <c r="I66" s="242">
        <f t="shared" si="11"/>
        <v>0</v>
      </c>
      <c r="J66" s="242">
        <f t="shared" si="11"/>
        <v>0</v>
      </c>
      <c r="K66" s="242">
        <f t="shared" si="11"/>
        <v>0</v>
      </c>
      <c r="L66" s="242">
        <f t="shared" si="11"/>
        <v>0</v>
      </c>
      <c r="M66" s="242">
        <f t="shared" si="11"/>
        <v>0</v>
      </c>
      <c r="N66" s="242">
        <f t="shared" si="11"/>
        <v>0</v>
      </c>
      <c r="O66" s="242">
        <f t="shared" si="11"/>
        <v>0</v>
      </c>
      <c r="P66" s="242">
        <f t="shared" si="11"/>
        <v>0</v>
      </c>
      <c r="Q66" s="242">
        <f t="shared" si="11"/>
        <v>0</v>
      </c>
      <c r="R66" s="242">
        <f t="shared" si="11"/>
        <v>0</v>
      </c>
      <c r="S66" s="242">
        <f t="shared" si="11"/>
        <v>0</v>
      </c>
      <c r="T66" s="242">
        <f t="shared" si="11"/>
        <v>0</v>
      </c>
      <c r="U66" s="242">
        <f t="shared" si="11"/>
        <v>0</v>
      </c>
      <c r="V66" s="242">
        <f t="shared" si="11"/>
        <v>0</v>
      </c>
      <c r="W66" s="242">
        <f t="shared" si="11"/>
        <v>0</v>
      </c>
      <c r="X66" s="242">
        <f t="shared" si="11"/>
        <v>0</v>
      </c>
      <c r="Y66" s="242">
        <f t="shared" si="11"/>
        <v>0</v>
      </c>
      <c r="Z66" s="233"/>
      <c r="AA66" s="199"/>
      <c r="AC66" s="316"/>
      <c r="AD66" s="316"/>
      <c r="AE66" s="316"/>
      <c r="AF66" s="316"/>
      <c r="AG66" s="316"/>
      <c r="AH66" s="199"/>
      <c r="AI66" s="199"/>
      <c r="AJ66" s="199"/>
      <c r="AK66" s="198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</row>
    <row r="67" spans="1:47" ht="26.25" customHeight="1">
      <c r="B67" s="982"/>
      <c r="C67" s="982"/>
      <c r="D67" s="982"/>
      <c r="E67" s="982"/>
      <c r="F67" s="982"/>
      <c r="G67" s="982"/>
      <c r="H67" s="1284" t="s">
        <v>823</v>
      </c>
      <c r="I67" s="1284"/>
      <c r="J67" s="982"/>
      <c r="K67" s="982"/>
      <c r="L67" s="982"/>
      <c r="M67" s="982"/>
      <c r="N67" s="982"/>
      <c r="O67" s="982"/>
      <c r="P67" s="982"/>
      <c r="Q67" s="982"/>
      <c r="R67" s="982"/>
      <c r="S67" s="982"/>
      <c r="T67" s="982"/>
      <c r="U67" s="982"/>
      <c r="V67" s="982"/>
      <c r="W67" s="982"/>
      <c r="X67" s="982"/>
      <c r="Y67" s="982"/>
    </row>
    <row r="68" spans="1:47">
      <c r="Z68" s="234"/>
      <c r="AB68" s="199"/>
      <c r="AC68" s="199"/>
      <c r="AD68" s="199"/>
      <c r="AE68" s="199"/>
      <c r="AF68" s="199"/>
      <c r="AG68" s="199"/>
    </row>
    <row r="70" spans="1:47">
      <c r="A70" s="188"/>
    </row>
    <row r="71" spans="1:47">
      <c r="A71" s="188"/>
    </row>
  </sheetData>
  <mergeCells count="4">
    <mergeCell ref="A1:A2"/>
    <mergeCell ref="Z1:Z2"/>
    <mergeCell ref="AA1:AA2"/>
    <mergeCell ref="H67:I67"/>
  </mergeCells>
  <conditionalFormatting sqref="AA26:AA28 AA36 AA39 AA60 AA53:AA55 AA33 AA63 AA6:AA8 AA11 AA13:AA15 AA19:AA21 AA42:AA48">
    <cfRule type="cellIs" dxfId="468" priority="87" operator="lessThan">
      <formula>20000</formula>
    </cfRule>
    <cfRule type="cellIs" dxfId="467" priority="88" operator="lessThan">
      <formula>25000</formula>
    </cfRule>
    <cfRule type="cellIs" dxfId="466" priority="89" operator="lessThan">
      <formula>50000</formula>
    </cfRule>
  </conditionalFormatting>
  <conditionalFormatting sqref="AA22">
    <cfRule type="cellIs" dxfId="465" priority="84" operator="lessThan">
      <formula>20000</formula>
    </cfRule>
    <cfRule type="cellIs" dxfId="464" priority="85" operator="lessThan">
      <formula>25000</formula>
    </cfRule>
    <cfRule type="cellIs" dxfId="463" priority="86" operator="lessThan">
      <formula>50000</formula>
    </cfRule>
  </conditionalFormatting>
  <conditionalFormatting sqref="AA34">
    <cfRule type="cellIs" dxfId="462" priority="81" operator="lessThan">
      <formula>20000</formula>
    </cfRule>
    <cfRule type="cellIs" dxfId="461" priority="82" operator="lessThan">
      <formula>25000</formula>
    </cfRule>
    <cfRule type="cellIs" dxfId="460" priority="83" operator="lessThan">
      <formula>50000</formula>
    </cfRule>
  </conditionalFormatting>
  <conditionalFormatting sqref="AA37">
    <cfRule type="cellIs" dxfId="459" priority="78" operator="lessThan">
      <formula>20000</formula>
    </cfRule>
    <cfRule type="cellIs" dxfId="458" priority="79" operator="lessThan">
      <formula>25000</formula>
    </cfRule>
    <cfRule type="cellIs" dxfId="457" priority="80" operator="lessThan">
      <formula>50000</formula>
    </cfRule>
  </conditionalFormatting>
  <conditionalFormatting sqref="AA52">
    <cfRule type="cellIs" dxfId="456" priority="75" operator="lessThan">
      <formula>20000</formula>
    </cfRule>
    <cfRule type="cellIs" dxfId="455" priority="76" operator="lessThan">
      <formula>25000</formula>
    </cfRule>
    <cfRule type="cellIs" dxfId="454" priority="77" operator="lessThan">
      <formula>50000</formula>
    </cfRule>
  </conditionalFormatting>
  <conditionalFormatting sqref="AA57">
    <cfRule type="cellIs" dxfId="453" priority="72" operator="lessThan">
      <formula>20000</formula>
    </cfRule>
    <cfRule type="cellIs" dxfId="452" priority="73" operator="lessThan">
      <formula>25000</formula>
    </cfRule>
    <cfRule type="cellIs" dxfId="451" priority="74" operator="lessThan">
      <formula>50000</formula>
    </cfRule>
  </conditionalFormatting>
  <conditionalFormatting sqref="AA50">
    <cfRule type="cellIs" dxfId="450" priority="69" operator="lessThan">
      <formula>20000</formula>
    </cfRule>
    <cfRule type="cellIs" dxfId="449" priority="70" operator="lessThan">
      <formula>25000</formula>
    </cfRule>
    <cfRule type="cellIs" dxfId="448" priority="71" operator="lessThan">
      <formula>50000</formula>
    </cfRule>
  </conditionalFormatting>
  <conditionalFormatting sqref="AA5">
    <cfRule type="cellIs" dxfId="447" priority="66" operator="lessThan">
      <formula>20000</formula>
    </cfRule>
    <cfRule type="cellIs" dxfId="446" priority="67" operator="lessThan">
      <formula>25000</formula>
    </cfRule>
    <cfRule type="cellIs" dxfId="445" priority="68" operator="lessThan">
      <formula>50000</formula>
    </cfRule>
  </conditionalFormatting>
  <conditionalFormatting sqref="AA56">
    <cfRule type="cellIs" dxfId="444" priority="63" operator="lessThan">
      <formula>20000</formula>
    </cfRule>
    <cfRule type="cellIs" dxfId="443" priority="64" operator="lessThan">
      <formula>25000</formula>
    </cfRule>
    <cfRule type="cellIs" dxfId="442" priority="65" operator="lessThan">
      <formula>50000</formula>
    </cfRule>
  </conditionalFormatting>
  <conditionalFormatting sqref="AA35">
    <cfRule type="cellIs" dxfId="441" priority="60" operator="lessThan">
      <formula>20000</formula>
    </cfRule>
    <cfRule type="cellIs" dxfId="440" priority="61" operator="lessThan">
      <formula>25000</formula>
    </cfRule>
    <cfRule type="cellIs" dxfId="439" priority="62" operator="lessThan">
      <formula>50000</formula>
    </cfRule>
  </conditionalFormatting>
  <conditionalFormatting sqref="AA3:AA4">
    <cfRule type="cellIs" dxfId="438" priority="57" operator="lessThan">
      <formula>20000</formula>
    </cfRule>
    <cfRule type="cellIs" dxfId="437" priority="58" operator="lessThan">
      <formula>25000</formula>
    </cfRule>
    <cfRule type="cellIs" dxfId="436" priority="59" operator="lessThan">
      <formula>50000</formula>
    </cfRule>
  </conditionalFormatting>
  <conditionalFormatting sqref="AA16">
    <cfRule type="cellIs" dxfId="435" priority="54" operator="lessThan">
      <formula>20000</formula>
    </cfRule>
    <cfRule type="cellIs" dxfId="434" priority="55" operator="lessThan">
      <formula>25000</formula>
    </cfRule>
    <cfRule type="cellIs" dxfId="433" priority="56" operator="lessThan">
      <formula>50000</formula>
    </cfRule>
  </conditionalFormatting>
  <conditionalFormatting sqref="AA29:AA30">
    <cfRule type="cellIs" dxfId="432" priority="51" operator="lessThan">
      <formula>20000</formula>
    </cfRule>
    <cfRule type="cellIs" dxfId="431" priority="52" operator="lessThan">
      <formula>25000</formula>
    </cfRule>
    <cfRule type="cellIs" dxfId="430" priority="53" operator="lessThan">
      <formula>50000</formula>
    </cfRule>
  </conditionalFormatting>
  <conditionalFormatting sqref="AA61:AA62">
    <cfRule type="cellIs" dxfId="429" priority="48" operator="lessThan">
      <formula>20000</formula>
    </cfRule>
    <cfRule type="cellIs" dxfId="428" priority="49" operator="lessThan">
      <formula>25000</formula>
    </cfRule>
    <cfRule type="cellIs" dxfId="427" priority="50" operator="lessThan">
      <formula>50000</formula>
    </cfRule>
  </conditionalFormatting>
  <conditionalFormatting sqref="AA23">
    <cfRule type="cellIs" dxfId="426" priority="45" operator="lessThan">
      <formula>20000</formula>
    </cfRule>
    <cfRule type="cellIs" dxfId="425" priority="46" operator="lessThan">
      <formula>25000</formula>
    </cfRule>
    <cfRule type="cellIs" dxfId="424" priority="47" operator="lessThan">
      <formula>50000</formula>
    </cfRule>
  </conditionalFormatting>
  <conditionalFormatting sqref="AA10">
    <cfRule type="cellIs" dxfId="423" priority="42" operator="lessThan">
      <formula>20000</formula>
    </cfRule>
    <cfRule type="cellIs" dxfId="422" priority="43" operator="lessThan">
      <formula>25000</formula>
    </cfRule>
    <cfRule type="cellIs" dxfId="421" priority="44" operator="lessThan">
      <formula>50000</formula>
    </cfRule>
  </conditionalFormatting>
  <conditionalFormatting sqref="AA58:AA59">
    <cfRule type="cellIs" dxfId="420" priority="39" operator="lessThan">
      <formula>20000</formula>
    </cfRule>
    <cfRule type="cellIs" dxfId="419" priority="40" operator="lessThan">
      <formula>25000</formula>
    </cfRule>
    <cfRule type="cellIs" dxfId="418" priority="41" operator="lessThan">
      <formula>50000</formula>
    </cfRule>
  </conditionalFormatting>
  <conditionalFormatting sqref="AA38">
    <cfRule type="cellIs" dxfId="417" priority="36" operator="lessThan">
      <formula>20000</formula>
    </cfRule>
    <cfRule type="cellIs" dxfId="416" priority="37" operator="lessThan">
      <formula>25000</formula>
    </cfRule>
    <cfRule type="cellIs" dxfId="415" priority="38" operator="lessThan">
      <formula>50000</formula>
    </cfRule>
  </conditionalFormatting>
  <conditionalFormatting sqref="AA17">
    <cfRule type="cellIs" dxfId="414" priority="33" operator="lessThan">
      <formula>20000</formula>
    </cfRule>
    <cfRule type="cellIs" dxfId="413" priority="34" operator="lessThan">
      <formula>25000</formula>
    </cfRule>
    <cfRule type="cellIs" dxfId="412" priority="35" operator="lessThan">
      <formula>50000</formula>
    </cfRule>
  </conditionalFormatting>
  <conditionalFormatting sqref="AA40:AA41">
    <cfRule type="cellIs" dxfId="411" priority="30" operator="lessThan">
      <formula>20000</formula>
    </cfRule>
    <cfRule type="cellIs" dxfId="410" priority="31" operator="lessThan">
      <formula>25000</formula>
    </cfRule>
    <cfRule type="cellIs" dxfId="409" priority="32" operator="lessThan">
      <formula>50000</formula>
    </cfRule>
  </conditionalFormatting>
  <conditionalFormatting sqref="AA12">
    <cfRule type="cellIs" dxfId="408" priority="27" operator="lessThan">
      <formula>20000</formula>
    </cfRule>
    <cfRule type="cellIs" dxfId="407" priority="28" operator="lessThan">
      <formula>25000</formula>
    </cfRule>
    <cfRule type="cellIs" dxfId="406" priority="29" operator="lessThan">
      <formula>50000</formula>
    </cfRule>
  </conditionalFormatting>
  <conditionalFormatting sqref="B66:Y66">
    <cfRule type="cellIs" dxfId="405" priority="25" operator="lessThan">
      <formula>0</formula>
    </cfRule>
    <cfRule type="cellIs" dxfId="404" priority="26" operator="greaterThan">
      <formula>0</formula>
    </cfRule>
  </conditionalFormatting>
  <conditionalFormatting sqref="AA31">
    <cfRule type="cellIs" dxfId="403" priority="22" operator="lessThan">
      <formula>20000</formula>
    </cfRule>
    <cfRule type="cellIs" dxfId="402" priority="23" operator="lessThan">
      <formula>25000</formula>
    </cfRule>
    <cfRule type="cellIs" dxfId="401" priority="24" operator="lessThan">
      <formula>50000</formula>
    </cfRule>
  </conditionalFormatting>
  <conditionalFormatting sqref="AA9">
    <cfRule type="cellIs" dxfId="400" priority="19" operator="lessThan">
      <formula>20000</formula>
    </cfRule>
    <cfRule type="cellIs" dxfId="399" priority="20" operator="lessThan">
      <formula>25000</formula>
    </cfRule>
    <cfRule type="cellIs" dxfId="398" priority="21" operator="lessThan">
      <formula>50000</formula>
    </cfRule>
  </conditionalFormatting>
  <conditionalFormatting sqref="AA18">
    <cfRule type="cellIs" dxfId="397" priority="16" operator="lessThan">
      <formula>20000</formula>
    </cfRule>
    <cfRule type="cellIs" dxfId="396" priority="17" operator="lessThan">
      <formula>25000</formula>
    </cfRule>
    <cfRule type="cellIs" dxfId="395" priority="18" operator="lessThan">
      <formula>50000</formula>
    </cfRule>
  </conditionalFormatting>
  <conditionalFormatting sqref="AA25">
    <cfRule type="cellIs" dxfId="394" priority="13" operator="lessThan">
      <formula>20000</formula>
    </cfRule>
    <cfRule type="cellIs" dxfId="393" priority="14" operator="lessThan">
      <formula>25000</formula>
    </cfRule>
    <cfRule type="cellIs" dxfId="392" priority="15" operator="lessThan">
      <formula>50000</formula>
    </cfRule>
  </conditionalFormatting>
  <conditionalFormatting sqref="AA32">
    <cfRule type="cellIs" dxfId="391" priority="10" operator="lessThan">
      <formula>20000</formula>
    </cfRule>
    <cfRule type="cellIs" dxfId="390" priority="11" operator="lessThan">
      <formula>25000</formula>
    </cfRule>
    <cfRule type="cellIs" dxfId="389" priority="12" operator="lessThan">
      <formula>50000</formula>
    </cfRule>
  </conditionalFormatting>
  <conditionalFormatting sqref="AA49">
    <cfRule type="cellIs" dxfId="388" priority="7" operator="lessThan">
      <formula>20000</formula>
    </cfRule>
    <cfRule type="cellIs" dxfId="387" priority="8" operator="lessThan">
      <formula>25000</formula>
    </cfRule>
    <cfRule type="cellIs" dxfId="386" priority="9" operator="lessThan">
      <formula>50000</formula>
    </cfRule>
  </conditionalFormatting>
  <conditionalFormatting sqref="AA51">
    <cfRule type="cellIs" dxfId="385" priority="4" operator="lessThan">
      <formula>20000</formula>
    </cfRule>
    <cfRule type="cellIs" dxfId="384" priority="5" operator="lessThan">
      <formula>25000</formula>
    </cfRule>
    <cfRule type="cellIs" dxfId="383" priority="6" operator="lessThan">
      <formula>50000</formula>
    </cfRule>
  </conditionalFormatting>
  <conditionalFormatting sqref="AA24">
    <cfRule type="cellIs" dxfId="382" priority="1" operator="lessThan">
      <formula>20000</formula>
    </cfRule>
    <cfRule type="cellIs" dxfId="381" priority="2" operator="lessThan">
      <formula>25000</formula>
    </cfRule>
    <cfRule type="cellIs" dxfId="380" priority="3" operator="lessThan">
      <formula>50000</formula>
    </cfRule>
  </conditionalFormatting>
  <pageMargins left="0.7" right="0.7" top="0.75" bottom="0.75" header="0.3" footer="0.3"/>
  <pageSetup scale="130" orientation="portrait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5B122-C6B3-4889-8FE1-F20B29C424F9}">
  <sheetPr codeName="Sheet356"/>
  <dimension ref="A1:FV69"/>
  <sheetViews>
    <sheetView workbookViewId="0">
      <selection sqref="A1:A2"/>
    </sheetView>
  </sheetViews>
  <sheetFormatPr defaultColWidth="8.85546875" defaultRowHeight="15"/>
  <cols>
    <col min="1" max="1" width="21.85546875" style="974" bestFit="1" customWidth="1"/>
    <col min="2" max="10" width="8.5703125" style="974" bestFit="1" customWidth="1"/>
    <col min="11" max="156" width="8" style="974" hidden="1" customWidth="1"/>
    <col min="157" max="157" width="12.28515625" style="934" customWidth="1"/>
    <col min="158" max="158" width="18" style="934" customWidth="1"/>
    <col min="159" max="159" width="18.28515625" style="934" customWidth="1"/>
    <col min="160" max="160" width="5.85546875" style="934" customWidth="1"/>
    <col min="161" max="161" width="9.7109375" style="934" customWidth="1"/>
    <col min="162" max="164" width="5.85546875" style="934" customWidth="1"/>
    <col min="165" max="165" width="12.42578125" style="934" customWidth="1"/>
    <col min="166" max="166" width="6.5703125" style="934" customWidth="1"/>
    <col min="167" max="167" width="3.42578125" style="934" customWidth="1"/>
    <col min="168" max="168" width="8.28515625" style="974" customWidth="1"/>
    <col min="169" max="169" width="10.7109375" style="934" customWidth="1"/>
    <col min="170" max="170" width="21.28515625" style="934" bestFit="1" customWidth="1"/>
    <col min="171" max="16384" width="8.85546875" style="934"/>
  </cols>
  <sheetData>
    <row r="1" spans="1:170">
      <c r="A1" s="1251" t="s">
        <v>77</v>
      </c>
      <c r="B1" s="250" t="s">
        <v>90</v>
      </c>
      <c r="C1" s="250" t="s">
        <v>91</v>
      </c>
      <c r="D1" s="250" t="s">
        <v>92</v>
      </c>
      <c r="E1" s="250" t="s">
        <v>93</v>
      </c>
      <c r="F1" s="250" t="s">
        <v>87</v>
      </c>
      <c r="G1" s="250" t="s">
        <v>88</v>
      </c>
      <c r="H1" s="250" t="s">
        <v>89</v>
      </c>
      <c r="I1" s="250" t="s">
        <v>90</v>
      </c>
      <c r="J1" s="250" t="s">
        <v>88</v>
      </c>
      <c r="K1" s="1135" t="s">
        <v>93</v>
      </c>
      <c r="L1" s="250" t="s">
        <v>92</v>
      </c>
      <c r="M1" s="250" t="s">
        <v>93</v>
      </c>
      <c r="N1" s="250" t="s">
        <v>87</v>
      </c>
      <c r="O1" s="250" t="s">
        <v>88</v>
      </c>
      <c r="P1" s="250" t="s">
        <v>89</v>
      </c>
      <c r="Q1" s="250" t="s">
        <v>90</v>
      </c>
      <c r="R1" s="250" t="s">
        <v>91</v>
      </c>
      <c r="S1" s="250" t="s">
        <v>92</v>
      </c>
      <c r="T1" s="250" t="s">
        <v>93</v>
      </c>
      <c r="U1" s="250" t="s">
        <v>87</v>
      </c>
      <c r="V1" s="250" t="s">
        <v>88</v>
      </c>
      <c r="W1" s="250" t="s">
        <v>89</v>
      </c>
      <c r="X1" s="250" t="s">
        <v>90</v>
      </c>
      <c r="Y1" s="250" t="s">
        <v>91</v>
      </c>
      <c r="Z1" s="250" t="s">
        <v>92</v>
      </c>
      <c r="AA1" s="250" t="s">
        <v>93</v>
      </c>
      <c r="AB1" s="250" t="s">
        <v>87</v>
      </c>
      <c r="AC1" s="250" t="s">
        <v>88</v>
      </c>
      <c r="AD1" s="250" t="s">
        <v>89</v>
      </c>
      <c r="AE1" s="250" t="s">
        <v>90</v>
      </c>
      <c r="AF1" s="250" t="s">
        <v>91</v>
      </c>
      <c r="AG1" s="250" t="s">
        <v>92</v>
      </c>
      <c r="AH1" s="250" t="s">
        <v>93</v>
      </c>
      <c r="AI1" s="250" t="s">
        <v>87</v>
      </c>
      <c r="AJ1" s="250" t="s">
        <v>88</v>
      </c>
      <c r="AK1" s="250" t="s">
        <v>89</v>
      </c>
      <c r="AL1" s="250" t="s">
        <v>90</v>
      </c>
      <c r="AM1" s="250" t="s">
        <v>91</v>
      </c>
      <c r="AN1" s="250" t="s">
        <v>92</v>
      </c>
      <c r="AO1" s="250" t="s">
        <v>93</v>
      </c>
      <c r="AP1" s="250" t="s">
        <v>87</v>
      </c>
      <c r="AQ1" s="250" t="s">
        <v>88</v>
      </c>
      <c r="AR1" s="250" t="s">
        <v>89</v>
      </c>
      <c r="AS1" s="250" t="s">
        <v>90</v>
      </c>
      <c r="AT1" s="250" t="s">
        <v>91</v>
      </c>
      <c r="AU1" s="250" t="s">
        <v>92</v>
      </c>
      <c r="AV1" s="250" t="s">
        <v>93</v>
      </c>
      <c r="AW1" s="250" t="s">
        <v>87</v>
      </c>
      <c r="AX1" s="250" t="s">
        <v>88</v>
      </c>
      <c r="AY1" s="250" t="s">
        <v>89</v>
      </c>
      <c r="AZ1" s="250" t="s">
        <v>90</v>
      </c>
      <c r="BA1" s="250" t="s">
        <v>91</v>
      </c>
      <c r="BB1" s="250" t="s">
        <v>92</v>
      </c>
      <c r="BC1" s="250" t="s">
        <v>93</v>
      </c>
      <c r="BD1" s="250" t="s">
        <v>87</v>
      </c>
      <c r="BE1" s="250" t="s">
        <v>88</v>
      </c>
      <c r="BF1" s="250" t="s">
        <v>89</v>
      </c>
      <c r="BG1" s="250" t="s">
        <v>90</v>
      </c>
      <c r="BH1" s="250" t="s">
        <v>91</v>
      </c>
      <c r="BI1" s="250" t="s">
        <v>92</v>
      </c>
      <c r="BJ1" s="250" t="s">
        <v>93</v>
      </c>
      <c r="BK1" s="250" t="s">
        <v>87</v>
      </c>
      <c r="BL1" s="250" t="s">
        <v>88</v>
      </c>
      <c r="BM1" s="250" t="s">
        <v>89</v>
      </c>
      <c r="BN1" s="250" t="s">
        <v>90</v>
      </c>
      <c r="BO1" s="250" t="s">
        <v>91</v>
      </c>
      <c r="BP1" s="250" t="s">
        <v>92</v>
      </c>
      <c r="BQ1" s="250" t="s">
        <v>93</v>
      </c>
      <c r="BR1" s="250" t="s">
        <v>87</v>
      </c>
      <c r="BS1" s="250" t="s">
        <v>88</v>
      </c>
      <c r="BT1" s="250" t="s">
        <v>89</v>
      </c>
      <c r="BU1" s="250" t="s">
        <v>90</v>
      </c>
      <c r="BV1" s="250" t="s">
        <v>91</v>
      </c>
      <c r="BW1" s="250" t="s">
        <v>92</v>
      </c>
      <c r="BX1" s="250" t="s">
        <v>93</v>
      </c>
      <c r="BY1" s="250" t="s">
        <v>87</v>
      </c>
      <c r="BZ1" s="250" t="s">
        <v>88</v>
      </c>
      <c r="CA1" s="250" t="s">
        <v>89</v>
      </c>
      <c r="CB1" s="250" t="s">
        <v>90</v>
      </c>
      <c r="CC1" s="250" t="s">
        <v>91</v>
      </c>
      <c r="CD1" s="250" t="s">
        <v>92</v>
      </c>
      <c r="CE1" s="250" t="s">
        <v>93</v>
      </c>
      <c r="CF1" s="250" t="s">
        <v>87</v>
      </c>
      <c r="CG1" s="250" t="s">
        <v>88</v>
      </c>
      <c r="CH1" s="250" t="s">
        <v>89</v>
      </c>
      <c r="CI1" s="250" t="s">
        <v>90</v>
      </c>
      <c r="CJ1" s="250" t="s">
        <v>91</v>
      </c>
      <c r="CK1" s="250" t="s">
        <v>92</v>
      </c>
      <c r="CL1" s="250" t="s">
        <v>93</v>
      </c>
      <c r="CM1" s="250" t="s">
        <v>87</v>
      </c>
      <c r="CN1" s="250" t="s">
        <v>88</v>
      </c>
      <c r="CO1" s="250" t="s">
        <v>89</v>
      </c>
      <c r="CP1" s="250" t="s">
        <v>90</v>
      </c>
      <c r="CQ1" s="250" t="s">
        <v>91</v>
      </c>
      <c r="CR1" s="250" t="s">
        <v>92</v>
      </c>
      <c r="CS1" s="250" t="s">
        <v>93</v>
      </c>
      <c r="CT1" s="250" t="s">
        <v>87</v>
      </c>
      <c r="CU1" s="250" t="s">
        <v>88</v>
      </c>
      <c r="CV1" s="250" t="s">
        <v>89</v>
      </c>
      <c r="CW1" s="250" t="s">
        <v>90</v>
      </c>
      <c r="CX1" s="250" t="s">
        <v>91</v>
      </c>
      <c r="CY1" s="250" t="s">
        <v>92</v>
      </c>
      <c r="CZ1" s="250" t="s">
        <v>93</v>
      </c>
      <c r="DA1" s="250" t="s">
        <v>87</v>
      </c>
      <c r="DB1" s="250" t="s">
        <v>88</v>
      </c>
      <c r="DC1" s="250" t="s">
        <v>89</v>
      </c>
      <c r="DD1" s="250" t="s">
        <v>90</v>
      </c>
      <c r="DE1" s="250" t="s">
        <v>91</v>
      </c>
      <c r="DF1" s="250" t="s">
        <v>92</v>
      </c>
      <c r="DG1" s="250" t="s">
        <v>93</v>
      </c>
      <c r="DH1" s="250" t="s">
        <v>87</v>
      </c>
      <c r="DI1" s="250" t="s">
        <v>88</v>
      </c>
      <c r="DJ1" s="250" t="s">
        <v>89</v>
      </c>
      <c r="DK1" s="250" t="s">
        <v>90</v>
      </c>
      <c r="DL1" s="250" t="s">
        <v>91</v>
      </c>
      <c r="DM1" s="250" t="s">
        <v>92</v>
      </c>
      <c r="DN1" s="250" t="s">
        <v>93</v>
      </c>
      <c r="DO1" s="250" t="s">
        <v>87</v>
      </c>
      <c r="DP1" s="250" t="s">
        <v>88</v>
      </c>
      <c r="DQ1" s="250" t="s">
        <v>89</v>
      </c>
      <c r="DR1" s="250" t="s">
        <v>90</v>
      </c>
      <c r="DS1" s="250" t="s">
        <v>91</v>
      </c>
      <c r="DT1" s="250" t="s">
        <v>92</v>
      </c>
      <c r="DU1" s="250" t="s">
        <v>93</v>
      </c>
      <c r="DV1" s="250" t="s">
        <v>87</v>
      </c>
      <c r="DW1" s="250" t="s">
        <v>88</v>
      </c>
      <c r="DX1" s="250" t="s">
        <v>89</v>
      </c>
      <c r="DY1" s="250" t="s">
        <v>90</v>
      </c>
      <c r="DZ1" s="250" t="s">
        <v>91</v>
      </c>
      <c r="EA1" s="250" t="s">
        <v>92</v>
      </c>
      <c r="EB1" s="250" t="s">
        <v>93</v>
      </c>
      <c r="EC1" s="250" t="s">
        <v>87</v>
      </c>
      <c r="ED1" s="250" t="s">
        <v>88</v>
      </c>
      <c r="EE1" s="250" t="s">
        <v>89</v>
      </c>
      <c r="EF1" s="250" t="s">
        <v>90</v>
      </c>
      <c r="EG1" s="250" t="s">
        <v>91</v>
      </c>
      <c r="EH1" s="250" t="s">
        <v>92</v>
      </c>
      <c r="EI1" s="250" t="s">
        <v>93</v>
      </c>
      <c r="EJ1" s="250" t="s">
        <v>87</v>
      </c>
      <c r="EK1" s="250" t="s">
        <v>88</v>
      </c>
      <c r="EL1" s="250" t="s">
        <v>89</v>
      </c>
      <c r="EM1" s="250" t="s">
        <v>90</v>
      </c>
      <c r="EN1" s="250" t="s">
        <v>91</v>
      </c>
      <c r="EO1" s="250" t="s">
        <v>92</v>
      </c>
      <c r="EP1" s="250" t="s">
        <v>93</v>
      </c>
      <c r="EQ1" s="250" t="s">
        <v>87</v>
      </c>
      <c r="ER1" s="250" t="s">
        <v>88</v>
      </c>
      <c r="ES1" s="250" t="s">
        <v>89</v>
      </c>
      <c r="ET1" s="250" t="s">
        <v>90</v>
      </c>
      <c r="EU1" s="250" t="s">
        <v>91</v>
      </c>
      <c r="EV1" s="250" t="s">
        <v>92</v>
      </c>
      <c r="EW1" s="250" t="s">
        <v>93</v>
      </c>
      <c r="EX1" s="250" t="s">
        <v>87</v>
      </c>
      <c r="EY1" s="250" t="s">
        <v>88</v>
      </c>
      <c r="EZ1" s="250" t="s">
        <v>89</v>
      </c>
      <c r="FA1" s="1253" t="s">
        <v>31</v>
      </c>
      <c r="FB1" s="1282" t="s">
        <v>190</v>
      </c>
      <c r="FI1" s="974" t="s">
        <v>222</v>
      </c>
    </row>
    <row r="2" spans="1:170" ht="15.75" thickBot="1">
      <c r="A2" s="1280"/>
      <c r="B2" s="251">
        <v>44896</v>
      </c>
      <c r="C2" s="251">
        <v>44897</v>
      </c>
      <c r="D2" s="251">
        <v>44898</v>
      </c>
      <c r="E2" s="251">
        <v>44899</v>
      </c>
      <c r="F2" s="251">
        <v>44900</v>
      </c>
      <c r="G2" s="251">
        <v>44901</v>
      </c>
      <c r="H2" s="251">
        <v>44902</v>
      </c>
      <c r="I2" s="251">
        <v>44903</v>
      </c>
      <c r="J2" s="251">
        <v>44908</v>
      </c>
      <c r="K2" s="1136">
        <v>44934</v>
      </c>
      <c r="L2" s="251">
        <v>44935</v>
      </c>
      <c r="M2" s="251">
        <v>44936</v>
      </c>
      <c r="N2" s="251">
        <v>44937</v>
      </c>
      <c r="O2" s="251">
        <v>44938</v>
      </c>
      <c r="P2" s="251">
        <v>44939</v>
      </c>
      <c r="Q2" s="251">
        <v>44940</v>
      </c>
      <c r="R2" s="251">
        <v>44941</v>
      </c>
      <c r="S2" s="251">
        <v>44942</v>
      </c>
      <c r="T2" s="251">
        <v>44943</v>
      </c>
      <c r="U2" s="251">
        <v>44944</v>
      </c>
      <c r="V2" s="251">
        <v>44945</v>
      </c>
      <c r="W2" s="251">
        <v>44946</v>
      </c>
      <c r="X2" s="251">
        <v>44947</v>
      </c>
      <c r="Y2" s="251">
        <v>44948</v>
      </c>
      <c r="Z2" s="251">
        <v>44949</v>
      </c>
      <c r="AA2" s="251">
        <v>44950</v>
      </c>
      <c r="AB2" s="251">
        <v>44951</v>
      </c>
      <c r="AC2" s="251">
        <v>44952</v>
      </c>
      <c r="AD2" s="251">
        <v>44953</v>
      </c>
      <c r="AE2" s="251">
        <v>44954</v>
      </c>
      <c r="AF2" s="251">
        <v>44955</v>
      </c>
      <c r="AG2" s="251">
        <v>44956</v>
      </c>
      <c r="AH2" s="251">
        <v>44957</v>
      </c>
      <c r="AI2" s="251">
        <v>44958</v>
      </c>
      <c r="AJ2" s="251">
        <v>44959</v>
      </c>
      <c r="AK2" s="251">
        <v>44960</v>
      </c>
      <c r="AL2" s="251">
        <v>44961</v>
      </c>
      <c r="AM2" s="251">
        <v>44962</v>
      </c>
      <c r="AN2" s="251">
        <v>44963</v>
      </c>
      <c r="AO2" s="251">
        <v>44964</v>
      </c>
      <c r="AP2" s="251">
        <v>44965</v>
      </c>
      <c r="AQ2" s="251">
        <v>44966</v>
      </c>
      <c r="AR2" s="251">
        <v>44967</v>
      </c>
      <c r="AS2" s="251">
        <v>44968</v>
      </c>
      <c r="AT2" s="251">
        <v>44969</v>
      </c>
      <c r="AU2" s="251">
        <v>44970</v>
      </c>
      <c r="AV2" s="251">
        <v>44971</v>
      </c>
      <c r="AW2" s="251">
        <v>44972</v>
      </c>
      <c r="AX2" s="251">
        <v>44973</v>
      </c>
      <c r="AY2" s="251">
        <v>44974</v>
      </c>
      <c r="AZ2" s="251">
        <v>44975</v>
      </c>
      <c r="BA2" s="251">
        <v>44976</v>
      </c>
      <c r="BB2" s="251">
        <v>44977</v>
      </c>
      <c r="BC2" s="251">
        <v>44978</v>
      </c>
      <c r="BD2" s="251">
        <v>44979</v>
      </c>
      <c r="BE2" s="251">
        <v>44980</v>
      </c>
      <c r="BF2" s="251">
        <v>44981</v>
      </c>
      <c r="BG2" s="251">
        <v>44982</v>
      </c>
      <c r="BH2" s="251">
        <v>44983</v>
      </c>
      <c r="BI2" s="251">
        <v>44984</v>
      </c>
      <c r="BJ2" s="251">
        <v>44985</v>
      </c>
      <c r="BK2" s="251">
        <v>44986</v>
      </c>
      <c r="BL2" s="251">
        <v>44987</v>
      </c>
      <c r="BM2" s="251">
        <v>44988</v>
      </c>
      <c r="BN2" s="251">
        <v>44989</v>
      </c>
      <c r="BO2" s="251">
        <v>44990</v>
      </c>
      <c r="BP2" s="251">
        <v>44991</v>
      </c>
      <c r="BQ2" s="251">
        <v>44992</v>
      </c>
      <c r="BR2" s="251">
        <v>44993</v>
      </c>
      <c r="BS2" s="251">
        <v>44994</v>
      </c>
      <c r="BT2" s="251">
        <v>44995</v>
      </c>
      <c r="BU2" s="251">
        <v>44996</v>
      </c>
      <c r="BV2" s="251">
        <v>44997</v>
      </c>
      <c r="BW2" s="251">
        <v>44998</v>
      </c>
      <c r="BX2" s="251">
        <v>44999</v>
      </c>
      <c r="BY2" s="251">
        <v>45000</v>
      </c>
      <c r="BZ2" s="251">
        <v>45001</v>
      </c>
      <c r="CA2" s="251">
        <v>45002</v>
      </c>
      <c r="CB2" s="251">
        <v>45003</v>
      </c>
      <c r="CC2" s="251">
        <v>45004</v>
      </c>
      <c r="CD2" s="251">
        <v>45005</v>
      </c>
      <c r="CE2" s="251">
        <v>45006</v>
      </c>
      <c r="CF2" s="251">
        <v>45007</v>
      </c>
      <c r="CG2" s="251">
        <v>45008</v>
      </c>
      <c r="CH2" s="251">
        <v>45009</v>
      </c>
      <c r="CI2" s="251">
        <v>45010</v>
      </c>
      <c r="CJ2" s="251">
        <v>45011</v>
      </c>
      <c r="CK2" s="251">
        <v>45012</v>
      </c>
      <c r="CL2" s="251">
        <v>45013</v>
      </c>
      <c r="CM2" s="251">
        <v>45014</v>
      </c>
      <c r="CN2" s="251">
        <v>45015</v>
      </c>
      <c r="CO2" s="251">
        <v>45016</v>
      </c>
      <c r="CP2" s="251">
        <v>45017</v>
      </c>
      <c r="CQ2" s="251">
        <v>45018</v>
      </c>
      <c r="CR2" s="251">
        <v>45019</v>
      </c>
      <c r="CS2" s="251">
        <v>45020</v>
      </c>
      <c r="CT2" s="251">
        <v>45021</v>
      </c>
      <c r="CU2" s="251">
        <v>45022</v>
      </c>
      <c r="CV2" s="251">
        <v>45023</v>
      </c>
      <c r="CW2" s="251">
        <v>45024</v>
      </c>
      <c r="CX2" s="251">
        <v>45025</v>
      </c>
      <c r="CY2" s="251">
        <v>45026</v>
      </c>
      <c r="CZ2" s="251">
        <v>45027</v>
      </c>
      <c r="DA2" s="251">
        <v>45028</v>
      </c>
      <c r="DB2" s="251">
        <v>45029</v>
      </c>
      <c r="DC2" s="251">
        <v>45030</v>
      </c>
      <c r="DD2" s="251">
        <v>45031</v>
      </c>
      <c r="DE2" s="251">
        <v>45032</v>
      </c>
      <c r="DF2" s="251">
        <v>45033</v>
      </c>
      <c r="DG2" s="251">
        <v>45034</v>
      </c>
      <c r="DH2" s="251">
        <v>45035</v>
      </c>
      <c r="DI2" s="251">
        <v>45036</v>
      </c>
      <c r="DJ2" s="251">
        <v>45037</v>
      </c>
      <c r="DK2" s="251">
        <v>45038</v>
      </c>
      <c r="DL2" s="251">
        <v>45039</v>
      </c>
      <c r="DM2" s="251">
        <v>45040</v>
      </c>
      <c r="DN2" s="251">
        <v>45041</v>
      </c>
      <c r="DO2" s="251">
        <v>45042</v>
      </c>
      <c r="DP2" s="251">
        <v>45043</v>
      </c>
      <c r="DQ2" s="251">
        <v>45044</v>
      </c>
      <c r="DR2" s="251">
        <v>45045</v>
      </c>
      <c r="DS2" s="251">
        <v>45046</v>
      </c>
      <c r="DT2" s="251">
        <v>45047</v>
      </c>
      <c r="DU2" s="251">
        <v>45048</v>
      </c>
      <c r="DV2" s="251">
        <v>45049</v>
      </c>
      <c r="DW2" s="251">
        <v>45050</v>
      </c>
      <c r="DX2" s="251">
        <v>45051</v>
      </c>
      <c r="DY2" s="251">
        <v>45052</v>
      </c>
      <c r="DZ2" s="251">
        <v>45053</v>
      </c>
      <c r="EA2" s="251">
        <v>45054</v>
      </c>
      <c r="EB2" s="251">
        <v>45055</v>
      </c>
      <c r="EC2" s="251">
        <v>45056</v>
      </c>
      <c r="ED2" s="251">
        <v>45057</v>
      </c>
      <c r="EE2" s="251">
        <v>45058</v>
      </c>
      <c r="EF2" s="251">
        <v>45059</v>
      </c>
      <c r="EG2" s="251">
        <v>45060</v>
      </c>
      <c r="EH2" s="251">
        <v>45061</v>
      </c>
      <c r="EI2" s="251">
        <v>45062</v>
      </c>
      <c r="EJ2" s="251">
        <v>45063</v>
      </c>
      <c r="EK2" s="251">
        <v>45064</v>
      </c>
      <c r="EL2" s="251">
        <v>45065</v>
      </c>
      <c r="EM2" s="251">
        <v>45066</v>
      </c>
      <c r="EN2" s="251">
        <v>45067</v>
      </c>
      <c r="EO2" s="251">
        <v>45068</v>
      </c>
      <c r="EP2" s="251">
        <v>45069</v>
      </c>
      <c r="EQ2" s="251">
        <v>45070</v>
      </c>
      <c r="ER2" s="251">
        <v>45071</v>
      </c>
      <c r="ES2" s="251">
        <v>45072</v>
      </c>
      <c r="ET2" s="251">
        <v>45073</v>
      </c>
      <c r="EU2" s="251">
        <v>45074</v>
      </c>
      <c r="EV2" s="251">
        <v>45075</v>
      </c>
      <c r="EW2" s="251">
        <v>45076</v>
      </c>
      <c r="EX2" s="251">
        <v>45077</v>
      </c>
      <c r="EY2" s="251">
        <v>45078</v>
      </c>
      <c r="EZ2" s="251">
        <v>45079</v>
      </c>
      <c r="FA2" s="1281"/>
      <c r="FB2" s="1283"/>
      <c r="FD2" s="974"/>
      <c r="FE2" s="974" t="s">
        <v>705</v>
      </c>
      <c r="FF2" s="974"/>
      <c r="FG2" s="974"/>
      <c r="FH2" s="974"/>
      <c r="FI2" s="974" t="s">
        <v>132</v>
      </c>
      <c r="FJ2" s="974"/>
      <c r="FK2" s="937"/>
      <c r="FL2" s="756" t="s">
        <v>316</v>
      </c>
      <c r="FM2" s="937" t="s">
        <v>326</v>
      </c>
      <c r="FN2" s="937"/>
    </row>
    <row r="3" spans="1:170" ht="11.45" customHeight="1">
      <c r="A3" s="194" t="s">
        <v>185</v>
      </c>
      <c r="B3" s="736">
        <f>'12.01.22'!E29</f>
        <v>6431.5</v>
      </c>
      <c r="C3" s="736"/>
      <c r="D3" s="736">
        <f>'12.03.22'!E10</f>
        <v>9424</v>
      </c>
      <c r="E3" s="736"/>
      <c r="F3" s="512"/>
      <c r="G3" s="512"/>
      <c r="H3" s="512"/>
      <c r="I3" s="512"/>
      <c r="J3" s="591">
        <f>'12.13.22'!E7</f>
        <v>741</v>
      </c>
      <c r="K3" s="1137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2"/>
      <c r="Z3" s="512"/>
      <c r="AA3" s="512"/>
      <c r="AB3" s="512"/>
      <c r="AC3" s="512"/>
      <c r="AD3" s="512"/>
      <c r="AE3" s="512"/>
      <c r="AF3" s="512"/>
      <c r="AG3" s="512"/>
      <c r="AH3" s="512"/>
      <c r="AI3" s="512"/>
      <c r="AJ3" s="512"/>
      <c r="AK3" s="512"/>
      <c r="AL3" s="512"/>
      <c r="AM3" s="512"/>
      <c r="AN3" s="512"/>
      <c r="AO3" s="512"/>
      <c r="AP3" s="512"/>
      <c r="AQ3" s="512"/>
      <c r="AR3" s="512"/>
      <c r="AS3" s="512"/>
      <c r="AT3" s="512"/>
      <c r="AU3" s="512"/>
      <c r="AV3" s="512"/>
      <c r="AW3" s="512"/>
      <c r="AX3" s="512"/>
      <c r="AY3" s="512"/>
      <c r="AZ3" s="512"/>
      <c r="BA3" s="512"/>
      <c r="BB3" s="512"/>
      <c r="BC3" s="512"/>
      <c r="BD3" s="512"/>
      <c r="BE3" s="512"/>
      <c r="BF3" s="512"/>
      <c r="BG3" s="512"/>
      <c r="BH3" s="512"/>
      <c r="BI3" s="512"/>
      <c r="BJ3" s="512"/>
      <c r="BK3" s="512"/>
      <c r="BL3" s="512"/>
      <c r="BM3" s="512"/>
      <c r="BN3" s="512"/>
      <c r="BO3" s="512"/>
      <c r="BP3" s="512"/>
      <c r="BQ3" s="512"/>
      <c r="BR3" s="512"/>
      <c r="BS3" s="512"/>
      <c r="BT3" s="512"/>
      <c r="BU3" s="512"/>
      <c r="BV3" s="512"/>
      <c r="BW3" s="512"/>
      <c r="BX3" s="512"/>
      <c r="BY3" s="512"/>
      <c r="BZ3" s="512"/>
      <c r="CA3" s="512"/>
      <c r="CB3" s="512"/>
      <c r="CC3" s="512"/>
      <c r="CD3" s="512"/>
      <c r="CE3" s="512"/>
      <c r="CF3" s="512"/>
      <c r="CG3" s="512"/>
      <c r="CH3" s="512"/>
      <c r="CI3" s="512"/>
      <c r="CJ3" s="512"/>
      <c r="CK3" s="512"/>
      <c r="CL3" s="512"/>
      <c r="CM3" s="512"/>
      <c r="CN3" s="512"/>
      <c r="CO3" s="512"/>
      <c r="CP3" s="512"/>
      <c r="CQ3" s="512"/>
      <c r="CR3" s="512"/>
      <c r="CS3" s="512"/>
      <c r="CT3" s="512"/>
      <c r="CU3" s="512"/>
      <c r="CV3" s="512"/>
      <c r="CW3" s="512"/>
      <c r="CX3" s="512"/>
      <c r="CY3" s="512"/>
      <c r="CZ3" s="512"/>
      <c r="DA3" s="512"/>
      <c r="DB3" s="512"/>
      <c r="DC3" s="512"/>
      <c r="DD3" s="512"/>
      <c r="DE3" s="512"/>
      <c r="DF3" s="512"/>
      <c r="DG3" s="512"/>
      <c r="DH3" s="512"/>
      <c r="DI3" s="512"/>
      <c r="DJ3" s="512"/>
      <c r="DK3" s="512"/>
      <c r="DL3" s="512"/>
      <c r="DM3" s="512"/>
      <c r="DN3" s="512"/>
      <c r="DO3" s="512"/>
      <c r="DP3" s="512"/>
      <c r="DQ3" s="512"/>
      <c r="DR3" s="512"/>
      <c r="DS3" s="512"/>
      <c r="DT3" s="512"/>
      <c r="DU3" s="512"/>
      <c r="DV3" s="512"/>
      <c r="DW3" s="512"/>
      <c r="DX3" s="512"/>
      <c r="DY3" s="512"/>
      <c r="DZ3" s="512"/>
      <c r="EA3" s="512"/>
      <c r="EB3" s="512"/>
      <c r="EC3" s="512"/>
      <c r="ED3" s="512"/>
      <c r="EE3" s="512"/>
      <c r="EF3" s="512"/>
      <c r="EG3" s="512"/>
      <c r="EH3" s="512"/>
      <c r="EI3" s="512"/>
      <c r="EJ3" s="512"/>
      <c r="EK3" s="512"/>
      <c r="EL3" s="512"/>
      <c r="EM3" s="512"/>
      <c r="EN3" s="512"/>
      <c r="EO3" s="512"/>
      <c r="EP3" s="512"/>
      <c r="EQ3" s="512"/>
      <c r="ER3" s="512"/>
      <c r="ES3" s="512"/>
      <c r="ET3" s="512"/>
      <c r="EU3" s="512"/>
      <c r="EV3" s="512"/>
      <c r="EW3" s="512"/>
      <c r="EX3" s="512"/>
      <c r="EY3" s="512"/>
      <c r="EZ3" s="512"/>
      <c r="FA3" s="189">
        <f t="shared" ref="FA3:FA34" si="0">SUM(B3:EZ3)</f>
        <v>16596.5</v>
      </c>
      <c r="FB3" s="189">
        <f>449000-FA3+350000</f>
        <v>782403.5</v>
      </c>
      <c r="FC3" s="194" t="str">
        <f t="shared" ref="FC3:FC34" si="1">A3</f>
        <v>8E8 Thai Street Food</v>
      </c>
      <c r="FE3" s="234">
        <f>FA3</f>
        <v>16596.5</v>
      </c>
      <c r="FI3" s="234">
        <v>415532</v>
      </c>
      <c r="FJ3" s="234"/>
      <c r="FK3" s="979">
        <v>1</v>
      </c>
      <c r="FL3" s="981">
        <f t="shared" ref="FL3:FL61" si="2">FM3/9.75</f>
        <v>51180.666666666664</v>
      </c>
      <c r="FM3" s="977">
        <v>499011.5</v>
      </c>
      <c r="FN3" s="978" t="s">
        <v>70</v>
      </c>
    </row>
    <row r="4" spans="1:170" ht="10.15" customHeight="1">
      <c r="A4" s="194" t="s">
        <v>330</v>
      </c>
      <c r="B4" s="736"/>
      <c r="C4" s="736">
        <f>'12.02.22'!E27</f>
        <v>5462.5</v>
      </c>
      <c r="D4" s="736"/>
      <c r="E4" s="736"/>
      <c r="F4" s="512">
        <f>'12.05.22'!E8</f>
        <v>8835</v>
      </c>
      <c r="G4" s="512"/>
      <c r="H4" s="512">
        <f>'12.07.22'!E27</f>
        <v>6089.5</v>
      </c>
      <c r="I4" s="512"/>
      <c r="J4" s="591">
        <f>'12.13.22'!E10</f>
        <v>2460.5</v>
      </c>
      <c r="K4" s="1137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2"/>
      <c r="AA4" s="512"/>
      <c r="AB4" s="512"/>
      <c r="AC4" s="512"/>
      <c r="AD4" s="512"/>
      <c r="AE4" s="512"/>
      <c r="AF4" s="512"/>
      <c r="AG4" s="512"/>
      <c r="AH4" s="512"/>
      <c r="AI4" s="512"/>
      <c r="AJ4" s="512"/>
      <c r="AK4" s="512"/>
      <c r="AL4" s="512"/>
      <c r="AM4" s="512"/>
      <c r="AN4" s="512"/>
      <c r="AO4" s="512"/>
      <c r="AP4" s="512"/>
      <c r="AQ4" s="512"/>
      <c r="AR4" s="512"/>
      <c r="AS4" s="512"/>
      <c r="AT4" s="512"/>
      <c r="AU4" s="512"/>
      <c r="AV4" s="512"/>
      <c r="AW4" s="512"/>
      <c r="AX4" s="512"/>
      <c r="AY4" s="512"/>
      <c r="AZ4" s="512"/>
      <c r="BA4" s="512"/>
      <c r="BB4" s="512"/>
      <c r="BC4" s="512"/>
      <c r="BD4" s="512"/>
      <c r="BE4" s="512"/>
      <c r="BF4" s="512"/>
      <c r="BG4" s="512"/>
      <c r="BH4" s="512"/>
      <c r="BI4" s="512"/>
      <c r="BJ4" s="512"/>
      <c r="BK4" s="512"/>
      <c r="BL4" s="512"/>
      <c r="BM4" s="512"/>
      <c r="BN4" s="512"/>
      <c r="BO4" s="512"/>
      <c r="BP4" s="512"/>
      <c r="BQ4" s="512"/>
      <c r="BR4" s="512"/>
      <c r="BS4" s="512"/>
      <c r="BT4" s="512"/>
      <c r="BU4" s="512"/>
      <c r="BV4" s="512"/>
      <c r="BW4" s="512"/>
      <c r="BX4" s="512"/>
      <c r="BY4" s="512"/>
      <c r="BZ4" s="512"/>
      <c r="CA4" s="512"/>
      <c r="CB4" s="512"/>
      <c r="CC4" s="512"/>
      <c r="CD4" s="512"/>
      <c r="CE4" s="512"/>
      <c r="CF4" s="512"/>
      <c r="CG4" s="512"/>
      <c r="CH4" s="512"/>
      <c r="CI4" s="512"/>
      <c r="CJ4" s="512"/>
      <c r="CK4" s="512"/>
      <c r="CL4" s="512"/>
      <c r="CM4" s="512"/>
      <c r="CN4" s="512"/>
      <c r="CO4" s="512"/>
      <c r="CP4" s="512"/>
      <c r="CQ4" s="512"/>
      <c r="CR4" s="512"/>
      <c r="CS4" s="512"/>
      <c r="CT4" s="512"/>
      <c r="CU4" s="512"/>
      <c r="CV4" s="512"/>
      <c r="CW4" s="512"/>
      <c r="CX4" s="512"/>
      <c r="CY4" s="512"/>
      <c r="CZ4" s="512"/>
      <c r="DA4" s="512"/>
      <c r="DB4" s="512"/>
      <c r="DC4" s="512"/>
      <c r="DD4" s="512"/>
      <c r="DE4" s="512"/>
      <c r="DF4" s="512"/>
      <c r="DG4" s="512"/>
      <c r="DH4" s="512"/>
      <c r="DI4" s="512"/>
      <c r="DJ4" s="512"/>
      <c r="DK4" s="512"/>
      <c r="DL4" s="512"/>
      <c r="DM4" s="512"/>
      <c r="DN4" s="512"/>
      <c r="DO4" s="512"/>
      <c r="DP4" s="512"/>
      <c r="DQ4" s="512"/>
      <c r="DR4" s="512"/>
      <c r="DS4" s="512"/>
      <c r="DT4" s="512"/>
      <c r="DU4" s="512"/>
      <c r="DV4" s="512"/>
      <c r="DW4" s="512"/>
      <c r="DX4" s="512"/>
      <c r="DY4" s="512"/>
      <c r="DZ4" s="512"/>
      <c r="EA4" s="512"/>
      <c r="EB4" s="512"/>
      <c r="EC4" s="512"/>
      <c r="ED4" s="512"/>
      <c r="EE4" s="512"/>
      <c r="EF4" s="512"/>
      <c r="EG4" s="512"/>
      <c r="EH4" s="512"/>
      <c r="EI4" s="512"/>
      <c r="EJ4" s="512"/>
      <c r="EK4" s="512"/>
      <c r="EL4" s="512"/>
      <c r="EM4" s="512"/>
      <c r="EN4" s="512"/>
      <c r="EO4" s="512"/>
      <c r="EP4" s="512"/>
      <c r="EQ4" s="512"/>
      <c r="ER4" s="512"/>
      <c r="ES4" s="512"/>
      <c r="ET4" s="512"/>
      <c r="EU4" s="512"/>
      <c r="EV4" s="512"/>
      <c r="EW4" s="512"/>
      <c r="EX4" s="512"/>
      <c r="EY4" s="512"/>
      <c r="EZ4" s="512"/>
      <c r="FA4" s="189">
        <f t="shared" si="0"/>
        <v>22847.5</v>
      </c>
      <c r="FB4" s="189">
        <v>99000</v>
      </c>
      <c r="FC4" s="194" t="str">
        <f t="shared" si="1"/>
        <v>Aloha Friday</v>
      </c>
      <c r="FE4" s="234">
        <f t="shared" ref="FE4:FE61" si="3">FA4</f>
        <v>22847.5</v>
      </c>
      <c r="FI4" s="234"/>
      <c r="FJ4" s="234"/>
      <c r="FK4" s="979"/>
      <c r="FL4" s="981"/>
      <c r="FM4" s="977"/>
      <c r="FN4" s="978"/>
    </row>
    <row r="5" spans="1:170" ht="10.15" customHeight="1">
      <c r="A5" s="194" t="s">
        <v>164</v>
      </c>
      <c r="B5" s="737"/>
      <c r="C5" s="737"/>
      <c r="D5" s="737"/>
      <c r="E5" s="736">
        <f>'12.04.22'!E27</f>
        <v>4113.5</v>
      </c>
      <c r="F5" s="452"/>
      <c r="G5" s="452"/>
      <c r="H5" s="452"/>
      <c r="I5" s="452"/>
      <c r="J5" s="452"/>
      <c r="K5" s="1138"/>
      <c r="L5" s="452"/>
      <c r="M5" s="452"/>
      <c r="N5" s="452"/>
      <c r="O5" s="452"/>
      <c r="P5" s="452"/>
      <c r="Q5" s="452"/>
      <c r="R5" s="452"/>
      <c r="S5" s="452"/>
      <c r="T5" s="452"/>
      <c r="U5" s="452"/>
      <c r="V5" s="452"/>
      <c r="W5" s="452"/>
      <c r="X5" s="452"/>
      <c r="Y5" s="452"/>
      <c r="Z5" s="452"/>
      <c r="AA5" s="452"/>
      <c r="AB5" s="452"/>
      <c r="AC5" s="452"/>
      <c r="AD5" s="452"/>
      <c r="AE5" s="452"/>
      <c r="AF5" s="452"/>
      <c r="AG5" s="452"/>
      <c r="AH5" s="452"/>
      <c r="AI5" s="452"/>
      <c r="AJ5" s="452"/>
      <c r="AK5" s="452"/>
      <c r="AL5" s="452"/>
      <c r="AM5" s="452"/>
      <c r="AN5" s="452"/>
      <c r="AO5" s="452"/>
      <c r="AP5" s="452"/>
      <c r="AQ5" s="452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/>
      <c r="BD5" s="452"/>
      <c r="BE5" s="452"/>
      <c r="BF5" s="452"/>
      <c r="BG5" s="452"/>
      <c r="BH5" s="452"/>
      <c r="BI5" s="452"/>
      <c r="BJ5" s="452"/>
      <c r="BK5" s="452"/>
      <c r="BL5" s="452"/>
      <c r="BM5" s="452"/>
      <c r="BN5" s="452"/>
      <c r="BO5" s="452"/>
      <c r="BP5" s="452"/>
      <c r="BQ5" s="452"/>
      <c r="BR5" s="452"/>
      <c r="BS5" s="452"/>
      <c r="BT5" s="452"/>
      <c r="BU5" s="452"/>
      <c r="BV5" s="452"/>
      <c r="BW5" s="452"/>
      <c r="BX5" s="452"/>
      <c r="BY5" s="452"/>
      <c r="BZ5" s="452"/>
      <c r="CA5" s="452"/>
      <c r="CB5" s="452"/>
      <c r="CC5" s="452"/>
      <c r="CD5" s="452"/>
      <c r="CE5" s="452"/>
      <c r="CF5" s="452"/>
      <c r="CG5" s="452"/>
      <c r="CH5" s="452"/>
      <c r="CI5" s="452"/>
      <c r="CJ5" s="452"/>
      <c r="CK5" s="452"/>
      <c r="CL5" s="452"/>
      <c r="CM5" s="452"/>
      <c r="CN5" s="452"/>
      <c r="CO5" s="452"/>
      <c r="CP5" s="452"/>
      <c r="CQ5" s="452"/>
      <c r="CR5" s="452"/>
      <c r="CS5" s="452"/>
      <c r="CT5" s="452"/>
      <c r="CU5" s="452"/>
      <c r="CV5" s="452"/>
      <c r="CW5" s="452"/>
      <c r="CX5" s="452"/>
      <c r="CY5" s="452"/>
      <c r="CZ5" s="452"/>
      <c r="DA5" s="452"/>
      <c r="DB5" s="452"/>
      <c r="DC5" s="452"/>
      <c r="DD5" s="452"/>
      <c r="DE5" s="452"/>
      <c r="DF5" s="452"/>
      <c r="DG5" s="452"/>
      <c r="DH5" s="452"/>
      <c r="DI5" s="452"/>
      <c r="DJ5" s="452"/>
      <c r="DK5" s="452"/>
      <c r="DL5" s="452"/>
      <c r="DM5" s="452"/>
      <c r="DN5" s="452"/>
      <c r="DO5" s="452"/>
      <c r="DP5" s="452"/>
      <c r="DQ5" s="452"/>
      <c r="DR5" s="452"/>
      <c r="DS5" s="452"/>
      <c r="DT5" s="452"/>
      <c r="DU5" s="452"/>
      <c r="DV5" s="452"/>
      <c r="DW5" s="452"/>
      <c r="DX5" s="452"/>
      <c r="DY5" s="452"/>
      <c r="DZ5" s="452"/>
      <c r="EA5" s="452"/>
      <c r="EB5" s="452"/>
      <c r="EC5" s="452"/>
      <c r="ED5" s="452"/>
      <c r="EE5" s="452"/>
      <c r="EF5" s="452"/>
      <c r="EG5" s="452"/>
      <c r="EH5" s="452"/>
      <c r="EI5" s="452"/>
      <c r="EJ5" s="452"/>
      <c r="EK5" s="452"/>
      <c r="EL5" s="452"/>
      <c r="EM5" s="452"/>
      <c r="EN5" s="452"/>
      <c r="EO5" s="452"/>
      <c r="EP5" s="452"/>
      <c r="EQ5" s="452"/>
      <c r="ER5" s="452"/>
      <c r="ES5" s="452"/>
      <c r="ET5" s="452"/>
      <c r="EU5" s="452"/>
      <c r="EV5" s="452"/>
      <c r="EW5" s="452"/>
      <c r="EX5" s="452"/>
      <c r="EY5" s="452"/>
      <c r="EZ5" s="452"/>
      <c r="FA5" s="189">
        <f t="shared" si="0"/>
        <v>4113.5</v>
      </c>
      <c r="FB5" s="189">
        <f>449000-FA5</f>
        <v>444886.5</v>
      </c>
      <c r="FC5" s="194" t="str">
        <f t="shared" si="1"/>
        <v>Austyn's Burgers</v>
      </c>
      <c r="FE5" s="234">
        <f t="shared" si="3"/>
        <v>4113.5</v>
      </c>
      <c r="FI5" s="234">
        <v>270375.5</v>
      </c>
      <c r="FJ5" s="234"/>
      <c r="FK5" s="979">
        <v>2</v>
      </c>
      <c r="FL5" s="981">
        <f t="shared" si="2"/>
        <v>42618.666666666664</v>
      </c>
      <c r="FM5" s="977">
        <v>415532</v>
      </c>
      <c r="FN5" s="978" t="s">
        <v>185</v>
      </c>
    </row>
    <row r="6" spans="1:170" ht="10.15" customHeight="1">
      <c r="A6" s="195" t="s">
        <v>51</v>
      </c>
      <c r="B6" s="738"/>
      <c r="C6" s="738">
        <f>'12.02.22'!E10</f>
        <v>4512.5</v>
      </c>
      <c r="D6" s="738"/>
      <c r="E6" s="738"/>
      <c r="F6" s="252"/>
      <c r="G6" s="252"/>
      <c r="H6" s="252"/>
      <c r="I6" s="252"/>
      <c r="J6" s="252"/>
      <c r="K6" s="1139"/>
      <c r="L6" s="252"/>
      <c r="M6" s="252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  <c r="AA6" s="252"/>
      <c r="AB6" s="252"/>
      <c r="AC6" s="252"/>
      <c r="AD6" s="252"/>
      <c r="AE6" s="252"/>
      <c r="AF6" s="252"/>
      <c r="AG6" s="252"/>
      <c r="AH6" s="252"/>
      <c r="AI6" s="252"/>
      <c r="AJ6" s="252"/>
      <c r="AK6" s="252"/>
      <c r="AL6" s="252"/>
      <c r="AM6" s="252"/>
      <c r="AN6" s="252"/>
      <c r="AO6" s="252"/>
      <c r="AP6" s="252"/>
      <c r="AQ6" s="252"/>
      <c r="AR6" s="252"/>
      <c r="AS6" s="252"/>
      <c r="AT6" s="252"/>
      <c r="AU6" s="252"/>
      <c r="AV6" s="252"/>
      <c r="AW6" s="252"/>
      <c r="AX6" s="252"/>
      <c r="AY6" s="252"/>
      <c r="AZ6" s="252"/>
      <c r="BA6" s="252"/>
      <c r="BB6" s="252"/>
      <c r="BC6" s="252"/>
      <c r="BD6" s="252"/>
      <c r="BE6" s="252"/>
      <c r="BF6" s="252"/>
      <c r="BG6" s="252"/>
      <c r="BH6" s="252"/>
      <c r="BI6" s="252"/>
      <c r="BJ6" s="252"/>
      <c r="BK6" s="252"/>
      <c r="BL6" s="252"/>
      <c r="BM6" s="252"/>
      <c r="BN6" s="252"/>
      <c r="BO6" s="252"/>
      <c r="BP6" s="252"/>
      <c r="BQ6" s="252"/>
      <c r="BR6" s="252"/>
      <c r="BS6" s="252"/>
      <c r="BT6" s="252"/>
      <c r="BU6" s="252"/>
      <c r="BV6" s="252"/>
      <c r="BW6" s="252"/>
      <c r="BX6" s="252"/>
      <c r="BY6" s="252"/>
      <c r="BZ6" s="252"/>
      <c r="CA6" s="252"/>
      <c r="CB6" s="252"/>
      <c r="CC6" s="252"/>
      <c r="CD6" s="252"/>
      <c r="CE6" s="252"/>
      <c r="CF6" s="252"/>
      <c r="CG6" s="252"/>
      <c r="CH6" s="252"/>
      <c r="CI6" s="252"/>
      <c r="CJ6" s="252"/>
      <c r="CK6" s="252"/>
      <c r="CL6" s="252"/>
      <c r="CM6" s="252"/>
      <c r="CN6" s="252"/>
      <c r="CO6" s="252"/>
      <c r="CP6" s="252"/>
      <c r="CQ6" s="252"/>
      <c r="CR6" s="252"/>
      <c r="CS6" s="252"/>
      <c r="CT6" s="252"/>
      <c r="CU6" s="252"/>
      <c r="CV6" s="252"/>
      <c r="CW6" s="252"/>
      <c r="CX6" s="252"/>
      <c r="CY6" s="252"/>
      <c r="CZ6" s="252"/>
      <c r="DA6" s="252"/>
      <c r="DB6" s="252"/>
      <c r="DC6" s="252"/>
      <c r="DD6" s="252"/>
      <c r="DE6" s="252"/>
      <c r="DF6" s="252"/>
      <c r="DG6" s="252"/>
      <c r="DH6" s="252"/>
      <c r="DI6" s="252"/>
      <c r="DJ6" s="252"/>
      <c r="DK6" s="252"/>
      <c r="DL6" s="252"/>
      <c r="DM6" s="252"/>
      <c r="DN6" s="252"/>
      <c r="DO6" s="252"/>
      <c r="DP6" s="252"/>
      <c r="DQ6" s="252"/>
      <c r="DR6" s="252"/>
      <c r="DS6" s="252"/>
      <c r="DT6" s="252"/>
      <c r="DU6" s="252"/>
      <c r="DV6" s="252"/>
      <c r="DW6" s="252"/>
      <c r="DX6" s="252"/>
      <c r="DY6" s="252"/>
      <c r="DZ6" s="252"/>
      <c r="EA6" s="252"/>
      <c r="EB6" s="252"/>
      <c r="EC6" s="252"/>
      <c r="ED6" s="252"/>
      <c r="EE6" s="252"/>
      <c r="EF6" s="252"/>
      <c r="EG6" s="252"/>
      <c r="EH6" s="252"/>
      <c r="EI6" s="252"/>
      <c r="EJ6" s="252"/>
      <c r="EK6" s="252"/>
      <c r="EL6" s="252"/>
      <c r="EM6" s="252"/>
      <c r="EN6" s="252"/>
      <c r="EO6" s="252"/>
      <c r="EP6" s="252"/>
      <c r="EQ6" s="252"/>
      <c r="ER6" s="252"/>
      <c r="ES6" s="252"/>
      <c r="ET6" s="252"/>
      <c r="EU6" s="252"/>
      <c r="EV6" s="252"/>
      <c r="EW6" s="252"/>
      <c r="EX6" s="252"/>
      <c r="EY6" s="252"/>
      <c r="EZ6" s="252"/>
      <c r="FA6" s="189">
        <f t="shared" si="0"/>
        <v>4512.5</v>
      </c>
      <c r="FB6" s="961">
        <f>100000-FA6+350000</f>
        <v>445487.5</v>
      </c>
      <c r="FC6" s="194" t="str">
        <f t="shared" si="1"/>
        <v>Baby's Burgers</v>
      </c>
      <c r="FE6" s="234">
        <f t="shared" si="3"/>
        <v>4512.5</v>
      </c>
      <c r="FI6" s="234">
        <v>128995</v>
      </c>
      <c r="FJ6" s="234"/>
      <c r="FK6" s="979">
        <v>3</v>
      </c>
      <c r="FL6" s="981">
        <f t="shared" si="2"/>
        <v>37149.794871794875</v>
      </c>
      <c r="FM6" s="977">
        <v>362210.5</v>
      </c>
      <c r="FN6" s="978" t="s">
        <v>53</v>
      </c>
    </row>
    <row r="7" spans="1:170" ht="10.15" customHeight="1">
      <c r="A7" s="195" t="s">
        <v>62</v>
      </c>
      <c r="B7" s="252"/>
      <c r="C7" s="252"/>
      <c r="D7" s="252"/>
      <c r="E7" s="252"/>
      <c r="F7" s="252"/>
      <c r="G7" s="252"/>
      <c r="H7" s="252"/>
      <c r="I7" s="252"/>
      <c r="J7" s="252"/>
      <c r="K7" s="1139"/>
      <c r="L7" s="252"/>
      <c r="M7" s="252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  <c r="AA7" s="252"/>
      <c r="AB7" s="252"/>
      <c r="AC7" s="252"/>
      <c r="AD7" s="252"/>
      <c r="AE7" s="252"/>
      <c r="AF7" s="252"/>
      <c r="AG7" s="252"/>
      <c r="AH7" s="252"/>
      <c r="AI7" s="252"/>
      <c r="AJ7" s="252"/>
      <c r="AK7" s="252"/>
      <c r="AL7" s="252"/>
      <c r="AM7" s="252"/>
      <c r="AN7" s="252"/>
      <c r="AO7" s="252"/>
      <c r="AP7" s="252"/>
      <c r="AQ7" s="252"/>
      <c r="AR7" s="252"/>
      <c r="AS7" s="252"/>
      <c r="AT7" s="252"/>
      <c r="AU7" s="252"/>
      <c r="AV7" s="252"/>
      <c r="AW7" s="252"/>
      <c r="AX7" s="252"/>
      <c r="AY7" s="252"/>
      <c r="AZ7" s="252"/>
      <c r="BA7" s="252"/>
      <c r="BB7" s="252"/>
      <c r="BC7" s="252"/>
      <c r="BD7" s="252"/>
      <c r="BE7" s="252"/>
      <c r="BF7" s="252"/>
      <c r="BG7" s="252"/>
      <c r="BH7" s="252"/>
      <c r="BI7" s="252"/>
      <c r="BJ7" s="252"/>
      <c r="BK7" s="252"/>
      <c r="BL7" s="252"/>
      <c r="BM7" s="252"/>
      <c r="BN7" s="252"/>
      <c r="BO7" s="252"/>
      <c r="BP7" s="252"/>
      <c r="BQ7" s="252"/>
      <c r="BR7" s="252"/>
      <c r="BS7" s="252"/>
      <c r="BT7" s="252"/>
      <c r="BU7" s="252"/>
      <c r="BV7" s="252"/>
      <c r="BW7" s="252"/>
      <c r="BX7" s="252"/>
      <c r="BY7" s="252"/>
      <c r="BZ7" s="252"/>
      <c r="CA7" s="252"/>
      <c r="CB7" s="252"/>
      <c r="CC7" s="252"/>
      <c r="CD7" s="252"/>
      <c r="CE7" s="252"/>
      <c r="CF7" s="252"/>
      <c r="CG7" s="252"/>
      <c r="CH7" s="252"/>
      <c r="CI7" s="252"/>
      <c r="CJ7" s="252"/>
      <c r="CK7" s="252"/>
      <c r="CL7" s="252"/>
      <c r="CM7" s="252"/>
      <c r="CN7" s="252"/>
      <c r="CO7" s="252"/>
      <c r="CP7" s="252"/>
      <c r="CQ7" s="252"/>
      <c r="CR7" s="252"/>
      <c r="CS7" s="252"/>
      <c r="CT7" s="252"/>
      <c r="CU7" s="252"/>
      <c r="CV7" s="252"/>
      <c r="CW7" s="252"/>
      <c r="CX7" s="252"/>
      <c r="CY7" s="252"/>
      <c r="CZ7" s="252"/>
      <c r="DA7" s="252"/>
      <c r="DB7" s="252"/>
      <c r="DC7" s="252"/>
      <c r="DD7" s="252"/>
      <c r="DE7" s="252"/>
      <c r="DF7" s="252"/>
      <c r="DG7" s="252"/>
      <c r="DH7" s="252"/>
      <c r="DI7" s="252"/>
      <c r="DJ7" s="252"/>
      <c r="DK7" s="252"/>
      <c r="DL7" s="252"/>
      <c r="DM7" s="252"/>
      <c r="DN7" s="252"/>
      <c r="DO7" s="252"/>
      <c r="DP7" s="252"/>
      <c r="DQ7" s="252"/>
      <c r="DR7" s="252"/>
      <c r="DS7" s="252"/>
      <c r="DT7" s="252"/>
      <c r="DU7" s="252"/>
      <c r="DV7" s="252"/>
      <c r="DW7" s="252"/>
      <c r="DX7" s="252"/>
      <c r="DY7" s="252"/>
      <c r="DZ7" s="252"/>
      <c r="EA7" s="252"/>
      <c r="EB7" s="252"/>
      <c r="EC7" s="252"/>
      <c r="ED7" s="252"/>
      <c r="EE7" s="252"/>
      <c r="EF7" s="252"/>
      <c r="EG7" s="252"/>
      <c r="EH7" s="252"/>
      <c r="EI7" s="252"/>
      <c r="EJ7" s="252"/>
      <c r="EK7" s="252"/>
      <c r="EL7" s="252"/>
      <c r="EM7" s="252"/>
      <c r="EN7" s="252"/>
      <c r="EO7" s="252"/>
      <c r="EP7" s="252"/>
      <c r="EQ7" s="252"/>
      <c r="ER7" s="252"/>
      <c r="ES7" s="252"/>
      <c r="ET7" s="252"/>
      <c r="EU7" s="252"/>
      <c r="EV7" s="252"/>
      <c r="EW7" s="252"/>
      <c r="EX7" s="252"/>
      <c r="EY7" s="252"/>
      <c r="EZ7" s="252"/>
      <c r="FA7" s="189">
        <f t="shared" si="0"/>
        <v>0</v>
      </c>
      <c r="FB7" s="961">
        <f>100000-FA7</f>
        <v>100000</v>
      </c>
      <c r="FC7" s="194" t="str">
        <f t="shared" si="1"/>
        <v>Belly's Sliders Wings</v>
      </c>
      <c r="FE7" s="234">
        <f t="shared" si="3"/>
        <v>0</v>
      </c>
      <c r="FI7" s="234">
        <v>67842.5</v>
      </c>
      <c r="FJ7" s="234"/>
      <c r="FK7" s="979">
        <v>4</v>
      </c>
      <c r="FL7" s="981">
        <f t="shared" si="2"/>
        <v>34980.051282051281</v>
      </c>
      <c r="FM7" s="977">
        <v>341055.5</v>
      </c>
      <c r="FN7" s="978" t="s">
        <v>65</v>
      </c>
    </row>
    <row r="8" spans="1:170" ht="10.15" customHeight="1">
      <c r="A8" s="195" t="s">
        <v>12</v>
      </c>
      <c r="B8" s="738"/>
      <c r="C8" s="738"/>
      <c r="D8" s="738"/>
      <c r="E8" s="738"/>
      <c r="F8" s="589"/>
      <c r="G8" s="589">
        <f>'12.06.22'!E7</f>
        <v>5016</v>
      </c>
      <c r="H8" s="589">
        <f>'12.07.22'!E20+'12.07.22'!E29</f>
        <v>4123</v>
      </c>
      <c r="I8" s="589"/>
      <c r="J8" s="252"/>
      <c r="K8" s="1139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  <c r="BK8" s="252"/>
      <c r="BL8" s="252"/>
      <c r="BM8" s="252"/>
      <c r="BN8" s="252"/>
      <c r="BO8" s="252"/>
      <c r="BP8" s="252"/>
      <c r="BQ8" s="252"/>
      <c r="BR8" s="252"/>
      <c r="BS8" s="252"/>
      <c r="BT8" s="252"/>
      <c r="BU8" s="252"/>
      <c r="BV8" s="252"/>
      <c r="BW8" s="252"/>
      <c r="BX8" s="252"/>
      <c r="BY8" s="252"/>
      <c r="BZ8" s="252"/>
      <c r="CA8" s="252"/>
      <c r="CB8" s="252"/>
      <c r="CC8" s="252"/>
      <c r="CD8" s="252"/>
      <c r="CE8" s="252"/>
      <c r="CF8" s="252"/>
      <c r="CG8" s="252"/>
      <c r="CH8" s="252"/>
      <c r="CI8" s="252"/>
      <c r="CJ8" s="252"/>
      <c r="CK8" s="252"/>
      <c r="CL8" s="252"/>
      <c r="CM8" s="252"/>
      <c r="CN8" s="252"/>
      <c r="CO8" s="252"/>
      <c r="CP8" s="252"/>
      <c r="CQ8" s="252"/>
      <c r="CR8" s="252"/>
      <c r="CS8" s="252"/>
      <c r="CT8" s="252"/>
      <c r="CU8" s="252"/>
      <c r="CV8" s="252"/>
      <c r="CW8" s="252"/>
      <c r="CX8" s="252"/>
      <c r="CY8" s="252"/>
      <c r="CZ8" s="252"/>
      <c r="DA8" s="252"/>
      <c r="DB8" s="252"/>
      <c r="DC8" s="252"/>
      <c r="DD8" s="252"/>
      <c r="DE8" s="252"/>
      <c r="DF8" s="252"/>
      <c r="DG8" s="252"/>
      <c r="DH8" s="252"/>
      <c r="DI8" s="252"/>
      <c r="DJ8" s="252"/>
      <c r="DK8" s="252"/>
      <c r="DL8" s="252"/>
      <c r="DM8" s="252"/>
      <c r="DN8" s="252"/>
      <c r="DO8" s="252"/>
      <c r="DP8" s="252"/>
      <c r="DQ8" s="252"/>
      <c r="DR8" s="252"/>
      <c r="DS8" s="252"/>
      <c r="DT8" s="252"/>
      <c r="DU8" s="252"/>
      <c r="DV8" s="252"/>
      <c r="DW8" s="252"/>
      <c r="DX8" s="252"/>
      <c r="DY8" s="252"/>
      <c r="DZ8" s="252"/>
      <c r="EA8" s="252"/>
      <c r="EB8" s="252"/>
      <c r="EC8" s="252"/>
      <c r="ED8" s="252"/>
      <c r="EE8" s="252"/>
      <c r="EF8" s="252"/>
      <c r="EG8" s="252"/>
      <c r="EH8" s="252"/>
      <c r="EI8" s="252"/>
      <c r="EJ8" s="252"/>
      <c r="EK8" s="252"/>
      <c r="EL8" s="252"/>
      <c r="EM8" s="252"/>
      <c r="EN8" s="252"/>
      <c r="EO8" s="252"/>
      <c r="EP8" s="252"/>
      <c r="EQ8" s="252"/>
      <c r="ER8" s="252"/>
      <c r="ES8" s="252"/>
      <c r="ET8" s="252"/>
      <c r="EU8" s="252"/>
      <c r="EV8" s="252"/>
      <c r="EW8" s="252"/>
      <c r="EX8" s="252"/>
      <c r="EY8" s="252"/>
      <c r="EZ8" s="252"/>
      <c r="FA8" s="189">
        <f t="shared" si="0"/>
        <v>9139</v>
      </c>
      <c r="FB8" s="961">
        <f>100000-FA8</f>
        <v>90861</v>
      </c>
      <c r="FC8" s="194" t="str">
        <f t="shared" si="1"/>
        <v>Bison Burger</v>
      </c>
      <c r="FE8" s="234">
        <f t="shared" si="3"/>
        <v>9139</v>
      </c>
      <c r="FI8" s="234">
        <v>36161.5</v>
      </c>
      <c r="FJ8" s="234"/>
      <c r="FK8" s="979">
        <v>5</v>
      </c>
      <c r="FL8" s="981">
        <f t="shared" si="2"/>
        <v>30042.153846153848</v>
      </c>
      <c r="FM8" s="977">
        <v>292911</v>
      </c>
      <c r="FN8" s="978" t="s">
        <v>235</v>
      </c>
    </row>
    <row r="9" spans="1:170" ht="10.15" customHeight="1">
      <c r="A9" s="195" t="s">
        <v>331</v>
      </c>
      <c r="B9" s="738">
        <f>'12.01.22'!E28</f>
        <v>5016</v>
      </c>
      <c r="C9" s="738"/>
      <c r="D9" s="738">
        <f>'12.03.22'!E28</f>
        <v>4598</v>
      </c>
      <c r="E9" s="738"/>
      <c r="F9" s="252"/>
      <c r="G9" s="252"/>
      <c r="H9" s="252"/>
      <c r="I9" s="252">
        <f>'12.08.22'!E21</f>
        <v>5329.5</v>
      </c>
      <c r="J9" s="589">
        <f>'12.13.22'!E14</f>
        <v>2764.5</v>
      </c>
      <c r="K9" s="1139"/>
      <c r="L9" s="252"/>
      <c r="M9" s="252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  <c r="AA9" s="252"/>
      <c r="AB9" s="252"/>
      <c r="AC9" s="252"/>
      <c r="AD9" s="252"/>
      <c r="AE9" s="252"/>
      <c r="AF9" s="252"/>
      <c r="AG9" s="252"/>
      <c r="AH9" s="252"/>
      <c r="AI9" s="252"/>
      <c r="AJ9" s="252"/>
      <c r="AK9" s="252"/>
      <c r="AL9" s="252"/>
      <c r="AM9" s="252"/>
      <c r="AN9" s="252"/>
      <c r="AO9" s="252"/>
      <c r="AP9" s="252"/>
      <c r="AQ9" s="252"/>
      <c r="AR9" s="252"/>
      <c r="AS9" s="252"/>
      <c r="AT9" s="252"/>
      <c r="AU9" s="252"/>
      <c r="AV9" s="252"/>
      <c r="AW9" s="252"/>
      <c r="AX9" s="252"/>
      <c r="AY9" s="252"/>
      <c r="AZ9" s="252"/>
      <c r="BA9" s="252"/>
      <c r="BB9" s="252"/>
      <c r="BC9" s="252"/>
      <c r="BD9" s="252"/>
      <c r="BE9" s="252"/>
      <c r="BF9" s="252"/>
      <c r="BG9" s="252"/>
      <c r="BH9" s="252"/>
      <c r="BI9" s="252"/>
      <c r="BJ9" s="252"/>
      <c r="BK9" s="252"/>
      <c r="BL9" s="252"/>
      <c r="BM9" s="252"/>
      <c r="BN9" s="252"/>
      <c r="BO9" s="252"/>
      <c r="BP9" s="252"/>
      <c r="BQ9" s="252"/>
      <c r="BR9" s="252"/>
      <c r="BS9" s="252"/>
      <c r="BT9" s="252"/>
      <c r="BU9" s="252"/>
      <c r="BV9" s="252"/>
      <c r="BW9" s="252"/>
      <c r="BX9" s="252"/>
      <c r="BY9" s="252"/>
      <c r="BZ9" s="252"/>
      <c r="CA9" s="252"/>
      <c r="CB9" s="252"/>
      <c r="CC9" s="252"/>
      <c r="CD9" s="252"/>
      <c r="CE9" s="252"/>
      <c r="CF9" s="252"/>
      <c r="CG9" s="252"/>
      <c r="CH9" s="252"/>
      <c r="CI9" s="252"/>
      <c r="CJ9" s="252"/>
      <c r="CK9" s="252"/>
      <c r="CL9" s="252"/>
      <c r="CM9" s="252"/>
      <c r="CN9" s="252"/>
      <c r="CO9" s="252"/>
      <c r="CP9" s="252"/>
      <c r="CQ9" s="252"/>
      <c r="CR9" s="252"/>
      <c r="CS9" s="252"/>
      <c r="CT9" s="252"/>
      <c r="CU9" s="252"/>
      <c r="CV9" s="252"/>
      <c r="CW9" s="252"/>
      <c r="CX9" s="252"/>
      <c r="CY9" s="252"/>
      <c r="CZ9" s="252"/>
      <c r="DA9" s="252"/>
      <c r="DB9" s="252"/>
      <c r="DC9" s="252"/>
      <c r="DD9" s="252"/>
      <c r="DE9" s="252"/>
      <c r="DF9" s="252"/>
      <c r="DG9" s="252"/>
      <c r="DH9" s="252"/>
      <c r="DI9" s="252"/>
      <c r="DJ9" s="252"/>
      <c r="DK9" s="252"/>
      <c r="DL9" s="252"/>
      <c r="DM9" s="252"/>
      <c r="DN9" s="252"/>
      <c r="DO9" s="252"/>
      <c r="DP9" s="252"/>
      <c r="DQ9" s="252"/>
      <c r="DR9" s="252"/>
      <c r="DS9" s="252"/>
      <c r="DT9" s="252"/>
      <c r="DU9" s="252"/>
      <c r="DV9" s="252"/>
      <c r="DW9" s="252"/>
      <c r="DX9" s="252"/>
      <c r="DY9" s="252"/>
      <c r="DZ9" s="252"/>
      <c r="EA9" s="252"/>
      <c r="EB9" s="252"/>
      <c r="EC9" s="252"/>
      <c r="ED9" s="252"/>
      <c r="EE9" s="252"/>
      <c r="EF9" s="252"/>
      <c r="EG9" s="252"/>
      <c r="EH9" s="252"/>
      <c r="EI9" s="252"/>
      <c r="EJ9" s="252"/>
      <c r="EK9" s="252"/>
      <c r="EL9" s="252"/>
      <c r="EM9" s="252"/>
      <c r="EN9" s="252"/>
      <c r="EO9" s="252"/>
      <c r="EP9" s="252"/>
      <c r="EQ9" s="252"/>
      <c r="ER9" s="252"/>
      <c r="ES9" s="252"/>
      <c r="ET9" s="252"/>
      <c r="EU9" s="252"/>
      <c r="EV9" s="252"/>
      <c r="EW9" s="252"/>
      <c r="EX9" s="252"/>
      <c r="EY9" s="252"/>
      <c r="EZ9" s="252"/>
      <c r="FA9" s="189">
        <f t="shared" si="0"/>
        <v>17708</v>
      </c>
      <c r="FB9" s="189">
        <v>99000</v>
      </c>
      <c r="FC9" s="194" t="str">
        <f t="shared" si="1"/>
        <v>Bittie Bitez</v>
      </c>
      <c r="FE9" s="234">
        <f t="shared" si="3"/>
        <v>17708</v>
      </c>
      <c r="FI9" s="234"/>
      <c r="FJ9" s="234"/>
      <c r="FK9" s="979"/>
      <c r="FL9" s="981"/>
      <c r="FM9" s="977"/>
      <c r="FN9" s="978"/>
    </row>
    <row r="10" spans="1:170" ht="10.15" customHeight="1">
      <c r="A10" s="195" t="s">
        <v>239</v>
      </c>
      <c r="B10" s="738"/>
      <c r="C10" s="738"/>
      <c r="D10" s="738">
        <f>'12.03.22'!E19</f>
        <v>3809.5</v>
      </c>
      <c r="E10" s="738"/>
      <c r="F10" s="589"/>
      <c r="G10" s="589">
        <f>'12.06.22'!E10</f>
        <v>3391.5</v>
      </c>
      <c r="H10" s="589"/>
      <c r="I10" s="589"/>
      <c r="J10" s="252"/>
      <c r="K10" s="1139"/>
      <c r="L10" s="252"/>
      <c r="M10" s="252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  <c r="AA10" s="252"/>
      <c r="AB10" s="252"/>
      <c r="AC10" s="252"/>
      <c r="AD10" s="252"/>
      <c r="AE10" s="252"/>
      <c r="AF10" s="252"/>
      <c r="AG10" s="252"/>
      <c r="AH10" s="252"/>
      <c r="AI10" s="252"/>
      <c r="AJ10" s="252"/>
      <c r="AK10" s="252"/>
      <c r="AL10" s="252"/>
      <c r="AM10" s="252"/>
      <c r="AN10" s="252"/>
      <c r="AO10" s="252"/>
      <c r="AP10" s="252"/>
      <c r="AQ10" s="252"/>
      <c r="AR10" s="252"/>
      <c r="AS10" s="252"/>
      <c r="AT10" s="252"/>
      <c r="AU10" s="252"/>
      <c r="AV10" s="252"/>
      <c r="AW10" s="252"/>
      <c r="AX10" s="252"/>
      <c r="AY10" s="252"/>
      <c r="AZ10" s="252"/>
      <c r="BA10" s="252"/>
      <c r="BB10" s="252"/>
      <c r="BC10" s="252"/>
      <c r="BD10" s="252"/>
      <c r="BE10" s="252"/>
      <c r="BF10" s="252"/>
      <c r="BG10" s="252"/>
      <c r="BH10" s="252"/>
      <c r="BI10" s="252"/>
      <c r="BJ10" s="252"/>
      <c r="BK10" s="252"/>
      <c r="BL10" s="252"/>
      <c r="BM10" s="252"/>
      <c r="BN10" s="252"/>
      <c r="BO10" s="252"/>
      <c r="BP10" s="252"/>
      <c r="BQ10" s="252"/>
      <c r="BR10" s="252"/>
      <c r="BS10" s="252"/>
      <c r="BT10" s="252"/>
      <c r="BU10" s="252"/>
      <c r="BV10" s="252"/>
      <c r="BW10" s="252"/>
      <c r="BX10" s="252"/>
      <c r="BY10" s="252"/>
      <c r="BZ10" s="252"/>
      <c r="CA10" s="252"/>
      <c r="CB10" s="252"/>
      <c r="CC10" s="252"/>
      <c r="CD10" s="252"/>
      <c r="CE10" s="252"/>
      <c r="CF10" s="252"/>
      <c r="CG10" s="252"/>
      <c r="CH10" s="252"/>
      <c r="CI10" s="252"/>
      <c r="CJ10" s="252"/>
      <c r="CK10" s="252"/>
      <c r="CL10" s="252"/>
      <c r="CM10" s="252"/>
      <c r="CN10" s="252"/>
      <c r="CO10" s="252"/>
      <c r="CP10" s="252"/>
      <c r="CQ10" s="252"/>
      <c r="CR10" s="252"/>
      <c r="CS10" s="252"/>
      <c r="CT10" s="252"/>
      <c r="CU10" s="252"/>
      <c r="CV10" s="252"/>
      <c r="CW10" s="252"/>
      <c r="CX10" s="252"/>
      <c r="CY10" s="252"/>
      <c r="CZ10" s="252"/>
      <c r="DA10" s="252"/>
      <c r="DB10" s="252"/>
      <c r="DC10" s="252"/>
      <c r="DD10" s="252"/>
      <c r="DE10" s="252"/>
      <c r="DF10" s="252"/>
      <c r="DG10" s="252"/>
      <c r="DH10" s="252"/>
      <c r="DI10" s="252"/>
      <c r="DJ10" s="252"/>
      <c r="DK10" s="252"/>
      <c r="DL10" s="252"/>
      <c r="DM10" s="252"/>
      <c r="DN10" s="252"/>
      <c r="DO10" s="252"/>
      <c r="DP10" s="252"/>
      <c r="DQ10" s="252"/>
      <c r="DR10" s="252"/>
      <c r="DS10" s="252"/>
      <c r="DT10" s="252"/>
      <c r="DU10" s="252"/>
      <c r="DV10" s="252"/>
      <c r="DW10" s="252"/>
      <c r="DX10" s="252"/>
      <c r="DY10" s="252"/>
      <c r="DZ10" s="252"/>
      <c r="EA10" s="252"/>
      <c r="EB10" s="252"/>
      <c r="EC10" s="252"/>
      <c r="ED10" s="252"/>
      <c r="EE10" s="252"/>
      <c r="EF10" s="252"/>
      <c r="EG10" s="252"/>
      <c r="EH10" s="252"/>
      <c r="EI10" s="252"/>
      <c r="EJ10" s="252"/>
      <c r="EK10" s="252"/>
      <c r="EL10" s="252"/>
      <c r="EM10" s="252"/>
      <c r="EN10" s="252"/>
      <c r="EO10" s="252"/>
      <c r="EP10" s="252"/>
      <c r="EQ10" s="252"/>
      <c r="ER10" s="252"/>
      <c r="ES10" s="252"/>
      <c r="ET10" s="252"/>
      <c r="EU10" s="252"/>
      <c r="EV10" s="252"/>
      <c r="EW10" s="252"/>
      <c r="EX10" s="252"/>
      <c r="EY10" s="252"/>
      <c r="EZ10" s="252"/>
      <c r="FA10" s="189">
        <f t="shared" si="0"/>
        <v>7201</v>
      </c>
      <c r="FB10" s="961">
        <f>100000-FA10</f>
        <v>92799</v>
      </c>
      <c r="FC10" s="194" t="str">
        <f t="shared" si="1"/>
        <v>Bollywood Kitchen</v>
      </c>
      <c r="FE10" s="234">
        <f t="shared" si="3"/>
        <v>7201</v>
      </c>
      <c r="FI10" s="234">
        <v>41845.5</v>
      </c>
      <c r="FJ10" s="234"/>
      <c r="FK10" s="979">
        <v>6</v>
      </c>
      <c r="FL10" s="981">
        <f t="shared" si="2"/>
        <v>27730.820512820512</v>
      </c>
      <c r="FM10" s="977">
        <v>270375.5</v>
      </c>
      <c r="FN10" s="978" t="s">
        <v>164</v>
      </c>
    </row>
    <row r="11" spans="1:170" ht="10.15" customHeight="1">
      <c r="A11" s="195" t="s">
        <v>68</v>
      </c>
      <c r="B11" s="252"/>
      <c r="C11" s="252"/>
      <c r="D11" s="252"/>
      <c r="E11" s="252"/>
      <c r="F11" s="252"/>
      <c r="G11" s="252"/>
      <c r="H11" s="252"/>
      <c r="I11" s="252"/>
      <c r="J11" s="252"/>
      <c r="K11" s="1139"/>
      <c r="L11" s="252"/>
      <c r="M11" s="252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  <c r="AA11" s="252"/>
      <c r="AB11" s="252"/>
      <c r="AC11" s="252"/>
      <c r="AD11" s="252"/>
      <c r="AE11" s="252"/>
      <c r="AF11" s="252"/>
      <c r="AG11" s="252"/>
      <c r="AH11" s="252"/>
      <c r="AI11" s="252"/>
      <c r="AJ11" s="252"/>
      <c r="AK11" s="252"/>
      <c r="AL11" s="252"/>
      <c r="AM11" s="252"/>
      <c r="AN11" s="252"/>
      <c r="AO11" s="252"/>
      <c r="AP11" s="252"/>
      <c r="AQ11" s="252"/>
      <c r="AR11" s="252"/>
      <c r="AS11" s="252"/>
      <c r="AT11" s="252"/>
      <c r="AU11" s="252"/>
      <c r="AV11" s="252"/>
      <c r="AW11" s="252"/>
      <c r="AX11" s="252"/>
      <c r="AY11" s="252"/>
      <c r="AZ11" s="252"/>
      <c r="BA11" s="252"/>
      <c r="BB11" s="252"/>
      <c r="BC11" s="252"/>
      <c r="BD11" s="252"/>
      <c r="BE11" s="252"/>
      <c r="BF11" s="252"/>
      <c r="BG11" s="252"/>
      <c r="BH11" s="252"/>
      <c r="BI11" s="252"/>
      <c r="BJ11" s="252"/>
      <c r="BK11" s="252"/>
      <c r="BL11" s="252"/>
      <c r="BM11" s="252"/>
      <c r="BN11" s="252"/>
      <c r="BO11" s="252"/>
      <c r="BP11" s="252"/>
      <c r="BQ11" s="252"/>
      <c r="BR11" s="252"/>
      <c r="BS11" s="252"/>
      <c r="BT11" s="252"/>
      <c r="BU11" s="252"/>
      <c r="BV11" s="252"/>
      <c r="BW11" s="252"/>
      <c r="BX11" s="252"/>
      <c r="BY11" s="252"/>
      <c r="BZ11" s="252"/>
      <c r="CA11" s="252"/>
      <c r="CB11" s="252"/>
      <c r="CC11" s="252"/>
      <c r="CD11" s="252"/>
      <c r="CE11" s="252"/>
      <c r="CF11" s="252"/>
      <c r="CG11" s="252"/>
      <c r="CH11" s="252"/>
      <c r="CI11" s="252"/>
      <c r="CJ11" s="252"/>
      <c r="CK11" s="252"/>
      <c r="CL11" s="252"/>
      <c r="CM11" s="252"/>
      <c r="CN11" s="252"/>
      <c r="CO11" s="252"/>
      <c r="CP11" s="252"/>
      <c r="CQ11" s="252"/>
      <c r="CR11" s="252"/>
      <c r="CS11" s="252"/>
      <c r="CT11" s="252"/>
      <c r="CU11" s="252"/>
      <c r="CV11" s="252"/>
      <c r="CW11" s="252"/>
      <c r="CX11" s="252"/>
      <c r="CY11" s="252"/>
      <c r="CZ11" s="252"/>
      <c r="DA11" s="252"/>
      <c r="DB11" s="252"/>
      <c r="DC11" s="252"/>
      <c r="DD11" s="252"/>
      <c r="DE11" s="252"/>
      <c r="DF11" s="252"/>
      <c r="DG11" s="252"/>
      <c r="DH11" s="252"/>
      <c r="DI11" s="252"/>
      <c r="DJ11" s="252"/>
      <c r="DK11" s="252"/>
      <c r="DL11" s="252"/>
      <c r="DM11" s="252"/>
      <c r="DN11" s="252"/>
      <c r="DO11" s="252"/>
      <c r="DP11" s="252"/>
      <c r="DQ11" s="252"/>
      <c r="DR11" s="252"/>
      <c r="DS11" s="252"/>
      <c r="DT11" s="252"/>
      <c r="DU11" s="252"/>
      <c r="DV11" s="252"/>
      <c r="DW11" s="252"/>
      <c r="DX11" s="252"/>
      <c r="DY11" s="252"/>
      <c r="DZ11" s="252"/>
      <c r="EA11" s="252"/>
      <c r="EB11" s="252"/>
      <c r="EC11" s="252"/>
      <c r="ED11" s="252"/>
      <c r="EE11" s="252"/>
      <c r="EF11" s="252"/>
      <c r="EG11" s="252"/>
      <c r="EH11" s="252"/>
      <c r="EI11" s="252"/>
      <c r="EJ11" s="252"/>
      <c r="EK11" s="252"/>
      <c r="EL11" s="252"/>
      <c r="EM11" s="252"/>
      <c r="EN11" s="252"/>
      <c r="EO11" s="252"/>
      <c r="EP11" s="252"/>
      <c r="EQ11" s="252"/>
      <c r="ER11" s="252"/>
      <c r="ES11" s="252"/>
      <c r="ET11" s="252"/>
      <c r="EU11" s="252"/>
      <c r="EV11" s="252"/>
      <c r="EW11" s="252"/>
      <c r="EX11" s="252"/>
      <c r="EY11" s="252"/>
      <c r="EZ11" s="252"/>
      <c r="FA11" s="189">
        <f t="shared" si="0"/>
        <v>0</v>
      </c>
      <c r="FB11" s="961">
        <f>100000-FA11</f>
        <v>100000</v>
      </c>
      <c r="FC11" s="194" t="str">
        <f t="shared" si="1"/>
        <v>Bunz Gourmet Burgers</v>
      </c>
      <c r="FE11" s="234">
        <f t="shared" si="3"/>
        <v>0</v>
      </c>
      <c r="FI11" s="234">
        <v>18672</v>
      </c>
      <c r="FJ11" s="234"/>
      <c r="FK11" s="979">
        <v>7</v>
      </c>
      <c r="FL11" s="981">
        <f t="shared" si="2"/>
        <v>23386.205128205129</v>
      </c>
      <c r="FM11" s="977">
        <v>228015.5</v>
      </c>
      <c r="FN11" s="978" t="s">
        <v>45</v>
      </c>
    </row>
    <row r="12" spans="1:170" ht="10.15" customHeight="1">
      <c r="A12" s="195" t="s">
        <v>245</v>
      </c>
      <c r="B12" s="738"/>
      <c r="C12" s="738"/>
      <c r="D12" s="738"/>
      <c r="E12" s="738"/>
      <c r="F12" s="589"/>
      <c r="G12" s="589">
        <f>'12.06.22'!E19</f>
        <v>2935.5</v>
      </c>
      <c r="H12" s="589"/>
      <c r="I12" s="589"/>
      <c r="J12" s="252"/>
      <c r="K12" s="1139"/>
      <c r="L12" s="252"/>
      <c r="M12" s="252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  <c r="AA12" s="252"/>
      <c r="AB12" s="252"/>
      <c r="AC12" s="252"/>
      <c r="AD12" s="252"/>
      <c r="AE12" s="252"/>
      <c r="AF12" s="252"/>
      <c r="AG12" s="252"/>
      <c r="AH12" s="252"/>
      <c r="AI12" s="252"/>
      <c r="AJ12" s="252"/>
      <c r="AK12" s="252"/>
      <c r="AL12" s="252"/>
      <c r="AM12" s="252"/>
      <c r="AN12" s="252"/>
      <c r="AO12" s="252"/>
      <c r="AP12" s="252"/>
      <c r="AQ12" s="252"/>
      <c r="AR12" s="252"/>
      <c r="AS12" s="252"/>
      <c r="AT12" s="252"/>
      <c r="AU12" s="252"/>
      <c r="AV12" s="252"/>
      <c r="AW12" s="252"/>
      <c r="AX12" s="252"/>
      <c r="AY12" s="252"/>
      <c r="AZ12" s="252"/>
      <c r="BA12" s="252"/>
      <c r="BB12" s="252"/>
      <c r="BC12" s="252"/>
      <c r="BD12" s="252"/>
      <c r="BE12" s="252"/>
      <c r="BF12" s="252"/>
      <c r="BG12" s="252"/>
      <c r="BH12" s="252"/>
      <c r="BI12" s="252"/>
      <c r="BJ12" s="252"/>
      <c r="BK12" s="252"/>
      <c r="BL12" s="252"/>
      <c r="BM12" s="252"/>
      <c r="BN12" s="252"/>
      <c r="BO12" s="252"/>
      <c r="BP12" s="252"/>
      <c r="BQ12" s="252"/>
      <c r="BR12" s="252"/>
      <c r="BS12" s="252"/>
      <c r="BT12" s="252"/>
      <c r="BU12" s="252"/>
      <c r="BV12" s="252"/>
      <c r="BW12" s="252"/>
      <c r="BX12" s="252"/>
      <c r="BY12" s="252"/>
      <c r="BZ12" s="252"/>
      <c r="CA12" s="252"/>
      <c r="CB12" s="252"/>
      <c r="CC12" s="252"/>
      <c r="CD12" s="252"/>
      <c r="CE12" s="252"/>
      <c r="CF12" s="252"/>
      <c r="CG12" s="252"/>
      <c r="CH12" s="252"/>
      <c r="CI12" s="252"/>
      <c r="CJ12" s="252"/>
      <c r="CK12" s="252"/>
      <c r="CL12" s="252"/>
      <c r="CM12" s="252"/>
      <c r="CN12" s="252"/>
      <c r="CO12" s="252"/>
      <c r="CP12" s="252"/>
      <c r="CQ12" s="252"/>
      <c r="CR12" s="252"/>
      <c r="CS12" s="252"/>
      <c r="CT12" s="252"/>
      <c r="CU12" s="252"/>
      <c r="CV12" s="252"/>
      <c r="CW12" s="252"/>
      <c r="CX12" s="252"/>
      <c r="CY12" s="252"/>
      <c r="CZ12" s="252"/>
      <c r="DA12" s="252"/>
      <c r="DB12" s="252"/>
      <c r="DC12" s="252"/>
      <c r="DD12" s="252"/>
      <c r="DE12" s="252"/>
      <c r="DF12" s="252"/>
      <c r="DG12" s="252"/>
      <c r="DH12" s="252"/>
      <c r="DI12" s="252"/>
      <c r="DJ12" s="252"/>
      <c r="DK12" s="252"/>
      <c r="DL12" s="252"/>
      <c r="DM12" s="252"/>
      <c r="DN12" s="252"/>
      <c r="DO12" s="252"/>
      <c r="DP12" s="252"/>
      <c r="DQ12" s="252"/>
      <c r="DR12" s="252"/>
      <c r="DS12" s="252"/>
      <c r="DT12" s="252"/>
      <c r="DU12" s="252"/>
      <c r="DV12" s="252"/>
      <c r="DW12" s="252"/>
      <c r="DX12" s="252"/>
      <c r="DY12" s="252"/>
      <c r="DZ12" s="252"/>
      <c r="EA12" s="252"/>
      <c r="EB12" s="252"/>
      <c r="EC12" s="252"/>
      <c r="ED12" s="252"/>
      <c r="EE12" s="252"/>
      <c r="EF12" s="252"/>
      <c r="EG12" s="252"/>
      <c r="EH12" s="252"/>
      <c r="EI12" s="252"/>
      <c r="EJ12" s="252"/>
      <c r="EK12" s="252"/>
      <c r="EL12" s="252"/>
      <c r="EM12" s="252"/>
      <c r="EN12" s="252"/>
      <c r="EO12" s="252"/>
      <c r="EP12" s="252"/>
      <c r="EQ12" s="252"/>
      <c r="ER12" s="252"/>
      <c r="ES12" s="252"/>
      <c r="ET12" s="252"/>
      <c r="EU12" s="252"/>
      <c r="EV12" s="252"/>
      <c r="EW12" s="252"/>
      <c r="EX12" s="252"/>
      <c r="EY12" s="252"/>
      <c r="EZ12" s="252"/>
      <c r="FA12" s="189">
        <f t="shared" si="0"/>
        <v>2935.5</v>
      </c>
      <c r="FB12" s="961">
        <f>100000-FA12</f>
        <v>97064.5</v>
      </c>
      <c r="FC12" s="194" t="str">
        <f t="shared" si="1"/>
        <v>Café Vietnam</v>
      </c>
      <c r="FE12" s="234">
        <f t="shared" si="3"/>
        <v>2935.5</v>
      </c>
      <c r="FI12" s="234">
        <v>32515.5</v>
      </c>
      <c r="FJ12" s="234"/>
      <c r="FK12" s="979">
        <v>8</v>
      </c>
      <c r="FL12" s="981">
        <f t="shared" si="2"/>
        <v>20230.51282051282</v>
      </c>
      <c r="FM12" s="977">
        <v>197247.5</v>
      </c>
      <c r="FN12" s="978" t="s">
        <v>143</v>
      </c>
    </row>
    <row r="13" spans="1:170" ht="10.15" customHeight="1">
      <c r="A13" s="195" t="s">
        <v>254</v>
      </c>
      <c r="B13" s="738"/>
      <c r="C13" s="738"/>
      <c r="D13" s="738">
        <f>'12.03.22'!E17</f>
        <v>3334.5</v>
      </c>
      <c r="E13" s="738"/>
      <c r="F13" s="252"/>
      <c r="G13" s="252">
        <f>'12.06.22'!E18</f>
        <v>3363</v>
      </c>
      <c r="H13" s="252">
        <f>'12.07.22'!E18</f>
        <v>3258.5</v>
      </c>
      <c r="I13" s="252"/>
      <c r="J13" s="589">
        <f>'12.13.22'!E11</f>
        <v>2603</v>
      </c>
      <c r="K13" s="1139"/>
      <c r="L13" s="252"/>
      <c r="M13" s="252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  <c r="AA13" s="252"/>
      <c r="AB13" s="252"/>
      <c r="AC13" s="252"/>
      <c r="AD13" s="252"/>
      <c r="AE13" s="252"/>
      <c r="AF13" s="252"/>
      <c r="AG13" s="252"/>
      <c r="AH13" s="252"/>
      <c r="AI13" s="252"/>
      <c r="AJ13" s="252"/>
      <c r="AK13" s="252"/>
      <c r="AL13" s="252"/>
      <c r="AM13" s="252"/>
      <c r="AN13" s="252"/>
      <c r="AO13" s="252"/>
      <c r="AP13" s="252"/>
      <c r="AQ13" s="252"/>
      <c r="AR13" s="252"/>
      <c r="AS13" s="252"/>
      <c r="AT13" s="252"/>
      <c r="AU13" s="252"/>
      <c r="AV13" s="252"/>
      <c r="AW13" s="252"/>
      <c r="AX13" s="252"/>
      <c r="AY13" s="252"/>
      <c r="AZ13" s="252"/>
      <c r="BA13" s="252"/>
      <c r="BB13" s="252"/>
      <c r="BC13" s="252"/>
      <c r="BD13" s="252"/>
      <c r="BE13" s="252"/>
      <c r="BF13" s="252"/>
      <c r="BG13" s="252"/>
      <c r="BH13" s="252"/>
      <c r="BI13" s="252"/>
      <c r="BJ13" s="252"/>
      <c r="BK13" s="252"/>
      <c r="BL13" s="252"/>
      <c r="BM13" s="252"/>
      <c r="BN13" s="252"/>
      <c r="BO13" s="252"/>
      <c r="BP13" s="252"/>
      <c r="BQ13" s="252"/>
      <c r="BR13" s="252"/>
      <c r="BS13" s="252"/>
      <c r="BT13" s="252"/>
      <c r="BU13" s="252"/>
      <c r="BV13" s="252"/>
      <c r="BW13" s="252"/>
      <c r="BX13" s="252"/>
      <c r="BY13" s="252"/>
      <c r="BZ13" s="252"/>
      <c r="CA13" s="252"/>
      <c r="CB13" s="252"/>
      <c r="CC13" s="252"/>
      <c r="CD13" s="252"/>
      <c r="CE13" s="252"/>
      <c r="CF13" s="252"/>
      <c r="CG13" s="252"/>
      <c r="CH13" s="252"/>
      <c r="CI13" s="252"/>
      <c r="CJ13" s="252"/>
      <c r="CK13" s="252"/>
      <c r="CL13" s="252"/>
      <c r="CM13" s="252"/>
      <c r="CN13" s="252"/>
      <c r="CO13" s="252"/>
      <c r="CP13" s="252"/>
      <c r="CQ13" s="252"/>
      <c r="CR13" s="252"/>
      <c r="CS13" s="252"/>
      <c r="CT13" s="252"/>
      <c r="CU13" s="252"/>
      <c r="CV13" s="252"/>
      <c r="CW13" s="252"/>
      <c r="CX13" s="252"/>
      <c r="CY13" s="252"/>
      <c r="CZ13" s="252"/>
      <c r="DA13" s="252"/>
      <c r="DB13" s="252"/>
      <c r="DC13" s="252"/>
      <c r="DD13" s="252"/>
      <c r="DE13" s="252"/>
      <c r="DF13" s="252"/>
      <c r="DG13" s="252"/>
      <c r="DH13" s="252"/>
      <c r="DI13" s="252"/>
      <c r="DJ13" s="252"/>
      <c r="DK13" s="252"/>
      <c r="DL13" s="252"/>
      <c r="DM13" s="252"/>
      <c r="DN13" s="252"/>
      <c r="DO13" s="252"/>
      <c r="DP13" s="252"/>
      <c r="DQ13" s="252"/>
      <c r="DR13" s="252"/>
      <c r="DS13" s="252"/>
      <c r="DT13" s="252"/>
      <c r="DU13" s="252"/>
      <c r="DV13" s="252"/>
      <c r="DW13" s="252"/>
      <c r="DX13" s="252"/>
      <c r="DY13" s="252"/>
      <c r="DZ13" s="252"/>
      <c r="EA13" s="252"/>
      <c r="EB13" s="252"/>
      <c r="EC13" s="252"/>
      <c r="ED13" s="252"/>
      <c r="EE13" s="252"/>
      <c r="EF13" s="252"/>
      <c r="EG13" s="252"/>
      <c r="EH13" s="252"/>
      <c r="EI13" s="252"/>
      <c r="EJ13" s="252"/>
      <c r="EK13" s="252"/>
      <c r="EL13" s="252"/>
      <c r="EM13" s="252"/>
      <c r="EN13" s="252"/>
      <c r="EO13" s="252"/>
      <c r="EP13" s="252"/>
      <c r="EQ13" s="252"/>
      <c r="ER13" s="252"/>
      <c r="ES13" s="252"/>
      <c r="ET13" s="252"/>
      <c r="EU13" s="252"/>
      <c r="EV13" s="252"/>
      <c r="EW13" s="252"/>
      <c r="EX13" s="252"/>
      <c r="EY13" s="252"/>
      <c r="EZ13" s="252"/>
      <c r="FA13" s="189">
        <f t="shared" si="0"/>
        <v>12559</v>
      </c>
      <c r="FB13" s="961">
        <f>100000-FA13+350000</f>
        <v>437441</v>
      </c>
      <c r="FC13" s="194" t="str">
        <f t="shared" si="1"/>
        <v>Cartel Taco Truck</v>
      </c>
      <c r="FE13" s="234">
        <f t="shared" si="3"/>
        <v>12559</v>
      </c>
      <c r="FI13" s="234">
        <v>126406.5</v>
      </c>
      <c r="FJ13" s="234"/>
      <c r="FK13" s="979">
        <v>9</v>
      </c>
      <c r="FL13" s="981">
        <f t="shared" si="2"/>
        <v>19788.205128205129</v>
      </c>
      <c r="FM13" s="977">
        <v>192935</v>
      </c>
      <c r="FN13" s="978" t="s">
        <v>242</v>
      </c>
    </row>
    <row r="14" spans="1:170" ht="10.15" customHeight="1">
      <c r="A14" s="195" t="s">
        <v>49</v>
      </c>
      <c r="B14" s="738">
        <f>'12.01.22'!E27</f>
        <v>3439</v>
      </c>
      <c r="C14" s="738">
        <f>'12.02.22'!E9</f>
        <v>4398.5</v>
      </c>
      <c r="D14" s="738">
        <f>'12.03.22'!E27</f>
        <v>4275</v>
      </c>
      <c r="E14" s="738">
        <f>'12.04.22'!E7</f>
        <v>5633.5</v>
      </c>
      <c r="F14" s="589"/>
      <c r="G14" s="589">
        <f>'12.06.22'!E8</f>
        <v>4759.5</v>
      </c>
      <c r="H14" s="589"/>
      <c r="I14" s="589"/>
      <c r="J14" s="252"/>
      <c r="K14" s="1139"/>
      <c r="L14" s="252"/>
      <c r="M14" s="252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  <c r="AA14" s="252"/>
      <c r="AB14" s="252"/>
      <c r="AC14" s="252"/>
      <c r="AD14" s="252"/>
      <c r="AE14" s="252"/>
      <c r="AF14" s="252"/>
      <c r="AG14" s="252"/>
      <c r="AH14" s="252"/>
      <c r="AI14" s="252"/>
      <c r="AJ14" s="252"/>
      <c r="AK14" s="252"/>
      <c r="AL14" s="252"/>
      <c r="AM14" s="252"/>
      <c r="AN14" s="252"/>
      <c r="AO14" s="252"/>
      <c r="AP14" s="252"/>
      <c r="AQ14" s="252"/>
      <c r="AR14" s="252"/>
      <c r="AS14" s="252"/>
      <c r="AT14" s="252"/>
      <c r="AU14" s="252"/>
      <c r="AV14" s="252"/>
      <c r="AW14" s="252"/>
      <c r="AX14" s="252"/>
      <c r="AY14" s="252"/>
      <c r="AZ14" s="252"/>
      <c r="BA14" s="252"/>
      <c r="BB14" s="252"/>
      <c r="BC14" s="252"/>
      <c r="BD14" s="252"/>
      <c r="BE14" s="252"/>
      <c r="BF14" s="252"/>
      <c r="BG14" s="252"/>
      <c r="BH14" s="252"/>
      <c r="BI14" s="252"/>
      <c r="BJ14" s="252"/>
      <c r="BK14" s="252"/>
      <c r="BL14" s="252"/>
      <c r="BM14" s="252"/>
      <c r="BN14" s="252"/>
      <c r="BO14" s="252"/>
      <c r="BP14" s="252"/>
      <c r="BQ14" s="252"/>
      <c r="BR14" s="252"/>
      <c r="BS14" s="252"/>
      <c r="BT14" s="252"/>
      <c r="BU14" s="252"/>
      <c r="BV14" s="252"/>
      <c r="BW14" s="252"/>
      <c r="BX14" s="252"/>
      <c r="BY14" s="252"/>
      <c r="BZ14" s="252"/>
      <c r="CA14" s="252"/>
      <c r="CB14" s="252"/>
      <c r="CC14" s="252"/>
      <c r="CD14" s="252"/>
      <c r="CE14" s="252"/>
      <c r="CF14" s="252"/>
      <c r="CG14" s="252"/>
      <c r="CH14" s="252"/>
      <c r="CI14" s="252"/>
      <c r="CJ14" s="252"/>
      <c r="CK14" s="252"/>
      <c r="CL14" s="252"/>
      <c r="CM14" s="252"/>
      <c r="CN14" s="252"/>
      <c r="CO14" s="252"/>
      <c r="CP14" s="252"/>
      <c r="CQ14" s="252"/>
      <c r="CR14" s="252"/>
      <c r="CS14" s="252"/>
      <c r="CT14" s="252"/>
      <c r="CU14" s="252"/>
      <c r="CV14" s="252"/>
      <c r="CW14" s="252"/>
      <c r="CX14" s="252"/>
      <c r="CY14" s="252"/>
      <c r="CZ14" s="252"/>
      <c r="DA14" s="252"/>
      <c r="DB14" s="252"/>
      <c r="DC14" s="252"/>
      <c r="DD14" s="252"/>
      <c r="DE14" s="252"/>
      <c r="DF14" s="252"/>
      <c r="DG14" s="252"/>
      <c r="DH14" s="252"/>
      <c r="DI14" s="252"/>
      <c r="DJ14" s="252"/>
      <c r="DK14" s="252"/>
      <c r="DL14" s="252"/>
      <c r="DM14" s="252"/>
      <c r="DN14" s="252"/>
      <c r="DO14" s="252"/>
      <c r="DP14" s="252"/>
      <c r="DQ14" s="252"/>
      <c r="DR14" s="252"/>
      <c r="DS14" s="252"/>
      <c r="DT14" s="252"/>
      <c r="DU14" s="252"/>
      <c r="DV14" s="252"/>
      <c r="DW14" s="252"/>
      <c r="DX14" s="252"/>
      <c r="DY14" s="252"/>
      <c r="DZ14" s="252"/>
      <c r="EA14" s="252"/>
      <c r="EB14" s="252"/>
      <c r="EC14" s="252"/>
      <c r="ED14" s="252"/>
      <c r="EE14" s="252"/>
      <c r="EF14" s="252"/>
      <c r="EG14" s="252"/>
      <c r="EH14" s="252"/>
      <c r="EI14" s="252"/>
      <c r="EJ14" s="252"/>
      <c r="EK14" s="252"/>
      <c r="EL14" s="252"/>
      <c r="EM14" s="252"/>
      <c r="EN14" s="252"/>
      <c r="EO14" s="252"/>
      <c r="EP14" s="252"/>
      <c r="EQ14" s="252"/>
      <c r="ER14" s="252"/>
      <c r="ES14" s="252"/>
      <c r="ET14" s="252"/>
      <c r="EU14" s="252"/>
      <c r="EV14" s="252"/>
      <c r="EW14" s="252"/>
      <c r="EX14" s="252"/>
      <c r="EY14" s="252"/>
      <c r="EZ14" s="252"/>
      <c r="FA14" s="189">
        <f t="shared" si="0"/>
        <v>22505.5</v>
      </c>
      <c r="FB14" s="961">
        <f>100000-FA14</f>
        <v>77494.5</v>
      </c>
      <c r="FC14" s="194" t="str">
        <f t="shared" si="1"/>
        <v>Cerda Vega Tacos</v>
      </c>
      <c r="FE14" s="234">
        <f t="shared" si="3"/>
        <v>22505.5</v>
      </c>
      <c r="FI14" s="782">
        <v>103495</v>
      </c>
      <c r="FJ14" s="234"/>
      <c r="FK14" s="979">
        <v>10</v>
      </c>
      <c r="FL14" s="981">
        <f t="shared" si="2"/>
        <v>19293.897435897437</v>
      </c>
      <c r="FM14" s="977">
        <v>188115.5</v>
      </c>
      <c r="FN14" s="978" t="s">
        <v>63</v>
      </c>
    </row>
    <row r="15" spans="1:170" ht="10.15" customHeight="1">
      <c r="A15" s="195" t="s">
        <v>235</v>
      </c>
      <c r="B15" s="738"/>
      <c r="C15" s="738"/>
      <c r="D15" s="738"/>
      <c r="E15" s="738">
        <f>'12.04.22'!E28</f>
        <v>6906.5</v>
      </c>
      <c r="F15" s="252"/>
      <c r="G15" s="252"/>
      <c r="H15" s="252"/>
      <c r="I15" s="252"/>
      <c r="J15" s="589">
        <f>'12.13.22'!E15</f>
        <v>1453.5</v>
      </c>
      <c r="K15" s="1139"/>
      <c r="L15" s="252"/>
      <c r="M15" s="252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  <c r="AA15" s="252"/>
      <c r="AB15" s="252"/>
      <c r="AC15" s="252"/>
      <c r="AD15" s="252"/>
      <c r="AE15" s="252"/>
      <c r="AF15" s="252"/>
      <c r="AG15" s="252"/>
      <c r="AH15" s="252"/>
      <c r="AI15" s="252"/>
      <c r="AJ15" s="252"/>
      <c r="AK15" s="252"/>
      <c r="AL15" s="252"/>
      <c r="AM15" s="252"/>
      <c r="AN15" s="252"/>
      <c r="AO15" s="252"/>
      <c r="AP15" s="252"/>
      <c r="AQ15" s="252"/>
      <c r="AR15" s="252"/>
      <c r="AS15" s="252"/>
      <c r="AT15" s="252"/>
      <c r="AU15" s="252"/>
      <c r="AV15" s="252"/>
      <c r="AW15" s="252"/>
      <c r="AX15" s="252"/>
      <c r="AY15" s="252"/>
      <c r="AZ15" s="252"/>
      <c r="BA15" s="252"/>
      <c r="BB15" s="252"/>
      <c r="BC15" s="252"/>
      <c r="BD15" s="252"/>
      <c r="BE15" s="252"/>
      <c r="BF15" s="252"/>
      <c r="BG15" s="252"/>
      <c r="BH15" s="252"/>
      <c r="BI15" s="252"/>
      <c r="BJ15" s="252"/>
      <c r="BK15" s="252"/>
      <c r="BL15" s="252"/>
      <c r="BM15" s="252"/>
      <c r="BN15" s="252"/>
      <c r="BO15" s="252"/>
      <c r="BP15" s="252"/>
      <c r="BQ15" s="252"/>
      <c r="BR15" s="252"/>
      <c r="BS15" s="252"/>
      <c r="BT15" s="252"/>
      <c r="BU15" s="252"/>
      <c r="BV15" s="252"/>
      <c r="BW15" s="252"/>
      <c r="BX15" s="252"/>
      <c r="BY15" s="252"/>
      <c r="BZ15" s="252"/>
      <c r="CA15" s="252"/>
      <c r="CB15" s="252"/>
      <c r="CC15" s="252"/>
      <c r="CD15" s="252"/>
      <c r="CE15" s="252"/>
      <c r="CF15" s="252"/>
      <c r="CG15" s="252"/>
      <c r="CH15" s="252"/>
      <c r="CI15" s="252"/>
      <c r="CJ15" s="252"/>
      <c r="CK15" s="252"/>
      <c r="CL15" s="252"/>
      <c r="CM15" s="252"/>
      <c r="CN15" s="252"/>
      <c r="CO15" s="252"/>
      <c r="CP15" s="252"/>
      <c r="CQ15" s="252"/>
      <c r="CR15" s="252"/>
      <c r="CS15" s="252"/>
      <c r="CT15" s="252"/>
      <c r="CU15" s="252"/>
      <c r="CV15" s="252"/>
      <c r="CW15" s="252"/>
      <c r="CX15" s="252"/>
      <c r="CY15" s="252"/>
      <c r="CZ15" s="252"/>
      <c r="DA15" s="252"/>
      <c r="DB15" s="252"/>
      <c r="DC15" s="252"/>
      <c r="DD15" s="252"/>
      <c r="DE15" s="252"/>
      <c r="DF15" s="252"/>
      <c r="DG15" s="252"/>
      <c r="DH15" s="252"/>
      <c r="DI15" s="252"/>
      <c r="DJ15" s="252"/>
      <c r="DK15" s="252"/>
      <c r="DL15" s="252"/>
      <c r="DM15" s="252"/>
      <c r="DN15" s="252"/>
      <c r="DO15" s="252"/>
      <c r="DP15" s="252"/>
      <c r="DQ15" s="252"/>
      <c r="DR15" s="252"/>
      <c r="DS15" s="252"/>
      <c r="DT15" s="252"/>
      <c r="DU15" s="252"/>
      <c r="DV15" s="252"/>
      <c r="DW15" s="252"/>
      <c r="DX15" s="252"/>
      <c r="DY15" s="252"/>
      <c r="DZ15" s="252"/>
      <c r="EA15" s="252"/>
      <c r="EB15" s="252"/>
      <c r="EC15" s="252"/>
      <c r="ED15" s="252"/>
      <c r="EE15" s="252"/>
      <c r="EF15" s="252"/>
      <c r="EG15" s="252"/>
      <c r="EH15" s="252"/>
      <c r="EI15" s="252"/>
      <c r="EJ15" s="252"/>
      <c r="EK15" s="252"/>
      <c r="EL15" s="252"/>
      <c r="EM15" s="252"/>
      <c r="EN15" s="252"/>
      <c r="EO15" s="252"/>
      <c r="EP15" s="252"/>
      <c r="EQ15" s="252"/>
      <c r="ER15" s="252"/>
      <c r="ES15" s="252"/>
      <c r="ET15" s="252"/>
      <c r="EU15" s="252"/>
      <c r="EV15" s="252"/>
      <c r="EW15" s="252"/>
      <c r="EX15" s="252"/>
      <c r="EY15" s="252"/>
      <c r="EZ15" s="252"/>
      <c r="FA15" s="189">
        <f t="shared" si="0"/>
        <v>8360</v>
      </c>
      <c r="FB15" s="961">
        <f>100000-FA15+350000</f>
        <v>441640</v>
      </c>
      <c r="FC15" s="194" t="str">
        <f t="shared" si="1"/>
        <v>Creamy Boys</v>
      </c>
      <c r="FE15" s="234">
        <f t="shared" si="3"/>
        <v>8360</v>
      </c>
      <c r="FI15" s="234">
        <v>292911</v>
      </c>
      <c r="FJ15" s="234"/>
      <c r="FK15" s="979">
        <v>11</v>
      </c>
      <c r="FL15" s="981">
        <f t="shared" si="2"/>
        <v>17233.384615384617</v>
      </c>
      <c r="FM15" s="977">
        <v>168025.5</v>
      </c>
      <c r="FN15" s="978" t="s">
        <v>145</v>
      </c>
    </row>
    <row r="16" spans="1:170" ht="10.15" customHeight="1">
      <c r="A16" s="195" t="s">
        <v>188</v>
      </c>
      <c r="B16" s="738"/>
      <c r="C16" s="738"/>
      <c r="D16" s="738"/>
      <c r="E16" s="738"/>
      <c r="F16" s="738">
        <f>'12.05.22'!E17</f>
        <v>3144.5</v>
      </c>
      <c r="G16" s="252"/>
      <c r="H16" s="252"/>
      <c r="I16" s="252"/>
      <c r="J16" s="252"/>
      <c r="K16" s="1139"/>
      <c r="L16" s="252"/>
      <c r="M16" s="252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  <c r="AA16" s="252"/>
      <c r="AB16" s="252"/>
      <c r="AC16" s="252"/>
      <c r="AD16" s="252"/>
      <c r="AE16" s="252"/>
      <c r="AF16" s="252"/>
      <c r="AG16" s="252"/>
      <c r="AH16" s="252"/>
      <c r="AI16" s="252"/>
      <c r="AJ16" s="252"/>
      <c r="AK16" s="252"/>
      <c r="AL16" s="252"/>
      <c r="AM16" s="252"/>
      <c r="AN16" s="252"/>
      <c r="AO16" s="252"/>
      <c r="AP16" s="252"/>
      <c r="AQ16" s="252"/>
      <c r="AR16" s="252"/>
      <c r="AS16" s="252"/>
      <c r="AT16" s="252"/>
      <c r="AU16" s="252"/>
      <c r="AV16" s="252"/>
      <c r="AW16" s="252"/>
      <c r="AX16" s="252"/>
      <c r="AY16" s="252"/>
      <c r="AZ16" s="252"/>
      <c r="BA16" s="252"/>
      <c r="BB16" s="252"/>
      <c r="BC16" s="252"/>
      <c r="BD16" s="252"/>
      <c r="BE16" s="252"/>
      <c r="BF16" s="252"/>
      <c r="BG16" s="252"/>
      <c r="BH16" s="252"/>
      <c r="BI16" s="252"/>
      <c r="BJ16" s="252"/>
      <c r="BK16" s="252"/>
      <c r="BL16" s="252"/>
      <c r="BM16" s="252"/>
      <c r="BN16" s="252"/>
      <c r="BO16" s="252"/>
      <c r="BP16" s="252"/>
      <c r="BQ16" s="252"/>
      <c r="BR16" s="252"/>
      <c r="BS16" s="252"/>
      <c r="BT16" s="252"/>
      <c r="BU16" s="252"/>
      <c r="BV16" s="252"/>
      <c r="BW16" s="252"/>
      <c r="BX16" s="252"/>
      <c r="BY16" s="252"/>
      <c r="BZ16" s="252"/>
      <c r="CA16" s="252"/>
      <c r="CB16" s="252"/>
      <c r="CC16" s="252"/>
      <c r="CD16" s="252"/>
      <c r="CE16" s="252"/>
      <c r="CF16" s="252"/>
      <c r="CG16" s="252"/>
      <c r="CH16" s="252"/>
      <c r="CI16" s="252"/>
      <c r="CJ16" s="252"/>
      <c r="CK16" s="252"/>
      <c r="CL16" s="252"/>
      <c r="CM16" s="252"/>
      <c r="CN16" s="252"/>
      <c r="CO16" s="252"/>
      <c r="CP16" s="252"/>
      <c r="CQ16" s="252"/>
      <c r="CR16" s="252"/>
      <c r="CS16" s="252"/>
      <c r="CT16" s="252"/>
      <c r="CU16" s="252"/>
      <c r="CV16" s="252"/>
      <c r="CW16" s="252"/>
      <c r="CX16" s="252"/>
      <c r="CY16" s="252"/>
      <c r="CZ16" s="252"/>
      <c r="DA16" s="252"/>
      <c r="DB16" s="252"/>
      <c r="DC16" s="252"/>
      <c r="DD16" s="252"/>
      <c r="DE16" s="252"/>
      <c r="DF16" s="252"/>
      <c r="DG16" s="252"/>
      <c r="DH16" s="252"/>
      <c r="DI16" s="252"/>
      <c r="DJ16" s="252"/>
      <c r="DK16" s="252"/>
      <c r="DL16" s="252"/>
      <c r="DM16" s="252"/>
      <c r="DN16" s="252"/>
      <c r="DO16" s="252"/>
      <c r="DP16" s="252"/>
      <c r="DQ16" s="252"/>
      <c r="DR16" s="252"/>
      <c r="DS16" s="252"/>
      <c r="DT16" s="252"/>
      <c r="DU16" s="252"/>
      <c r="DV16" s="252"/>
      <c r="DW16" s="252"/>
      <c r="DX16" s="252"/>
      <c r="DY16" s="252"/>
      <c r="DZ16" s="252"/>
      <c r="EA16" s="252"/>
      <c r="EB16" s="252"/>
      <c r="EC16" s="252"/>
      <c r="ED16" s="252"/>
      <c r="EE16" s="252"/>
      <c r="EF16" s="252"/>
      <c r="EG16" s="252"/>
      <c r="EH16" s="252"/>
      <c r="EI16" s="252"/>
      <c r="EJ16" s="252"/>
      <c r="EK16" s="252"/>
      <c r="EL16" s="252"/>
      <c r="EM16" s="252"/>
      <c r="EN16" s="252"/>
      <c r="EO16" s="252"/>
      <c r="EP16" s="252"/>
      <c r="EQ16" s="252"/>
      <c r="ER16" s="252"/>
      <c r="ES16" s="252"/>
      <c r="ET16" s="252"/>
      <c r="EU16" s="252"/>
      <c r="EV16" s="252"/>
      <c r="EW16" s="252"/>
      <c r="EX16" s="252"/>
      <c r="EY16" s="252"/>
      <c r="EZ16" s="252"/>
      <c r="FA16" s="189">
        <f t="shared" si="0"/>
        <v>3144.5</v>
      </c>
      <c r="FB16" s="961">
        <f>100000-FA16</f>
        <v>96855.5</v>
      </c>
      <c r="FC16" s="194" t="str">
        <f t="shared" si="1"/>
        <v>Deli Doctor</v>
      </c>
      <c r="FE16" s="234">
        <f t="shared" si="3"/>
        <v>3144.5</v>
      </c>
      <c r="FI16" s="234">
        <v>51936.5</v>
      </c>
      <c r="FJ16" s="234"/>
      <c r="FK16" s="979">
        <v>12</v>
      </c>
      <c r="FL16" s="981">
        <f t="shared" si="2"/>
        <v>16683.333333333332</v>
      </c>
      <c r="FM16" s="977">
        <v>162662.5</v>
      </c>
      <c r="FN16" s="978" t="s">
        <v>82</v>
      </c>
    </row>
    <row r="17" spans="1:170" ht="9.75" customHeight="1">
      <c r="A17" s="195" t="s">
        <v>243</v>
      </c>
      <c r="B17" s="738"/>
      <c r="C17" s="738"/>
      <c r="D17" s="738"/>
      <c r="E17" s="738">
        <f>'12.04.22'!E9</f>
        <v>9262.5</v>
      </c>
      <c r="F17" s="252"/>
      <c r="G17" s="252"/>
      <c r="H17" s="252"/>
      <c r="I17" s="252"/>
      <c r="J17" s="589">
        <f>'12.13.22'!E12</f>
        <v>674.5</v>
      </c>
      <c r="K17" s="1139"/>
      <c r="L17" s="252"/>
      <c r="M17" s="252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  <c r="AA17" s="252"/>
      <c r="AB17" s="252"/>
      <c r="AC17" s="252"/>
      <c r="AD17" s="252"/>
      <c r="AE17" s="252"/>
      <c r="AF17" s="252"/>
      <c r="AG17" s="252"/>
      <c r="AH17" s="252"/>
      <c r="AI17" s="252"/>
      <c r="AJ17" s="252"/>
      <c r="AK17" s="252"/>
      <c r="AL17" s="252"/>
      <c r="AM17" s="252"/>
      <c r="AN17" s="252"/>
      <c r="AO17" s="252"/>
      <c r="AP17" s="252"/>
      <c r="AQ17" s="252"/>
      <c r="AR17" s="252"/>
      <c r="AS17" s="252"/>
      <c r="AT17" s="252"/>
      <c r="AU17" s="252"/>
      <c r="AV17" s="252"/>
      <c r="AW17" s="252"/>
      <c r="AX17" s="252"/>
      <c r="AY17" s="252"/>
      <c r="AZ17" s="252"/>
      <c r="BA17" s="252"/>
      <c r="BB17" s="252"/>
      <c r="BC17" s="252"/>
      <c r="BD17" s="252"/>
      <c r="BE17" s="252"/>
      <c r="BF17" s="252"/>
      <c r="BG17" s="252"/>
      <c r="BH17" s="252"/>
      <c r="BI17" s="252"/>
      <c r="BJ17" s="252"/>
      <c r="BK17" s="252"/>
      <c r="BL17" s="252"/>
      <c r="BM17" s="252"/>
      <c r="BN17" s="252"/>
      <c r="BO17" s="252"/>
      <c r="BP17" s="252"/>
      <c r="BQ17" s="252"/>
      <c r="BR17" s="252"/>
      <c r="BS17" s="252"/>
      <c r="BT17" s="252"/>
      <c r="BU17" s="252"/>
      <c r="BV17" s="252"/>
      <c r="BW17" s="252"/>
      <c r="BX17" s="252"/>
      <c r="BY17" s="252"/>
      <c r="BZ17" s="252"/>
      <c r="CA17" s="252"/>
      <c r="CB17" s="252"/>
      <c r="CC17" s="252"/>
      <c r="CD17" s="252"/>
      <c r="CE17" s="252"/>
      <c r="CF17" s="252"/>
      <c r="CG17" s="252"/>
      <c r="CH17" s="252"/>
      <c r="CI17" s="252"/>
      <c r="CJ17" s="252"/>
      <c r="CK17" s="252"/>
      <c r="CL17" s="252"/>
      <c r="CM17" s="252"/>
      <c r="CN17" s="252"/>
      <c r="CO17" s="252"/>
      <c r="CP17" s="252"/>
      <c r="CQ17" s="252"/>
      <c r="CR17" s="252"/>
      <c r="CS17" s="252"/>
      <c r="CT17" s="252"/>
      <c r="CU17" s="252"/>
      <c r="CV17" s="252"/>
      <c r="CW17" s="252"/>
      <c r="CX17" s="252"/>
      <c r="CY17" s="252"/>
      <c r="CZ17" s="252"/>
      <c r="DA17" s="252"/>
      <c r="DB17" s="252"/>
      <c r="DC17" s="252"/>
      <c r="DD17" s="252"/>
      <c r="DE17" s="252"/>
      <c r="DF17" s="252"/>
      <c r="DG17" s="252"/>
      <c r="DH17" s="252"/>
      <c r="DI17" s="252"/>
      <c r="DJ17" s="252"/>
      <c r="DK17" s="252"/>
      <c r="DL17" s="252"/>
      <c r="DM17" s="252"/>
      <c r="DN17" s="252"/>
      <c r="DO17" s="252"/>
      <c r="DP17" s="252"/>
      <c r="DQ17" s="252"/>
      <c r="DR17" s="252"/>
      <c r="DS17" s="252"/>
      <c r="DT17" s="252"/>
      <c r="DU17" s="252"/>
      <c r="DV17" s="252"/>
      <c r="DW17" s="252"/>
      <c r="DX17" s="252"/>
      <c r="DY17" s="252"/>
      <c r="DZ17" s="252"/>
      <c r="EA17" s="252"/>
      <c r="EB17" s="252"/>
      <c r="EC17" s="252"/>
      <c r="ED17" s="252"/>
      <c r="EE17" s="252"/>
      <c r="EF17" s="252"/>
      <c r="EG17" s="252"/>
      <c r="EH17" s="252"/>
      <c r="EI17" s="252"/>
      <c r="EJ17" s="252"/>
      <c r="EK17" s="252"/>
      <c r="EL17" s="252"/>
      <c r="EM17" s="252"/>
      <c r="EN17" s="252"/>
      <c r="EO17" s="252"/>
      <c r="EP17" s="252"/>
      <c r="EQ17" s="252"/>
      <c r="ER17" s="252"/>
      <c r="ES17" s="252"/>
      <c r="ET17" s="252"/>
      <c r="EU17" s="252"/>
      <c r="EV17" s="252"/>
      <c r="EW17" s="252"/>
      <c r="EX17" s="252"/>
      <c r="EY17" s="252"/>
      <c r="EZ17" s="252"/>
      <c r="FA17" s="189">
        <f t="shared" si="0"/>
        <v>9937</v>
      </c>
      <c r="FB17" s="961">
        <f>100000-FA17+100000</f>
        <v>190063</v>
      </c>
      <c r="FC17" s="194" t="str">
        <f t="shared" si="1"/>
        <v>Dina's Dumpling</v>
      </c>
      <c r="FE17" s="234">
        <f t="shared" si="3"/>
        <v>9937</v>
      </c>
      <c r="FI17" s="234">
        <v>70634</v>
      </c>
      <c r="FJ17" s="234"/>
      <c r="FK17" s="979">
        <v>13</v>
      </c>
      <c r="FL17" s="981">
        <f t="shared" si="2"/>
        <v>13230.25641025641</v>
      </c>
      <c r="FM17" s="977">
        <v>128995</v>
      </c>
      <c r="FN17" s="978" t="s">
        <v>51</v>
      </c>
    </row>
    <row r="18" spans="1:170" ht="10.15" customHeight="1">
      <c r="A18" s="195" t="s">
        <v>334</v>
      </c>
      <c r="B18" s="738"/>
      <c r="C18" s="738">
        <f>'12.02.22'!E28</f>
        <v>4721.5</v>
      </c>
      <c r="D18" s="738">
        <f>'12.03.22'!E18</f>
        <v>6403</v>
      </c>
      <c r="E18" s="738"/>
      <c r="F18" s="589"/>
      <c r="G18" s="589"/>
      <c r="H18" s="589">
        <f>'12.07.22'!E28</f>
        <v>5149</v>
      </c>
      <c r="I18" s="589"/>
      <c r="J18" s="252"/>
      <c r="K18" s="1139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  <c r="AA18" s="252"/>
      <c r="AB18" s="252"/>
      <c r="AC18" s="252"/>
      <c r="AD18" s="252"/>
      <c r="AE18" s="252"/>
      <c r="AF18" s="252"/>
      <c r="AG18" s="252"/>
      <c r="AH18" s="252"/>
      <c r="AI18" s="252"/>
      <c r="AJ18" s="252"/>
      <c r="AK18" s="252"/>
      <c r="AL18" s="252"/>
      <c r="AM18" s="252"/>
      <c r="AN18" s="252"/>
      <c r="AO18" s="252"/>
      <c r="AP18" s="252"/>
      <c r="AQ18" s="252"/>
      <c r="AR18" s="252"/>
      <c r="AS18" s="252"/>
      <c r="AT18" s="252"/>
      <c r="AU18" s="252"/>
      <c r="AV18" s="252"/>
      <c r="AW18" s="252"/>
      <c r="AX18" s="252"/>
      <c r="AY18" s="252"/>
      <c r="AZ18" s="252"/>
      <c r="BA18" s="252"/>
      <c r="BB18" s="252"/>
      <c r="BC18" s="252"/>
      <c r="BD18" s="252"/>
      <c r="BE18" s="252"/>
      <c r="BF18" s="252"/>
      <c r="BG18" s="252"/>
      <c r="BH18" s="252"/>
      <c r="BI18" s="252"/>
      <c r="BJ18" s="252"/>
      <c r="BK18" s="252"/>
      <c r="BL18" s="252"/>
      <c r="BM18" s="252"/>
      <c r="BN18" s="252"/>
      <c r="BO18" s="252"/>
      <c r="BP18" s="252"/>
      <c r="BQ18" s="252"/>
      <c r="BR18" s="252"/>
      <c r="BS18" s="252"/>
      <c r="BT18" s="252"/>
      <c r="BU18" s="252"/>
      <c r="BV18" s="252"/>
      <c r="BW18" s="252"/>
      <c r="BX18" s="252"/>
      <c r="BY18" s="252"/>
      <c r="BZ18" s="252"/>
      <c r="CA18" s="252"/>
      <c r="CB18" s="252"/>
      <c r="CC18" s="252"/>
      <c r="CD18" s="252"/>
      <c r="CE18" s="252"/>
      <c r="CF18" s="252"/>
      <c r="CG18" s="252"/>
      <c r="CH18" s="252"/>
      <c r="CI18" s="252"/>
      <c r="CJ18" s="252"/>
      <c r="CK18" s="252"/>
      <c r="CL18" s="252"/>
      <c r="CM18" s="252"/>
      <c r="CN18" s="252"/>
      <c r="CO18" s="252"/>
      <c r="CP18" s="252"/>
      <c r="CQ18" s="252"/>
      <c r="CR18" s="252"/>
      <c r="CS18" s="252"/>
      <c r="CT18" s="252"/>
      <c r="CU18" s="252"/>
      <c r="CV18" s="252"/>
      <c r="CW18" s="252"/>
      <c r="CX18" s="252"/>
      <c r="CY18" s="252"/>
      <c r="CZ18" s="252"/>
      <c r="DA18" s="252"/>
      <c r="DB18" s="252"/>
      <c r="DC18" s="252"/>
      <c r="DD18" s="252"/>
      <c r="DE18" s="252"/>
      <c r="DF18" s="252"/>
      <c r="DG18" s="252"/>
      <c r="DH18" s="252"/>
      <c r="DI18" s="252"/>
      <c r="DJ18" s="252"/>
      <c r="DK18" s="252"/>
      <c r="DL18" s="252"/>
      <c r="DM18" s="252"/>
      <c r="DN18" s="252"/>
      <c r="DO18" s="252"/>
      <c r="DP18" s="252"/>
      <c r="DQ18" s="252"/>
      <c r="DR18" s="252"/>
      <c r="DS18" s="252"/>
      <c r="DT18" s="252"/>
      <c r="DU18" s="252"/>
      <c r="DV18" s="252"/>
      <c r="DW18" s="252"/>
      <c r="DX18" s="252"/>
      <c r="DY18" s="252"/>
      <c r="DZ18" s="252"/>
      <c r="EA18" s="252"/>
      <c r="EB18" s="252"/>
      <c r="EC18" s="252"/>
      <c r="ED18" s="252"/>
      <c r="EE18" s="252"/>
      <c r="EF18" s="252"/>
      <c r="EG18" s="252"/>
      <c r="EH18" s="252"/>
      <c r="EI18" s="252"/>
      <c r="EJ18" s="252"/>
      <c r="EK18" s="252"/>
      <c r="EL18" s="252"/>
      <c r="EM18" s="252"/>
      <c r="EN18" s="252"/>
      <c r="EO18" s="252"/>
      <c r="EP18" s="252"/>
      <c r="EQ18" s="252"/>
      <c r="ER18" s="252"/>
      <c r="ES18" s="252"/>
      <c r="ET18" s="252"/>
      <c r="EU18" s="252"/>
      <c r="EV18" s="252"/>
      <c r="EW18" s="252"/>
      <c r="EX18" s="252"/>
      <c r="EY18" s="252"/>
      <c r="EZ18" s="252"/>
      <c r="FA18" s="189">
        <f t="shared" si="0"/>
        <v>16273.5</v>
      </c>
      <c r="FB18" s="189">
        <v>99000</v>
      </c>
      <c r="FC18" s="194" t="str">
        <f t="shared" si="1"/>
        <v>Dulce Europa</v>
      </c>
      <c r="FE18" s="234">
        <f t="shared" si="3"/>
        <v>16273.5</v>
      </c>
      <c r="FI18" s="234"/>
      <c r="FJ18" s="234"/>
      <c r="FK18" s="979"/>
      <c r="FL18" s="981"/>
      <c r="FM18" s="977"/>
      <c r="FN18" s="978"/>
    </row>
    <row r="19" spans="1:170" ht="10.15" customHeight="1">
      <c r="A19" s="195" t="s">
        <v>63</v>
      </c>
      <c r="B19" s="252"/>
      <c r="C19" s="252"/>
      <c r="D19" s="252"/>
      <c r="E19" s="252"/>
      <c r="F19" s="589"/>
      <c r="G19" s="589"/>
      <c r="H19" s="589"/>
      <c r="I19" s="589">
        <f>'12.08.22'!E13+'12.08.22'!E26</f>
        <v>5206</v>
      </c>
      <c r="J19" s="252"/>
      <c r="K19" s="1139"/>
      <c r="L19" s="252"/>
      <c r="M19" s="252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  <c r="AA19" s="252"/>
      <c r="AB19" s="252"/>
      <c r="AC19" s="252"/>
      <c r="AD19" s="252"/>
      <c r="AE19" s="252"/>
      <c r="AF19" s="252"/>
      <c r="AG19" s="252"/>
      <c r="AH19" s="252"/>
      <c r="AI19" s="252"/>
      <c r="AJ19" s="252"/>
      <c r="AK19" s="252"/>
      <c r="AL19" s="252"/>
      <c r="AM19" s="252"/>
      <c r="AN19" s="252"/>
      <c r="AO19" s="252"/>
      <c r="AP19" s="252"/>
      <c r="AQ19" s="252"/>
      <c r="AR19" s="252"/>
      <c r="AS19" s="252"/>
      <c r="AT19" s="252"/>
      <c r="AU19" s="252"/>
      <c r="AV19" s="252"/>
      <c r="AW19" s="252"/>
      <c r="AX19" s="252"/>
      <c r="AY19" s="252"/>
      <c r="AZ19" s="252"/>
      <c r="BA19" s="252"/>
      <c r="BB19" s="252"/>
      <c r="BC19" s="252"/>
      <c r="BD19" s="252"/>
      <c r="BE19" s="252"/>
      <c r="BF19" s="252"/>
      <c r="BG19" s="252"/>
      <c r="BH19" s="252"/>
      <c r="BI19" s="252"/>
      <c r="BJ19" s="252"/>
      <c r="BK19" s="252"/>
      <c r="BL19" s="252"/>
      <c r="BM19" s="252"/>
      <c r="BN19" s="252"/>
      <c r="BO19" s="252"/>
      <c r="BP19" s="252"/>
      <c r="BQ19" s="252"/>
      <c r="BR19" s="252"/>
      <c r="BS19" s="252"/>
      <c r="BT19" s="252"/>
      <c r="BU19" s="252"/>
      <c r="BV19" s="252"/>
      <c r="BW19" s="252"/>
      <c r="BX19" s="252"/>
      <c r="BY19" s="252"/>
      <c r="BZ19" s="252"/>
      <c r="CA19" s="252"/>
      <c r="CB19" s="252"/>
      <c r="CC19" s="252"/>
      <c r="CD19" s="252"/>
      <c r="CE19" s="252"/>
      <c r="CF19" s="252"/>
      <c r="CG19" s="252"/>
      <c r="CH19" s="252"/>
      <c r="CI19" s="252"/>
      <c r="CJ19" s="252"/>
      <c r="CK19" s="252"/>
      <c r="CL19" s="252"/>
      <c r="CM19" s="252"/>
      <c r="CN19" s="252"/>
      <c r="CO19" s="252"/>
      <c r="CP19" s="252"/>
      <c r="CQ19" s="252"/>
      <c r="CR19" s="252"/>
      <c r="CS19" s="252"/>
      <c r="CT19" s="252"/>
      <c r="CU19" s="252"/>
      <c r="CV19" s="252"/>
      <c r="CW19" s="252"/>
      <c r="CX19" s="252"/>
      <c r="CY19" s="252"/>
      <c r="CZ19" s="252"/>
      <c r="DA19" s="252"/>
      <c r="DB19" s="252"/>
      <c r="DC19" s="252"/>
      <c r="DD19" s="252"/>
      <c r="DE19" s="252"/>
      <c r="DF19" s="252"/>
      <c r="DG19" s="252"/>
      <c r="DH19" s="252"/>
      <c r="DI19" s="252"/>
      <c r="DJ19" s="252"/>
      <c r="DK19" s="252"/>
      <c r="DL19" s="252"/>
      <c r="DM19" s="252"/>
      <c r="DN19" s="252"/>
      <c r="DO19" s="252"/>
      <c r="DP19" s="252"/>
      <c r="DQ19" s="252"/>
      <c r="DR19" s="252"/>
      <c r="DS19" s="252"/>
      <c r="DT19" s="252"/>
      <c r="DU19" s="252"/>
      <c r="DV19" s="252"/>
      <c r="DW19" s="252"/>
      <c r="DX19" s="252"/>
      <c r="DY19" s="252"/>
      <c r="DZ19" s="252"/>
      <c r="EA19" s="252"/>
      <c r="EB19" s="252"/>
      <c r="EC19" s="252"/>
      <c r="ED19" s="252"/>
      <c r="EE19" s="252"/>
      <c r="EF19" s="252"/>
      <c r="EG19" s="252"/>
      <c r="EH19" s="252"/>
      <c r="EI19" s="252"/>
      <c r="EJ19" s="252"/>
      <c r="EK19" s="252"/>
      <c r="EL19" s="252"/>
      <c r="EM19" s="252"/>
      <c r="EN19" s="252"/>
      <c r="EO19" s="252"/>
      <c r="EP19" s="252"/>
      <c r="EQ19" s="252"/>
      <c r="ER19" s="252"/>
      <c r="ES19" s="252"/>
      <c r="ET19" s="252"/>
      <c r="EU19" s="252"/>
      <c r="EV19" s="252"/>
      <c r="EW19" s="252"/>
      <c r="EX19" s="252"/>
      <c r="EY19" s="252"/>
      <c r="EZ19" s="252"/>
      <c r="FA19" s="189">
        <f t="shared" si="0"/>
        <v>5206</v>
      </c>
      <c r="FB19" s="961">
        <f>449000-FA19+350000</f>
        <v>793794</v>
      </c>
      <c r="FC19" s="194" t="str">
        <f t="shared" si="1"/>
        <v>Flamin Hot Chicken</v>
      </c>
      <c r="FE19" s="234">
        <f t="shared" si="3"/>
        <v>5206</v>
      </c>
      <c r="FI19" s="234">
        <v>188115.5</v>
      </c>
      <c r="FJ19" s="234"/>
      <c r="FK19" s="979">
        <v>14</v>
      </c>
      <c r="FL19" s="981">
        <f t="shared" si="2"/>
        <v>13104.358974358975</v>
      </c>
      <c r="FM19" s="977">
        <v>127767.5</v>
      </c>
      <c r="FN19" s="978" t="s">
        <v>246</v>
      </c>
    </row>
    <row r="20" spans="1:170" ht="10.15" customHeight="1">
      <c r="A20" s="195" t="s">
        <v>78</v>
      </c>
      <c r="B20" s="738"/>
      <c r="C20" s="738"/>
      <c r="D20" s="738"/>
      <c r="E20" s="738"/>
      <c r="F20" s="589">
        <f>'12.05.22'!E9</f>
        <v>4607.5</v>
      </c>
      <c r="G20" s="589"/>
      <c r="H20" s="589"/>
      <c r="I20" s="589"/>
      <c r="J20" s="252"/>
      <c r="K20" s="1139"/>
      <c r="L20" s="252"/>
      <c r="M20" s="252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  <c r="AA20" s="252"/>
      <c r="AB20" s="252"/>
      <c r="AC20" s="252"/>
      <c r="AD20" s="252"/>
      <c r="AE20" s="252"/>
      <c r="AF20" s="252"/>
      <c r="AG20" s="252"/>
      <c r="AH20" s="252"/>
      <c r="AI20" s="252"/>
      <c r="AJ20" s="252"/>
      <c r="AK20" s="252"/>
      <c r="AL20" s="252"/>
      <c r="AM20" s="252"/>
      <c r="AN20" s="252"/>
      <c r="AO20" s="252"/>
      <c r="AP20" s="252"/>
      <c r="AQ20" s="252"/>
      <c r="AR20" s="252"/>
      <c r="AS20" s="252"/>
      <c r="AT20" s="252"/>
      <c r="AU20" s="252"/>
      <c r="AV20" s="252"/>
      <c r="AW20" s="252"/>
      <c r="AX20" s="252"/>
      <c r="AY20" s="252"/>
      <c r="AZ20" s="252"/>
      <c r="BA20" s="252"/>
      <c r="BB20" s="252"/>
      <c r="BC20" s="252"/>
      <c r="BD20" s="252"/>
      <c r="BE20" s="252"/>
      <c r="BF20" s="252"/>
      <c r="BG20" s="252"/>
      <c r="BH20" s="252"/>
      <c r="BI20" s="252"/>
      <c r="BJ20" s="252"/>
      <c r="BK20" s="252"/>
      <c r="BL20" s="252"/>
      <c r="BM20" s="252"/>
      <c r="BN20" s="252"/>
      <c r="BO20" s="252"/>
      <c r="BP20" s="252"/>
      <c r="BQ20" s="252"/>
      <c r="BR20" s="252"/>
      <c r="BS20" s="252"/>
      <c r="BT20" s="252"/>
      <c r="BU20" s="252"/>
      <c r="BV20" s="252"/>
      <c r="BW20" s="252"/>
      <c r="BX20" s="252"/>
      <c r="BY20" s="252"/>
      <c r="BZ20" s="252"/>
      <c r="CA20" s="252"/>
      <c r="CB20" s="252"/>
      <c r="CC20" s="252"/>
      <c r="CD20" s="252"/>
      <c r="CE20" s="252"/>
      <c r="CF20" s="252"/>
      <c r="CG20" s="252"/>
      <c r="CH20" s="252"/>
      <c r="CI20" s="252"/>
      <c r="CJ20" s="252"/>
      <c r="CK20" s="252"/>
      <c r="CL20" s="252"/>
      <c r="CM20" s="252"/>
      <c r="CN20" s="252"/>
      <c r="CO20" s="252"/>
      <c r="CP20" s="252"/>
      <c r="CQ20" s="252"/>
      <c r="CR20" s="252"/>
      <c r="CS20" s="252"/>
      <c r="CT20" s="252"/>
      <c r="CU20" s="252"/>
      <c r="CV20" s="252"/>
      <c r="CW20" s="252"/>
      <c r="CX20" s="252"/>
      <c r="CY20" s="252"/>
      <c r="CZ20" s="252"/>
      <c r="DA20" s="252"/>
      <c r="DB20" s="252"/>
      <c r="DC20" s="252"/>
      <c r="DD20" s="252"/>
      <c r="DE20" s="252"/>
      <c r="DF20" s="252"/>
      <c r="DG20" s="252"/>
      <c r="DH20" s="252"/>
      <c r="DI20" s="252"/>
      <c r="DJ20" s="252"/>
      <c r="DK20" s="252"/>
      <c r="DL20" s="252"/>
      <c r="DM20" s="252"/>
      <c r="DN20" s="252"/>
      <c r="DO20" s="252"/>
      <c r="DP20" s="252"/>
      <c r="DQ20" s="252"/>
      <c r="DR20" s="252"/>
      <c r="DS20" s="252"/>
      <c r="DT20" s="252"/>
      <c r="DU20" s="252"/>
      <c r="DV20" s="252"/>
      <c r="DW20" s="252"/>
      <c r="DX20" s="252"/>
      <c r="DY20" s="252"/>
      <c r="DZ20" s="252"/>
      <c r="EA20" s="252"/>
      <c r="EB20" s="252"/>
      <c r="EC20" s="252"/>
      <c r="ED20" s="252"/>
      <c r="EE20" s="252"/>
      <c r="EF20" s="252"/>
      <c r="EG20" s="252"/>
      <c r="EH20" s="252"/>
      <c r="EI20" s="252"/>
      <c r="EJ20" s="252"/>
      <c r="EK20" s="252"/>
      <c r="EL20" s="252"/>
      <c r="EM20" s="252"/>
      <c r="EN20" s="252"/>
      <c r="EO20" s="252"/>
      <c r="EP20" s="252"/>
      <c r="EQ20" s="252"/>
      <c r="ER20" s="252"/>
      <c r="ES20" s="252"/>
      <c r="ET20" s="252"/>
      <c r="EU20" s="252"/>
      <c r="EV20" s="252"/>
      <c r="EW20" s="252"/>
      <c r="EX20" s="252"/>
      <c r="EY20" s="252"/>
      <c r="EZ20" s="252"/>
      <c r="FA20" s="189">
        <f t="shared" si="0"/>
        <v>4607.5</v>
      </c>
      <c r="FB20" s="961">
        <f>100000-FA20</f>
        <v>95392.5</v>
      </c>
      <c r="FC20" s="194" t="str">
        <f t="shared" si="1"/>
        <v>Flaming Grain</v>
      </c>
      <c r="FE20" s="234">
        <f t="shared" si="3"/>
        <v>4607.5</v>
      </c>
      <c r="FI20" s="234">
        <v>55223</v>
      </c>
      <c r="FJ20" s="234"/>
      <c r="FK20" s="979">
        <v>15</v>
      </c>
      <c r="FL20" s="981">
        <f t="shared" si="2"/>
        <v>12964.76923076923</v>
      </c>
      <c r="FM20" s="977">
        <v>126406.5</v>
      </c>
      <c r="FN20" s="978" t="s">
        <v>43</v>
      </c>
    </row>
    <row r="21" spans="1:170" ht="10.15" customHeight="1">
      <c r="A21" s="195" t="s">
        <v>696</v>
      </c>
      <c r="B21" s="252"/>
      <c r="C21" s="252"/>
      <c r="D21" s="252"/>
      <c r="E21" s="252"/>
      <c r="F21" s="589"/>
      <c r="G21" s="589"/>
      <c r="H21" s="589">
        <f>'12.07.22'!E10</f>
        <v>3477</v>
      </c>
      <c r="I21" s="589"/>
      <c r="J21" s="252"/>
      <c r="K21" s="1139"/>
      <c r="L21" s="252"/>
      <c r="M21" s="252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  <c r="AA21" s="252"/>
      <c r="AB21" s="252"/>
      <c r="AC21" s="252"/>
      <c r="AD21" s="252"/>
      <c r="AE21" s="252"/>
      <c r="AF21" s="252"/>
      <c r="AG21" s="252"/>
      <c r="AH21" s="252"/>
      <c r="AI21" s="252"/>
      <c r="AJ21" s="252"/>
      <c r="AK21" s="252"/>
      <c r="AL21" s="252"/>
      <c r="AM21" s="252"/>
      <c r="AN21" s="252"/>
      <c r="AO21" s="252"/>
      <c r="AP21" s="252"/>
      <c r="AQ21" s="252"/>
      <c r="AR21" s="252"/>
      <c r="AS21" s="252"/>
      <c r="AT21" s="252"/>
      <c r="AU21" s="252"/>
      <c r="AV21" s="252"/>
      <c r="AW21" s="252"/>
      <c r="AX21" s="252"/>
      <c r="AY21" s="252"/>
      <c r="AZ21" s="252"/>
      <c r="BA21" s="252"/>
      <c r="BB21" s="252"/>
      <c r="BC21" s="252"/>
      <c r="BD21" s="252"/>
      <c r="BE21" s="252"/>
      <c r="BF21" s="252"/>
      <c r="BG21" s="252"/>
      <c r="BH21" s="252"/>
      <c r="BI21" s="252"/>
      <c r="BJ21" s="252"/>
      <c r="BK21" s="252"/>
      <c r="BL21" s="252"/>
      <c r="BM21" s="252"/>
      <c r="BN21" s="252"/>
      <c r="BO21" s="252"/>
      <c r="BP21" s="252"/>
      <c r="BQ21" s="252"/>
      <c r="BR21" s="252"/>
      <c r="BS21" s="252"/>
      <c r="BT21" s="252"/>
      <c r="BU21" s="252"/>
      <c r="BV21" s="252"/>
      <c r="BW21" s="252"/>
      <c r="BX21" s="252"/>
      <c r="BY21" s="252"/>
      <c r="BZ21" s="252"/>
      <c r="CA21" s="252"/>
      <c r="CB21" s="252"/>
      <c r="CC21" s="252"/>
      <c r="CD21" s="252"/>
      <c r="CE21" s="252"/>
      <c r="CF21" s="252"/>
      <c r="CG21" s="252"/>
      <c r="CH21" s="252"/>
      <c r="CI21" s="252"/>
      <c r="CJ21" s="252"/>
      <c r="CK21" s="252"/>
      <c r="CL21" s="252"/>
      <c r="CM21" s="252"/>
      <c r="CN21" s="252"/>
      <c r="CO21" s="252"/>
      <c r="CP21" s="252"/>
      <c r="CQ21" s="252"/>
      <c r="CR21" s="252"/>
      <c r="CS21" s="252"/>
      <c r="CT21" s="252"/>
      <c r="CU21" s="252"/>
      <c r="CV21" s="252"/>
      <c r="CW21" s="252"/>
      <c r="CX21" s="252"/>
      <c r="CY21" s="252"/>
      <c r="CZ21" s="252"/>
      <c r="DA21" s="252"/>
      <c r="DB21" s="252"/>
      <c r="DC21" s="252"/>
      <c r="DD21" s="252"/>
      <c r="DE21" s="252"/>
      <c r="DF21" s="252"/>
      <c r="DG21" s="252"/>
      <c r="DH21" s="252"/>
      <c r="DI21" s="252"/>
      <c r="DJ21" s="252"/>
      <c r="DK21" s="252"/>
      <c r="DL21" s="252"/>
      <c r="DM21" s="252"/>
      <c r="DN21" s="252"/>
      <c r="DO21" s="252"/>
      <c r="DP21" s="252"/>
      <c r="DQ21" s="252"/>
      <c r="DR21" s="252"/>
      <c r="DS21" s="252"/>
      <c r="DT21" s="252"/>
      <c r="DU21" s="252"/>
      <c r="DV21" s="252"/>
      <c r="DW21" s="252"/>
      <c r="DX21" s="252"/>
      <c r="DY21" s="252"/>
      <c r="DZ21" s="252"/>
      <c r="EA21" s="252"/>
      <c r="EB21" s="252"/>
      <c r="EC21" s="252"/>
      <c r="ED21" s="252"/>
      <c r="EE21" s="252"/>
      <c r="EF21" s="252"/>
      <c r="EG21" s="252"/>
      <c r="EH21" s="252"/>
      <c r="EI21" s="252"/>
      <c r="EJ21" s="252"/>
      <c r="EK21" s="252"/>
      <c r="EL21" s="252"/>
      <c r="EM21" s="252"/>
      <c r="EN21" s="252"/>
      <c r="EO21" s="252"/>
      <c r="EP21" s="252"/>
      <c r="EQ21" s="252"/>
      <c r="ER21" s="252"/>
      <c r="ES21" s="252"/>
      <c r="ET21" s="252"/>
      <c r="EU21" s="252"/>
      <c r="EV21" s="252"/>
      <c r="EW21" s="252"/>
      <c r="EX21" s="252"/>
      <c r="EY21" s="252"/>
      <c r="EZ21" s="252"/>
      <c r="FA21" s="189">
        <f t="shared" si="0"/>
        <v>3477</v>
      </c>
      <c r="FB21" s="961">
        <f>100000-FA21</f>
        <v>96523</v>
      </c>
      <c r="FC21" s="194" t="str">
        <f t="shared" si="1"/>
        <v>Go Fusion</v>
      </c>
      <c r="FE21" s="234">
        <f t="shared" si="3"/>
        <v>3477</v>
      </c>
      <c r="FI21" s="234"/>
      <c r="FJ21" s="234"/>
      <c r="FK21" s="979"/>
      <c r="FL21" s="981"/>
      <c r="FM21" s="977"/>
      <c r="FN21" s="978"/>
    </row>
    <row r="22" spans="1:170" ht="10.15" customHeight="1">
      <c r="A22" s="195" t="s">
        <v>129</v>
      </c>
      <c r="B22" s="252"/>
      <c r="C22" s="252"/>
      <c r="D22" s="252"/>
      <c r="E22" s="252"/>
      <c r="F22" s="252"/>
      <c r="G22" s="252"/>
      <c r="H22" s="252"/>
      <c r="I22" s="252"/>
      <c r="J22" s="252"/>
      <c r="K22" s="1139"/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  <c r="AA22" s="252"/>
      <c r="AB22" s="252"/>
      <c r="AC22" s="252"/>
      <c r="AD22" s="252"/>
      <c r="AE22" s="252"/>
      <c r="AF22" s="252"/>
      <c r="AG22" s="252"/>
      <c r="AH22" s="252"/>
      <c r="AI22" s="252"/>
      <c r="AJ22" s="252"/>
      <c r="AK22" s="252"/>
      <c r="AL22" s="252"/>
      <c r="AM22" s="252"/>
      <c r="AN22" s="252"/>
      <c r="AO22" s="252"/>
      <c r="AP22" s="252"/>
      <c r="AQ22" s="252"/>
      <c r="AR22" s="252"/>
      <c r="AS22" s="252"/>
      <c r="AT22" s="252"/>
      <c r="AU22" s="252"/>
      <c r="AV22" s="252"/>
      <c r="AW22" s="252"/>
      <c r="AX22" s="252"/>
      <c r="AY22" s="252"/>
      <c r="AZ22" s="252"/>
      <c r="BA22" s="252"/>
      <c r="BB22" s="252"/>
      <c r="BC22" s="252"/>
      <c r="BD22" s="252"/>
      <c r="BE22" s="252"/>
      <c r="BF22" s="252"/>
      <c r="BG22" s="252"/>
      <c r="BH22" s="252"/>
      <c r="BI22" s="252"/>
      <c r="BJ22" s="252"/>
      <c r="BK22" s="252"/>
      <c r="BL22" s="252"/>
      <c r="BM22" s="252"/>
      <c r="BN22" s="252"/>
      <c r="BO22" s="252"/>
      <c r="BP22" s="252"/>
      <c r="BQ22" s="252"/>
      <c r="BR22" s="252"/>
      <c r="BS22" s="252"/>
      <c r="BT22" s="252"/>
      <c r="BU22" s="252"/>
      <c r="BV22" s="252"/>
      <c r="BW22" s="252"/>
      <c r="BX22" s="252"/>
      <c r="BY22" s="252"/>
      <c r="BZ22" s="252"/>
      <c r="CA22" s="252"/>
      <c r="CB22" s="252"/>
      <c r="CC22" s="252"/>
      <c r="CD22" s="252"/>
      <c r="CE22" s="252"/>
      <c r="CF22" s="252"/>
      <c r="CG22" s="252"/>
      <c r="CH22" s="252"/>
      <c r="CI22" s="252"/>
      <c r="CJ22" s="252"/>
      <c r="CK22" s="252"/>
      <c r="CL22" s="252"/>
      <c r="CM22" s="252"/>
      <c r="CN22" s="252"/>
      <c r="CO22" s="252"/>
      <c r="CP22" s="252"/>
      <c r="CQ22" s="252"/>
      <c r="CR22" s="252"/>
      <c r="CS22" s="252"/>
      <c r="CT22" s="252"/>
      <c r="CU22" s="252"/>
      <c r="CV22" s="252"/>
      <c r="CW22" s="252"/>
      <c r="CX22" s="252"/>
      <c r="CY22" s="252"/>
      <c r="CZ22" s="252"/>
      <c r="DA22" s="252"/>
      <c r="DB22" s="252"/>
      <c r="DC22" s="252"/>
      <c r="DD22" s="252"/>
      <c r="DE22" s="252"/>
      <c r="DF22" s="252"/>
      <c r="DG22" s="252"/>
      <c r="DH22" s="252"/>
      <c r="DI22" s="252"/>
      <c r="DJ22" s="252"/>
      <c r="DK22" s="252"/>
      <c r="DL22" s="252"/>
      <c r="DM22" s="252"/>
      <c r="DN22" s="252"/>
      <c r="DO22" s="252"/>
      <c r="DP22" s="252"/>
      <c r="DQ22" s="252"/>
      <c r="DR22" s="252"/>
      <c r="DS22" s="252"/>
      <c r="DT22" s="252"/>
      <c r="DU22" s="252"/>
      <c r="DV22" s="252"/>
      <c r="DW22" s="252"/>
      <c r="DX22" s="252"/>
      <c r="DY22" s="252"/>
      <c r="DZ22" s="252"/>
      <c r="EA22" s="252"/>
      <c r="EB22" s="252"/>
      <c r="EC22" s="252"/>
      <c r="ED22" s="252"/>
      <c r="EE22" s="252"/>
      <c r="EF22" s="252"/>
      <c r="EG22" s="252"/>
      <c r="EH22" s="252"/>
      <c r="EI22" s="252"/>
      <c r="EJ22" s="252"/>
      <c r="EK22" s="252"/>
      <c r="EL22" s="252"/>
      <c r="EM22" s="252"/>
      <c r="EN22" s="252"/>
      <c r="EO22" s="252"/>
      <c r="EP22" s="252"/>
      <c r="EQ22" s="252"/>
      <c r="ER22" s="252"/>
      <c r="ES22" s="252"/>
      <c r="ET22" s="252"/>
      <c r="EU22" s="252"/>
      <c r="EV22" s="252"/>
      <c r="EW22" s="252"/>
      <c r="EX22" s="252"/>
      <c r="EY22" s="252"/>
      <c r="EZ22" s="252"/>
      <c r="FA22" s="189">
        <f t="shared" si="0"/>
        <v>0</v>
      </c>
      <c r="FB22" s="961">
        <f>100000-FA22</f>
        <v>100000</v>
      </c>
      <c r="FC22" s="194" t="str">
        <f t="shared" si="1"/>
        <v>Good East and Vibes</v>
      </c>
      <c r="FE22" s="234">
        <f t="shared" si="3"/>
        <v>0</v>
      </c>
      <c r="FI22" s="234">
        <v>11600</v>
      </c>
      <c r="FJ22" s="234"/>
      <c r="FK22" s="979">
        <v>16</v>
      </c>
      <c r="FL22" s="981">
        <f t="shared" si="2"/>
        <v>12548.51282051282</v>
      </c>
      <c r="FM22" s="977">
        <v>122348</v>
      </c>
      <c r="FN22" s="978" t="s">
        <v>44</v>
      </c>
    </row>
    <row r="23" spans="1:170" ht="10.15" customHeight="1">
      <c r="A23" s="195" t="s">
        <v>238</v>
      </c>
      <c r="B23" s="738"/>
      <c r="C23" s="738">
        <f>'12.02.22'!E17</f>
        <v>3040</v>
      </c>
      <c r="D23" s="738"/>
      <c r="E23" s="738"/>
      <c r="F23" s="589"/>
      <c r="G23" s="589">
        <f>'12.06.22'!E17</f>
        <v>3524.5</v>
      </c>
      <c r="H23" s="589"/>
      <c r="I23" s="589"/>
      <c r="J23" s="252"/>
      <c r="K23" s="1139"/>
      <c r="L23" s="252"/>
      <c r="M23" s="252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  <c r="AA23" s="252"/>
      <c r="AB23" s="252"/>
      <c r="AC23" s="252"/>
      <c r="AD23" s="252"/>
      <c r="AE23" s="252"/>
      <c r="AF23" s="252"/>
      <c r="AG23" s="252"/>
      <c r="AH23" s="252"/>
      <c r="AI23" s="252"/>
      <c r="AJ23" s="252"/>
      <c r="AK23" s="252"/>
      <c r="AL23" s="252"/>
      <c r="AM23" s="252"/>
      <c r="AN23" s="252"/>
      <c r="AO23" s="252"/>
      <c r="AP23" s="252"/>
      <c r="AQ23" s="252"/>
      <c r="AR23" s="252"/>
      <c r="AS23" s="252"/>
      <c r="AT23" s="252"/>
      <c r="AU23" s="252"/>
      <c r="AV23" s="252"/>
      <c r="AW23" s="252"/>
      <c r="AX23" s="252"/>
      <c r="AY23" s="252"/>
      <c r="AZ23" s="252"/>
      <c r="BA23" s="252"/>
      <c r="BB23" s="252"/>
      <c r="BC23" s="252"/>
      <c r="BD23" s="252"/>
      <c r="BE23" s="252"/>
      <c r="BF23" s="252"/>
      <c r="BG23" s="252"/>
      <c r="BH23" s="252"/>
      <c r="BI23" s="252"/>
      <c r="BJ23" s="252"/>
      <c r="BK23" s="252"/>
      <c r="BL23" s="252"/>
      <c r="BM23" s="252"/>
      <c r="BN23" s="252"/>
      <c r="BO23" s="252"/>
      <c r="BP23" s="252"/>
      <c r="BQ23" s="252"/>
      <c r="BR23" s="252"/>
      <c r="BS23" s="252"/>
      <c r="BT23" s="252"/>
      <c r="BU23" s="252"/>
      <c r="BV23" s="252"/>
      <c r="BW23" s="252"/>
      <c r="BX23" s="252"/>
      <c r="BY23" s="252"/>
      <c r="BZ23" s="252"/>
      <c r="CA23" s="252"/>
      <c r="CB23" s="252"/>
      <c r="CC23" s="252"/>
      <c r="CD23" s="252"/>
      <c r="CE23" s="252"/>
      <c r="CF23" s="252"/>
      <c r="CG23" s="252"/>
      <c r="CH23" s="252"/>
      <c r="CI23" s="252"/>
      <c r="CJ23" s="252"/>
      <c r="CK23" s="252"/>
      <c r="CL23" s="252"/>
      <c r="CM23" s="252"/>
      <c r="CN23" s="252"/>
      <c r="CO23" s="252"/>
      <c r="CP23" s="252"/>
      <c r="CQ23" s="252"/>
      <c r="CR23" s="252"/>
      <c r="CS23" s="252"/>
      <c r="CT23" s="252"/>
      <c r="CU23" s="252"/>
      <c r="CV23" s="252"/>
      <c r="CW23" s="252"/>
      <c r="CX23" s="252"/>
      <c r="CY23" s="252"/>
      <c r="CZ23" s="252"/>
      <c r="DA23" s="252"/>
      <c r="DB23" s="252"/>
      <c r="DC23" s="252"/>
      <c r="DD23" s="252"/>
      <c r="DE23" s="252"/>
      <c r="DF23" s="252"/>
      <c r="DG23" s="252"/>
      <c r="DH23" s="252"/>
      <c r="DI23" s="252"/>
      <c r="DJ23" s="252"/>
      <c r="DK23" s="252"/>
      <c r="DL23" s="252"/>
      <c r="DM23" s="252"/>
      <c r="DN23" s="252"/>
      <c r="DO23" s="252"/>
      <c r="DP23" s="252"/>
      <c r="DQ23" s="252"/>
      <c r="DR23" s="252"/>
      <c r="DS23" s="252"/>
      <c r="DT23" s="252"/>
      <c r="DU23" s="252"/>
      <c r="DV23" s="252"/>
      <c r="DW23" s="252"/>
      <c r="DX23" s="252"/>
      <c r="DY23" s="252"/>
      <c r="DZ23" s="252"/>
      <c r="EA23" s="252"/>
      <c r="EB23" s="252"/>
      <c r="EC23" s="252"/>
      <c r="ED23" s="252"/>
      <c r="EE23" s="252"/>
      <c r="EF23" s="252"/>
      <c r="EG23" s="252"/>
      <c r="EH23" s="252"/>
      <c r="EI23" s="252"/>
      <c r="EJ23" s="252"/>
      <c r="EK23" s="252"/>
      <c r="EL23" s="252"/>
      <c r="EM23" s="252"/>
      <c r="EN23" s="252"/>
      <c r="EO23" s="252"/>
      <c r="EP23" s="252"/>
      <c r="EQ23" s="252"/>
      <c r="ER23" s="252"/>
      <c r="ES23" s="252"/>
      <c r="ET23" s="252"/>
      <c r="EU23" s="252"/>
      <c r="EV23" s="252"/>
      <c r="EW23" s="252"/>
      <c r="EX23" s="252"/>
      <c r="EY23" s="252"/>
      <c r="EZ23" s="252"/>
      <c r="FA23" s="189">
        <f t="shared" si="0"/>
        <v>6564.5</v>
      </c>
      <c r="FB23" s="961">
        <f>100000-FA23</f>
        <v>93435.5</v>
      </c>
      <c r="FC23" s="194" t="str">
        <f t="shared" si="1"/>
        <v>Habibi Shack</v>
      </c>
      <c r="FE23" s="234">
        <f t="shared" si="3"/>
        <v>6564.5</v>
      </c>
      <c r="FI23" s="234">
        <v>38069</v>
      </c>
      <c r="FJ23" s="234"/>
      <c r="FK23" s="979">
        <v>17</v>
      </c>
      <c r="FL23" s="981">
        <f t="shared" si="2"/>
        <v>11411.589743589744</v>
      </c>
      <c r="FM23" s="977">
        <v>111263</v>
      </c>
      <c r="FN23" s="978" t="s">
        <v>66</v>
      </c>
    </row>
    <row r="24" spans="1:170" ht="10.15" customHeight="1">
      <c r="A24" s="195" t="s">
        <v>790</v>
      </c>
      <c r="B24" s="252"/>
      <c r="C24" s="252"/>
      <c r="D24" s="252"/>
      <c r="E24" s="252"/>
      <c r="F24" s="252"/>
      <c r="G24" s="252"/>
      <c r="H24" s="252"/>
      <c r="I24" s="252"/>
      <c r="J24" s="252"/>
      <c r="K24" s="1139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  <c r="BK24" s="252"/>
      <c r="BL24" s="252"/>
      <c r="BM24" s="252"/>
      <c r="BN24" s="252"/>
      <c r="BO24" s="252"/>
      <c r="BP24" s="252"/>
      <c r="BQ24" s="252"/>
      <c r="BR24" s="252"/>
      <c r="BS24" s="252"/>
      <c r="BT24" s="252"/>
      <c r="BU24" s="252"/>
      <c r="BV24" s="252"/>
      <c r="BW24" s="252"/>
      <c r="BX24" s="252"/>
      <c r="BY24" s="252"/>
      <c r="BZ24" s="252"/>
      <c r="CA24" s="252"/>
      <c r="CB24" s="252"/>
      <c r="CC24" s="252"/>
      <c r="CD24" s="252"/>
      <c r="CE24" s="252"/>
      <c r="CF24" s="252"/>
      <c r="CG24" s="252"/>
      <c r="CH24" s="252"/>
      <c r="CI24" s="252"/>
      <c r="CJ24" s="252"/>
      <c r="CK24" s="252"/>
      <c r="CL24" s="252"/>
      <c r="CM24" s="252"/>
      <c r="CN24" s="252"/>
      <c r="CO24" s="252"/>
      <c r="CP24" s="252"/>
      <c r="CQ24" s="252"/>
      <c r="CR24" s="252"/>
      <c r="CS24" s="252"/>
      <c r="CT24" s="252"/>
      <c r="CU24" s="252"/>
      <c r="CV24" s="252"/>
      <c r="CW24" s="252"/>
      <c r="CX24" s="252"/>
      <c r="CY24" s="252"/>
      <c r="CZ24" s="252"/>
      <c r="DA24" s="252"/>
      <c r="DB24" s="252"/>
      <c r="DC24" s="252"/>
      <c r="DD24" s="252"/>
      <c r="DE24" s="252"/>
      <c r="DF24" s="252"/>
      <c r="DG24" s="252"/>
      <c r="DH24" s="252"/>
      <c r="DI24" s="252"/>
      <c r="DJ24" s="252"/>
      <c r="DK24" s="252"/>
      <c r="DL24" s="252"/>
      <c r="DM24" s="252"/>
      <c r="DN24" s="252"/>
      <c r="DO24" s="252"/>
      <c r="DP24" s="252"/>
      <c r="DQ24" s="252"/>
      <c r="DR24" s="252"/>
      <c r="DS24" s="252"/>
      <c r="DT24" s="252"/>
      <c r="DU24" s="252"/>
      <c r="DV24" s="252"/>
      <c r="DW24" s="252"/>
      <c r="DX24" s="252"/>
      <c r="DY24" s="252"/>
      <c r="DZ24" s="252"/>
      <c r="EA24" s="252"/>
      <c r="EB24" s="252"/>
      <c r="EC24" s="252"/>
      <c r="ED24" s="252"/>
      <c r="EE24" s="252"/>
      <c r="EF24" s="252"/>
      <c r="EG24" s="252"/>
      <c r="EH24" s="252"/>
      <c r="EI24" s="252"/>
      <c r="EJ24" s="252"/>
      <c r="EK24" s="252"/>
      <c r="EL24" s="252"/>
      <c r="EM24" s="252"/>
      <c r="EN24" s="252"/>
      <c r="EO24" s="252"/>
      <c r="EP24" s="252"/>
      <c r="EQ24" s="252"/>
      <c r="ER24" s="252"/>
      <c r="ES24" s="252"/>
      <c r="ET24" s="252"/>
      <c r="EU24" s="252"/>
      <c r="EV24" s="252"/>
      <c r="EW24" s="252"/>
      <c r="EX24" s="252"/>
      <c r="EY24" s="252"/>
      <c r="EZ24" s="252"/>
      <c r="FA24" s="189">
        <f t="shared" si="0"/>
        <v>0</v>
      </c>
      <c r="FB24" s="189">
        <v>99000</v>
      </c>
      <c r="FC24" s="194" t="str">
        <f t="shared" si="1"/>
        <v>Heritage Kitchen</v>
      </c>
      <c r="FE24" s="234"/>
      <c r="FI24" s="234"/>
      <c r="FJ24" s="234"/>
      <c r="FK24" s="979"/>
      <c r="FL24" s="981"/>
      <c r="FM24" s="977"/>
      <c r="FN24" s="978"/>
    </row>
    <row r="25" spans="1:170" ht="10.15" customHeight="1">
      <c r="A25" s="195" t="s">
        <v>328</v>
      </c>
      <c r="B25" s="252"/>
      <c r="C25" s="252"/>
      <c r="D25" s="252"/>
      <c r="E25" s="252"/>
      <c r="F25" s="252"/>
      <c r="G25" s="252"/>
      <c r="H25" s="252"/>
      <c r="I25" s="252"/>
      <c r="J25" s="252"/>
      <c r="K25" s="1139"/>
      <c r="L25" s="252"/>
      <c r="M25" s="252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  <c r="AA25" s="252"/>
      <c r="AB25" s="252"/>
      <c r="AC25" s="252"/>
      <c r="AD25" s="252"/>
      <c r="AE25" s="252"/>
      <c r="AF25" s="252"/>
      <c r="AG25" s="252"/>
      <c r="AH25" s="252"/>
      <c r="AI25" s="252"/>
      <c r="AJ25" s="252"/>
      <c r="AK25" s="252"/>
      <c r="AL25" s="252"/>
      <c r="AM25" s="252"/>
      <c r="AN25" s="252"/>
      <c r="AO25" s="252"/>
      <c r="AP25" s="252"/>
      <c r="AQ25" s="252"/>
      <c r="AR25" s="252"/>
      <c r="AS25" s="252"/>
      <c r="AT25" s="252"/>
      <c r="AU25" s="252"/>
      <c r="AV25" s="252"/>
      <c r="AW25" s="252"/>
      <c r="AX25" s="252"/>
      <c r="AY25" s="252"/>
      <c r="AZ25" s="252"/>
      <c r="BA25" s="252"/>
      <c r="BB25" s="252"/>
      <c r="BC25" s="252"/>
      <c r="BD25" s="252"/>
      <c r="BE25" s="252"/>
      <c r="BF25" s="252"/>
      <c r="BG25" s="252"/>
      <c r="BH25" s="252"/>
      <c r="BI25" s="252"/>
      <c r="BJ25" s="252"/>
      <c r="BK25" s="252"/>
      <c r="BL25" s="252"/>
      <c r="BM25" s="252"/>
      <c r="BN25" s="252"/>
      <c r="BO25" s="252"/>
      <c r="BP25" s="252"/>
      <c r="BQ25" s="252"/>
      <c r="BR25" s="252"/>
      <c r="BS25" s="252"/>
      <c r="BT25" s="252"/>
      <c r="BU25" s="252"/>
      <c r="BV25" s="252"/>
      <c r="BW25" s="252"/>
      <c r="BX25" s="252"/>
      <c r="BY25" s="252"/>
      <c r="BZ25" s="252"/>
      <c r="CA25" s="252"/>
      <c r="CB25" s="252"/>
      <c r="CC25" s="252"/>
      <c r="CD25" s="252"/>
      <c r="CE25" s="252"/>
      <c r="CF25" s="252"/>
      <c r="CG25" s="252"/>
      <c r="CH25" s="252"/>
      <c r="CI25" s="252"/>
      <c r="CJ25" s="252"/>
      <c r="CK25" s="252"/>
      <c r="CL25" s="252"/>
      <c r="CM25" s="252"/>
      <c r="CN25" s="252"/>
      <c r="CO25" s="252"/>
      <c r="CP25" s="252"/>
      <c r="CQ25" s="252"/>
      <c r="CR25" s="252"/>
      <c r="CS25" s="252"/>
      <c r="CT25" s="252"/>
      <c r="CU25" s="252"/>
      <c r="CV25" s="252"/>
      <c r="CW25" s="252"/>
      <c r="CX25" s="252"/>
      <c r="CY25" s="252"/>
      <c r="CZ25" s="252"/>
      <c r="DA25" s="252"/>
      <c r="DB25" s="252"/>
      <c r="DC25" s="252"/>
      <c r="DD25" s="252"/>
      <c r="DE25" s="252"/>
      <c r="DF25" s="252"/>
      <c r="DG25" s="252"/>
      <c r="DH25" s="252"/>
      <c r="DI25" s="252"/>
      <c r="DJ25" s="252"/>
      <c r="DK25" s="252"/>
      <c r="DL25" s="252"/>
      <c r="DM25" s="252"/>
      <c r="DN25" s="252"/>
      <c r="DO25" s="252"/>
      <c r="DP25" s="252"/>
      <c r="DQ25" s="252"/>
      <c r="DR25" s="252"/>
      <c r="DS25" s="252"/>
      <c r="DT25" s="252"/>
      <c r="DU25" s="252"/>
      <c r="DV25" s="252"/>
      <c r="DW25" s="252"/>
      <c r="DX25" s="252"/>
      <c r="DY25" s="252"/>
      <c r="DZ25" s="252"/>
      <c r="EA25" s="252"/>
      <c r="EB25" s="252"/>
      <c r="EC25" s="252"/>
      <c r="ED25" s="252"/>
      <c r="EE25" s="252"/>
      <c r="EF25" s="252"/>
      <c r="EG25" s="252"/>
      <c r="EH25" s="252"/>
      <c r="EI25" s="252"/>
      <c r="EJ25" s="252"/>
      <c r="EK25" s="252"/>
      <c r="EL25" s="252"/>
      <c r="EM25" s="252"/>
      <c r="EN25" s="252"/>
      <c r="EO25" s="252"/>
      <c r="EP25" s="252"/>
      <c r="EQ25" s="252"/>
      <c r="ER25" s="252"/>
      <c r="ES25" s="252"/>
      <c r="ET25" s="252"/>
      <c r="EU25" s="252"/>
      <c r="EV25" s="252"/>
      <c r="EW25" s="252"/>
      <c r="EX25" s="252"/>
      <c r="EY25" s="252"/>
      <c r="EZ25" s="252"/>
      <c r="FA25" s="189">
        <f t="shared" si="0"/>
        <v>0</v>
      </c>
      <c r="FB25" s="189">
        <v>99000</v>
      </c>
      <c r="FC25" s="194" t="str">
        <f t="shared" si="1"/>
        <v>Heritage LA</v>
      </c>
      <c r="FE25" s="234">
        <f t="shared" si="3"/>
        <v>0</v>
      </c>
      <c r="FI25" s="234"/>
      <c r="FJ25" s="234"/>
      <c r="FK25" s="979"/>
      <c r="FL25" s="981"/>
      <c r="FM25" s="977"/>
      <c r="FN25" s="978"/>
    </row>
    <row r="26" spans="1:170" ht="10.15" customHeight="1">
      <c r="A26" s="195" t="s">
        <v>53</v>
      </c>
      <c r="B26" s="252"/>
      <c r="C26" s="252"/>
      <c r="D26" s="252"/>
      <c r="E26" s="252"/>
      <c r="F26" s="252"/>
      <c r="G26" s="252"/>
      <c r="H26" s="252"/>
      <c r="I26" s="252"/>
      <c r="J26" s="252"/>
      <c r="K26" s="1139"/>
      <c r="L26" s="252"/>
      <c r="M26" s="252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  <c r="AA26" s="252"/>
      <c r="AB26" s="252"/>
      <c r="AC26" s="252"/>
      <c r="AD26" s="252"/>
      <c r="AE26" s="252"/>
      <c r="AF26" s="252"/>
      <c r="AG26" s="252"/>
      <c r="AH26" s="252"/>
      <c r="AI26" s="252"/>
      <c r="AJ26" s="252"/>
      <c r="AK26" s="252"/>
      <c r="AL26" s="252"/>
      <c r="AM26" s="252"/>
      <c r="AN26" s="252"/>
      <c r="AO26" s="252"/>
      <c r="AP26" s="252"/>
      <c r="AQ26" s="252"/>
      <c r="AR26" s="252"/>
      <c r="AS26" s="252"/>
      <c r="AT26" s="252"/>
      <c r="AU26" s="252"/>
      <c r="AV26" s="252"/>
      <c r="AW26" s="252"/>
      <c r="AX26" s="252"/>
      <c r="AY26" s="252"/>
      <c r="AZ26" s="252"/>
      <c r="BA26" s="252"/>
      <c r="BB26" s="252"/>
      <c r="BC26" s="252"/>
      <c r="BD26" s="252"/>
      <c r="BE26" s="252"/>
      <c r="BF26" s="252"/>
      <c r="BG26" s="252"/>
      <c r="BH26" s="252"/>
      <c r="BI26" s="252"/>
      <c r="BJ26" s="252"/>
      <c r="BK26" s="252"/>
      <c r="BL26" s="252"/>
      <c r="BM26" s="252"/>
      <c r="BN26" s="252"/>
      <c r="BO26" s="252"/>
      <c r="BP26" s="252"/>
      <c r="BQ26" s="252"/>
      <c r="BR26" s="252"/>
      <c r="BS26" s="252"/>
      <c r="BT26" s="252"/>
      <c r="BU26" s="252"/>
      <c r="BV26" s="252"/>
      <c r="BW26" s="252"/>
      <c r="BX26" s="252"/>
      <c r="BY26" s="252"/>
      <c r="BZ26" s="252"/>
      <c r="CA26" s="252"/>
      <c r="CB26" s="252"/>
      <c r="CC26" s="252"/>
      <c r="CD26" s="252"/>
      <c r="CE26" s="252"/>
      <c r="CF26" s="252"/>
      <c r="CG26" s="252"/>
      <c r="CH26" s="252"/>
      <c r="CI26" s="252"/>
      <c r="CJ26" s="252"/>
      <c r="CK26" s="252"/>
      <c r="CL26" s="252"/>
      <c r="CM26" s="252"/>
      <c r="CN26" s="252"/>
      <c r="CO26" s="252"/>
      <c r="CP26" s="252"/>
      <c r="CQ26" s="252"/>
      <c r="CR26" s="252"/>
      <c r="CS26" s="252"/>
      <c r="CT26" s="252"/>
      <c r="CU26" s="252"/>
      <c r="CV26" s="252"/>
      <c r="CW26" s="252"/>
      <c r="CX26" s="252"/>
      <c r="CY26" s="252"/>
      <c r="CZ26" s="252"/>
      <c r="DA26" s="252"/>
      <c r="DB26" s="252"/>
      <c r="DC26" s="252"/>
      <c r="DD26" s="252"/>
      <c r="DE26" s="252"/>
      <c r="DF26" s="252"/>
      <c r="DG26" s="252"/>
      <c r="DH26" s="252"/>
      <c r="DI26" s="252"/>
      <c r="DJ26" s="252"/>
      <c r="DK26" s="252"/>
      <c r="DL26" s="252"/>
      <c r="DM26" s="252"/>
      <c r="DN26" s="252"/>
      <c r="DO26" s="252"/>
      <c r="DP26" s="252"/>
      <c r="DQ26" s="252"/>
      <c r="DR26" s="252"/>
      <c r="DS26" s="252"/>
      <c r="DT26" s="252"/>
      <c r="DU26" s="252"/>
      <c r="DV26" s="252"/>
      <c r="DW26" s="252"/>
      <c r="DX26" s="252"/>
      <c r="DY26" s="252"/>
      <c r="DZ26" s="252"/>
      <c r="EA26" s="252"/>
      <c r="EB26" s="252"/>
      <c r="EC26" s="252"/>
      <c r="ED26" s="252"/>
      <c r="EE26" s="252"/>
      <c r="EF26" s="252"/>
      <c r="EG26" s="252"/>
      <c r="EH26" s="252"/>
      <c r="EI26" s="252"/>
      <c r="EJ26" s="252"/>
      <c r="EK26" s="252"/>
      <c r="EL26" s="252"/>
      <c r="EM26" s="252"/>
      <c r="EN26" s="252"/>
      <c r="EO26" s="252"/>
      <c r="EP26" s="252"/>
      <c r="EQ26" s="252"/>
      <c r="ER26" s="252"/>
      <c r="ES26" s="252"/>
      <c r="ET26" s="252"/>
      <c r="EU26" s="252"/>
      <c r="EV26" s="252"/>
      <c r="EW26" s="252"/>
      <c r="EX26" s="252"/>
      <c r="EY26" s="252"/>
      <c r="EZ26" s="252"/>
      <c r="FA26" s="189">
        <f t="shared" si="0"/>
        <v>0</v>
      </c>
      <c r="FB26" s="358">
        <f>350000-FA26+700000</f>
        <v>1050000</v>
      </c>
      <c r="FC26" s="194" t="str">
        <f t="shared" si="1"/>
        <v>Kogi</v>
      </c>
      <c r="FE26" s="234">
        <f t="shared" si="3"/>
        <v>0</v>
      </c>
      <c r="FI26" s="234">
        <v>500</v>
      </c>
      <c r="FJ26" s="234"/>
      <c r="FK26" s="979">
        <v>18</v>
      </c>
      <c r="FL26" s="981">
        <f t="shared" si="2"/>
        <v>10614.871794871795</v>
      </c>
      <c r="FM26" s="977">
        <v>103495</v>
      </c>
      <c r="FN26" s="978" t="s">
        <v>49</v>
      </c>
    </row>
    <row r="27" spans="1:170" ht="10.15" customHeight="1">
      <c r="A27" s="515" t="s">
        <v>267</v>
      </c>
      <c r="B27" s="738"/>
      <c r="C27" s="738"/>
      <c r="D27" s="738"/>
      <c r="E27" s="738">
        <f>'12.04.22'!E18</f>
        <v>4579</v>
      </c>
      <c r="F27" s="589"/>
      <c r="G27" s="589"/>
      <c r="H27" s="589"/>
      <c r="I27" s="589">
        <f>'12.08.22'!E8</f>
        <v>4018.5</v>
      </c>
      <c r="J27" s="252"/>
      <c r="K27" s="1139"/>
      <c r="L27" s="252"/>
      <c r="M27" s="252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  <c r="AA27" s="252"/>
      <c r="AB27" s="252"/>
      <c r="AC27" s="252"/>
      <c r="AD27" s="252"/>
      <c r="AE27" s="252"/>
      <c r="AF27" s="252"/>
      <c r="AG27" s="252"/>
      <c r="AH27" s="252"/>
      <c r="AI27" s="252"/>
      <c r="AJ27" s="252"/>
      <c r="AK27" s="252"/>
      <c r="AL27" s="252"/>
      <c r="AM27" s="252"/>
      <c r="AN27" s="252"/>
      <c r="AO27" s="252"/>
      <c r="AP27" s="252"/>
      <c r="AQ27" s="252"/>
      <c r="AR27" s="252"/>
      <c r="AS27" s="252"/>
      <c r="AT27" s="252"/>
      <c r="AU27" s="252"/>
      <c r="AV27" s="252"/>
      <c r="AW27" s="252"/>
      <c r="AX27" s="252"/>
      <c r="AY27" s="252"/>
      <c r="AZ27" s="252"/>
      <c r="BA27" s="252"/>
      <c r="BB27" s="252"/>
      <c r="BC27" s="252"/>
      <c r="BD27" s="252"/>
      <c r="BE27" s="252"/>
      <c r="BF27" s="252"/>
      <c r="BG27" s="252"/>
      <c r="BH27" s="252"/>
      <c r="BI27" s="252"/>
      <c r="BJ27" s="252"/>
      <c r="BK27" s="252"/>
      <c r="BL27" s="252"/>
      <c r="BM27" s="252"/>
      <c r="BN27" s="252"/>
      <c r="BO27" s="252"/>
      <c r="BP27" s="252"/>
      <c r="BQ27" s="252"/>
      <c r="BR27" s="252"/>
      <c r="BS27" s="252"/>
      <c r="BT27" s="252"/>
      <c r="BU27" s="252"/>
      <c r="BV27" s="252"/>
      <c r="BW27" s="252"/>
      <c r="BX27" s="252"/>
      <c r="BY27" s="252"/>
      <c r="BZ27" s="252"/>
      <c r="CA27" s="252"/>
      <c r="CB27" s="252"/>
      <c r="CC27" s="252"/>
      <c r="CD27" s="252"/>
      <c r="CE27" s="252"/>
      <c r="CF27" s="252"/>
      <c r="CG27" s="252"/>
      <c r="CH27" s="252"/>
      <c r="CI27" s="252"/>
      <c r="CJ27" s="252"/>
      <c r="CK27" s="252"/>
      <c r="CL27" s="252"/>
      <c r="CM27" s="252"/>
      <c r="CN27" s="252"/>
      <c r="CO27" s="252"/>
      <c r="CP27" s="252"/>
      <c r="CQ27" s="252"/>
      <c r="CR27" s="252"/>
      <c r="CS27" s="252"/>
      <c r="CT27" s="252"/>
      <c r="CU27" s="252"/>
      <c r="CV27" s="252"/>
      <c r="CW27" s="252"/>
      <c r="CX27" s="252"/>
      <c r="CY27" s="252"/>
      <c r="CZ27" s="252"/>
      <c r="DA27" s="252"/>
      <c r="DB27" s="252"/>
      <c r="DC27" s="252"/>
      <c r="DD27" s="252"/>
      <c r="DE27" s="252"/>
      <c r="DF27" s="252"/>
      <c r="DG27" s="252"/>
      <c r="DH27" s="252"/>
      <c r="DI27" s="252"/>
      <c r="DJ27" s="252"/>
      <c r="DK27" s="252"/>
      <c r="DL27" s="252"/>
      <c r="DM27" s="252"/>
      <c r="DN27" s="252"/>
      <c r="DO27" s="252"/>
      <c r="DP27" s="252"/>
      <c r="DQ27" s="252"/>
      <c r="DR27" s="252"/>
      <c r="DS27" s="252"/>
      <c r="DT27" s="252"/>
      <c r="DU27" s="252"/>
      <c r="DV27" s="252"/>
      <c r="DW27" s="252"/>
      <c r="DX27" s="252"/>
      <c r="DY27" s="252"/>
      <c r="DZ27" s="252"/>
      <c r="EA27" s="252"/>
      <c r="EB27" s="252"/>
      <c r="EC27" s="252"/>
      <c r="ED27" s="252"/>
      <c r="EE27" s="252"/>
      <c r="EF27" s="252"/>
      <c r="EG27" s="252"/>
      <c r="EH27" s="252"/>
      <c r="EI27" s="252"/>
      <c r="EJ27" s="252"/>
      <c r="EK27" s="252"/>
      <c r="EL27" s="252"/>
      <c r="EM27" s="252"/>
      <c r="EN27" s="252"/>
      <c r="EO27" s="252"/>
      <c r="EP27" s="252"/>
      <c r="EQ27" s="252"/>
      <c r="ER27" s="252"/>
      <c r="ES27" s="252"/>
      <c r="ET27" s="252"/>
      <c r="EU27" s="252"/>
      <c r="EV27" s="252"/>
      <c r="EW27" s="252"/>
      <c r="EX27" s="252"/>
      <c r="EY27" s="252"/>
      <c r="EZ27" s="252"/>
      <c r="FA27" s="189">
        <f t="shared" si="0"/>
        <v>8597.5</v>
      </c>
      <c r="FB27" s="961">
        <f>100000-FA27</f>
        <v>91402.5</v>
      </c>
      <c r="FC27" s="988" t="str">
        <f t="shared" si="1"/>
        <v>Love Greek Cuisine/Kalamaki Greek LA</v>
      </c>
      <c r="FE27" s="234">
        <f t="shared" si="3"/>
        <v>8597.5</v>
      </c>
      <c r="FI27" s="234">
        <v>362210.5</v>
      </c>
      <c r="FJ27" s="234"/>
      <c r="FK27" s="979">
        <v>19</v>
      </c>
      <c r="FL27" s="981">
        <f t="shared" si="2"/>
        <v>9866.6666666666661</v>
      </c>
      <c r="FM27" s="977">
        <v>96200</v>
      </c>
      <c r="FN27" s="978" t="s">
        <v>76</v>
      </c>
    </row>
    <row r="28" spans="1:170" ht="10.15" customHeight="1">
      <c r="A28" s="195" t="s">
        <v>234</v>
      </c>
      <c r="B28" s="252"/>
      <c r="C28" s="252"/>
      <c r="D28" s="252"/>
      <c r="E28" s="252"/>
      <c r="F28" s="252"/>
      <c r="G28" s="252"/>
      <c r="H28" s="252"/>
      <c r="I28" s="252"/>
      <c r="J28" s="252"/>
      <c r="K28" s="1139"/>
      <c r="L28" s="252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  <c r="AA28" s="252"/>
      <c r="AB28" s="252"/>
      <c r="AC28" s="252"/>
      <c r="AD28" s="252"/>
      <c r="AE28" s="252"/>
      <c r="AF28" s="252"/>
      <c r="AG28" s="252"/>
      <c r="AH28" s="252"/>
      <c r="AI28" s="252"/>
      <c r="AJ28" s="252"/>
      <c r="AK28" s="252"/>
      <c r="AL28" s="252"/>
      <c r="AM28" s="252"/>
      <c r="AN28" s="252"/>
      <c r="AO28" s="252"/>
      <c r="AP28" s="252"/>
      <c r="AQ28" s="252"/>
      <c r="AR28" s="252"/>
      <c r="AS28" s="252"/>
      <c r="AT28" s="252"/>
      <c r="AU28" s="252"/>
      <c r="AV28" s="252"/>
      <c r="AW28" s="252"/>
      <c r="AX28" s="252"/>
      <c r="AY28" s="252"/>
      <c r="AZ28" s="252"/>
      <c r="BA28" s="252"/>
      <c r="BB28" s="252"/>
      <c r="BC28" s="252"/>
      <c r="BD28" s="252"/>
      <c r="BE28" s="252"/>
      <c r="BF28" s="252"/>
      <c r="BG28" s="252"/>
      <c r="BH28" s="252"/>
      <c r="BI28" s="252"/>
      <c r="BJ28" s="252"/>
      <c r="BK28" s="252"/>
      <c r="BL28" s="252"/>
      <c r="BM28" s="252"/>
      <c r="BN28" s="252"/>
      <c r="BO28" s="252"/>
      <c r="BP28" s="252"/>
      <c r="BQ28" s="252"/>
      <c r="BR28" s="252"/>
      <c r="BS28" s="252"/>
      <c r="BT28" s="252"/>
      <c r="BU28" s="252"/>
      <c r="BV28" s="252"/>
      <c r="BW28" s="252"/>
      <c r="BX28" s="252"/>
      <c r="BY28" s="252"/>
      <c r="BZ28" s="252"/>
      <c r="CA28" s="252"/>
      <c r="CB28" s="252"/>
      <c r="CC28" s="252"/>
      <c r="CD28" s="252"/>
      <c r="CE28" s="252"/>
      <c r="CF28" s="252"/>
      <c r="CG28" s="252"/>
      <c r="CH28" s="252"/>
      <c r="CI28" s="252"/>
      <c r="CJ28" s="252"/>
      <c r="CK28" s="252"/>
      <c r="CL28" s="252"/>
      <c r="CM28" s="252"/>
      <c r="CN28" s="252"/>
      <c r="CO28" s="252"/>
      <c r="CP28" s="252"/>
      <c r="CQ28" s="252"/>
      <c r="CR28" s="252"/>
      <c r="CS28" s="252"/>
      <c r="CT28" s="252"/>
      <c r="CU28" s="252"/>
      <c r="CV28" s="252"/>
      <c r="CW28" s="252"/>
      <c r="CX28" s="252"/>
      <c r="CY28" s="252"/>
      <c r="CZ28" s="252"/>
      <c r="DA28" s="252"/>
      <c r="DB28" s="252"/>
      <c r="DC28" s="252"/>
      <c r="DD28" s="252"/>
      <c r="DE28" s="252"/>
      <c r="DF28" s="252"/>
      <c r="DG28" s="252"/>
      <c r="DH28" s="252"/>
      <c r="DI28" s="252"/>
      <c r="DJ28" s="252"/>
      <c r="DK28" s="252"/>
      <c r="DL28" s="252"/>
      <c r="DM28" s="252"/>
      <c r="DN28" s="252"/>
      <c r="DO28" s="252"/>
      <c r="DP28" s="252"/>
      <c r="DQ28" s="252"/>
      <c r="DR28" s="252"/>
      <c r="DS28" s="252"/>
      <c r="DT28" s="252"/>
      <c r="DU28" s="252"/>
      <c r="DV28" s="252"/>
      <c r="DW28" s="252"/>
      <c r="DX28" s="252"/>
      <c r="DY28" s="252"/>
      <c r="DZ28" s="252"/>
      <c r="EA28" s="252"/>
      <c r="EB28" s="252"/>
      <c r="EC28" s="252"/>
      <c r="ED28" s="252"/>
      <c r="EE28" s="252"/>
      <c r="EF28" s="252"/>
      <c r="EG28" s="252"/>
      <c r="EH28" s="252"/>
      <c r="EI28" s="252"/>
      <c r="EJ28" s="252"/>
      <c r="EK28" s="252"/>
      <c r="EL28" s="252"/>
      <c r="EM28" s="252"/>
      <c r="EN28" s="252"/>
      <c r="EO28" s="252"/>
      <c r="EP28" s="252"/>
      <c r="EQ28" s="252"/>
      <c r="ER28" s="252"/>
      <c r="ES28" s="252"/>
      <c r="ET28" s="252"/>
      <c r="EU28" s="252"/>
      <c r="EV28" s="252"/>
      <c r="EW28" s="252"/>
      <c r="EX28" s="252"/>
      <c r="EY28" s="252"/>
      <c r="EZ28" s="252"/>
      <c r="FA28" s="189">
        <f t="shared" si="0"/>
        <v>0</v>
      </c>
      <c r="FB28" s="961">
        <f>100000-FA28</f>
        <v>100000</v>
      </c>
      <c r="FC28" s="194" t="str">
        <f t="shared" si="1"/>
        <v>Manna From Heaven</v>
      </c>
      <c r="FE28" s="234">
        <f t="shared" si="3"/>
        <v>0</v>
      </c>
      <c r="FI28" s="234">
        <v>8000</v>
      </c>
      <c r="FJ28" s="234"/>
      <c r="FK28" s="979">
        <v>20</v>
      </c>
      <c r="FL28" s="981">
        <f t="shared" si="2"/>
        <v>7791.7948717948721</v>
      </c>
      <c r="FM28" s="977">
        <v>75970</v>
      </c>
      <c r="FN28" s="978" t="s">
        <v>172</v>
      </c>
    </row>
    <row r="29" spans="1:170" ht="9.6" customHeight="1">
      <c r="A29" s="195" t="s">
        <v>265</v>
      </c>
      <c r="B29" s="252"/>
      <c r="C29" s="252"/>
      <c r="D29" s="252"/>
      <c r="E29" s="252"/>
      <c r="F29" s="252"/>
      <c r="G29" s="252"/>
      <c r="H29" s="252"/>
      <c r="I29" s="252"/>
      <c r="J29" s="252"/>
      <c r="K29" s="1139"/>
      <c r="L29" s="252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  <c r="AA29" s="252"/>
      <c r="AB29" s="252"/>
      <c r="AC29" s="252"/>
      <c r="AD29" s="252"/>
      <c r="AE29" s="252"/>
      <c r="AF29" s="252"/>
      <c r="AG29" s="252"/>
      <c r="AH29" s="252"/>
      <c r="AI29" s="252"/>
      <c r="AJ29" s="252"/>
      <c r="AK29" s="252"/>
      <c r="AL29" s="252"/>
      <c r="AM29" s="252"/>
      <c r="AN29" s="252"/>
      <c r="AO29" s="252"/>
      <c r="AP29" s="252"/>
      <c r="AQ29" s="252"/>
      <c r="AR29" s="252"/>
      <c r="AS29" s="252"/>
      <c r="AT29" s="252"/>
      <c r="AU29" s="252"/>
      <c r="AV29" s="252"/>
      <c r="AW29" s="252"/>
      <c r="AX29" s="252"/>
      <c r="AY29" s="252"/>
      <c r="AZ29" s="252"/>
      <c r="BA29" s="252"/>
      <c r="BB29" s="252"/>
      <c r="BC29" s="252"/>
      <c r="BD29" s="252"/>
      <c r="BE29" s="252"/>
      <c r="BF29" s="252"/>
      <c r="BG29" s="252"/>
      <c r="BH29" s="252"/>
      <c r="BI29" s="252"/>
      <c r="BJ29" s="252"/>
      <c r="BK29" s="252"/>
      <c r="BL29" s="252"/>
      <c r="BM29" s="252"/>
      <c r="BN29" s="252"/>
      <c r="BO29" s="252"/>
      <c r="BP29" s="252"/>
      <c r="BQ29" s="252"/>
      <c r="BR29" s="252"/>
      <c r="BS29" s="252"/>
      <c r="BT29" s="252"/>
      <c r="BU29" s="252"/>
      <c r="BV29" s="252"/>
      <c r="BW29" s="252"/>
      <c r="BX29" s="252"/>
      <c r="BY29" s="252"/>
      <c r="BZ29" s="252"/>
      <c r="CA29" s="252"/>
      <c r="CB29" s="252"/>
      <c r="CC29" s="252"/>
      <c r="CD29" s="252"/>
      <c r="CE29" s="252"/>
      <c r="CF29" s="252"/>
      <c r="CG29" s="252"/>
      <c r="CH29" s="252"/>
      <c r="CI29" s="252"/>
      <c r="CJ29" s="252"/>
      <c r="CK29" s="252"/>
      <c r="CL29" s="252"/>
      <c r="CM29" s="252"/>
      <c r="CN29" s="252"/>
      <c r="CO29" s="252"/>
      <c r="CP29" s="252"/>
      <c r="CQ29" s="252"/>
      <c r="CR29" s="252"/>
      <c r="CS29" s="252"/>
      <c r="CT29" s="252"/>
      <c r="CU29" s="252"/>
      <c r="CV29" s="252"/>
      <c r="CW29" s="252"/>
      <c r="CX29" s="252"/>
      <c r="CY29" s="252"/>
      <c r="CZ29" s="252"/>
      <c r="DA29" s="252"/>
      <c r="DB29" s="252"/>
      <c r="DC29" s="252"/>
      <c r="DD29" s="252"/>
      <c r="DE29" s="252"/>
      <c r="DF29" s="252"/>
      <c r="DG29" s="252"/>
      <c r="DH29" s="252"/>
      <c r="DI29" s="252"/>
      <c r="DJ29" s="252"/>
      <c r="DK29" s="252"/>
      <c r="DL29" s="252"/>
      <c r="DM29" s="252"/>
      <c r="DN29" s="252"/>
      <c r="DO29" s="252"/>
      <c r="DP29" s="252"/>
      <c r="DQ29" s="252"/>
      <c r="DR29" s="252"/>
      <c r="DS29" s="252"/>
      <c r="DT29" s="252"/>
      <c r="DU29" s="252"/>
      <c r="DV29" s="252"/>
      <c r="DW29" s="252"/>
      <c r="DX29" s="252"/>
      <c r="DY29" s="252"/>
      <c r="DZ29" s="252"/>
      <c r="EA29" s="252"/>
      <c r="EB29" s="252"/>
      <c r="EC29" s="252"/>
      <c r="ED29" s="252"/>
      <c r="EE29" s="252"/>
      <c r="EF29" s="252"/>
      <c r="EG29" s="252"/>
      <c r="EH29" s="252"/>
      <c r="EI29" s="252"/>
      <c r="EJ29" s="252"/>
      <c r="EK29" s="252"/>
      <c r="EL29" s="252"/>
      <c r="EM29" s="252"/>
      <c r="EN29" s="252"/>
      <c r="EO29" s="252"/>
      <c r="EP29" s="252"/>
      <c r="EQ29" s="252"/>
      <c r="ER29" s="252"/>
      <c r="ES29" s="252"/>
      <c r="ET29" s="252"/>
      <c r="EU29" s="252"/>
      <c r="EV29" s="252"/>
      <c r="EW29" s="252"/>
      <c r="EX29" s="252"/>
      <c r="EY29" s="252"/>
      <c r="EZ29" s="252"/>
      <c r="FA29" s="189">
        <f t="shared" si="0"/>
        <v>0</v>
      </c>
      <c r="FB29" s="961">
        <f>100000-FA29</f>
        <v>100000</v>
      </c>
      <c r="FC29" s="194" t="str">
        <f t="shared" si="1"/>
        <v>Messi Burgers</v>
      </c>
      <c r="FE29" s="234">
        <f t="shared" si="3"/>
        <v>0</v>
      </c>
      <c r="FI29" s="234">
        <v>27987</v>
      </c>
      <c r="FJ29" s="234"/>
      <c r="FK29" s="979">
        <v>21</v>
      </c>
      <c r="FL29" s="981">
        <f t="shared" si="2"/>
        <v>7320.7179487179483</v>
      </c>
      <c r="FM29" s="977">
        <v>71377</v>
      </c>
      <c r="FN29" s="978" t="s">
        <v>144</v>
      </c>
    </row>
    <row r="30" spans="1:170" ht="9.6" customHeight="1">
      <c r="A30" s="195" t="s">
        <v>69</v>
      </c>
      <c r="B30" s="252"/>
      <c r="C30" s="252"/>
      <c r="D30" s="252"/>
      <c r="E30" s="252"/>
      <c r="F30" s="252"/>
      <c r="G30" s="252"/>
      <c r="H30" s="252"/>
      <c r="I30" s="252"/>
      <c r="J30" s="252"/>
      <c r="K30" s="1139"/>
      <c r="L30" s="252"/>
      <c r="M30" s="252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  <c r="AA30" s="252"/>
      <c r="AB30" s="252"/>
      <c r="AC30" s="252"/>
      <c r="AD30" s="252"/>
      <c r="AE30" s="252"/>
      <c r="AF30" s="252"/>
      <c r="AG30" s="252"/>
      <c r="AH30" s="252"/>
      <c r="AI30" s="252"/>
      <c r="AJ30" s="252"/>
      <c r="AK30" s="252"/>
      <c r="AL30" s="252"/>
      <c r="AM30" s="252"/>
      <c r="AN30" s="252"/>
      <c r="AO30" s="252"/>
      <c r="AP30" s="252"/>
      <c r="AQ30" s="252"/>
      <c r="AR30" s="252"/>
      <c r="AS30" s="252"/>
      <c r="AT30" s="252"/>
      <c r="AU30" s="252"/>
      <c r="AV30" s="252"/>
      <c r="AW30" s="252"/>
      <c r="AX30" s="252"/>
      <c r="AY30" s="252"/>
      <c r="AZ30" s="252"/>
      <c r="BA30" s="252"/>
      <c r="BB30" s="252"/>
      <c r="BC30" s="252"/>
      <c r="BD30" s="252"/>
      <c r="BE30" s="252"/>
      <c r="BF30" s="252"/>
      <c r="BG30" s="252"/>
      <c r="BH30" s="252"/>
      <c r="BI30" s="252"/>
      <c r="BJ30" s="252"/>
      <c r="BK30" s="252"/>
      <c r="BL30" s="252"/>
      <c r="BM30" s="252"/>
      <c r="BN30" s="252"/>
      <c r="BO30" s="252"/>
      <c r="BP30" s="252"/>
      <c r="BQ30" s="252"/>
      <c r="BR30" s="252"/>
      <c r="BS30" s="252"/>
      <c r="BT30" s="252"/>
      <c r="BU30" s="252"/>
      <c r="BV30" s="252"/>
      <c r="BW30" s="252"/>
      <c r="BX30" s="252"/>
      <c r="BY30" s="252"/>
      <c r="BZ30" s="252"/>
      <c r="CA30" s="252"/>
      <c r="CB30" s="252"/>
      <c r="CC30" s="252"/>
      <c r="CD30" s="252"/>
      <c r="CE30" s="252"/>
      <c r="CF30" s="252"/>
      <c r="CG30" s="252"/>
      <c r="CH30" s="252"/>
      <c r="CI30" s="252"/>
      <c r="CJ30" s="252"/>
      <c r="CK30" s="252"/>
      <c r="CL30" s="252"/>
      <c r="CM30" s="252"/>
      <c r="CN30" s="252"/>
      <c r="CO30" s="252"/>
      <c r="CP30" s="252"/>
      <c r="CQ30" s="252"/>
      <c r="CR30" s="252"/>
      <c r="CS30" s="252"/>
      <c r="CT30" s="252"/>
      <c r="CU30" s="252"/>
      <c r="CV30" s="252"/>
      <c r="CW30" s="252"/>
      <c r="CX30" s="252"/>
      <c r="CY30" s="252"/>
      <c r="CZ30" s="252"/>
      <c r="DA30" s="252"/>
      <c r="DB30" s="252"/>
      <c r="DC30" s="252"/>
      <c r="DD30" s="252"/>
      <c r="DE30" s="252"/>
      <c r="DF30" s="252"/>
      <c r="DG30" s="252"/>
      <c r="DH30" s="252"/>
      <c r="DI30" s="252"/>
      <c r="DJ30" s="252"/>
      <c r="DK30" s="252"/>
      <c r="DL30" s="252"/>
      <c r="DM30" s="252"/>
      <c r="DN30" s="252"/>
      <c r="DO30" s="252"/>
      <c r="DP30" s="252"/>
      <c r="DQ30" s="252"/>
      <c r="DR30" s="252"/>
      <c r="DS30" s="252"/>
      <c r="DT30" s="252"/>
      <c r="DU30" s="252"/>
      <c r="DV30" s="252"/>
      <c r="DW30" s="252"/>
      <c r="DX30" s="252"/>
      <c r="DY30" s="252"/>
      <c r="DZ30" s="252"/>
      <c r="EA30" s="252"/>
      <c r="EB30" s="252"/>
      <c r="EC30" s="252"/>
      <c r="ED30" s="252"/>
      <c r="EE30" s="252"/>
      <c r="EF30" s="252"/>
      <c r="EG30" s="252"/>
      <c r="EH30" s="252"/>
      <c r="EI30" s="252"/>
      <c r="EJ30" s="252"/>
      <c r="EK30" s="252"/>
      <c r="EL30" s="252"/>
      <c r="EM30" s="252"/>
      <c r="EN30" s="252"/>
      <c r="EO30" s="252"/>
      <c r="EP30" s="252"/>
      <c r="EQ30" s="252"/>
      <c r="ER30" s="252"/>
      <c r="ES30" s="252"/>
      <c r="ET30" s="252"/>
      <c r="EU30" s="252"/>
      <c r="EV30" s="252"/>
      <c r="EW30" s="252"/>
      <c r="EX30" s="252"/>
      <c r="EY30" s="252"/>
      <c r="EZ30" s="252"/>
      <c r="FA30" s="189">
        <f t="shared" si="0"/>
        <v>0</v>
      </c>
      <c r="FB30" s="961">
        <f>100000-FA30</f>
        <v>100000</v>
      </c>
      <c r="FC30" s="194" t="str">
        <f t="shared" si="1"/>
        <v>Mikhuna</v>
      </c>
      <c r="FE30" s="234">
        <f t="shared" si="3"/>
        <v>0</v>
      </c>
      <c r="FI30" s="234">
        <v>34678.5</v>
      </c>
      <c r="FJ30" s="234"/>
      <c r="FK30" s="979">
        <v>22</v>
      </c>
      <c r="FL30" s="981">
        <f t="shared" si="2"/>
        <v>7244.5128205128203</v>
      </c>
      <c r="FM30" s="977">
        <v>70634</v>
      </c>
      <c r="FN30" s="978" t="s">
        <v>243</v>
      </c>
    </row>
    <row r="31" spans="1:170" ht="9.6" customHeight="1">
      <c r="A31" s="195" t="s">
        <v>76</v>
      </c>
      <c r="B31" s="252"/>
      <c r="C31" s="252"/>
      <c r="D31" s="252"/>
      <c r="E31" s="252"/>
      <c r="F31" s="252"/>
      <c r="G31" s="252"/>
      <c r="H31" s="252"/>
      <c r="I31" s="252"/>
      <c r="J31" s="252"/>
      <c r="K31" s="1139"/>
      <c r="L31" s="252"/>
      <c r="M31" s="252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  <c r="AA31" s="252"/>
      <c r="AB31" s="252"/>
      <c r="AC31" s="252"/>
      <c r="AD31" s="252"/>
      <c r="AE31" s="252"/>
      <c r="AF31" s="252"/>
      <c r="AG31" s="252"/>
      <c r="AH31" s="252"/>
      <c r="AI31" s="252"/>
      <c r="AJ31" s="252"/>
      <c r="AK31" s="252"/>
      <c r="AL31" s="252"/>
      <c r="AM31" s="252"/>
      <c r="AN31" s="252"/>
      <c r="AO31" s="252"/>
      <c r="AP31" s="252"/>
      <c r="AQ31" s="252"/>
      <c r="AR31" s="252"/>
      <c r="AS31" s="252"/>
      <c r="AT31" s="252"/>
      <c r="AU31" s="252"/>
      <c r="AV31" s="252"/>
      <c r="AW31" s="252"/>
      <c r="AX31" s="252"/>
      <c r="AY31" s="252"/>
      <c r="AZ31" s="252"/>
      <c r="BA31" s="252"/>
      <c r="BB31" s="252"/>
      <c r="BC31" s="252"/>
      <c r="BD31" s="252"/>
      <c r="BE31" s="252"/>
      <c r="BF31" s="252"/>
      <c r="BG31" s="252"/>
      <c r="BH31" s="252"/>
      <c r="BI31" s="252"/>
      <c r="BJ31" s="252"/>
      <c r="BK31" s="252"/>
      <c r="BL31" s="252"/>
      <c r="BM31" s="252"/>
      <c r="BN31" s="252"/>
      <c r="BO31" s="252"/>
      <c r="BP31" s="252"/>
      <c r="BQ31" s="252"/>
      <c r="BR31" s="252"/>
      <c r="BS31" s="252"/>
      <c r="BT31" s="252"/>
      <c r="BU31" s="252"/>
      <c r="BV31" s="252"/>
      <c r="BW31" s="252"/>
      <c r="BX31" s="252"/>
      <c r="BY31" s="252"/>
      <c r="BZ31" s="252"/>
      <c r="CA31" s="252"/>
      <c r="CB31" s="252"/>
      <c r="CC31" s="252"/>
      <c r="CD31" s="252"/>
      <c r="CE31" s="252"/>
      <c r="CF31" s="252"/>
      <c r="CG31" s="252"/>
      <c r="CH31" s="252"/>
      <c r="CI31" s="252"/>
      <c r="CJ31" s="252"/>
      <c r="CK31" s="252"/>
      <c r="CL31" s="252"/>
      <c r="CM31" s="252"/>
      <c r="CN31" s="252"/>
      <c r="CO31" s="252"/>
      <c r="CP31" s="252"/>
      <c r="CQ31" s="252"/>
      <c r="CR31" s="252"/>
      <c r="CS31" s="252"/>
      <c r="CT31" s="252"/>
      <c r="CU31" s="252"/>
      <c r="CV31" s="252"/>
      <c r="CW31" s="252"/>
      <c r="CX31" s="252"/>
      <c r="CY31" s="252"/>
      <c r="CZ31" s="252"/>
      <c r="DA31" s="252"/>
      <c r="DB31" s="252"/>
      <c r="DC31" s="252"/>
      <c r="DD31" s="252"/>
      <c r="DE31" s="252"/>
      <c r="DF31" s="252"/>
      <c r="DG31" s="252"/>
      <c r="DH31" s="252"/>
      <c r="DI31" s="252"/>
      <c r="DJ31" s="252"/>
      <c r="DK31" s="252"/>
      <c r="DL31" s="252"/>
      <c r="DM31" s="252"/>
      <c r="DN31" s="252"/>
      <c r="DO31" s="252"/>
      <c r="DP31" s="252"/>
      <c r="DQ31" s="252"/>
      <c r="DR31" s="252"/>
      <c r="DS31" s="252"/>
      <c r="DT31" s="252"/>
      <c r="DU31" s="252"/>
      <c r="DV31" s="252"/>
      <c r="DW31" s="252"/>
      <c r="DX31" s="252"/>
      <c r="DY31" s="252"/>
      <c r="DZ31" s="252"/>
      <c r="EA31" s="252"/>
      <c r="EB31" s="252"/>
      <c r="EC31" s="252"/>
      <c r="ED31" s="252"/>
      <c r="EE31" s="252"/>
      <c r="EF31" s="252"/>
      <c r="EG31" s="252"/>
      <c r="EH31" s="252"/>
      <c r="EI31" s="252"/>
      <c r="EJ31" s="252"/>
      <c r="EK31" s="252"/>
      <c r="EL31" s="252"/>
      <c r="EM31" s="252"/>
      <c r="EN31" s="252"/>
      <c r="EO31" s="252"/>
      <c r="EP31" s="252"/>
      <c r="EQ31" s="252"/>
      <c r="ER31" s="252"/>
      <c r="ES31" s="252"/>
      <c r="ET31" s="252"/>
      <c r="EU31" s="252"/>
      <c r="EV31" s="252"/>
      <c r="EW31" s="252"/>
      <c r="EX31" s="252"/>
      <c r="EY31" s="252"/>
      <c r="EZ31" s="252"/>
      <c r="FA31" s="189">
        <f t="shared" si="0"/>
        <v>0</v>
      </c>
      <c r="FB31" s="961">
        <f>449000-FA31+350000</f>
        <v>799000</v>
      </c>
      <c r="FC31" s="194" t="str">
        <f t="shared" si="1"/>
        <v>ML Eats Burger</v>
      </c>
      <c r="FE31" s="234">
        <f t="shared" si="3"/>
        <v>0</v>
      </c>
      <c r="FI31" s="234">
        <v>2774</v>
      </c>
      <c r="FJ31" s="234"/>
      <c r="FK31" s="979">
        <v>23</v>
      </c>
      <c r="FL31" s="981">
        <f t="shared" si="2"/>
        <v>6958.2051282051279</v>
      </c>
      <c r="FM31" s="977">
        <v>67842.5</v>
      </c>
      <c r="FN31" s="978" t="s">
        <v>62</v>
      </c>
    </row>
    <row r="32" spans="1:170" ht="9.6" customHeight="1">
      <c r="A32" s="195" t="s">
        <v>335</v>
      </c>
      <c r="B32" s="252"/>
      <c r="C32" s="252"/>
      <c r="D32" s="252"/>
      <c r="E32" s="252"/>
      <c r="F32" s="252"/>
      <c r="G32" s="252"/>
      <c r="H32" s="252"/>
      <c r="I32" s="252"/>
      <c r="J32" s="252"/>
      <c r="K32" s="1139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  <c r="AA32" s="252"/>
      <c r="AB32" s="252"/>
      <c r="AC32" s="252"/>
      <c r="AD32" s="252"/>
      <c r="AE32" s="252"/>
      <c r="AF32" s="252"/>
      <c r="AG32" s="252"/>
      <c r="AH32" s="252"/>
      <c r="AI32" s="252"/>
      <c r="AJ32" s="252"/>
      <c r="AK32" s="252"/>
      <c r="AL32" s="252"/>
      <c r="AM32" s="252"/>
      <c r="AN32" s="252"/>
      <c r="AO32" s="252"/>
      <c r="AP32" s="252"/>
      <c r="AQ32" s="252"/>
      <c r="AR32" s="252"/>
      <c r="AS32" s="252"/>
      <c r="AT32" s="252"/>
      <c r="AU32" s="252"/>
      <c r="AV32" s="252"/>
      <c r="AW32" s="252"/>
      <c r="AX32" s="252"/>
      <c r="AY32" s="252"/>
      <c r="AZ32" s="252"/>
      <c r="BA32" s="252"/>
      <c r="BB32" s="252"/>
      <c r="BC32" s="252"/>
      <c r="BD32" s="252"/>
      <c r="BE32" s="252"/>
      <c r="BF32" s="252"/>
      <c r="BG32" s="252"/>
      <c r="BH32" s="252"/>
      <c r="BI32" s="252"/>
      <c r="BJ32" s="252"/>
      <c r="BK32" s="252"/>
      <c r="BL32" s="252"/>
      <c r="BM32" s="252"/>
      <c r="BN32" s="252"/>
      <c r="BO32" s="252"/>
      <c r="BP32" s="252"/>
      <c r="BQ32" s="252"/>
      <c r="BR32" s="252"/>
      <c r="BS32" s="252"/>
      <c r="BT32" s="252"/>
      <c r="BU32" s="252"/>
      <c r="BV32" s="252"/>
      <c r="BW32" s="252"/>
      <c r="BX32" s="252"/>
      <c r="BY32" s="252"/>
      <c r="BZ32" s="252"/>
      <c r="CA32" s="252"/>
      <c r="CB32" s="252"/>
      <c r="CC32" s="252"/>
      <c r="CD32" s="252"/>
      <c r="CE32" s="252"/>
      <c r="CF32" s="252"/>
      <c r="CG32" s="252"/>
      <c r="CH32" s="252"/>
      <c r="CI32" s="252"/>
      <c r="CJ32" s="252"/>
      <c r="CK32" s="252"/>
      <c r="CL32" s="252"/>
      <c r="CM32" s="252"/>
      <c r="CN32" s="252"/>
      <c r="CO32" s="252"/>
      <c r="CP32" s="252"/>
      <c r="CQ32" s="252"/>
      <c r="CR32" s="252"/>
      <c r="CS32" s="252"/>
      <c r="CT32" s="252"/>
      <c r="CU32" s="252"/>
      <c r="CV32" s="252"/>
      <c r="CW32" s="252"/>
      <c r="CX32" s="252"/>
      <c r="CY32" s="252"/>
      <c r="CZ32" s="252"/>
      <c r="DA32" s="252"/>
      <c r="DB32" s="252"/>
      <c r="DC32" s="252"/>
      <c r="DD32" s="252"/>
      <c r="DE32" s="252"/>
      <c r="DF32" s="252"/>
      <c r="DG32" s="252"/>
      <c r="DH32" s="252"/>
      <c r="DI32" s="252"/>
      <c r="DJ32" s="252"/>
      <c r="DK32" s="252"/>
      <c r="DL32" s="252"/>
      <c r="DM32" s="252"/>
      <c r="DN32" s="252"/>
      <c r="DO32" s="252"/>
      <c r="DP32" s="252"/>
      <c r="DQ32" s="252"/>
      <c r="DR32" s="252"/>
      <c r="DS32" s="252"/>
      <c r="DT32" s="252"/>
      <c r="DU32" s="252"/>
      <c r="DV32" s="252"/>
      <c r="DW32" s="252"/>
      <c r="DX32" s="252"/>
      <c r="DY32" s="252"/>
      <c r="DZ32" s="252"/>
      <c r="EA32" s="252"/>
      <c r="EB32" s="252"/>
      <c r="EC32" s="252"/>
      <c r="ED32" s="252"/>
      <c r="EE32" s="252"/>
      <c r="EF32" s="252"/>
      <c r="EG32" s="252"/>
      <c r="EH32" s="252"/>
      <c r="EI32" s="252"/>
      <c r="EJ32" s="252"/>
      <c r="EK32" s="252"/>
      <c r="EL32" s="252"/>
      <c r="EM32" s="252"/>
      <c r="EN32" s="252"/>
      <c r="EO32" s="252"/>
      <c r="EP32" s="252"/>
      <c r="EQ32" s="252"/>
      <c r="ER32" s="252"/>
      <c r="ES32" s="252"/>
      <c r="ET32" s="252"/>
      <c r="EU32" s="252"/>
      <c r="EV32" s="252"/>
      <c r="EW32" s="252"/>
      <c r="EX32" s="252"/>
      <c r="EY32" s="252"/>
      <c r="EZ32" s="252"/>
      <c r="FA32" s="189">
        <f t="shared" si="0"/>
        <v>0</v>
      </c>
      <c r="FB32" s="189">
        <v>99000</v>
      </c>
      <c r="FC32" s="194" t="str">
        <f t="shared" si="1"/>
        <v>Mumu's</v>
      </c>
      <c r="FE32" s="234">
        <f t="shared" si="3"/>
        <v>0</v>
      </c>
      <c r="FI32" s="234"/>
      <c r="FJ32" s="234"/>
      <c r="FK32" s="979"/>
      <c r="FL32" s="981"/>
      <c r="FM32" s="977"/>
      <c r="FN32" s="978"/>
    </row>
    <row r="33" spans="1:170" ht="10.15" customHeight="1">
      <c r="A33" s="195" t="s">
        <v>186</v>
      </c>
      <c r="B33" s="252"/>
      <c r="C33" s="252"/>
      <c r="D33" s="252"/>
      <c r="E33" s="252"/>
      <c r="F33" s="252"/>
      <c r="G33" s="252"/>
      <c r="H33" s="252"/>
      <c r="I33" s="252"/>
      <c r="J33" s="252"/>
      <c r="K33" s="1139"/>
      <c r="L33" s="252"/>
      <c r="M33" s="252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  <c r="AA33" s="252"/>
      <c r="AB33" s="252"/>
      <c r="AC33" s="252"/>
      <c r="AD33" s="252"/>
      <c r="AE33" s="252"/>
      <c r="AF33" s="252"/>
      <c r="AG33" s="252"/>
      <c r="AH33" s="252"/>
      <c r="AI33" s="252"/>
      <c r="AJ33" s="252"/>
      <c r="AK33" s="252"/>
      <c r="AL33" s="252"/>
      <c r="AM33" s="252"/>
      <c r="AN33" s="252"/>
      <c r="AO33" s="252"/>
      <c r="AP33" s="252"/>
      <c r="AQ33" s="252"/>
      <c r="AR33" s="252"/>
      <c r="AS33" s="252"/>
      <c r="AT33" s="252"/>
      <c r="AU33" s="252"/>
      <c r="AV33" s="252"/>
      <c r="AW33" s="252"/>
      <c r="AX33" s="252"/>
      <c r="AY33" s="252"/>
      <c r="AZ33" s="252"/>
      <c r="BA33" s="252"/>
      <c r="BB33" s="252"/>
      <c r="BC33" s="252"/>
      <c r="BD33" s="252"/>
      <c r="BE33" s="252"/>
      <c r="BF33" s="252"/>
      <c r="BG33" s="252"/>
      <c r="BH33" s="252"/>
      <c r="BI33" s="252"/>
      <c r="BJ33" s="252"/>
      <c r="BK33" s="252"/>
      <c r="BL33" s="252"/>
      <c r="BM33" s="252"/>
      <c r="BN33" s="252"/>
      <c r="BO33" s="252"/>
      <c r="BP33" s="252"/>
      <c r="BQ33" s="252"/>
      <c r="BR33" s="252"/>
      <c r="BS33" s="252"/>
      <c r="BT33" s="252"/>
      <c r="BU33" s="252"/>
      <c r="BV33" s="252"/>
      <c r="BW33" s="252"/>
      <c r="BX33" s="252"/>
      <c r="BY33" s="252"/>
      <c r="BZ33" s="252"/>
      <c r="CA33" s="252"/>
      <c r="CB33" s="252"/>
      <c r="CC33" s="252"/>
      <c r="CD33" s="252"/>
      <c r="CE33" s="252"/>
      <c r="CF33" s="252"/>
      <c r="CG33" s="252"/>
      <c r="CH33" s="252"/>
      <c r="CI33" s="252"/>
      <c r="CJ33" s="252"/>
      <c r="CK33" s="252"/>
      <c r="CL33" s="252"/>
      <c r="CM33" s="252"/>
      <c r="CN33" s="252"/>
      <c r="CO33" s="252"/>
      <c r="CP33" s="252"/>
      <c r="CQ33" s="252"/>
      <c r="CR33" s="252"/>
      <c r="CS33" s="252"/>
      <c r="CT33" s="252"/>
      <c r="CU33" s="252"/>
      <c r="CV33" s="252"/>
      <c r="CW33" s="252"/>
      <c r="CX33" s="252"/>
      <c r="CY33" s="252"/>
      <c r="CZ33" s="252"/>
      <c r="DA33" s="252"/>
      <c r="DB33" s="252"/>
      <c r="DC33" s="252"/>
      <c r="DD33" s="252"/>
      <c r="DE33" s="252"/>
      <c r="DF33" s="252"/>
      <c r="DG33" s="252"/>
      <c r="DH33" s="252"/>
      <c r="DI33" s="252"/>
      <c r="DJ33" s="252"/>
      <c r="DK33" s="252"/>
      <c r="DL33" s="252"/>
      <c r="DM33" s="252"/>
      <c r="DN33" s="252"/>
      <c r="DO33" s="252"/>
      <c r="DP33" s="252"/>
      <c r="DQ33" s="252"/>
      <c r="DR33" s="252"/>
      <c r="DS33" s="252"/>
      <c r="DT33" s="252"/>
      <c r="DU33" s="252"/>
      <c r="DV33" s="252"/>
      <c r="DW33" s="252"/>
      <c r="DX33" s="252"/>
      <c r="DY33" s="252"/>
      <c r="DZ33" s="252"/>
      <c r="EA33" s="252"/>
      <c r="EB33" s="252"/>
      <c r="EC33" s="252"/>
      <c r="ED33" s="252"/>
      <c r="EE33" s="252"/>
      <c r="EF33" s="252"/>
      <c r="EG33" s="252"/>
      <c r="EH33" s="252"/>
      <c r="EI33" s="252"/>
      <c r="EJ33" s="252"/>
      <c r="EK33" s="252"/>
      <c r="EL33" s="252"/>
      <c r="EM33" s="252"/>
      <c r="EN33" s="252"/>
      <c r="EO33" s="252"/>
      <c r="EP33" s="252"/>
      <c r="EQ33" s="252"/>
      <c r="ER33" s="252"/>
      <c r="ES33" s="252"/>
      <c r="ET33" s="252"/>
      <c r="EU33" s="252"/>
      <c r="EV33" s="252"/>
      <c r="EW33" s="252"/>
      <c r="EX33" s="252"/>
      <c r="EY33" s="252"/>
      <c r="EZ33" s="252"/>
      <c r="FA33" s="189">
        <f t="shared" si="0"/>
        <v>0</v>
      </c>
      <c r="FB33" s="961">
        <f>100000-FA33</f>
        <v>100000</v>
      </c>
      <c r="FC33" s="194" t="str">
        <f t="shared" si="1"/>
        <v>Ohana Hibachi</v>
      </c>
      <c r="FE33" s="234">
        <f t="shared" si="3"/>
        <v>0</v>
      </c>
      <c r="FI33" s="234">
        <v>29265</v>
      </c>
      <c r="FJ33" s="234"/>
      <c r="FK33" s="979">
        <v>24</v>
      </c>
      <c r="FL33" s="981">
        <f t="shared" si="2"/>
        <v>6624.2564102564102</v>
      </c>
      <c r="FM33" s="977">
        <v>64586.5</v>
      </c>
      <c r="FN33" s="978" t="s">
        <v>244</v>
      </c>
    </row>
    <row r="34" spans="1:170" ht="10.15" customHeight="1">
      <c r="A34" s="195" t="s">
        <v>44</v>
      </c>
      <c r="B34" s="738"/>
      <c r="C34" s="738"/>
      <c r="D34" s="738"/>
      <c r="E34" s="738">
        <f>'12.04.22'!E29</f>
        <v>3087.5</v>
      </c>
      <c r="F34" s="252"/>
      <c r="G34" s="252"/>
      <c r="H34" s="252"/>
      <c r="I34" s="252"/>
      <c r="J34" s="252"/>
      <c r="K34" s="1139"/>
      <c r="L34" s="252"/>
      <c r="M34" s="252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  <c r="AA34" s="252"/>
      <c r="AB34" s="252"/>
      <c r="AC34" s="252"/>
      <c r="AD34" s="252"/>
      <c r="AE34" s="252"/>
      <c r="AF34" s="252"/>
      <c r="AG34" s="252"/>
      <c r="AH34" s="252"/>
      <c r="AI34" s="252"/>
      <c r="AJ34" s="252"/>
      <c r="AK34" s="252"/>
      <c r="AL34" s="252"/>
      <c r="AM34" s="252"/>
      <c r="AN34" s="252"/>
      <c r="AO34" s="252"/>
      <c r="AP34" s="252"/>
      <c r="AQ34" s="252"/>
      <c r="AR34" s="252"/>
      <c r="AS34" s="252"/>
      <c r="AT34" s="252"/>
      <c r="AU34" s="252"/>
      <c r="AV34" s="252"/>
      <c r="AW34" s="252"/>
      <c r="AX34" s="252"/>
      <c r="AY34" s="252"/>
      <c r="AZ34" s="252"/>
      <c r="BA34" s="252"/>
      <c r="BB34" s="252"/>
      <c r="BC34" s="252"/>
      <c r="BD34" s="252"/>
      <c r="BE34" s="252"/>
      <c r="BF34" s="252"/>
      <c r="BG34" s="252"/>
      <c r="BH34" s="252"/>
      <c r="BI34" s="252"/>
      <c r="BJ34" s="252"/>
      <c r="BK34" s="252"/>
      <c r="BL34" s="252"/>
      <c r="BM34" s="252"/>
      <c r="BN34" s="252"/>
      <c r="BO34" s="252"/>
      <c r="BP34" s="252"/>
      <c r="BQ34" s="252"/>
      <c r="BR34" s="252"/>
      <c r="BS34" s="252"/>
      <c r="BT34" s="252"/>
      <c r="BU34" s="252"/>
      <c r="BV34" s="252"/>
      <c r="BW34" s="252"/>
      <c r="BX34" s="252"/>
      <c r="BY34" s="252"/>
      <c r="BZ34" s="252"/>
      <c r="CA34" s="252"/>
      <c r="CB34" s="252"/>
      <c r="CC34" s="252"/>
      <c r="CD34" s="252"/>
      <c r="CE34" s="252"/>
      <c r="CF34" s="252"/>
      <c r="CG34" s="252"/>
      <c r="CH34" s="252"/>
      <c r="CI34" s="252"/>
      <c r="CJ34" s="252"/>
      <c r="CK34" s="252"/>
      <c r="CL34" s="252"/>
      <c r="CM34" s="252"/>
      <c r="CN34" s="252"/>
      <c r="CO34" s="252"/>
      <c r="CP34" s="252"/>
      <c r="CQ34" s="252"/>
      <c r="CR34" s="252"/>
      <c r="CS34" s="252"/>
      <c r="CT34" s="252"/>
      <c r="CU34" s="252"/>
      <c r="CV34" s="252"/>
      <c r="CW34" s="252"/>
      <c r="CX34" s="252"/>
      <c r="CY34" s="252"/>
      <c r="CZ34" s="252"/>
      <c r="DA34" s="252"/>
      <c r="DB34" s="252"/>
      <c r="DC34" s="252"/>
      <c r="DD34" s="252"/>
      <c r="DE34" s="252"/>
      <c r="DF34" s="252"/>
      <c r="DG34" s="252"/>
      <c r="DH34" s="252"/>
      <c r="DI34" s="252"/>
      <c r="DJ34" s="252"/>
      <c r="DK34" s="252"/>
      <c r="DL34" s="252"/>
      <c r="DM34" s="252"/>
      <c r="DN34" s="252"/>
      <c r="DO34" s="252"/>
      <c r="DP34" s="252"/>
      <c r="DQ34" s="252"/>
      <c r="DR34" s="252"/>
      <c r="DS34" s="252"/>
      <c r="DT34" s="252"/>
      <c r="DU34" s="252"/>
      <c r="DV34" s="252"/>
      <c r="DW34" s="252"/>
      <c r="DX34" s="252"/>
      <c r="DY34" s="252"/>
      <c r="DZ34" s="252"/>
      <c r="EA34" s="252"/>
      <c r="EB34" s="252"/>
      <c r="EC34" s="252"/>
      <c r="ED34" s="252"/>
      <c r="EE34" s="252"/>
      <c r="EF34" s="252"/>
      <c r="EG34" s="252"/>
      <c r="EH34" s="252"/>
      <c r="EI34" s="252"/>
      <c r="EJ34" s="252"/>
      <c r="EK34" s="252"/>
      <c r="EL34" s="252"/>
      <c r="EM34" s="252"/>
      <c r="EN34" s="252"/>
      <c r="EO34" s="252"/>
      <c r="EP34" s="252"/>
      <c r="EQ34" s="252"/>
      <c r="ER34" s="252"/>
      <c r="ES34" s="252"/>
      <c r="ET34" s="252"/>
      <c r="EU34" s="252"/>
      <c r="EV34" s="252"/>
      <c r="EW34" s="252"/>
      <c r="EX34" s="252"/>
      <c r="EY34" s="252"/>
      <c r="EZ34" s="252"/>
      <c r="FA34" s="189">
        <f t="shared" si="0"/>
        <v>3087.5</v>
      </c>
      <c r="FB34" s="961">
        <f>100000-FA34</f>
        <v>96912.5</v>
      </c>
      <c r="FC34" s="194" t="str">
        <f t="shared" si="1"/>
        <v>Original Herbivore</v>
      </c>
      <c r="FE34" s="234">
        <f t="shared" si="3"/>
        <v>3087.5</v>
      </c>
      <c r="FI34" s="234">
        <v>96200</v>
      </c>
      <c r="FJ34" s="234"/>
      <c r="FK34" s="979">
        <v>25</v>
      </c>
      <c r="FL34" s="981">
        <f t="shared" si="2"/>
        <v>5663.8974358974356</v>
      </c>
      <c r="FM34" s="977">
        <v>55223</v>
      </c>
      <c r="FN34" s="978" t="s">
        <v>78</v>
      </c>
    </row>
    <row r="35" spans="1:170" ht="10.15" customHeight="1">
      <c r="A35" s="195" t="s">
        <v>143</v>
      </c>
      <c r="B35" s="738"/>
      <c r="C35" s="738">
        <f>'12.02.22'!E29</f>
        <v>3458</v>
      </c>
      <c r="D35" s="738">
        <f>'12.03.22'!E8</f>
        <v>5310.5</v>
      </c>
      <c r="E35" s="738"/>
      <c r="F35" s="589"/>
      <c r="G35" s="589"/>
      <c r="H35" s="589">
        <f>'12.07.22'!E9</f>
        <v>5700</v>
      </c>
      <c r="I35" s="589"/>
      <c r="J35" s="252"/>
      <c r="K35" s="1139"/>
      <c r="L35" s="252"/>
      <c r="M35" s="252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  <c r="AA35" s="252"/>
      <c r="AB35" s="252"/>
      <c r="AC35" s="252"/>
      <c r="AD35" s="252"/>
      <c r="AE35" s="252"/>
      <c r="AF35" s="252"/>
      <c r="AG35" s="252"/>
      <c r="AH35" s="252"/>
      <c r="AI35" s="252"/>
      <c r="AJ35" s="252"/>
      <c r="AK35" s="252"/>
      <c r="AL35" s="252"/>
      <c r="AM35" s="252"/>
      <c r="AN35" s="252"/>
      <c r="AO35" s="252"/>
      <c r="AP35" s="252"/>
      <c r="AQ35" s="252"/>
      <c r="AR35" s="252"/>
      <c r="AS35" s="252"/>
      <c r="AT35" s="252"/>
      <c r="AU35" s="252"/>
      <c r="AV35" s="252"/>
      <c r="AW35" s="252"/>
      <c r="AX35" s="252"/>
      <c r="AY35" s="252"/>
      <c r="AZ35" s="252"/>
      <c r="BA35" s="252"/>
      <c r="BB35" s="252"/>
      <c r="BC35" s="252"/>
      <c r="BD35" s="252"/>
      <c r="BE35" s="252"/>
      <c r="BF35" s="252"/>
      <c r="BG35" s="252"/>
      <c r="BH35" s="252"/>
      <c r="BI35" s="252"/>
      <c r="BJ35" s="252"/>
      <c r="BK35" s="252"/>
      <c r="BL35" s="252"/>
      <c r="BM35" s="252"/>
      <c r="BN35" s="252"/>
      <c r="BO35" s="252"/>
      <c r="BP35" s="252"/>
      <c r="BQ35" s="252"/>
      <c r="BR35" s="252"/>
      <c r="BS35" s="252"/>
      <c r="BT35" s="252"/>
      <c r="BU35" s="252"/>
      <c r="BV35" s="252"/>
      <c r="BW35" s="252"/>
      <c r="BX35" s="252"/>
      <c r="BY35" s="252"/>
      <c r="BZ35" s="252"/>
      <c r="CA35" s="252"/>
      <c r="CB35" s="252"/>
      <c r="CC35" s="252"/>
      <c r="CD35" s="252"/>
      <c r="CE35" s="252"/>
      <c r="CF35" s="252"/>
      <c r="CG35" s="252"/>
      <c r="CH35" s="252"/>
      <c r="CI35" s="252"/>
      <c r="CJ35" s="252"/>
      <c r="CK35" s="252"/>
      <c r="CL35" s="252"/>
      <c r="CM35" s="252"/>
      <c r="CN35" s="252"/>
      <c r="CO35" s="252"/>
      <c r="CP35" s="252"/>
      <c r="CQ35" s="252"/>
      <c r="CR35" s="252"/>
      <c r="CS35" s="252"/>
      <c r="CT35" s="252"/>
      <c r="CU35" s="252"/>
      <c r="CV35" s="252"/>
      <c r="CW35" s="252"/>
      <c r="CX35" s="252"/>
      <c r="CY35" s="252"/>
      <c r="CZ35" s="252"/>
      <c r="DA35" s="252"/>
      <c r="DB35" s="252"/>
      <c r="DC35" s="252"/>
      <c r="DD35" s="252"/>
      <c r="DE35" s="252"/>
      <c r="DF35" s="252"/>
      <c r="DG35" s="252"/>
      <c r="DH35" s="252"/>
      <c r="DI35" s="252"/>
      <c r="DJ35" s="252"/>
      <c r="DK35" s="252"/>
      <c r="DL35" s="252"/>
      <c r="DM35" s="252"/>
      <c r="DN35" s="252"/>
      <c r="DO35" s="252"/>
      <c r="DP35" s="252"/>
      <c r="DQ35" s="252"/>
      <c r="DR35" s="252"/>
      <c r="DS35" s="252"/>
      <c r="DT35" s="252"/>
      <c r="DU35" s="252"/>
      <c r="DV35" s="252"/>
      <c r="DW35" s="252"/>
      <c r="DX35" s="252"/>
      <c r="DY35" s="252"/>
      <c r="DZ35" s="252"/>
      <c r="EA35" s="252"/>
      <c r="EB35" s="252"/>
      <c r="EC35" s="252"/>
      <c r="ED35" s="252"/>
      <c r="EE35" s="252"/>
      <c r="EF35" s="252"/>
      <c r="EG35" s="252"/>
      <c r="EH35" s="252"/>
      <c r="EI35" s="252"/>
      <c r="EJ35" s="252"/>
      <c r="EK35" s="252"/>
      <c r="EL35" s="252"/>
      <c r="EM35" s="252"/>
      <c r="EN35" s="252"/>
      <c r="EO35" s="252"/>
      <c r="EP35" s="252"/>
      <c r="EQ35" s="252"/>
      <c r="ER35" s="252"/>
      <c r="ES35" s="252"/>
      <c r="ET35" s="252"/>
      <c r="EU35" s="252"/>
      <c r="EV35" s="252"/>
      <c r="EW35" s="252"/>
      <c r="EX35" s="252"/>
      <c r="EY35" s="252"/>
      <c r="EZ35" s="252"/>
      <c r="FA35" s="189">
        <f t="shared" ref="FA35:FA61" si="4">SUM(B35:EZ35)</f>
        <v>14468.5</v>
      </c>
      <c r="FB35" s="961">
        <f>100000-FA35+350000+350000</f>
        <v>785531.5</v>
      </c>
      <c r="FC35" s="194" t="str">
        <f t="shared" ref="FC35:FC58" si="5">A35</f>
        <v>Pacifico Charbroiled</v>
      </c>
      <c r="FE35" s="234">
        <f t="shared" si="3"/>
        <v>14468.5</v>
      </c>
      <c r="FI35" s="234">
        <v>23730</v>
      </c>
      <c r="FJ35" s="234"/>
      <c r="FK35" s="979">
        <v>26</v>
      </c>
      <c r="FL35" s="981">
        <f t="shared" si="2"/>
        <v>5338.0512820512822</v>
      </c>
      <c r="FM35" s="977">
        <v>52046</v>
      </c>
      <c r="FN35" s="978" t="s">
        <v>83</v>
      </c>
    </row>
    <row r="36" spans="1:170" ht="10.15" customHeight="1">
      <c r="A36" s="515" t="s">
        <v>242</v>
      </c>
      <c r="B36" s="738"/>
      <c r="C36" s="738"/>
      <c r="D36" s="738"/>
      <c r="E36" s="738"/>
      <c r="F36" s="589">
        <f>'12.05.22'!E28</f>
        <v>4978</v>
      </c>
      <c r="G36" s="589"/>
      <c r="H36" s="589"/>
      <c r="I36" s="589"/>
      <c r="J36" s="252"/>
      <c r="K36" s="1139"/>
      <c r="L36" s="252"/>
      <c r="M36" s="252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  <c r="AA36" s="252"/>
      <c r="AB36" s="252"/>
      <c r="AC36" s="252"/>
      <c r="AD36" s="252"/>
      <c r="AE36" s="252"/>
      <c r="AF36" s="252"/>
      <c r="AG36" s="252"/>
      <c r="AH36" s="252"/>
      <c r="AI36" s="252"/>
      <c r="AJ36" s="252"/>
      <c r="AK36" s="252"/>
      <c r="AL36" s="252"/>
      <c r="AM36" s="252"/>
      <c r="AN36" s="252"/>
      <c r="AO36" s="252"/>
      <c r="AP36" s="252"/>
      <c r="AQ36" s="252"/>
      <c r="AR36" s="252"/>
      <c r="AS36" s="252"/>
      <c r="AT36" s="252"/>
      <c r="AU36" s="252"/>
      <c r="AV36" s="252"/>
      <c r="AW36" s="252"/>
      <c r="AX36" s="252"/>
      <c r="AY36" s="252"/>
      <c r="AZ36" s="252"/>
      <c r="BA36" s="252"/>
      <c r="BB36" s="252"/>
      <c r="BC36" s="252"/>
      <c r="BD36" s="252"/>
      <c r="BE36" s="252"/>
      <c r="BF36" s="252"/>
      <c r="BG36" s="252"/>
      <c r="BH36" s="252"/>
      <c r="BI36" s="252"/>
      <c r="BJ36" s="252"/>
      <c r="BK36" s="252"/>
      <c r="BL36" s="252"/>
      <c r="BM36" s="252"/>
      <c r="BN36" s="252"/>
      <c r="BO36" s="252"/>
      <c r="BP36" s="252"/>
      <c r="BQ36" s="252"/>
      <c r="BR36" s="252"/>
      <c r="BS36" s="252"/>
      <c r="BT36" s="252"/>
      <c r="BU36" s="252"/>
      <c r="BV36" s="252"/>
      <c r="BW36" s="252"/>
      <c r="BX36" s="252"/>
      <c r="BY36" s="252"/>
      <c r="BZ36" s="252"/>
      <c r="CA36" s="252"/>
      <c r="CB36" s="252"/>
      <c r="CC36" s="252"/>
      <c r="CD36" s="252"/>
      <c r="CE36" s="252"/>
      <c r="CF36" s="252"/>
      <c r="CG36" s="252"/>
      <c r="CH36" s="252"/>
      <c r="CI36" s="252"/>
      <c r="CJ36" s="252"/>
      <c r="CK36" s="252"/>
      <c r="CL36" s="252"/>
      <c r="CM36" s="252"/>
      <c r="CN36" s="252"/>
      <c r="CO36" s="252"/>
      <c r="CP36" s="252"/>
      <c r="CQ36" s="252"/>
      <c r="CR36" s="252"/>
      <c r="CS36" s="252"/>
      <c r="CT36" s="252"/>
      <c r="CU36" s="252"/>
      <c r="CV36" s="252"/>
      <c r="CW36" s="252"/>
      <c r="CX36" s="252"/>
      <c r="CY36" s="252"/>
      <c r="CZ36" s="252"/>
      <c r="DA36" s="252"/>
      <c r="DB36" s="252"/>
      <c r="DC36" s="252"/>
      <c r="DD36" s="252"/>
      <c r="DE36" s="252"/>
      <c r="DF36" s="252"/>
      <c r="DG36" s="252"/>
      <c r="DH36" s="252"/>
      <c r="DI36" s="252"/>
      <c r="DJ36" s="252"/>
      <c r="DK36" s="252"/>
      <c r="DL36" s="252"/>
      <c r="DM36" s="252"/>
      <c r="DN36" s="252"/>
      <c r="DO36" s="252"/>
      <c r="DP36" s="252"/>
      <c r="DQ36" s="252"/>
      <c r="DR36" s="252"/>
      <c r="DS36" s="252"/>
      <c r="DT36" s="252"/>
      <c r="DU36" s="252"/>
      <c r="DV36" s="252"/>
      <c r="DW36" s="252"/>
      <c r="DX36" s="252"/>
      <c r="DY36" s="252"/>
      <c r="DZ36" s="252"/>
      <c r="EA36" s="252"/>
      <c r="EB36" s="252"/>
      <c r="EC36" s="252"/>
      <c r="ED36" s="252"/>
      <c r="EE36" s="252"/>
      <c r="EF36" s="252"/>
      <c r="EG36" s="252"/>
      <c r="EH36" s="252"/>
      <c r="EI36" s="252"/>
      <c r="EJ36" s="252"/>
      <c r="EK36" s="252"/>
      <c r="EL36" s="252"/>
      <c r="EM36" s="252"/>
      <c r="EN36" s="252"/>
      <c r="EO36" s="252"/>
      <c r="EP36" s="252"/>
      <c r="EQ36" s="252"/>
      <c r="ER36" s="252"/>
      <c r="ES36" s="252"/>
      <c r="ET36" s="252"/>
      <c r="EU36" s="252"/>
      <c r="EV36" s="252"/>
      <c r="EW36" s="252"/>
      <c r="EX36" s="252"/>
      <c r="EY36" s="252"/>
      <c r="EZ36" s="252"/>
      <c r="FA36" s="189">
        <f t="shared" si="4"/>
        <v>4978</v>
      </c>
      <c r="FB36" s="961">
        <f>100000-FA36+350000+350000</f>
        <v>795022</v>
      </c>
      <c r="FC36" s="988" t="str">
        <f t="shared" si="5"/>
        <v>Paradise Cookies &amp; Ice Cream</v>
      </c>
      <c r="FE36" s="234">
        <f t="shared" si="3"/>
        <v>4978</v>
      </c>
      <c r="FI36" s="234">
        <v>122348</v>
      </c>
      <c r="FJ36" s="234"/>
      <c r="FK36" s="979">
        <v>27</v>
      </c>
      <c r="FL36" s="981">
        <f t="shared" si="2"/>
        <v>5326.8205128205127</v>
      </c>
      <c r="FM36" s="977">
        <v>51936.5</v>
      </c>
      <c r="FN36" s="978" t="s">
        <v>188</v>
      </c>
    </row>
    <row r="37" spans="1:170" ht="10.15" customHeight="1">
      <c r="A37" s="195" t="s">
        <v>246</v>
      </c>
      <c r="B37" s="738">
        <f>'12.01.22'!E9</f>
        <v>4218</v>
      </c>
      <c r="C37" s="738"/>
      <c r="D37" s="738">
        <f>'12.03.22'!E29</f>
        <v>3154</v>
      </c>
      <c r="E37" s="738">
        <f>'12.04.22'!E19</f>
        <v>5700</v>
      </c>
      <c r="F37" s="589"/>
      <c r="G37" s="589">
        <f>'12.06.22'!E27</f>
        <v>5016</v>
      </c>
      <c r="H37" s="589"/>
      <c r="I37" s="589">
        <f>'12.08.22'!E7+'12.08.22'!E20</f>
        <v>9471.5</v>
      </c>
      <c r="J37" s="252"/>
      <c r="K37" s="1139"/>
      <c r="L37" s="252"/>
      <c r="M37" s="252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  <c r="AA37" s="252"/>
      <c r="AB37" s="252"/>
      <c r="AC37" s="252"/>
      <c r="AD37" s="252"/>
      <c r="AE37" s="252"/>
      <c r="AF37" s="252"/>
      <c r="AG37" s="252"/>
      <c r="AH37" s="252"/>
      <c r="AI37" s="252"/>
      <c r="AJ37" s="252"/>
      <c r="AK37" s="252"/>
      <c r="AL37" s="252"/>
      <c r="AM37" s="252"/>
      <c r="AN37" s="252"/>
      <c r="AO37" s="252"/>
      <c r="AP37" s="252"/>
      <c r="AQ37" s="252"/>
      <c r="AR37" s="252"/>
      <c r="AS37" s="252"/>
      <c r="AT37" s="252"/>
      <c r="AU37" s="252"/>
      <c r="AV37" s="252"/>
      <c r="AW37" s="252"/>
      <c r="AX37" s="252"/>
      <c r="AY37" s="252"/>
      <c r="AZ37" s="252"/>
      <c r="BA37" s="252"/>
      <c r="BB37" s="252"/>
      <c r="BC37" s="252"/>
      <c r="BD37" s="252"/>
      <c r="BE37" s="252"/>
      <c r="BF37" s="252"/>
      <c r="BG37" s="252"/>
      <c r="BH37" s="252"/>
      <c r="BI37" s="252"/>
      <c r="BJ37" s="252"/>
      <c r="BK37" s="252"/>
      <c r="BL37" s="252"/>
      <c r="BM37" s="252"/>
      <c r="BN37" s="252"/>
      <c r="BO37" s="252"/>
      <c r="BP37" s="252"/>
      <c r="BQ37" s="252"/>
      <c r="BR37" s="252"/>
      <c r="BS37" s="252"/>
      <c r="BT37" s="252"/>
      <c r="BU37" s="252"/>
      <c r="BV37" s="252"/>
      <c r="BW37" s="252"/>
      <c r="BX37" s="252"/>
      <c r="BY37" s="252"/>
      <c r="BZ37" s="252"/>
      <c r="CA37" s="252"/>
      <c r="CB37" s="252"/>
      <c r="CC37" s="252"/>
      <c r="CD37" s="252"/>
      <c r="CE37" s="252"/>
      <c r="CF37" s="252"/>
      <c r="CG37" s="252"/>
      <c r="CH37" s="252"/>
      <c r="CI37" s="252"/>
      <c r="CJ37" s="252"/>
      <c r="CK37" s="252"/>
      <c r="CL37" s="252"/>
      <c r="CM37" s="252"/>
      <c r="CN37" s="252"/>
      <c r="CO37" s="252"/>
      <c r="CP37" s="252"/>
      <c r="CQ37" s="252"/>
      <c r="CR37" s="252"/>
      <c r="CS37" s="252"/>
      <c r="CT37" s="252"/>
      <c r="CU37" s="252"/>
      <c r="CV37" s="252"/>
      <c r="CW37" s="252"/>
      <c r="CX37" s="252"/>
      <c r="CY37" s="252"/>
      <c r="CZ37" s="252"/>
      <c r="DA37" s="252"/>
      <c r="DB37" s="252"/>
      <c r="DC37" s="252"/>
      <c r="DD37" s="252"/>
      <c r="DE37" s="252"/>
      <c r="DF37" s="252"/>
      <c r="DG37" s="252"/>
      <c r="DH37" s="252"/>
      <c r="DI37" s="252"/>
      <c r="DJ37" s="252"/>
      <c r="DK37" s="252"/>
      <c r="DL37" s="252"/>
      <c r="DM37" s="252"/>
      <c r="DN37" s="252"/>
      <c r="DO37" s="252"/>
      <c r="DP37" s="252"/>
      <c r="DQ37" s="252"/>
      <c r="DR37" s="252"/>
      <c r="DS37" s="252"/>
      <c r="DT37" s="252"/>
      <c r="DU37" s="252"/>
      <c r="DV37" s="252"/>
      <c r="DW37" s="252"/>
      <c r="DX37" s="252"/>
      <c r="DY37" s="252"/>
      <c r="DZ37" s="252"/>
      <c r="EA37" s="252"/>
      <c r="EB37" s="252"/>
      <c r="EC37" s="252"/>
      <c r="ED37" s="252"/>
      <c r="EE37" s="252"/>
      <c r="EF37" s="252"/>
      <c r="EG37" s="252"/>
      <c r="EH37" s="252"/>
      <c r="EI37" s="252"/>
      <c r="EJ37" s="252"/>
      <c r="EK37" s="252"/>
      <c r="EL37" s="252"/>
      <c r="EM37" s="252"/>
      <c r="EN37" s="252"/>
      <c r="EO37" s="252"/>
      <c r="EP37" s="252"/>
      <c r="EQ37" s="252"/>
      <c r="ER37" s="252"/>
      <c r="ES37" s="252"/>
      <c r="ET37" s="252"/>
      <c r="EU37" s="252"/>
      <c r="EV37" s="252"/>
      <c r="EW37" s="252"/>
      <c r="EX37" s="252"/>
      <c r="EY37" s="252"/>
      <c r="EZ37" s="252"/>
      <c r="FA37" s="189">
        <f t="shared" si="4"/>
        <v>27559.5</v>
      </c>
      <c r="FB37" s="961">
        <f>100000-FA37+350000</f>
        <v>422440.5</v>
      </c>
      <c r="FC37" s="194" t="str">
        <f t="shared" si="5"/>
        <v>Perro 1-10 Tacos</v>
      </c>
      <c r="FE37" s="234">
        <f t="shared" si="3"/>
        <v>27559.5</v>
      </c>
      <c r="FI37" s="234">
        <v>197247.5</v>
      </c>
      <c r="FJ37" s="234"/>
      <c r="FK37" s="979">
        <v>28</v>
      </c>
      <c r="FL37" s="981">
        <f t="shared" si="2"/>
        <v>5196.6153846153848</v>
      </c>
      <c r="FM37" s="977">
        <v>50667</v>
      </c>
      <c r="FN37" s="978" t="s">
        <v>159</v>
      </c>
    </row>
    <row r="38" spans="1:170" ht="10.15" customHeight="1">
      <c r="A38" s="195" t="s">
        <v>66</v>
      </c>
      <c r="B38" s="738"/>
      <c r="C38" s="738"/>
      <c r="D38" s="738"/>
      <c r="E38" s="738"/>
      <c r="F38" s="252"/>
      <c r="G38" s="252"/>
      <c r="H38" s="252"/>
      <c r="I38" s="252">
        <f>'12.08.22'!E24+'12.08.22'!E11</f>
        <v>6631</v>
      </c>
      <c r="J38" s="589">
        <f>'12.13.22'!E8</f>
        <v>1871.5</v>
      </c>
      <c r="K38" s="1139"/>
      <c r="L38" s="252"/>
      <c r="M38" s="252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  <c r="AA38" s="252"/>
      <c r="AB38" s="252"/>
      <c r="AC38" s="252"/>
      <c r="AD38" s="252"/>
      <c r="AE38" s="252"/>
      <c r="AF38" s="252"/>
      <c r="AG38" s="252"/>
      <c r="AH38" s="252"/>
      <c r="AI38" s="252"/>
      <c r="AJ38" s="252"/>
      <c r="AK38" s="252"/>
      <c r="AL38" s="252"/>
      <c r="AM38" s="252"/>
      <c r="AN38" s="252"/>
      <c r="AO38" s="252"/>
      <c r="AP38" s="252"/>
      <c r="AQ38" s="252"/>
      <c r="AR38" s="252"/>
      <c r="AS38" s="252"/>
      <c r="AT38" s="252"/>
      <c r="AU38" s="252"/>
      <c r="AV38" s="252"/>
      <c r="AW38" s="252"/>
      <c r="AX38" s="252"/>
      <c r="AY38" s="252"/>
      <c r="AZ38" s="252"/>
      <c r="BA38" s="252"/>
      <c r="BB38" s="252"/>
      <c r="BC38" s="252"/>
      <c r="BD38" s="252"/>
      <c r="BE38" s="252"/>
      <c r="BF38" s="252"/>
      <c r="BG38" s="252"/>
      <c r="BH38" s="252"/>
      <c r="BI38" s="252"/>
      <c r="BJ38" s="252"/>
      <c r="BK38" s="252"/>
      <c r="BL38" s="252"/>
      <c r="BM38" s="252"/>
      <c r="BN38" s="252"/>
      <c r="BO38" s="252"/>
      <c r="BP38" s="252"/>
      <c r="BQ38" s="252"/>
      <c r="BR38" s="252"/>
      <c r="BS38" s="252"/>
      <c r="BT38" s="252"/>
      <c r="BU38" s="252"/>
      <c r="BV38" s="252"/>
      <c r="BW38" s="252"/>
      <c r="BX38" s="252"/>
      <c r="BY38" s="252"/>
      <c r="BZ38" s="252"/>
      <c r="CA38" s="252"/>
      <c r="CB38" s="252"/>
      <c r="CC38" s="252"/>
      <c r="CD38" s="252"/>
      <c r="CE38" s="252"/>
      <c r="CF38" s="252"/>
      <c r="CG38" s="252"/>
      <c r="CH38" s="252"/>
      <c r="CI38" s="252"/>
      <c r="CJ38" s="252"/>
      <c r="CK38" s="252"/>
      <c r="CL38" s="252"/>
      <c r="CM38" s="252"/>
      <c r="CN38" s="252"/>
      <c r="CO38" s="252"/>
      <c r="CP38" s="252"/>
      <c r="CQ38" s="252"/>
      <c r="CR38" s="252"/>
      <c r="CS38" s="252"/>
      <c r="CT38" s="252"/>
      <c r="CU38" s="252"/>
      <c r="CV38" s="252"/>
      <c r="CW38" s="252"/>
      <c r="CX38" s="252"/>
      <c r="CY38" s="252"/>
      <c r="CZ38" s="252"/>
      <c r="DA38" s="252"/>
      <c r="DB38" s="252"/>
      <c r="DC38" s="252"/>
      <c r="DD38" s="252"/>
      <c r="DE38" s="252"/>
      <c r="DF38" s="252"/>
      <c r="DG38" s="252"/>
      <c r="DH38" s="252"/>
      <c r="DI38" s="252"/>
      <c r="DJ38" s="252"/>
      <c r="DK38" s="252"/>
      <c r="DL38" s="252"/>
      <c r="DM38" s="252"/>
      <c r="DN38" s="252"/>
      <c r="DO38" s="252"/>
      <c r="DP38" s="252"/>
      <c r="DQ38" s="252"/>
      <c r="DR38" s="252"/>
      <c r="DS38" s="252"/>
      <c r="DT38" s="252"/>
      <c r="DU38" s="252"/>
      <c r="DV38" s="252"/>
      <c r="DW38" s="252"/>
      <c r="DX38" s="252"/>
      <c r="DY38" s="252"/>
      <c r="DZ38" s="252"/>
      <c r="EA38" s="252"/>
      <c r="EB38" s="252"/>
      <c r="EC38" s="252"/>
      <c r="ED38" s="252"/>
      <c r="EE38" s="252"/>
      <c r="EF38" s="252"/>
      <c r="EG38" s="252"/>
      <c r="EH38" s="252"/>
      <c r="EI38" s="252"/>
      <c r="EJ38" s="252"/>
      <c r="EK38" s="252"/>
      <c r="EL38" s="252"/>
      <c r="EM38" s="252"/>
      <c r="EN38" s="252"/>
      <c r="EO38" s="252"/>
      <c r="EP38" s="252"/>
      <c r="EQ38" s="252"/>
      <c r="ER38" s="252"/>
      <c r="ES38" s="252"/>
      <c r="ET38" s="252"/>
      <c r="EU38" s="252"/>
      <c r="EV38" s="252"/>
      <c r="EW38" s="252"/>
      <c r="EX38" s="252"/>
      <c r="EY38" s="252"/>
      <c r="EZ38" s="252"/>
      <c r="FA38" s="189">
        <f t="shared" si="4"/>
        <v>8502.5</v>
      </c>
      <c r="FB38" s="961">
        <f>100000-FA38+350000</f>
        <v>441497.5</v>
      </c>
      <c r="FC38" s="194" t="str">
        <f t="shared" si="5"/>
        <v>PhillyJay's Steaks</v>
      </c>
      <c r="FE38" s="234">
        <f t="shared" si="3"/>
        <v>8502.5</v>
      </c>
      <c r="FI38" s="234">
        <v>192935</v>
      </c>
      <c r="FJ38" s="234"/>
      <c r="FK38" s="979">
        <v>29</v>
      </c>
      <c r="FL38" s="981">
        <f t="shared" si="2"/>
        <v>4492.7692307692305</v>
      </c>
      <c r="FM38" s="977">
        <v>43804.5</v>
      </c>
      <c r="FN38" s="978" t="s">
        <v>258</v>
      </c>
    </row>
    <row r="39" spans="1:170" ht="10.15" customHeight="1">
      <c r="A39" s="196" t="s">
        <v>65</v>
      </c>
      <c r="B39" s="738">
        <f>'12.01.22'!E7 + '12.01.22'!E17</f>
        <v>9158</v>
      </c>
      <c r="C39" s="738">
        <f>'12.02.22'!E19</f>
        <v>4531.5</v>
      </c>
      <c r="D39" s="738"/>
      <c r="E39" s="738">
        <f>'12.04.22'!E17</f>
        <v>6080</v>
      </c>
      <c r="F39" s="589"/>
      <c r="G39" s="589"/>
      <c r="H39" s="589">
        <f>'12.07.22'!E8+'12.07.22'!E17</f>
        <v>7277</v>
      </c>
      <c r="I39" s="589">
        <f>'12.08.22'!E10</f>
        <v>3543.5</v>
      </c>
      <c r="J39" s="252"/>
      <c r="K39" s="1139"/>
      <c r="L39" s="252"/>
      <c r="M39" s="252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  <c r="AA39" s="252"/>
      <c r="AB39" s="252"/>
      <c r="AC39" s="252"/>
      <c r="AD39" s="252"/>
      <c r="AE39" s="252"/>
      <c r="AF39" s="252"/>
      <c r="AG39" s="252"/>
      <c r="AH39" s="252"/>
      <c r="AI39" s="252"/>
      <c r="AJ39" s="252"/>
      <c r="AK39" s="252"/>
      <c r="AL39" s="252"/>
      <c r="AM39" s="252"/>
      <c r="AN39" s="252"/>
      <c r="AO39" s="252"/>
      <c r="AP39" s="252"/>
      <c r="AQ39" s="252"/>
      <c r="AR39" s="252"/>
      <c r="AS39" s="252"/>
      <c r="AT39" s="252"/>
      <c r="AU39" s="252"/>
      <c r="AV39" s="252"/>
      <c r="AW39" s="252"/>
      <c r="AX39" s="252"/>
      <c r="AY39" s="252"/>
      <c r="AZ39" s="252"/>
      <c r="BA39" s="252"/>
      <c r="BB39" s="252"/>
      <c r="BC39" s="252"/>
      <c r="BD39" s="252"/>
      <c r="BE39" s="252"/>
      <c r="BF39" s="252"/>
      <c r="BG39" s="252"/>
      <c r="BH39" s="252"/>
      <c r="BI39" s="252"/>
      <c r="BJ39" s="252"/>
      <c r="BK39" s="252"/>
      <c r="BL39" s="252"/>
      <c r="BM39" s="252"/>
      <c r="BN39" s="252"/>
      <c r="BO39" s="252"/>
      <c r="BP39" s="252"/>
      <c r="BQ39" s="252"/>
      <c r="BR39" s="252"/>
      <c r="BS39" s="252"/>
      <c r="BT39" s="252"/>
      <c r="BU39" s="252"/>
      <c r="BV39" s="252"/>
      <c r="BW39" s="252"/>
      <c r="BX39" s="252"/>
      <c r="BY39" s="252"/>
      <c r="BZ39" s="252"/>
      <c r="CA39" s="252"/>
      <c r="CB39" s="252"/>
      <c r="CC39" s="252"/>
      <c r="CD39" s="252"/>
      <c r="CE39" s="252"/>
      <c r="CF39" s="252"/>
      <c r="CG39" s="252"/>
      <c r="CH39" s="252"/>
      <c r="CI39" s="252"/>
      <c r="CJ39" s="252"/>
      <c r="CK39" s="252"/>
      <c r="CL39" s="252"/>
      <c r="CM39" s="252"/>
      <c r="CN39" s="252"/>
      <c r="CO39" s="252"/>
      <c r="CP39" s="252"/>
      <c r="CQ39" s="252"/>
      <c r="CR39" s="252"/>
      <c r="CS39" s="252"/>
      <c r="CT39" s="252"/>
      <c r="CU39" s="252"/>
      <c r="CV39" s="252"/>
      <c r="CW39" s="252"/>
      <c r="CX39" s="252"/>
      <c r="CY39" s="252"/>
      <c r="CZ39" s="252"/>
      <c r="DA39" s="252"/>
      <c r="DB39" s="252"/>
      <c r="DC39" s="252"/>
      <c r="DD39" s="252"/>
      <c r="DE39" s="252"/>
      <c r="DF39" s="252"/>
      <c r="DG39" s="252"/>
      <c r="DH39" s="252"/>
      <c r="DI39" s="252"/>
      <c r="DJ39" s="252"/>
      <c r="DK39" s="252"/>
      <c r="DL39" s="252"/>
      <c r="DM39" s="252"/>
      <c r="DN39" s="252"/>
      <c r="DO39" s="252"/>
      <c r="DP39" s="252"/>
      <c r="DQ39" s="252"/>
      <c r="DR39" s="252"/>
      <c r="DS39" s="252"/>
      <c r="DT39" s="252"/>
      <c r="DU39" s="252"/>
      <c r="DV39" s="252"/>
      <c r="DW39" s="252"/>
      <c r="DX39" s="252"/>
      <c r="DY39" s="252"/>
      <c r="DZ39" s="252"/>
      <c r="EA39" s="252"/>
      <c r="EB39" s="252"/>
      <c r="EC39" s="252"/>
      <c r="ED39" s="252"/>
      <c r="EE39" s="252"/>
      <c r="EF39" s="252"/>
      <c r="EG39" s="252"/>
      <c r="EH39" s="252"/>
      <c r="EI39" s="252"/>
      <c r="EJ39" s="252"/>
      <c r="EK39" s="252"/>
      <c r="EL39" s="252"/>
      <c r="EM39" s="252"/>
      <c r="EN39" s="252"/>
      <c r="EO39" s="252"/>
      <c r="EP39" s="252"/>
      <c r="EQ39" s="252"/>
      <c r="ER39" s="252"/>
      <c r="ES39" s="252"/>
      <c r="ET39" s="252"/>
      <c r="EU39" s="252"/>
      <c r="EV39" s="252"/>
      <c r="EW39" s="252"/>
      <c r="EX39" s="252"/>
      <c r="EY39" s="252"/>
      <c r="EZ39" s="252"/>
      <c r="FA39" s="189">
        <f t="shared" si="4"/>
        <v>30590</v>
      </c>
      <c r="FB39" s="961">
        <f>449000-FA39+350000</f>
        <v>768410</v>
      </c>
      <c r="FC39" s="194" t="str">
        <f t="shared" si="5"/>
        <v>Pinch of Flavor</v>
      </c>
      <c r="FE39" s="234">
        <f t="shared" si="3"/>
        <v>30590</v>
      </c>
      <c r="FI39" s="234">
        <v>6760</v>
      </c>
      <c r="FJ39" s="234"/>
      <c r="FK39" s="979">
        <v>30</v>
      </c>
      <c r="FL39" s="981">
        <f t="shared" si="2"/>
        <v>4330.666666666667</v>
      </c>
      <c r="FM39" s="977">
        <v>42224</v>
      </c>
      <c r="FN39" s="978" t="s">
        <v>205</v>
      </c>
    </row>
    <row r="40" spans="1:170" ht="10.15" customHeight="1">
      <c r="A40" s="195" t="s">
        <v>82</v>
      </c>
      <c r="B40" s="738"/>
      <c r="C40" s="738">
        <f>'12.02.22'!E7</f>
        <v>4151.5</v>
      </c>
      <c r="D40" s="738"/>
      <c r="E40" s="738"/>
      <c r="F40" s="589">
        <f>'12.05.22'!E18</f>
        <v>3515</v>
      </c>
      <c r="G40" s="589"/>
      <c r="H40" s="589"/>
      <c r="I40" s="589"/>
      <c r="J40" s="252"/>
      <c r="K40" s="1139"/>
      <c r="L40" s="252"/>
      <c r="M40" s="252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  <c r="AA40" s="252"/>
      <c r="AB40" s="252"/>
      <c r="AC40" s="252"/>
      <c r="AD40" s="252"/>
      <c r="AE40" s="252"/>
      <c r="AF40" s="252"/>
      <c r="AG40" s="252"/>
      <c r="AH40" s="252"/>
      <c r="AI40" s="252"/>
      <c r="AJ40" s="252"/>
      <c r="AK40" s="252"/>
      <c r="AL40" s="252"/>
      <c r="AM40" s="252"/>
      <c r="AN40" s="252"/>
      <c r="AO40" s="252"/>
      <c r="AP40" s="252"/>
      <c r="AQ40" s="252"/>
      <c r="AR40" s="252"/>
      <c r="AS40" s="252"/>
      <c r="AT40" s="252"/>
      <c r="AU40" s="252"/>
      <c r="AV40" s="252"/>
      <c r="AW40" s="252"/>
      <c r="AX40" s="252"/>
      <c r="AY40" s="252"/>
      <c r="AZ40" s="252"/>
      <c r="BA40" s="252"/>
      <c r="BB40" s="252"/>
      <c r="BC40" s="252"/>
      <c r="BD40" s="252"/>
      <c r="BE40" s="252"/>
      <c r="BF40" s="252"/>
      <c r="BG40" s="252"/>
      <c r="BH40" s="252"/>
      <c r="BI40" s="252"/>
      <c r="BJ40" s="252"/>
      <c r="BK40" s="252"/>
      <c r="BL40" s="252"/>
      <c r="BM40" s="252"/>
      <c r="BN40" s="252"/>
      <c r="BO40" s="252"/>
      <c r="BP40" s="252"/>
      <c r="BQ40" s="252"/>
      <c r="BR40" s="252"/>
      <c r="BS40" s="252"/>
      <c r="BT40" s="252"/>
      <c r="BU40" s="252"/>
      <c r="BV40" s="252"/>
      <c r="BW40" s="252"/>
      <c r="BX40" s="252"/>
      <c r="BY40" s="252"/>
      <c r="BZ40" s="252"/>
      <c r="CA40" s="252"/>
      <c r="CB40" s="252"/>
      <c r="CC40" s="252"/>
      <c r="CD40" s="252"/>
      <c r="CE40" s="252"/>
      <c r="CF40" s="252"/>
      <c r="CG40" s="252"/>
      <c r="CH40" s="252"/>
      <c r="CI40" s="252"/>
      <c r="CJ40" s="252"/>
      <c r="CK40" s="252"/>
      <c r="CL40" s="252"/>
      <c r="CM40" s="252"/>
      <c r="CN40" s="252"/>
      <c r="CO40" s="252"/>
      <c r="CP40" s="252"/>
      <c r="CQ40" s="252"/>
      <c r="CR40" s="252"/>
      <c r="CS40" s="252"/>
      <c r="CT40" s="252"/>
      <c r="CU40" s="252"/>
      <c r="CV40" s="252"/>
      <c r="CW40" s="252"/>
      <c r="CX40" s="252"/>
      <c r="CY40" s="252"/>
      <c r="CZ40" s="252"/>
      <c r="DA40" s="252"/>
      <c r="DB40" s="252"/>
      <c r="DC40" s="252"/>
      <c r="DD40" s="252"/>
      <c r="DE40" s="252"/>
      <c r="DF40" s="252"/>
      <c r="DG40" s="252"/>
      <c r="DH40" s="252"/>
      <c r="DI40" s="252"/>
      <c r="DJ40" s="252"/>
      <c r="DK40" s="252"/>
      <c r="DL40" s="252"/>
      <c r="DM40" s="252"/>
      <c r="DN40" s="252"/>
      <c r="DO40" s="252"/>
      <c r="DP40" s="252"/>
      <c r="DQ40" s="252"/>
      <c r="DR40" s="252"/>
      <c r="DS40" s="252"/>
      <c r="DT40" s="252"/>
      <c r="DU40" s="252"/>
      <c r="DV40" s="252"/>
      <c r="DW40" s="252"/>
      <c r="DX40" s="252"/>
      <c r="DY40" s="252"/>
      <c r="DZ40" s="252"/>
      <c r="EA40" s="252"/>
      <c r="EB40" s="252"/>
      <c r="EC40" s="252"/>
      <c r="ED40" s="252"/>
      <c r="EE40" s="252"/>
      <c r="EF40" s="252"/>
      <c r="EG40" s="252"/>
      <c r="EH40" s="252"/>
      <c r="EI40" s="252"/>
      <c r="EJ40" s="252"/>
      <c r="EK40" s="252"/>
      <c r="EL40" s="252"/>
      <c r="EM40" s="252"/>
      <c r="EN40" s="252"/>
      <c r="EO40" s="252"/>
      <c r="EP40" s="252"/>
      <c r="EQ40" s="252"/>
      <c r="ER40" s="252"/>
      <c r="ES40" s="252"/>
      <c r="ET40" s="252"/>
      <c r="EU40" s="252"/>
      <c r="EV40" s="252"/>
      <c r="EW40" s="252"/>
      <c r="EX40" s="252"/>
      <c r="EY40" s="252"/>
      <c r="EZ40" s="252"/>
      <c r="FA40" s="189">
        <f t="shared" si="4"/>
        <v>7666.5</v>
      </c>
      <c r="FB40" s="961">
        <f>100000-FA40+350000</f>
        <v>442333.5</v>
      </c>
      <c r="FC40" s="194" t="str">
        <f t="shared" si="5"/>
        <v>Poutine Brothers</v>
      </c>
      <c r="FE40" s="234">
        <f t="shared" si="3"/>
        <v>7666.5</v>
      </c>
      <c r="FI40" s="782">
        <v>127767.5</v>
      </c>
      <c r="FJ40" s="234"/>
      <c r="FK40" s="979">
        <v>31</v>
      </c>
      <c r="FL40" s="981">
        <f t="shared" si="2"/>
        <v>4291.8461538461543</v>
      </c>
      <c r="FM40" s="977">
        <v>41845.5</v>
      </c>
      <c r="FN40" s="978" t="s">
        <v>239</v>
      </c>
    </row>
    <row r="41" spans="1:170" ht="10.15" customHeight="1">
      <c r="A41" s="195" t="s">
        <v>329</v>
      </c>
      <c r="B41" s="738"/>
      <c r="C41" s="738"/>
      <c r="D41" s="738">
        <f>'12.03.22'!E7</f>
        <v>7125</v>
      </c>
      <c r="E41" s="738">
        <f>'12.04.22'!E8</f>
        <v>7144</v>
      </c>
      <c r="F41" s="589"/>
      <c r="G41" s="589"/>
      <c r="H41" s="589"/>
      <c r="I41" s="589">
        <f>'12.08.22'!E12+'12.08.22'!E25</f>
        <v>12150.5</v>
      </c>
      <c r="J41" s="252"/>
      <c r="K41" s="1139"/>
      <c r="L41" s="252"/>
      <c r="M41" s="252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  <c r="AA41" s="252"/>
      <c r="AB41" s="252"/>
      <c r="AC41" s="252"/>
      <c r="AD41" s="252"/>
      <c r="AE41" s="252"/>
      <c r="AF41" s="252"/>
      <c r="AG41" s="252"/>
      <c r="AH41" s="252"/>
      <c r="AI41" s="252"/>
      <c r="AJ41" s="252"/>
      <c r="AK41" s="252"/>
      <c r="AL41" s="252"/>
      <c r="AM41" s="252"/>
      <c r="AN41" s="252"/>
      <c r="AO41" s="252"/>
      <c r="AP41" s="252"/>
      <c r="AQ41" s="252"/>
      <c r="AR41" s="252"/>
      <c r="AS41" s="252"/>
      <c r="AT41" s="252"/>
      <c r="AU41" s="252"/>
      <c r="AV41" s="252"/>
      <c r="AW41" s="252"/>
      <c r="AX41" s="252"/>
      <c r="AY41" s="252"/>
      <c r="AZ41" s="252"/>
      <c r="BA41" s="252"/>
      <c r="BB41" s="252"/>
      <c r="BC41" s="252"/>
      <c r="BD41" s="252"/>
      <c r="BE41" s="252"/>
      <c r="BF41" s="252"/>
      <c r="BG41" s="252"/>
      <c r="BH41" s="252"/>
      <c r="BI41" s="252"/>
      <c r="BJ41" s="252"/>
      <c r="BK41" s="252"/>
      <c r="BL41" s="252"/>
      <c r="BM41" s="252"/>
      <c r="BN41" s="252"/>
      <c r="BO41" s="252"/>
      <c r="BP41" s="252"/>
      <c r="BQ41" s="252"/>
      <c r="BR41" s="252"/>
      <c r="BS41" s="252"/>
      <c r="BT41" s="252"/>
      <c r="BU41" s="252"/>
      <c r="BV41" s="252"/>
      <c r="BW41" s="252"/>
      <c r="BX41" s="252"/>
      <c r="BY41" s="252"/>
      <c r="BZ41" s="252"/>
      <c r="CA41" s="252"/>
      <c r="CB41" s="252"/>
      <c r="CC41" s="252"/>
      <c r="CD41" s="252"/>
      <c r="CE41" s="252"/>
      <c r="CF41" s="252"/>
      <c r="CG41" s="252"/>
      <c r="CH41" s="252"/>
      <c r="CI41" s="252"/>
      <c r="CJ41" s="252"/>
      <c r="CK41" s="252"/>
      <c r="CL41" s="252"/>
      <c r="CM41" s="252"/>
      <c r="CN41" s="252"/>
      <c r="CO41" s="252"/>
      <c r="CP41" s="252"/>
      <c r="CQ41" s="252"/>
      <c r="CR41" s="252"/>
      <c r="CS41" s="252"/>
      <c r="CT41" s="252"/>
      <c r="CU41" s="252"/>
      <c r="CV41" s="252"/>
      <c r="CW41" s="252"/>
      <c r="CX41" s="252"/>
      <c r="CY41" s="252"/>
      <c r="CZ41" s="252"/>
      <c r="DA41" s="252"/>
      <c r="DB41" s="252"/>
      <c r="DC41" s="252"/>
      <c r="DD41" s="252"/>
      <c r="DE41" s="252"/>
      <c r="DF41" s="252"/>
      <c r="DG41" s="252"/>
      <c r="DH41" s="252"/>
      <c r="DI41" s="252"/>
      <c r="DJ41" s="252"/>
      <c r="DK41" s="252"/>
      <c r="DL41" s="252"/>
      <c r="DM41" s="252"/>
      <c r="DN41" s="252"/>
      <c r="DO41" s="252"/>
      <c r="DP41" s="252"/>
      <c r="DQ41" s="252"/>
      <c r="DR41" s="252"/>
      <c r="DS41" s="252"/>
      <c r="DT41" s="252"/>
      <c r="DU41" s="252"/>
      <c r="DV41" s="252"/>
      <c r="DW41" s="252"/>
      <c r="DX41" s="252"/>
      <c r="DY41" s="252"/>
      <c r="DZ41" s="252"/>
      <c r="EA41" s="252"/>
      <c r="EB41" s="252"/>
      <c r="EC41" s="252"/>
      <c r="ED41" s="252"/>
      <c r="EE41" s="252"/>
      <c r="EF41" s="252"/>
      <c r="EG41" s="252"/>
      <c r="EH41" s="252"/>
      <c r="EI41" s="252"/>
      <c r="EJ41" s="252"/>
      <c r="EK41" s="252"/>
      <c r="EL41" s="252"/>
      <c r="EM41" s="252"/>
      <c r="EN41" s="252"/>
      <c r="EO41" s="252"/>
      <c r="EP41" s="252"/>
      <c r="EQ41" s="252"/>
      <c r="ER41" s="252"/>
      <c r="ES41" s="252"/>
      <c r="ET41" s="252"/>
      <c r="EU41" s="252"/>
      <c r="EV41" s="252"/>
      <c r="EW41" s="252"/>
      <c r="EX41" s="252"/>
      <c r="EY41" s="252"/>
      <c r="EZ41" s="252"/>
      <c r="FA41" s="189">
        <f t="shared" si="4"/>
        <v>26419.5</v>
      </c>
      <c r="FB41" s="961">
        <f>100000-FA41</f>
        <v>73580.5</v>
      </c>
      <c r="FC41" s="194" t="str">
        <f t="shared" si="5"/>
        <v>Salpicon</v>
      </c>
      <c r="FE41" s="234">
        <f t="shared" si="3"/>
        <v>26419.5</v>
      </c>
      <c r="FI41" s="782"/>
      <c r="FJ41" s="234"/>
      <c r="FK41" s="979"/>
      <c r="FL41" s="981"/>
      <c r="FM41" s="977"/>
      <c r="FN41" s="978"/>
    </row>
    <row r="42" spans="1:170" ht="10.15" customHeight="1">
      <c r="A42" s="195" t="s">
        <v>83</v>
      </c>
      <c r="B42" s="738"/>
      <c r="C42" s="738"/>
      <c r="D42" s="738">
        <f>'12.03.22'!E9</f>
        <v>3325</v>
      </c>
      <c r="E42" s="738"/>
      <c r="F42" s="589">
        <f>'12.05.22'!E7</f>
        <v>3277.5</v>
      </c>
      <c r="G42" s="589"/>
      <c r="H42" s="589"/>
      <c r="I42" s="589"/>
      <c r="J42" s="252"/>
      <c r="K42" s="1139"/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  <c r="AA42" s="252"/>
      <c r="AB42" s="252"/>
      <c r="AC42" s="252"/>
      <c r="AD42" s="252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252"/>
      <c r="AR42" s="252"/>
      <c r="AS42" s="252"/>
      <c r="AT42" s="252"/>
      <c r="AU42" s="252"/>
      <c r="AV42" s="252"/>
      <c r="AW42" s="252"/>
      <c r="AX42" s="252"/>
      <c r="AY42" s="252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252"/>
      <c r="BM42" s="252"/>
      <c r="BN42" s="252"/>
      <c r="BO42" s="252"/>
      <c r="BP42" s="252"/>
      <c r="BQ42" s="252"/>
      <c r="BR42" s="252"/>
      <c r="BS42" s="252"/>
      <c r="BT42" s="252"/>
      <c r="BU42" s="252"/>
      <c r="BV42" s="252"/>
      <c r="BW42" s="252"/>
      <c r="BX42" s="252"/>
      <c r="BY42" s="252"/>
      <c r="BZ42" s="252"/>
      <c r="CA42" s="252"/>
      <c r="CB42" s="252"/>
      <c r="CC42" s="252"/>
      <c r="CD42" s="252"/>
      <c r="CE42" s="252"/>
      <c r="CF42" s="252"/>
      <c r="CG42" s="252"/>
      <c r="CH42" s="252"/>
      <c r="CI42" s="252"/>
      <c r="CJ42" s="252"/>
      <c r="CK42" s="252"/>
      <c r="CL42" s="252"/>
      <c r="CM42" s="252"/>
      <c r="CN42" s="252"/>
      <c r="CO42" s="252"/>
      <c r="CP42" s="252"/>
      <c r="CQ42" s="252"/>
      <c r="CR42" s="252"/>
      <c r="CS42" s="252"/>
      <c r="CT42" s="252"/>
      <c r="CU42" s="252"/>
      <c r="CV42" s="252"/>
      <c r="CW42" s="252"/>
      <c r="CX42" s="252"/>
      <c r="CY42" s="252"/>
      <c r="CZ42" s="252"/>
      <c r="DA42" s="252"/>
      <c r="DB42" s="252"/>
      <c r="DC42" s="252"/>
      <c r="DD42" s="252"/>
      <c r="DE42" s="252"/>
      <c r="DF42" s="252"/>
      <c r="DG42" s="252"/>
      <c r="DH42" s="252"/>
      <c r="DI42" s="252"/>
      <c r="DJ42" s="252"/>
      <c r="DK42" s="252"/>
      <c r="DL42" s="252"/>
      <c r="DM42" s="252"/>
      <c r="DN42" s="252"/>
      <c r="DO42" s="252"/>
      <c r="DP42" s="252"/>
      <c r="DQ42" s="252"/>
      <c r="DR42" s="252"/>
      <c r="DS42" s="252"/>
      <c r="DT42" s="252"/>
      <c r="DU42" s="252"/>
      <c r="DV42" s="252"/>
      <c r="DW42" s="252"/>
      <c r="DX42" s="252"/>
      <c r="DY42" s="252"/>
      <c r="DZ42" s="252"/>
      <c r="EA42" s="252"/>
      <c r="EB42" s="252"/>
      <c r="EC42" s="252"/>
      <c r="ED42" s="252"/>
      <c r="EE42" s="252"/>
      <c r="EF42" s="252"/>
      <c r="EG42" s="252"/>
      <c r="EH42" s="252"/>
      <c r="EI42" s="252"/>
      <c r="EJ42" s="252"/>
      <c r="EK42" s="252"/>
      <c r="EL42" s="252"/>
      <c r="EM42" s="252"/>
      <c r="EN42" s="252"/>
      <c r="EO42" s="252"/>
      <c r="EP42" s="252"/>
      <c r="EQ42" s="252"/>
      <c r="ER42" s="252"/>
      <c r="ES42" s="252"/>
      <c r="ET42" s="252"/>
      <c r="EU42" s="252"/>
      <c r="EV42" s="252"/>
      <c r="EW42" s="252"/>
      <c r="EX42" s="252"/>
      <c r="EY42" s="252"/>
      <c r="EZ42" s="252"/>
      <c r="FA42" s="189">
        <f t="shared" si="4"/>
        <v>6602.5</v>
      </c>
      <c r="FB42" s="961">
        <f>100000-FA42</f>
        <v>93397.5</v>
      </c>
      <c r="FC42" s="194" t="str">
        <f t="shared" si="5"/>
        <v>Salvage Tacos</v>
      </c>
      <c r="FE42" s="234">
        <f t="shared" si="3"/>
        <v>6602.5</v>
      </c>
      <c r="FI42" s="782">
        <v>111263</v>
      </c>
      <c r="FJ42" s="234"/>
      <c r="FK42" s="979">
        <v>32</v>
      </c>
      <c r="FL42" s="981">
        <f t="shared" si="2"/>
        <v>3904.5128205128203</v>
      </c>
      <c r="FM42" s="977">
        <v>38069</v>
      </c>
      <c r="FN42" s="978" t="s">
        <v>238</v>
      </c>
    </row>
    <row r="43" spans="1:170" ht="10.15" customHeight="1">
      <c r="A43" s="195" t="s">
        <v>332</v>
      </c>
      <c r="B43" s="738">
        <f>'12.01.22'!E8</f>
        <v>6165.5</v>
      </c>
      <c r="C43" s="738"/>
      <c r="D43" s="738"/>
      <c r="E43" s="738"/>
      <c r="F43" s="589">
        <f>'12.05.22'!E10</f>
        <v>7068</v>
      </c>
      <c r="G43" s="589"/>
      <c r="H43" s="589"/>
      <c r="I43" s="589">
        <f>'12.08.22'!E23</f>
        <v>7220</v>
      </c>
      <c r="J43" s="252"/>
      <c r="K43" s="1139"/>
      <c r="L43" s="252"/>
      <c r="M43" s="252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  <c r="AA43" s="252"/>
      <c r="AB43" s="252"/>
      <c r="AC43" s="252"/>
      <c r="AD43" s="252"/>
      <c r="AE43" s="252"/>
      <c r="AF43" s="252"/>
      <c r="AG43" s="252"/>
      <c r="AH43" s="252"/>
      <c r="AI43" s="252"/>
      <c r="AJ43" s="252"/>
      <c r="AK43" s="252"/>
      <c r="AL43" s="252"/>
      <c r="AM43" s="252"/>
      <c r="AN43" s="252"/>
      <c r="AO43" s="252"/>
      <c r="AP43" s="252"/>
      <c r="AQ43" s="252"/>
      <c r="AR43" s="252"/>
      <c r="AS43" s="252"/>
      <c r="AT43" s="252"/>
      <c r="AU43" s="252"/>
      <c r="AV43" s="252"/>
      <c r="AW43" s="252"/>
      <c r="AX43" s="252"/>
      <c r="AY43" s="252"/>
      <c r="AZ43" s="252"/>
      <c r="BA43" s="252"/>
      <c r="BB43" s="252"/>
      <c r="BC43" s="252"/>
      <c r="BD43" s="252"/>
      <c r="BE43" s="252"/>
      <c r="BF43" s="252"/>
      <c r="BG43" s="252"/>
      <c r="BH43" s="252"/>
      <c r="BI43" s="252"/>
      <c r="BJ43" s="252"/>
      <c r="BK43" s="252"/>
      <c r="BL43" s="252"/>
      <c r="BM43" s="252"/>
      <c r="BN43" s="252"/>
      <c r="BO43" s="252"/>
      <c r="BP43" s="252"/>
      <c r="BQ43" s="252"/>
      <c r="BR43" s="252"/>
      <c r="BS43" s="252"/>
      <c r="BT43" s="252"/>
      <c r="BU43" s="252"/>
      <c r="BV43" s="252"/>
      <c r="BW43" s="252"/>
      <c r="BX43" s="252"/>
      <c r="BY43" s="252"/>
      <c r="BZ43" s="252"/>
      <c r="CA43" s="252"/>
      <c r="CB43" s="252"/>
      <c r="CC43" s="252"/>
      <c r="CD43" s="252"/>
      <c r="CE43" s="252"/>
      <c r="CF43" s="252"/>
      <c r="CG43" s="252"/>
      <c r="CH43" s="252"/>
      <c r="CI43" s="252"/>
      <c r="CJ43" s="252"/>
      <c r="CK43" s="252"/>
      <c r="CL43" s="252"/>
      <c r="CM43" s="252"/>
      <c r="CN43" s="252"/>
      <c r="CO43" s="252"/>
      <c r="CP43" s="252"/>
      <c r="CQ43" s="252"/>
      <c r="CR43" s="252"/>
      <c r="CS43" s="252"/>
      <c r="CT43" s="252"/>
      <c r="CU43" s="252"/>
      <c r="CV43" s="252"/>
      <c r="CW43" s="252"/>
      <c r="CX43" s="252"/>
      <c r="CY43" s="252"/>
      <c r="CZ43" s="252"/>
      <c r="DA43" s="252"/>
      <c r="DB43" s="252"/>
      <c r="DC43" s="252"/>
      <c r="DD43" s="252"/>
      <c r="DE43" s="252"/>
      <c r="DF43" s="252"/>
      <c r="DG43" s="252"/>
      <c r="DH43" s="252"/>
      <c r="DI43" s="252"/>
      <c r="DJ43" s="252"/>
      <c r="DK43" s="252"/>
      <c r="DL43" s="252"/>
      <c r="DM43" s="252"/>
      <c r="DN43" s="252"/>
      <c r="DO43" s="252"/>
      <c r="DP43" s="252"/>
      <c r="DQ43" s="252"/>
      <c r="DR43" s="252"/>
      <c r="DS43" s="252"/>
      <c r="DT43" s="252"/>
      <c r="DU43" s="252"/>
      <c r="DV43" s="252"/>
      <c r="DW43" s="252"/>
      <c r="DX43" s="252"/>
      <c r="DY43" s="252"/>
      <c r="DZ43" s="252"/>
      <c r="EA43" s="252"/>
      <c r="EB43" s="252"/>
      <c r="EC43" s="252"/>
      <c r="ED43" s="252"/>
      <c r="EE43" s="252"/>
      <c r="EF43" s="252"/>
      <c r="EG43" s="252"/>
      <c r="EH43" s="252"/>
      <c r="EI43" s="252"/>
      <c r="EJ43" s="252"/>
      <c r="EK43" s="252"/>
      <c r="EL43" s="252"/>
      <c r="EM43" s="252"/>
      <c r="EN43" s="252"/>
      <c r="EO43" s="252"/>
      <c r="EP43" s="252"/>
      <c r="EQ43" s="252"/>
      <c r="ER43" s="252"/>
      <c r="ES43" s="252"/>
      <c r="ET43" s="252"/>
      <c r="EU43" s="252"/>
      <c r="EV43" s="252"/>
      <c r="EW43" s="252"/>
      <c r="EX43" s="252"/>
      <c r="EY43" s="252"/>
      <c r="EZ43" s="252"/>
      <c r="FA43" s="189">
        <f t="shared" si="4"/>
        <v>20453.5</v>
      </c>
      <c r="FB43" s="961">
        <f>100000-FA43</f>
        <v>79546.5</v>
      </c>
      <c r="FC43" s="194" t="str">
        <f t="shared" si="5"/>
        <v>Smile Hot Dog</v>
      </c>
      <c r="FE43" s="234">
        <f t="shared" si="3"/>
        <v>20453.5</v>
      </c>
      <c r="FI43" s="782"/>
      <c r="FJ43" s="234"/>
      <c r="FK43" s="979"/>
      <c r="FL43" s="981"/>
      <c r="FM43" s="977"/>
      <c r="FN43" s="978"/>
    </row>
    <row r="44" spans="1:170" ht="10.15" customHeight="1">
      <c r="A44" s="195" t="s">
        <v>159</v>
      </c>
      <c r="B44" s="252"/>
      <c r="C44" s="252"/>
      <c r="D44" s="252"/>
      <c r="E44" s="252"/>
      <c r="F44" s="252"/>
      <c r="G44" s="252"/>
      <c r="H44" s="252"/>
      <c r="I44" s="252"/>
      <c r="J44" s="252"/>
      <c r="K44" s="1139"/>
      <c r="L44" s="252"/>
      <c r="M44" s="252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  <c r="AA44" s="252"/>
      <c r="AB44" s="252"/>
      <c r="AC44" s="252"/>
      <c r="AD44" s="252"/>
      <c r="AE44" s="252"/>
      <c r="AF44" s="252"/>
      <c r="AG44" s="252"/>
      <c r="AH44" s="252"/>
      <c r="AI44" s="252"/>
      <c r="AJ44" s="252"/>
      <c r="AK44" s="252"/>
      <c r="AL44" s="252"/>
      <c r="AM44" s="252"/>
      <c r="AN44" s="252"/>
      <c r="AO44" s="252"/>
      <c r="AP44" s="252"/>
      <c r="AQ44" s="252"/>
      <c r="AR44" s="252"/>
      <c r="AS44" s="252"/>
      <c r="AT44" s="252"/>
      <c r="AU44" s="252"/>
      <c r="AV44" s="252"/>
      <c r="AW44" s="252"/>
      <c r="AX44" s="252"/>
      <c r="AY44" s="252"/>
      <c r="AZ44" s="252"/>
      <c r="BA44" s="252"/>
      <c r="BB44" s="252"/>
      <c r="BC44" s="252"/>
      <c r="BD44" s="252"/>
      <c r="BE44" s="252"/>
      <c r="BF44" s="252"/>
      <c r="BG44" s="252"/>
      <c r="BH44" s="252"/>
      <c r="BI44" s="252"/>
      <c r="BJ44" s="252"/>
      <c r="BK44" s="252"/>
      <c r="BL44" s="252"/>
      <c r="BM44" s="252"/>
      <c r="BN44" s="252"/>
      <c r="BO44" s="252"/>
      <c r="BP44" s="252"/>
      <c r="BQ44" s="252"/>
      <c r="BR44" s="252"/>
      <c r="BS44" s="252"/>
      <c r="BT44" s="252"/>
      <c r="BU44" s="252"/>
      <c r="BV44" s="252"/>
      <c r="BW44" s="252"/>
      <c r="BX44" s="252"/>
      <c r="BY44" s="252"/>
      <c r="BZ44" s="252"/>
      <c r="CA44" s="252"/>
      <c r="CB44" s="252"/>
      <c r="CC44" s="252"/>
      <c r="CD44" s="252"/>
      <c r="CE44" s="252"/>
      <c r="CF44" s="252"/>
      <c r="CG44" s="252"/>
      <c r="CH44" s="252"/>
      <c r="CI44" s="252"/>
      <c r="CJ44" s="252"/>
      <c r="CK44" s="252"/>
      <c r="CL44" s="252"/>
      <c r="CM44" s="252"/>
      <c r="CN44" s="252"/>
      <c r="CO44" s="252"/>
      <c r="CP44" s="252"/>
      <c r="CQ44" s="252"/>
      <c r="CR44" s="252"/>
      <c r="CS44" s="252"/>
      <c r="CT44" s="252"/>
      <c r="CU44" s="252"/>
      <c r="CV44" s="252"/>
      <c r="CW44" s="252"/>
      <c r="CX44" s="252"/>
      <c r="CY44" s="252"/>
      <c r="CZ44" s="252"/>
      <c r="DA44" s="252"/>
      <c r="DB44" s="252"/>
      <c r="DC44" s="252"/>
      <c r="DD44" s="252"/>
      <c r="DE44" s="252"/>
      <c r="DF44" s="252"/>
      <c r="DG44" s="252"/>
      <c r="DH44" s="252"/>
      <c r="DI44" s="252"/>
      <c r="DJ44" s="252"/>
      <c r="DK44" s="252"/>
      <c r="DL44" s="252"/>
      <c r="DM44" s="252"/>
      <c r="DN44" s="252"/>
      <c r="DO44" s="252"/>
      <c r="DP44" s="252"/>
      <c r="DQ44" s="252"/>
      <c r="DR44" s="252"/>
      <c r="DS44" s="252"/>
      <c r="DT44" s="252"/>
      <c r="DU44" s="252"/>
      <c r="DV44" s="252"/>
      <c r="DW44" s="252"/>
      <c r="DX44" s="252"/>
      <c r="DY44" s="252"/>
      <c r="DZ44" s="252"/>
      <c r="EA44" s="252"/>
      <c r="EB44" s="252"/>
      <c r="EC44" s="252"/>
      <c r="ED44" s="252"/>
      <c r="EE44" s="252"/>
      <c r="EF44" s="252"/>
      <c r="EG44" s="252"/>
      <c r="EH44" s="252"/>
      <c r="EI44" s="252"/>
      <c r="EJ44" s="252"/>
      <c r="EK44" s="252"/>
      <c r="EL44" s="252"/>
      <c r="EM44" s="252"/>
      <c r="EN44" s="252"/>
      <c r="EO44" s="252"/>
      <c r="EP44" s="252"/>
      <c r="EQ44" s="252"/>
      <c r="ER44" s="252"/>
      <c r="ES44" s="252"/>
      <c r="ET44" s="252"/>
      <c r="EU44" s="252"/>
      <c r="EV44" s="252"/>
      <c r="EW44" s="252"/>
      <c r="EX44" s="252"/>
      <c r="EY44" s="252"/>
      <c r="EZ44" s="252"/>
      <c r="FA44" s="189">
        <f t="shared" si="4"/>
        <v>0</v>
      </c>
      <c r="FB44" s="961">
        <f>100000-FA44</f>
        <v>100000</v>
      </c>
      <c r="FC44" s="194" t="str">
        <f t="shared" si="5"/>
        <v>Something Good LA</v>
      </c>
      <c r="FE44" s="234">
        <f t="shared" si="3"/>
        <v>0</v>
      </c>
      <c r="FI44" s="234">
        <v>341055.5</v>
      </c>
      <c r="FJ44" s="234"/>
      <c r="FK44" s="979">
        <v>33</v>
      </c>
      <c r="FL44" s="981">
        <f t="shared" si="2"/>
        <v>3708.8717948717949</v>
      </c>
      <c r="FM44" s="977">
        <v>36161.5</v>
      </c>
      <c r="FN44" s="978" t="s">
        <v>12</v>
      </c>
    </row>
    <row r="45" spans="1:170" ht="10.15" customHeight="1">
      <c r="A45" s="195" t="s">
        <v>145</v>
      </c>
      <c r="B45" s="738">
        <f>'12.01.22'!E18</f>
        <v>4493.5</v>
      </c>
      <c r="C45" s="738"/>
      <c r="D45" s="738"/>
      <c r="E45" s="738"/>
      <c r="F45" s="589"/>
      <c r="G45" s="589"/>
      <c r="H45" s="589">
        <f>'12.07.22'!E19</f>
        <v>4056.5</v>
      </c>
      <c r="I45" s="589"/>
      <c r="J45" s="252"/>
      <c r="K45" s="1139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252"/>
      <c r="BV45" s="252"/>
      <c r="BW45" s="252"/>
      <c r="BX45" s="252"/>
      <c r="BY45" s="252"/>
      <c r="BZ45" s="252"/>
      <c r="CA45" s="252"/>
      <c r="CB45" s="252"/>
      <c r="CC45" s="252"/>
      <c r="CD45" s="252"/>
      <c r="CE45" s="252"/>
      <c r="CF45" s="252"/>
      <c r="CG45" s="252"/>
      <c r="CH45" s="252"/>
      <c r="CI45" s="252"/>
      <c r="CJ45" s="252"/>
      <c r="CK45" s="252"/>
      <c r="CL45" s="252"/>
      <c r="CM45" s="252"/>
      <c r="CN45" s="252"/>
      <c r="CO45" s="252"/>
      <c r="CP45" s="252"/>
      <c r="CQ45" s="252"/>
      <c r="CR45" s="252"/>
      <c r="CS45" s="252"/>
      <c r="CT45" s="252"/>
      <c r="CU45" s="252"/>
      <c r="CV45" s="252"/>
      <c r="CW45" s="252"/>
      <c r="CX45" s="252"/>
      <c r="CY45" s="252"/>
      <c r="CZ45" s="252"/>
      <c r="DA45" s="252"/>
      <c r="DB45" s="252"/>
      <c r="DC45" s="252"/>
      <c r="DD45" s="252"/>
      <c r="DE45" s="252"/>
      <c r="DF45" s="252"/>
      <c r="DG45" s="252"/>
      <c r="DH45" s="252"/>
      <c r="DI45" s="252"/>
      <c r="DJ45" s="252"/>
      <c r="DK45" s="252"/>
      <c r="DL45" s="252"/>
      <c r="DM45" s="252"/>
      <c r="DN45" s="252"/>
      <c r="DO45" s="252"/>
      <c r="DP45" s="252"/>
      <c r="DQ45" s="252"/>
      <c r="DR45" s="252"/>
      <c r="DS45" s="252"/>
      <c r="DT45" s="252"/>
      <c r="DU45" s="252"/>
      <c r="DV45" s="252"/>
      <c r="DW45" s="252"/>
      <c r="DX45" s="252"/>
      <c r="DY45" s="252"/>
      <c r="DZ45" s="252"/>
      <c r="EA45" s="252"/>
      <c r="EB45" s="252"/>
      <c r="EC45" s="252"/>
      <c r="ED45" s="252"/>
      <c r="EE45" s="252"/>
      <c r="EF45" s="252"/>
      <c r="EG45" s="252"/>
      <c r="EH45" s="252"/>
      <c r="EI45" s="252"/>
      <c r="EJ45" s="252"/>
      <c r="EK45" s="252"/>
      <c r="EL45" s="252"/>
      <c r="EM45" s="252"/>
      <c r="EN45" s="252"/>
      <c r="EO45" s="252"/>
      <c r="EP45" s="252"/>
      <c r="EQ45" s="252"/>
      <c r="ER45" s="252"/>
      <c r="ES45" s="252"/>
      <c r="ET45" s="252"/>
      <c r="EU45" s="252"/>
      <c r="EV45" s="252"/>
      <c r="EW45" s="252"/>
      <c r="EX45" s="252"/>
      <c r="EY45" s="252"/>
      <c r="EZ45" s="252"/>
      <c r="FA45" s="189">
        <f t="shared" si="4"/>
        <v>8550</v>
      </c>
      <c r="FB45" s="961">
        <f>100000-FA45+449000</f>
        <v>540450</v>
      </c>
      <c r="FC45" s="194" t="str">
        <f t="shared" si="5"/>
        <v>Stop Bye Café</v>
      </c>
      <c r="FE45" s="234">
        <f t="shared" si="3"/>
        <v>8550</v>
      </c>
      <c r="FI45" s="234">
        <v>162662.5</v>
      </c>
      <c r="FJ45" s="234"/>
      <c r="FK45" s="979">
        <v>34</v>
      </c>
      <c r="FL45" s="981">
        <f t="shared" si="2"/>
        <v>3556.7692307692309</v>
      </c>
      <c r="FM45" s="977">
        <v>34678.5</v>
      </c>
      <c r="FN45" s="978" t="s">
        <v>234</v>
      </c>
    </row>
    <row r="46" spans="1:170" ht="10.15" customHeight="1">
      <c r="A46" s="195" t="s">
        <v>84</v>
      </c>
      <c r="B46" s="252"/>
      <c r="C46" s="252"/>
      <c r="D46" s="252"/>
      <c r="E46" s="252"/>
      <c r="F46" s="252"/>
      <c r="G46" s="252"/>
      <c r="H46" s="252"/>
      <c r="I46" s="252"/>
      <c r="J46" s="252"/>
      <c r="K46" s="1139"/>
      <c r="L46" s="252"/>
      <c r="M46" s="252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  <c r="AA46" s="252"/>
      <c r="AB46" s="252"/>
      <c r="AC46" s="252"/>
      <c r="AD46" s="252"/>
      <c r="AE46" s="252"/>
      <c r="AF46" s="252"/>
      <c r="AG46" s="252"/>
      <c r="AH46" s="252"/>
      <c r="AI46" s="252"/>
      <c r="AJ46" s="252"/>
      <c r="AK46" s="252"/>
      <c r="AL46" s="252"/>
      <c r="AM46" s="252"/>
      <c r="AN46" s="252"/>
      <c r="AO46" s="252"/>
      <c r="AP46" s="252"/>
      <c r="AQ46" s="252"/>
      <c r="AR46" s="252"/>
      <c r="AS46" s="252"/>
      <c r="AT46" s="252"/>
      <c r="AU46" s="252"/>
      <c r="AV46" s="252"/>
      <c r="AW46" s="252"/>
      <c r="AX46" s="252"/>
      <c r="AY46" s="252"/>
      <c r="AZ46" s="252"/>
      <c r="BA46" s="252"/>
      <c r="BB46" s="252"/>
      <c r="BC46" s="252"/>
      <c r="BD46" s="252"/>
      <c r="BE46" s="252"/>
      <c r="BF46" s="252"/>
      <c r="BG46" s="252"/>
      <c r="BH46" s="252"/>
      <c r="BI46" s="252"/>
      <c r="BJ46" s="252"/>
      <c r="BK46" s="252"/>
      <c r="BL46" s="252"/>
      <c r="BM46" s="252"/>
      <c r="BN46" s="252"/>
      <c r="BO46" s="252"/>
      <c r="BP46" s="252"/>
      <c r="BQ46" s="252"/>
      <c r="BR46" s="252"/>
      <c r="BS46" s="252"/>
      <c r="BT46" s="252"/>
      <c r="BU46" s="252"/>
      <c r="BV46" s="252"/>
      <c r="BW46" s="252"/>
      <c r="BX46" s="252"/>
      <c r="BY46" s="252"/>
      <c r="BZ46" s="252"/>
      <c r="CA46" s="252"/>
      <c r="CB46" s="252"/>
      <c r="CC46" s="252"/>
      <c r="CD46" s="252"/>
      <c r="CE46" s="252"/>
      <c r="CF46" s="252"/>
      <c r="CG46" s="252"/>
      <c r="CH46" s="252"/>
      <c r="CI46" s="252"/>
      <c r="CJ46" s="252"/>
      <c r="CK46" s="252"/>
      <c r="CL46" s="252"/>
      <c r="CM46" s="252"/>
      <c r="CN46" s="252"/>
      <c r="CO46" s="252"/>
      <c r="CP46" s="252"/>
      <c r="CQ46" s="252"/>
      <c r="CR46" s="252"/>
      <c r="CS46" s="252"/>
      <c r="CT46" s="252"/>
      <c r="CU46" s="252"/>
      <c r="CV46" s="252"/>
      <c r="CW46" s="252"/>
      <c r="CX46" s="252"/>
      <c r="CY46" s="252"/>
      <c r="CZ46" s="252"/>
      <c r="DA46" s="252"/>
      <c r="DB46" s="252"/>
      <c r="DC46" s="252"/>
      <c r="DD46" s="252"/>
      <c r="DE46" s="252"/>
      <c r="DF46" s="252"/>
      <c r="DG46" s="252"/>
      <c r="DH46" s="252"/>
      <c r="DI46" s="252"/>
      <c r="DJ46" s="252"/>
      <c r="DK46" s="252"/>
      <c r="DL46" s="252"/>
      <c r="DM46" s="252"/>
      <c r="DN46" s="252"/>
      <c r="DO46" s="252"/>
      <c r="DP46" s="252"/>
      <c r="DQ46" s="252"/>
      <c r="DR46" s="252"/>
      <c r="DS46" s="252"/>
      <c r="DT46" s="252"/>
      <c r="DU46" s="252"/>
      <c r="DV46" s="252"/>
      <c r="DW46" s="252"/>
      <c r="DX46" s="252"/>
      <c r="DY46" s="252"/>
      <c r="DZ46" s="252"/>
      <c r="EA46" s="252"/>
      <c r="EB46" s="252"/>
      <c r="EC46" s="252"/>
      <c r="ED46" s="252"/>
      <c r="EE46" s="252"/>
      <c r="EF46" s="252"/>
      <c r="EG46" s="252"/>
      <c r="EH46" s="252"/>
      <c r="EI46" s="252"/>
      <c r="EJ46" s="252"/>
      <c r="EK46" s="252"/>
      <c r="EL46" s="252"/>
      <c r="EM46" s="252"/>
      <c r="EN46" s="252"/>
      <c r="EO46" s="252"/>
      <c r="EP46" s="252"/>
      <c r="EQ46" s="252"/>
      <c r="ER46" s="252"/>
      <c r="ES46" s="252"/>
      <c r="ET46" s="252"/>
      <c r="EU46" s="252"/>
      <c r="EV46" s="252"/>
      <c r="EW46" s="252"/>
      <c r="EX46" s="252"/>
      <c r="EY46" s="252"/>
      <c r="EZ46" s="252"/>
      <c r="FA46" s="189">
        <f t="shared" si="4"/>
        <v>0</v>
      </c>
      <c r="FB46" s="961">
        <f>100000-FA46+350000</f>
        <v>450000</v>
      </c>
      <c r="FC46" s="194" t="str">
        <f t="shared" si="5"/>
        <v>Stout Burgers</v>
      </c>
      <c r="FE46" s="234">
        <f t="shared" si="3"/>
        <v>0</v>
      </c>
      <c r="FI46" s="234">
        <v>52046</v>
      </c>
      <c r="FJ46" s="234"/>
      <c r="FK46" s="979">
        <v>35</v>
      </c>
      <c r="FL46" s="981">
        <f t="shared" si="2"/>
        <v>3334.9230769230771</v>
      </c>
      <c r="FM46" s="977">
        <v>32515.5</v>
      </c>
      <c r="FN46" s="978" t="s">
        <v>245</v>
      </c>
    </row>
    <row r="47" spans="1:170" ht="10.15" customHeight="1">
      <c r="A47" s="195" t="s">
        <v>333</v>
      </c>
      <c r="B47" s="252"/>
      <c r="C47" s="252"/>
      <c r="D47" s="252"/>
      <c r="E47" s="252"/>
      <c r="F47" s="252"/>
      <c r="G47" s="252">
        <f>'12.06.22'!E28</f>
        <v>3610</v>
      </c>
      <c r="H47" s="252"/>
      <c r="I47" s="252"/>
      <c r="J47" s="589">
        <f>'12.13.22'!E13</f>
        <v>2631.5</v>
      </c>
      <c r="K47" s="1139"/>
      <c r="L47" s="252"/>
      <c r="M47" s="252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  <c r="AA47" s="252"/>
      <c r="AB47" s="252"/>
      <c r="AC47" s="252"/>
      <c r="AD47" s="252"/>
      <c r="AE47" s="252"/>
      <c r="AF47" s="252"/>
      <c r="AG47" s="252"/>
      <c r="AH47" s="252"/>
      <c r="AI47" s="252"/>
      <c r="AJ47" s="252"/>
      <c r="AK47" s="252"/>
      <c r="AL47" s="252"/>
      <c r="AM47" s="252"/>
      <c r="AN47" s="252"/>
      <c r="AO47" s="252"/>
      <c r="AP47" s="252"/>
      <c r="AQ47" s="252"/>
      <c r="AR47" s="252"/>
      <c r="AS47" s="252"/>
      <c r="AT47" s="252"/>
      <c r="AU47" s="252"/>
      <c r="AV47" s="252"/>
      <c r="AW47" s="252"/>
      <c r="AX47" s="252"/>
      <c r="AY47" s="252"/>
      <c r="AZ47" s="252"/>
      <c r="BA47" s="252"/>
      <c r="BB47" s="252"/>
      <c r="BC47" s="252"/>
      <c r="BD47" s="252"/>
      <c r="BE47" s="252"/>
      <c r="BF47" s="252"/>
      <c r="BG47" s="252"/>
      <c r="BH47" s="252"/>
      <c r="BI47" s="252"/>
      <c r="BJ47" s="252"/>
      <c r="BK47" s="252"/>
      <c r="BL47" s="252"/>
      <c r="BM47" s="252"/>
      <c r="BN47" s="252"/>
      <c r="BO47" s="252"/>
      <c r="BP47" s="252"/>
      <c r="BQ47" s="252"/>
      <c r="BR47" s="252"/>
      <c r="BS47" s="252"/>
      <c r="BT47" s="252"/>
      <c r="BU47" s="252"/>
      <c r="BV47" s="252"/>
      <c r="BW47" s="252"/>
      <c r="BX47" s="252"/>
      <c r="BY47" s="252"/>
      <c r="BZ47" s="252"/>
      <c r="CA47" s="252"/>
      <c r="CB47" s="252"/>
      <c r="CC47" s="252"/>
      <c r="CD47" s="252"/>
      <c r="CE47" s="252"/>
      <c r="CF47" s="252"/>
      <c r="CG47" s="252"/>
      <c r="CH47" s="252"/>
      <c r="CI47" s="252"/>
      <c r="CJ47" s="252"/>
      <c r="CK47" s="252"/>
      <c r="CL47" s="252"/>
      <c r="CM47" s="252"/>
      <c r="CN47" s="252"/>
      <c r="CO47" s="252"/>
      <c r="CP47" s="252"/>
      <c r="CQ47" s="252"/>
      <c r="CR47" s="252"/>
      <c r="CS47" s="252"/>
      <c r="CT47" s="252"/>
      <c r="CU47" s="252"/>
      <c r="CV47" s="252"/>
      <c r="CW47" s="252"/>
      <c r="CX47" s="252"/>
      <c r="CY47" s="252"/>
      <c r="CZ47" s="252"/>
      <c r="DA47" s="252"/>
      <c r="DB47" s="252"/>
      <c r="DC47" s="252"/>
      <c r="DD47" s="252"/>
      <c r="DE47" s="252"/>
      <c r="DF47" s="252"/>
      <c r="DG47" s="252"/>
      <c r="DH47" s="252"/>
      <c r="DI47" s="252"/>
      <c r="DJ47" s="252"/>
      <c r="DK47" s="252"/>
      <c r="DL47" s="252"/>
      <c r="DM47" s="252"/>
      <c r="DN47" s="252"/>
      <c r="DO47" s="252"/>
      <c r="DP47" s="252"/>
      <c r="DQ47" s="252"/>
      <c r="DR47" s="252"/>
      <c r="DS47" s="252"/>
      <c r="DT47" s="252"/>
      <c r="DU47" s="252"/>
      <c r="DV47" s="252"/>
      <c r="DW47" s="252"/>
      <c r="DX47" s="252"/>
      <c r="DY47" s="252"/>
      <c r="DZ47" s="252"/>
      <c r="EA47" s="252"/>
      <c r="EB47" s="252"/>
      <c r="EC47" s="252"/>
      <c r="ED47" s="252"/>
      <c r="EE47" s="252"/>
      <c r="EF47" s="252"/>
      <c r="EG47" s="252"/>
      <c r="EH47" s="252"/>
      <c r="EI47" s="252"/>
      <c r="EJ47" s="252"/>
      <c r="EK47" s="252"/>
      <c r="EL47" s="252"/>
      <c r="EM47" s="252"/>
      <c r="EN47" s="252"/>
      <c r="EO47" s="252"/>
      <c r="EP47" s="252"/>
      <c r="EQ47" s="252"/>
      <c r="ER47" s="252"/>
      <c r="ES47" s="252"/>
      <c r="ET47" s="252"/>
      <c r="EU47" s="252"/>
      <c r="EV47" s="252"/>
      <c r="EW47" s="252"/>
      <c r="EX47" s="252"/>
      <c r="EY47" s="252"/>
      <c r="EZ47" s="252"/>
      <c r="FA47" s="189">
        <f t="shared" si="4"/>
        <v>6241.5</v>
      </c>
      <c r="FB47" s="189">
        <v>99000</v>
      </c>
      <c r="FC47" s="194" t="str">
        <f t="shared" si="5"/>
        <v>Sweets on Wheels</v>
      </c>
      <c r="FE47" s="234">
        <f t="shared" si="3"/>
        <v>6241.5</v>
      </c>
      <c r="FI47" s="234">
        <v>52046</v>
      </c>
      <c r="FJ47" s="234"/>
      <c r="FK47" s="979"/>
      <c r="FL47" s="981"/>
      <c r="FM47" s="977"/>
      <c r="FN47" s="978"/>
    </row>
    <row r="48" spans="1:170" ht="9" customHeight="1">
      <c r="A48" s="195" t="s">
        <v>58</v>
      </c>
      <c r="B48" s="252"/>
      <c r="C48" s="252"/>
      <c r="D48" s="252"/>
      <c r="E48" s="252"/>
      <c r="F48" s="252"/>
      <c r="G48" s="252"/>
      <c r="H48" s="252"/>
      <c r="I48" s="252"/>
      <c r="J48" s="252"/>
      <c r="K48" s="1139"/>
      <c r="L48" s="252"/>
      <c r="M48" s="252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  <c r="AA48" s="252"/>
      <c r="AB48" s="252"/>
      <c r="AC48" s="252"/>
      <c r="AD48" s="252"/>
      <c r="AE48" s="252"/>
      <c r="AF48" s="252"/>
      <c r="AG48" s="252"/>
      <c r="AH48" s="252"/>
      <c r="AI48" s="252"/>
      <c r="AJ48" s="252"/>
      <c r="AK48" s="252"/>
      <c r="AL48" s="252"/>
      <c r="AM48" s="252"/>
      <c r="AN48" s="252"/>
      <c r="AO48" s="252"/>
      <c r="AP48" s="252"/>
      <c r="AQ48" s="252"/>
      <c r="AR48" s="252"/>
      <c r="AS48" s="252"/>
      <c r="AT48" s="252"/>
      <c r="AU48" s="252"/>
      <c r="AV48" s="252"/>
      <c r="AW48" s="252"/>
      <c r="AX48" s="252"/>
      <c r="AY48" s="252"/>
      <c r="AZ48" s="252"/>
      <c r="BA48" s="252"/>
      <c r="BB48" s="252"/>
      <c r="BC48" s="252"/>
      <c r="BD48" s="252"/>
      <c r="BE48" s="252"/>
      <c r="BF48" s="252"/>
      <c r="BG48" s="252"/>
      <c r="BH48" s="252"/>
      <c r="BI48" s="252"/>
      <c r="BJ48" s="252"/>
      <c r="BK48" s="252"/>
      <c r="BL48" s="252"/>
      <c r="BM48" s="252"/>
      <c r="BN48" s="252"/>
      <c r="BO48" s="252"/>
      <c r="BP48" s="252"/>
      <c r="BQ48" s="252"/>
      <c r="BR48" s="252"/>
      <c r="BS48" s="252"/>
      <c r="BT48" s="252"/>
      <c r="BU48" s="252"/>
      <c r="BV48" s="252"/>
      <c r="BW48" s="252"/>
      <c r="BX48" s="252"/>
      <c r="BY48" s="252"/>
      <c r="BZ48" s="252"/>
      <c r="CA48" s="252"/>
      <c r="CB48" s="252"/>
      <c r="CC48" s="252"/>
      <c r="CD48" s="252"/>
      <c r="CE48" s="252"/>
      <c r="CF48" s="252"/>
      <c r="CG48" s="252"/>
      <c r="CH48" s="252"/>
      <c r="CI48" s="252"/>
      <c r="CJ48" s="252"/>
      <c r="CK48" s="252"/>
      <c r="CL48" s="252"/>
      <c r="CM48" s="252"/>
      <c r="CN48" s="252"/>
      <c r="CO48" s="252"/>
      <c r="CP48" s="252"/>
      <c r="CQ48" s="252"/>
      <c r="CR48" s="252"/>
      <c r="CS48" s="252"/>
      <c r="CT48" s="252"/>
      <c r="CU48" s="252"/>
      <c r="CV48" s="252"/>
      <c r="CW48" s="252"/>
      <c r="CX48" s="252"/>
      <c r="CY48" s="252"/>
      <c r="CZ48" s="252"/>
      <c r="DA48" s="252"/>
      <c r="DB48" s="252"/>
      <c r="DC48" s="252"/>
      <c r="DD48" s="252"/>
      <c r="DE48" s="252"/>
      <c r="DF48" s="252"/>
      <c r="DG48" s="252"/>
      <c r="DH48" s="252"/>
      <c r="DI48" s="252"/>
      <c r="DJ48" s="252"/>
      <c r="DK48" s="252"/>
      <c r="DL48" s="252"/>
      <c r="DM48" s="252"/>
      <c r="DN48" s="252"/>
      <c r="DO48" s="252"/>
      <c r="DP48" s="252"/>
      <c r="DQ48" s="252"/>
      <c r="DR48" s="252"/>
      <c r="DS48" s="252"/>
      <c r="DT48" s="252"/>
      <c r="DU48" s="252"/>
      <c r="DV48" s="252"/>
      <c r="DW48" s="252"/>
      <c r="DX48" s="252"/>
      <c r="DY48" s="252"/>
      <c r="DZ48" s="252"/>
      <c r="EA48" s="252"/>
      <c r="EB48" s="252"/>
      <c r="EC48" s="252"/>
      <c r="ED48" s="252"/>
      <c r="EE48" s="252"/>
      <c r="EF48" s="252"/>
      <c r="EG48" s="252"/>
      <c r="EH48" s="252"/>
      <c r="EI48" s="252"/>
      <c r="EJ48" s="252"/>
      <c r="EK48" s="252"/>
      <c r="EL48" s="252"/>
      <c r="EM48" s="252"/>
      <c r="EN48" s="252"/>
      <c r="EO48" s="252"/>
      <c r="EP48" s="252"/>
      <c r="EQ48" s="252"/>
      <c r="ER48" s="252"/>
      <c r="ES48" s="252"/>
      <c r="ET48" s="252"/>
      <c r="EU48" s="252"/>
      <c r="EV48" s="252"/>
      <c r="EW48" s="252"/>
      <c r="EX48" s="252"/>
      <c r="EY48" s="252"/>
      <c r="EZ48" s="252"/>
      <c r="FA48" s="189">
        <f t="shared" si="4"/>
        <v>0</v>
      </c>
      <c r="FB48" s="961">
        <f>100000-FA48</f>
        <v>100000</v>
      </c>
      <c r="FC48" s="194" t="str">
        <f t="shared" si="5"/>
        <v>Taste Collective Burger</v>
      </c>
      <c r="FE48" s="234">
        <f t="shared" si="3"/>
        <v>0</v>
      </c>
      <c r="FI48" s="234">
        <v>50667</v>
      </c>
      <c r="FJ48" s="234"/>
      <c r="FK48" s="979">
        <v>36</v>
      </c>
      <c r="FL48" s="981">
        <f t="shared" si="2"/>
        <v>3001.5384615384614</v>
      </c>
      <c r="FM48" s="977">
        <v>29265</v>
      </c>
      <c r="FN48" s="978" t="s">
        <v>69</v>
      </c>
    </row>
    <row r="49" spans="1:178" ht="10.15" customHeight="1">
      <c r="A49" s="195" t="s">
        <v>728</v>
      </c>
      <c r="B49" s="738"/>
      <c r="C49" s="738"/>
      <c r="D49" s="738"/>
      <c r="E49" s="738"/>
      <c r="F49" s="589"/>
      <c r="G49" s="589"/>
      <c r="H49" s="589">
        <f>'12.07.22'!E7</f>
        <v>3876</v>
      </c>
      <c r="I49" s="589"/>
      <c r="J49" s="252"/>
      <c r="K49" s="1139"/>
      <c r="L49" s="252"/>
      <c r="M49" s="252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  <c r="AA49" s="252"/>
      <c r="AB49" s="252"/>
      <c r="AC49" s="252"/>
      <c r="AD49" s="252"/>
      <c r="AE49" s="252"/>
      <c r="AF49" s="252"/>
      <c r="AG49" s="252"/>
      <c r="AH49" s="252"/>
      <c r="AI49" s="252"/>
      <c r="AJ49" s="252"/>
      <c r="AK49" s="252"/>
      <c r="AL49" s="252"/>
      <c r="AM49" s="252"/>
      <c r="AN49" s="252"/>
      <c r="AO49" s="252"/>
      <c r="AP49" s="252"/>
      <c r="AQ49" s="252"/>
      <c r="AR49" s="252"/>
      <c r="AS49" s="252"/>
      <c r="AT49" s="252"/>
      <c r="AU49" s="252"/>
      <c r="AV49" s="252"/>
      <c r="AW49" s="252"/>
      <c r="AX49" s="252"/>
      <c r="AY49" s="252"/>
      <c r="AZ49" s="252"/>
      <c r="BA49" s="252"/>
      <c r="BB49" s="252"/>
      <c r="BC49" s="252"/>
      <c r="BD49" s="252"/>
      <c r="BE49" s="252"/>
      <c r="BF49" s="252"/>
      <c r="BG49" s="252"/>
      <c r="BH49" s="252"/>
      <c r="BI49" s="252"/>
      <c r="BJ49" s="252"/>
      <c r="BK49" s="252"/>
      <c r="BL49" s="252"/>
      <c r="BM49" s="252"/>
      <c r="BN49" s="252"/>
      <c r="BO49" s="252"/>
      <c r="BP49" s="252"/>
      <c r="BQ49" s="252"/>
      <c r="BR49" s="252"/>
      <c r="BS49" s="252"/>
      <c r="BT49" s="252"/>
      <c r="BU49" s="252"/>
      <c r="BV49" s="252"/>
      <c r="BW49" s="252"/>
      <c r="BX49" s="252"/>
      <c r="BY49" s="252"/>
      <c r="BZ49" s="252"/>
      <c r="CA49" s="252"/>
      <c r="CB49" s="252"/>
      <c r="CC49" s="252"/>
      <c r="CD49" s="252"/>
      <c r="CE49" s="252"/>
      <c r="CF49" s="252"/>
      <c r="CG49" s="252"/>
      <c r="CH49" s="252"/>
      <c r="CI49" s="252"/>
      <c r="CJ49" s="252"/>
      <c r="CK49" s="252"/>
      <c r="CL49" s="252"/>
      <c r="CM49" s="252"/>
      <c r="CN49" s="252"/>
      <c r="CO49" s="252"/>
      <c r="CP49" s="252"/>
      <c r="CQ49" s="252"/>
      <c r="CR49" s="252"/>
      <c r="CS49" s="252"/>
      <c r="CT49" s="252"/>
      <c r="CU49" s="252"/>
      <c r="CV49" s="252"/>
      <c r="CW49" s="252"/>
      <c r="CX49" s="252"/>
      <c r="CY49" s="252"/>
      <c r="CZ49" s="252"/>
      <c r="DA49" s="252"/>
      <c r="DB49" s="252"/>
      <c r="DC49" s="252"/>
      <c r="DD49" s="252"/>
      <c r="DE49" s="252"/>
      <c r="DF49" s="252"/>
      <c r="DG49" s="252"/>
      <c r="DH49" s="252"/>
      <c r="DI49" s="252"/>
      <c r="DJ49" s="252"/>
      <c r="DK49" s="252"/>
      <c r="DL49" s="252"/>
      <c r="DM49" s="252"/>
      <c r="DN49" s="252"/>
      <c r="DO49" s="252"/>
      <c r="DP49" s="252"/>
      <c r="DQ49" s="252"/>
      <c r="DR49" s="252"/>
      <c r="DS49" s="252"/>
      <c r="DT49" s="252"/>
      <c r="DU49" s="252"/>
      <c r="DV49" s="252"/>
      <c r="DW49" s="252"/>
      <c r="DX49" s="252"/>
      <c r="DY49" s="252"/>
      <c r="DZ49" s="252"/>
      <c r="EA49" s="252"/>
      <c r="EB49" s="252"/>
      <c r="EC49" s="252"/>
      <c r="ED49" s="252"/>
      <c r="EE49" s="252"/>
      <c r="EF49" s="252"/>
      <c r="EG49" s="252"/>
      <c r="EH49" s="252"/>
      <c r="EI49" s="252"/>
      <c r="EJ49" s="252"/>
      <c r="EK49" s="252"/>
      <c r="EL49" s="252"/>
      <c r="EM49" s="252"/>
      <c r="EN49" s="252"/>
      <c r="EO49" s="252"/>
      <c r="EP49" s="252"/>
      <c r="EQ49" s="252"/>
      <c r="ER49" s="252"/>
      <c r="ES49" s="252"/>
      <c r="ET49" s="252"/>
      <c r="EU49" s="252"/>
      <c r="EV49" s="252"/>
      <c r="EW49" s="252"/>
      <c r="EX49" s="252"/>
      <c r="EY49" s="252"/>
      <c r="EZ49" s="252"/>
      <c r="FA49" s="189">
        <f t="shared" si="4"/>
        <v>3876</v>
      </c>
      <c r="FB49" s="961">
        <f>100000-FA49</f>
        <v>96124</v>
      </c>
      <c r="FC49" s="194" t="str">
        <f t="shared" si="5"/>
        <v>Thai Mex Cocina</v>
      </c>
      <c r="FE49" s="234">
        <f t="shared" si="3"/>
        <v>3876</v>
      </c>
      <c r="FI49" s="234">
        <v>50667</v>
      </c>
      <c r="FJ49" s="234"/>
      <c r="FK49" s="979"/>
      <c r="FL49" s="981"/>
      <c r="FM49" s="977"/>
      <c r="FN49" s="978"/>
    </row>
    <row r="50" spans="1:178" ht="10.15" customHeight="1">
      <c r="A50" s="195" t="s">
        <v>45</v>
      </c>
      <c r="B50" s="738">
        <f>'12.01.22'!E10</f>
        <v>4949.5</v>
      </c>
      <c r="C50" s="738"/>
      <c r="D50" s="738"/>
      <c r="E50" s="738"/>
      <c r="F50" s="589"/>
      <c r="G50" s="589">
        <f>'12.06.22'!E9</f>
        <v>5225</v>
      </c>
      <c r="H50" s="589"/>
      <c r="I50" s="589"/>
      <c r="J50" s="252"/>
      <c r="K50" s="1139"/>
      <c r="L50" s="252"/>
      <c r="M50" s="252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  <c r="AA50" s="252"/>
      <c r="AB50" s="252"/>
      <c r="AC50" s="252"/>
      <c r="AD50" s="252"/>
      <c r="AE50" s="252"/>
      <c r="AF50" s="252"/>
      <c r="AG50" s="252"/>
      <c r="AH50" s="252"/>
      <c r="AI50" s="252"/>
      <c r="AJ50" s="252"/>
      <c r="AK50" s="252"/>
      <c r="AL50" s="252"/>
      <c r="AM50" s="252"/>
      <c r="AN50" s="252"/>
      <c r="AO50" s="252"/>
      <c r="AP50" s="252"/>
      <c r="AQ50" s="252"/>
      <c r="AR50" s="252"/>
      <c r="AS50" s="252"/>
      <c r="AT50" s="252"/>
      <c r="AU50" s="252"/>
      <c r="AV50" s="252"/>
      <c r="AW50" s="252"/>
      <c r="AX50" s="252"/>
      <c r="AY50" s="252"/>
      <c r="AZ50" s="252"/>
      <c r="BA50" s="252"/>
      <c r="BB50" s="252"/>
      <c r="BC50" s="252"/>
      <c r="BD50" s="252"/>
      <c r="BE50" s="252"/>
      <c r="BF50" s="252"/>
      <c r="BG50" s="252"/>
      <c r="BH50" s="252"/>
      <c r="BI50" s="252"/>
      <c r="BJ50" s="252"/>
      <c r="BK50" s="252"/>
      <c r="BL50" s="252"/>
      <c r="BM50" s="252"/>
      <c r="BN50" s="252"/>
      <c r="BO50" s="252"/>
      <c r="BP50" s="252"/>
      <c r="BQ50" s="252"/>
      <c r="BR50" s="252"/>
      <c r="BS50" s="252"/>
      <c r="BT50" s="252"/>
      <c r="BU50" s="252"/>
      <c r="BV50" s="252"/>
      <c r="BW50" s="252"/>
      <c r="BX50" s="252"/>
      <c r="BY50" s="252"/>
      <c r="BZ50" s="252"/>
      <c r="CA50" s="252"/>
      <c r="CB50" s="252"/>
      <c r="CC50" s="252"/>
      <c r="CD50" s="252"/>
      <c r="CE50" s="252"/>
      <c r="CF50" s="252"/>
      <c r="CG50" s="252"/>
      <c r="CH50" s="252"/>
      <c r="CI50" s="252"/>
      <c r="CJ50" s="252"/>
      <c r="CK50" s="252"/>
      <c r="CL50" s="252"/>
      <c r="CM50" s="252"/>
      <c r="CN50" s="252"/>
      <c r="CO50" s="252"/>
      <c r="CP50" s="252"/>
      <c r="CQ50" s="252"/>
      <c r="CR50" s="252"/>
      <c r="CS50" s="252"/>
      <c r="CT50" s="252"/>
      <c r="CU50" s="252"/>
      <c r="CV50" s="252"/>
      <c r="CW50" s="252"/>
      <c r="CX50" s="252"/>
      <c r="CY50" s="252"/>
      <c r="CZ50" s="252"/>
      <c r="DA50" s="252"/>
      <c r="DB50" s="252"/>
      <c r="DC50" s="252"/>
      <c r="DD50" s="252"/>
      <c r="DE50" s="252"/>
      <c r="DF50" s="252"/>
      <c r="DG50" s="252"/>
      <c r="DH50" s="252"/>
      <c r="DI50" s="252"/>
      <c r="DJ50" s="252"/>
      <c r="DK50" s="252"/>
      <c r="DL50" s="252"/>
      <c r="DM50" s="252"/>
      <c r="DN50" s="252"/>
      <c r="DO50" s="252"/>
      <c r="DP50" s="252"/>
      <c r="DQ50" s="252"/>
      <c r="DR50" s="252"/>
      <c r="DS50" s="252"/>
      <c r="DT50" s="252"/>
      <c r="DU50" s="252"/>
      <c r="DV50" s="252"/>
      <c r="DW50" s="252"/>
      <c r="DX50" s="252"/>
      <c r="DY50" s="252"/>
      <c r="DZ50" s="252"/>
      <c r="EA50" s="252"/>
      <c r="EB50" s="252"/>
      <c r="EC50" s="252"/>
      <c r="ED50" s="252"/>
      <c r="EE50" s="252"/>
      <c r="EF50" s="252"/>
      <c r="EG50" s="252"/>
      <c r="EH50" s="252"/>
      <c r="EI50" s="252"/>
      <c r="EJ50" s="252"/>
      <c r="EK50" s="252"/>
      <c r="EL50" s="252"/>
      <c r="EM50" s="252"/>
      <c r="EN50" s="252"/>
      <c r="EO50" s="252"/>
      <c r="EP50" s="252"/>
      <c r="EQ50" s="252"/>
      <c r="ER50" s="252"/>
      <c r="ES50" s="252"/>
      <c r="ET50" s="252"/>
      <c r="EU50" s="252"/>
      <c r="EV50" s="252"/>
      <c r="EW50" s="252"/>
      <c r="EX50" s="252"/>
      <c r="EY50" s="252"/>
      <c r="EZ50" s="252"/>
      <c r="FA50" s="189">
        <f t="shared" si="4"/>
        <v>10174.5</v>
      </c>
      <c r="FB50" s="961">
        <f>100000-FA50+350000</f>
        <v>439825.5</v>
      </c>
      <c r="FC50" s="194" t="str">
        <f t="shared" si="5"/>
        <v>Tokyo Style</v>
      </c>
      <c r="FE50" s="234">
        <f t="shared" si="3"/>
        <v>10174.5</v>
      </c>
      <c r="FI50" s="234">
        <v>168025.5</v>
      </c>
      <c r="FJ50" s="234"/>
      <c r="FK50" s="979">
        <v>37</v>
      </c>
      <c r="FL50" s="981">
        <f t="shared" si="2"/>
        <v>2870.4615384615386</v>
      </c>
      <c r="FM50" s="977">
        <v>27987</v>
      </c>
      <c r="FN50" s="978" t="s">
        <v>194</v>
      </c>
    </row>
    <row r="51" spans="1:178" ht="10.15" customHeight="1">
      <c r="A51" s="195" t="s">
        <v>172</v>
      </c>
      <c r="B51" s="252"/>
      <c r="C51" s="252"/>
      <c r="D51" s="252"/>
      <c r="E51" s="252"/>
      <c r="F51" s="252"/>
      <c r="G51" s="252"/>
      <c r="H51" s="252"/>
      <c r="I51" s="252"/>
      <c r="J51" s="252"/>
      <c r="K51" s="1139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252"/>
      <c r="BM51" s="252"/>
      <c r="BN51" s="252"/>
      <c r="BO51" s="252"/>
      <c r="BP51" s="252"/>
      <c r="BQ51" s="252"/>
      <c r="BR51" s="252"/>
      <c r="BS51" s="252"/>
      <c r="BT51" s="252"/>
      <c r="BU51" s="252"/>
      <c r="BV51" s="252"/>
      <c r="BW51" s="252"/>
      <c r="BX51" s="252"/>
      <c r="BY51" s="252"/>
      <c r="BZ51" s="252"/>
      <c r="CA51" s="252"/>
      <c r="CB51" s="252"/>
      <c r="CC51" s="252"/>
      <c r="CD51" s="252"/>
      <c r="CE51" s="252"/>
      <c r="CF51" s="252"/>
      <c r="CG51" s="252"/>
      <c r="CH51" s="252"/>
      <c r="CI51" s="252"/>
      <c r="CJ51" s="252"/>
      <c r="CK51" s="252"/>
      <c r="CL51" s="252"/>
      <c r="CM51" s="252"/>
      <c r="CN51" s="252"/>
      <c r="CO51" s="252"/>
      <c r="CP51" s="252"/>
      <c r="CQ51" s="252"/>
      <c r="CR51" s="252"/>
      <c r="CS51" s="252"/>
      <c r="CT51" s="252"/>
      <c r="CU51" s="252"/>
      <c r="CV51" s="252"/>
      <c r="CW51" s="252"/>
      <c r="CX51" s="252"/>
      <c r="CY51" s="252"/>
      <c r="CZ51" s="252"/>
      <c r="DA51" s="252"/>
      <c r="DB51" s="252"/>
      <c r="DC51" s="252"/>
      <c r="DD51" s="252"/>
      <c r="DE51" s="252"/>
      <c r="DF51" s="252"/>
      <c r="DG51" s="252"/>
      <c r="DH51" s="252"/>
      <c r="DI51" s="252"/>
      <c r="DJ51" s="252"/>
      <c r="DK51" s="252"/>
      <c r="DL51" s="252"/>
      <c r="DM51" s="252"/>
      <c r="DN51" s="252"/>
      <c r="DO51" s="252"/>
      <c r="DP51" s="252"/>
      <c r="DQ51" s="252"/>
      <c r="DR51" s="252"/>
      <c r="DS51" s="252"/>
      <c r="DT51" s="252"/>
      <c r="DU51" s="252"/>
      <c r="DV51" s="252"/>
      <c r="DW51" s="252"/>
      <c r="DX51" s="252"/>
      <c r="DY51" s="252"/>
      <c r="DZ51" s="252"/>
      <c r="EA51" s="252"/>
      <c r="EB51" s="252"/>
      <c r="EC51" s="252"/>
      <c r="ED51" s="252"/>
      <c r="EE51" s="252"/>
      <c r="EF51" s="252"/>
      <c r="EG51" s="252"/>
      <c r="EH51" s="252"/>
      <c r="EI51" s="252"/>
      <c r="EJ51" s="252"/>
      <c r="EK51" s="252"/>
      <c r="EL51" s="252"/>
      <c r="EM51" s="252"/>
      <c r="EN51" s="252"/>
      <c r="EO51" s="252"/>
      <c r="EP51" s="252"/>
      <c r="EQ51" s="252"/>
      <c r="ER51" s="252"/>
      <c r="ES51" s="252"/>
      <c r="ET51" s="252"/>
      <c r="EU51" s="252"/>
      <c r="EV51" s="252"/>
      <c r="EW51" s="252"/>
      <c r="EX51" s="252"/>
      <c r="EY51" s="252"/>
      <c r="EZ51" s="252"/>
      <c r="FA51" s="189">
        <f t="shared" si="4"/>
        <v>0</v>
      </c>
      <c r="FB51" s="961">
        <f>100000-FA51</f>
        <v>100000</v>
      </c>
      <c r="FC51" s="194" t="str">
        <f t="shared" si="5"/>
        <v>Trapiyaki</v>
      </c>
      <c r="FE51" s="234">
        <f t="shared" si="3"/>
        <v>0</v>
      </c>
      <c r="FI51" s="234">
        <v>21920</v>
      </c>
      <c r="FJ51" s="234"/>
      <c r="FK51" s="979">
        <v>38</v>
      </c>
      <c r="FL51" s="981">
        <f t="shared" si="2"/>
        <v>2433.8461538461538</v>
      </c>
      <c r="FM51" s="977">
        <v>23730</v>
      </c>
      <c r="FN51" s="978" t="s">
        <v>186</v>
      </c>
    </row>
    <row r="52" spans="1:178" ht="10.15" customHeight="1">
      <c r="A52" s="195" t="s">
        <v>144</v>
      </c>
      <c r="B52" s="738"/>
      <c r="C52" s="738">
        <f>'12.02.22'!E8 + '12.02.22'!E18</f>
        <v>5101.5</v>
      </c>
      <c r="D52" s="738"/>
      <c r="E52" s="738"/>
      <c r="F52" s="252"/>
      <c r="G52" s="252"/>
      <c r="H52" s="252"/>
      <c r="I52" s="252"/>
      <c r="J52" s="589">
        <f>'12.13.22'!E9</f>
        <v>788.5</v>
      </c>
      <c r="K52" s="1139"/>
      <c r="L52" s="252"/>
      <c r="M52" s="252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  <c r="AA52" s="252"/>
      <c r="AB52" s="252"/>
      <c r="AC52" s="252"/>
      <c r="AD52" s="252"/>
      <c r="AE52" s="252"/>
      <c r="AF52" s="252"/>
      <c r="AG52" s="252"/>
      <c r="AH52" s="252"/>
      <c r="AI52" s="252"/>
      <c r="AJ52" s="252"/>
      <c r="AK52" s="252"/>
      <c r="AL52" s="252"/>
      <c r="AM52" s="252"/>
      <c r="AN52" s="252"/>
      <c r="AO52" s="252"/>
      <c r="AP52" s="252"/>
      <c r="AQ52" s="252"/>
      <c r="AR52" s="252"/>
      <c r="AS52" s="252"/>
      <c r="AT52" s="252"/>
      <c r="AU52" s="252"/>
      <c r="AV52" s="252"/>
      <c r="AW52" s="252"/>
      <c r="AX52" s="252"/>
      <c r="AY52" s="252"/>
      <c r="AZ52" s="252"/>
      <c r="BA52" s="252"/>
      <c r="BB52" s="252"/>
      <c r="BC52" s="252"/>
      <c r="BD52" s="252"/>
      <c r="BE52" s="252"/>
      <c r="BF52" s="252"/>
      <c r="BG52" s="252"/>
      <c r="BH52" s="252"/>
      <c r="BI52" s="252"/>
      <c r="BJ52" s="252"/>
      <c r="BK52" s="252"/>
      <c r="BL52" s="252"/>
      <c r="BM52" s="252"/>
      <c r="BN52" s="252"/>
      <c r="BO52" s="252"/>
      <c r="BP52" s="252"/>
      <c r="BQ52" s="252"/>
      <c r="BR52" s="252"/>
      <c r="BS52" s="252"/>
      <c r="BT52" s="252"/>
      <c r="BU52" s="252"/>
      <c r="BV52" s="252"/>
      <c r="BW52" s="252"/>
      <c r="BX52" s="252"/>
      <c r="BY52" s="252"/>
      <c r="BZ52" s="252"/>
      <c r="CA52" s="252"/>
      <c r="CB52" s="252"/>
      <c r="CC52" s="252"/>
      <c r="CD52" s="252"/>
      <c r="CE52" s="252"/>
      <c r="CF52" s="252"/>
      <c r="CG52" s="252"/>
      <c r="CH52" s="252"/>
      <c r="CI52" s="252"/>
      <c r="CJ52" s="252"/>
      <c r="CK52" s="252"/>
      <c r="CL52" s="252"/>
      <c r="CM52" s="252"/>
      <c r="CN52" s="252"/>
      <c r="CO52" s="252"/>
      <c r="CP52" s="252"/>
      <c r="CQ52" s="252"/>
      <c r="CR52" s="252"/>
      <c r="CS52" s="252"/>
      <c r="CT52" s="252"/>
      <c r="CU52" s="252"/>
      <c r="CV52" s="252"/>
      <c r="CW52" s="252"/>
      <c r="CX52" s="252"/>
      <c r="CY52" s="252"/>
      <c r="CZ52" s="252"/>
      <c r="DA52" s="252"/>
      <c r="DB52" s="252"/>
      <c r="DC52" s="252"/>
      <c r="DD52" s="252"/>
      <c r="DE52" s="252"/>
      <c r="DF52" s="252"/>
      <c r="DG52" s="252"/>
      <c r="DH52" s="252"/>
      <c r="DI52" s="252"/>
      <c r="DJ52" s="252"/>
      <c r="DK52" s="252"/>
      <c r="DL52" s="252"/>
      <c r="DM52" s="252"/>
      <c r="DN52" s="252"/>
      <c r="DO52" s="252"/>
      <c r="DP52" s="252"/>
      <c r="DQ52" s="252"/>
      <c r="DR52" s="252"/>
      <c r="DS52" s="252"/>
      <c r="DT52" s="252"/>
      <c r="DU52" s="252"/>
      <c r="DV52" s="252"/>
      <c r="DW52" s="252"/>
      <c r="DX52" s="252"/>
      <c r="DY52" s="252"/>
      <c r="DZ52" s="252"/>
      <c r="EA52" s="252"/>
      <c r="EB52" s="252"/>
      <c r="EC52" s="252"/>
      <c r="ED52" s="252"/>
      <c r="EE52" s="252"/>
      <c r="EF52" s="252"/>
      <c r="EG52" s="252"/>
      <c r="EH52" s="252"/>
      <c r="EI52" s="252"/>
      <c r="EJ52" s="252"/>
      <c r="EK52" s="252"/>
      <c r="EL52" s="252"/>
      <c r="EM52" s="252"/>
      <c r="EN52" s="252"/>
      <c r="EO52" s="252"/>
      <c r="EP52" s="252"/>
      <c r="EQ52" s="252"/>
      <c r="ER52" s="252"/>
      <c r="ES52" s="252"/>
      <c r="ET52" s="252"/>
      <c r="EU52" s="252"/>
      <c r="EV52" s="252"/>
      <c r="EW52" s="252"/>
      <c r="EX52" s="252"/>
      <c r="EY52" s="252"/>
      <c r="EZ52" s="252"/>
      <c r="FA52" s="189">
        <f t="shared" si="4"/>
        <v>5890</v>
      </c>
      <c r="FB52" s="961">
        <f>100000-FA52</f>
        <v>94110</v>
      </c>
      <c r="FC52" s="194" t="str">
        <f t="shared" si="5"/>
        <v>Uncle Al's BBQ</v>
      </c>
      <c r="FE52" s="234">
        <f t="shared" si="3"/>
        <v>5890</v>
      </c>
      <c r="FI52" s="234">
        <v>5830</v>
      </c>
      <c r="FJ52" s="234"/>
      <c r="FK52" s="979">
        <v>39</v>
      </c>
      <c r="FL52" s="981">
        <f t="shared" si="2"/>
        <v>2248.2051282051284</v>
      </c>
      <c r="FM52" s="977">
        <v>21920</v>
      </c>
      <c r="FN52" s="978" t="s">
        <v>84</v>
      </c>
    </row>
    <row r="53" spans="1:178" ht="10.15" customHeight="1">
      <c r="A53" s="195" t="s">
        <v>240</v>
      </c>
      <c r="B53" s="252"/>
      <c r="C53" s="252"/>
      <c r="D53" s="252"/>
      <c r="E53" s="252"/>
      <c r="F53" s="252"/>
      <c r="G53" s="252"/>
      <c r="H53" s="252"/>
      <c r="I53" s="252"/>
      <c r="J53" s="252"/>
      <c r="K53" s="1139"/>
      <c r="L53" s="252"/>
      <c r="M53" s="252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  <c r="AA53" s="252"/>
      <c r="AB53" s="252"/>
      <c r="AC53" s="252"/>
      <c r="AD53" s="252"/>
      <c r="AE53" s="252"/>
      <c r="AF53" s="252"/>
      <c r="AG53" s="252"/>
      <c r="AH53" s="252"/>
      <c r="AI53" s="252"/>
      <c r="AJ53" s="252"/>
      <c r="AK53" s="252"/>
      <c r="AL53" s="252"/>
      <c r="AM53" s="252"/>
      <c r="AN53" s="252"/>
      <c r="AO53" s="252"/>
      <c r="AP53" s="252"/>
      <c r="AQ53" s="252"/>
      <c r="AR53" s="252"/>
      <c r="AS53" s="252"/>
      <c r="AT53" s="252"/>
      <c r="AU53" s="252"/>
      <c r="AV53" s="252"/>
      <c r="AW53" s="252"/>
      <c r="AX53" s="252"/>
      <c r="AY53" s="252"/>
      <c r="AZ53" s="252"/>
      <c r="BA53" s="252"/>
      <c r="BB53" s="252"/>
      <c r="BC53" s="252"/>
      <c r="BD53" s="252"/>
      <c r="BE53" s="252"/>
      <c r="BF53" s="252"/>
      <c r="BG53" s="252"/>
      <c r="BH53" s="252"/>
      <c r="BI53" s="252"/>
      <c r="BJ53" s="252"/>
      <c r="BK53" s="252"/>
      <c r="BL53" s="252"/>
      <c r="BM53" s="252"/>
      <c r="BN53" s="252"/>
      <c r="BO53" s="252"/>
      <c r="BP53" s="252"/>
      <c r="BQ53" s="252"/>
      <c r="BR53" s="252"/>
      <c r="BS53" s="252"/>
      <c r="BT53" s="252"/>
      <c r="BU53" s="252"/>
      <c r="BV53" s="252"/>
      <c r="BW53" s="252"/>
      <c r="BX53" s="252"/>
      <c r="BY53" s="252"/>
      <c r="BZ53" s="252"/>
      <c r="CA53" s="252"/>
      <c r="CB53" s="252"/>
      <c r="CC53" s="252"/>
      <c r="CD53" s="252"/>
      <c r="CE53" s="252"/>
      <c r="CF53" s="252"/>
      <c r="CG53" s="252"/>
      <c r="CH53" s="252"/>
      <c r="CI53" s="252"/>
      <c r="CJ53" s="252"/>
      <c r="CK53" s="252"/>
      <c r="CL53" s="252"/>
      <c r="CM53" s="252"/>
      <c r="CN53" s="252"/>
      <c r="CO53" s="252"/>
      <c r="CP53" s="252"/>
      <c r="CQ53" s="252"/>
      <c r="CR53" s="252"/>
      <c r="CS53" s="252"/>
      <c r="CT53" s="252"/>
      <c r="CU53" s="252"/>
      <c r="CV53" s="252"/>
      <c r="CW53" s="252"/>
      <c r="CX53" s="252"/>
      <c r="CY53" s="252"/>
      <c r="CZ53" s="252"/>
      <c r="DA53" s="252"/>
      <c r="DB53" s="252"/>
      <c r="DC53" s="252"/>
      <c r="DD53" s="252"/>
      <c r="DE53" s="252"/>
      <c r="DF53" s="252"/>
      <c r="DG53" s="252"/>
      <c r="DH53" s="252"/>
      <c r="DI53" s="252"/>
      <c r="DJ53" s="252"/>
      <c r="DK53" s="252"/>
      <c r="DL53" s="252"/>
      <c r="DM53" s="252"/>
      <c r="DN53" s="252"/>
      <c r="DO53" s="252"/>
      <c r="DP53" s="252"/>
      <c r="DQ53" s="252"/>
      <c r="DR53" s="252"/>
      <c r="DS53" s="252"/>
      <c r="DT53" s="252"/>
      <c r="DU53" s="252"/>
      <c r="DV53" s="252"/>
      <c r="DW53" s="252"/>
      <c r="DX53" s="252"/>
      <c r="DY53" s="252"/>
      <c r="DZ53" s="252"/>
      <c r="EA53" s="252"/>
      <c r="EB53" s="252"/>
      <c r="EC53" s="252"/>
      <c r="ED53" s="252"/>
      <c r="EE53" s="252"/>
      <c r="EF53" s="252"/>
      <c r="EG53" s="252"/>
      <c r="EH53" s="252"/>
      <c r="EI53" s="252"/>
      <c r="EJ53" s="252"/>
      <c r="EK53" s="252"/>
      <c r="EL53" s="252"/>
      <c r="EM53" s="252"/>
      <c r="EN53" s="252"/>
      <c r="EO53" s="252"/>
      <c r="EP53" s="252"/>
      <c r="EQ53" s="252"/>
      <c r="ER53" s="252"/>
      <c r="ES53" s="252"/>
      <c r="ET53" s="252"/>
      <c r="EU53" s="252"/>
      <c r="EV53" s="252"/>
      <c r="EW53" s="252"/>
      <c r="EX53" s="252"/>
      <c r="EY53" s="252"/>
      <c r="EZ53" s="252"/>
      <c r="FA53" s="189">
        <f t="shared" si="4"/>
        <v>0</v>
      </c>
      <c r="FB53" s="961">
        <f>100000-FA53</f>
        <v>100000</v>
      </c>
      <c r="FC53" s="194" t="str">
        <f t="shared" si="5"/>
        <v>Veggie Bomb</v>
      </c>
      <c r="FE53" s="234">
        <f t="shared" si="3"/>
        <v>0</v>
      </c>
      <c r="FI53" s="234">
        <v>228015.5</v>
      </c>
      <c r="FJ53" s="234"/>
      <c r="FK53" s="979">
        <v>40</v>
      </c>
      <c r="FL53" s="981">
        <f t="shared" si="2"/>
        <v>1915.0769230769231</v>
      </c>
      <c r="FM53" s="977">
        <v>18672</v>
      </c>
      <c r="FN53" s="978" t="s">
        <v>68</v>
      </c>
    </row>
    <row r="54" spans="1:178" ht="10.15" customHeight="1">
      <c r="A54" s="195" t="s">
        <v>258</v>
      </c>
      <c r="B54" s="252"/>
      <c r="C54" s="252"/>
      <c r="D54" s="252"/>
      <c r="E54" s="252"/>
      <c r="F54" s="252"/>
      <c r="G54" s="252"/>
      <c r="H54" s="252"/>
      <c r="I54" s="252"/>
      <c r="J54" s="589">
        <f>'12.13.22'!E16</f>
        <v>1140</v>
      </c>
      <c r="K54" s="1139"/>
      <c r="L54" s="252"/>
      <c r="M54" s="252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  <c r="AA54" s="252"/>
      <c r="AB54" s="252"/>
      <c r="AC54" s="252"/>
      <c r="AD54" s="252"/>
      <c r="AE54" s="252"/>
      <c r="AF54" s="252"/>
      <c r="AG54" s="252"/>
      <c r="AH54" s="252"/>
      <c r="AI54" s="252"/>
      <c r="AJ54" s="252"/>
      <c r="AK54" s="252"/>
      <c r="AL54" s="252"/>
      <c r="AM54" s="252"/>
      <c r="AN54" s="252"/>
      <c r="AO54" s="252"/>
      <c r="AP54" s="252"/>
      <c r="AQ54" s="252"/>
      <c r="AR54" s="252"/>
      <c r="AS54" s="252"/>
      <c r="AT54" s="252"/>
      <c r="AU54" s="252"/>
      <c r="AV54" s="252"/>
      <c r="AW54" s="252"/>
      <c r="AX54" s="252"/>
      <c r="AY54" s="252"/>
      <c r="AZ54" s="252"/>
      <c r="BA54" s="252"/>
      <c r="BB54" s="252"/>
      <c r="BC54" s="252"/>
      <c r="BD54" s="252"/>
      <c r="BE54" s="252"/>
      <c r="BF54" s="252"/>
      <c r="BG54" s="252"/>
      <c r="BH54" s="252"/>
      <c r="BI54" s="252"/>
      <c r="BJ54" s="252"/>
      <c r="BK54" s="252"/>
      <c r="BL54" s="252"/>
      <c r="BM54" s="252"/>
      <c r="BN54" s="252"/>
      <c r="BO54" s="252"/>
      <c r="BP54" s="252"/>
      <c r="BQ54" s="252"/>
      <c r="BR54" s="252"/>
      <c r="BS54" s="252"/>
      <c r="BT54" s="252"/>
      <c r="BU54" s="252"/>
      <c r="BV54" s="252"/>
      <c r="BW54" s="252"/>
      <c r="BX54" s="252"/>
      <c r="BY54" s="252"/>
      <c r="BZ54" s="252"/>
      <c r="CA54" s="252"/>
      <c r="CB54" s="252"/>
      <c r="CC54" s="252"/>
      <c r="CD54" s="252"/>
      <c r="CE54" s="252"/>
      <c r="CF54" s="252"/>
      <c r="CG54" s="252"/>
      <c r="CH54" s="252"/>
      <c r="CI54" s="252"/>
      <c r="CJ54" s="252"/>
      <c r="CK54" s="252"/>
      <c r="CL54" s="252"/>
      <c r="CM54" s="252"/>
      <c r="CN54" s="252"/>
      <c r="CO54" s="252"/>
      <c r="CP54" s="252"/>
      <c r="CQ54" s="252"/>
      <c r="CR54" s="252"/>
      <c r="CS54" s="252"/>
      <c r="CT54" s="252"/>
      <c r="CU54" s="252"/>
      <c r="CV54" s="252"/>
      <c r="CW54" s="252"/>
      <c r="CX54" s="252"/>
      <c r="CY54" s="252"/>
      <c r="CZ54" s="252"/>
      <c r="DA54" s="252"/>
      <c r="DB54" s="252"/>
      <c r="DC54" s="252"/>
      <c r="DD54" s="252"/>
      <c r="DE54" s="252"/>
      <c r="DF54" s="252"/>
      <c r="DG54" s="252"/>
      <c r="DH54" s="252"/>
      <c r="DI54" s="252"/>
      <c r="DJ54" s="252"/>
      <c r="DK54" s="252"/>
      <c r="DL54" s="252"/>
      <c r="DM54" s="252"/>
      <c r="DN54" s="252"/>
      <c r="DO54" s="252"/>
      <c r="DP54" s="252"/>
      <c r="DQ54" s="252"/>
      <c r="DR54" s="252"/>
      <c r="DS54" s="252"/>
      <c r="DT54" s="252"/>
      <c r="DU54" s="252"/>
      <c r="DV54" s="252"/>
      <c r="DW54" s="252"/>
      <c r="DX54" s="252"/>
      <c r="DY54" s="252"/>
      <c r="DZ54" s="252"/>
      <c r="EA54" s="252"/>
      <c r="EB54" s="252"/>
      <c r="EC54" s="252"/>
      <c r="ED54" s="252"/>
      <c r="EE54" s="252"/>
      <c r="EF54" s="252"/>
      <c r="EG54" s="252"/>
      <c r="EH54" s="252"/>
      <c r="EI54" s="252"/>
      <c r="EJ54" s="252"/>
      <c r="EK54" s="252"/>
      <c r="EL54" s="252"/>
      <c r="EM54" s="252"/>
      <c r="EN54" s="252"/>
      <c r="EO54" s="252"/>
      <c r="EP54" s="252"/>
      <c r="EQ54" s="252"/>
      <c r="ER54" s="252"/>
      <c r="ES54" s="252"/>
      <c r="ET54" s="252"/>
      <c r="EU54" s="252"/>
      <c r="EV54" s="252"/>
      <c r="EW54" s="252"/>
      <c r="EX54" s="252"/>
      <c r="EY54" s="252"/>
      <c r="EZ54" s="252"/>
      <c r="FA54" s="189">
        <f t="shared" si="4"/>
        <v>1140</v>
      </c>
      <c r="FB54" s="961">
        <f>100000-FA54</f>
        <v>98860</v>
      </c>
      <c r="FC54" s="194" t="str">
        <f t="shared" si="5"/>
        <v>Venice Gelato</v>
      </c>
      <c r="FE54" s="234">
        <f t="shared" si="3"/>
        <v>1140</v>
      </c>
      <c r="FI54" s="234">
        <v>75970</v>
      </c>
      <c r="FJ54" s="234"/>
      <c r="FK54" s="979">
        <v>41</v>
      </c>
      <c r="FL54" s="981">
        <f t="shared" si="2"/>
        <v>1189.7435897435898</v>
      </c>
      <c r="FM54" s="977">
        <v>11600</v>
      </c>
      <c r="FN54" s="978" t="s">
        <v>129</v>
      </c>
    </row>
    <row r="55" spans="1:178" ht="10.15" customHeight="1">
      <c r="A55" s="195" t="s">
        <v>70</v>
      </c>
      <c r="B55" s="738"/>
      <c r="C55" s="738"/>
      <c r="D55" s="738"/>
      <c r="E55" s="738">
        <f>'12.04.22'!E10</f>
        <v>6023</v>
      </c>
      <c r="F55" s="589">
        <f>'12.05.22'!E29</f>
        <v>4873.5</v>
      </c>
      <c r="G55" s="589"/>
      <c r="H55" s="589"/>
      <c r="I55" s="589">
        <f>'12.08.22'!E9+'12.08.22'!E22</f>
        <v>9272</v>
      </c>
      <c r="J55" s="252"/>
      <c r="K55" s="1139"/>
      <c r="L55" s="252"/>
      <c r="M55" s="252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  <c r="AA55" s="252"/>
      <c r="AB55" s="252"/>
      <c r="AC55" s="252"/>
      <c r="AD55" s="252"/>
      <c r="AE55" s="252"/>
      <c r="AF55" s="252"/>
      <c r="AG55" s="252"/>
      <c r="AH55" s="252"/>
      <c r="AI55" s="252"/>
      <c r="AJ55" s="252"/>
      <c r="AK55" s="252"/>
      <c r="AL55" s="252"/>
      <c r="AM55" s="252"/>
      <c r="AN55" s="252"/>
      <c r="AO55" s="252"/>
      <c r="AP55" s="252"/>
      <c r="AQ55" s="252"/>
      <c r="AR55" s="252"/>
      <c r="AS55" s="252"/>
      <c r="AT55" s="252"/>
      <c r="AU55" s="252"/>
      <c r="AV55" s="252"/>
      <c r="AW55" s="252"/>
      <c r="AX55" s="252"/>
      <c r="AY55" s="252"/>
      <c r="AZ55" s="252"/>
      <c r="BA55" s="252"/>
      <c r="BB55" s="252"/>
      <c r="BC55" s="252"/>
      <c r="BD55" s="252"/>
      <c r="BE55" s="252"/>
      <c r="BF55" s="252"/>
      <c r="BG55" s="252"/>
      <c r="BH55" s="252"/>
      <c r="BI55" s="252"/>
      <c r="BJ55" s="252"/>
      <c r="BK55" s="252"/>
      <c r="BL55" s="252"/>
      <c r="BM55" s="252"/>
      <c r="BN55" s="252"/>
      <c r="BO55" s="252"/>
      <c r="BP55" s="252"/>
      <c r="BQ55" s="252"/>
      <c r="BR55" s="252"/>
      <c r="BS55" s="252"/>
      <c r="BT55" s="252"/>
      <c r="BU55" s="252"/>
      <c r="BV55" s="252"/>
      <c r="BW55" s="252"/>
      <c r="BX55" s="252"/>
      <c r="BY55" s="252"/>
      <c r="BZ55" s="252"/>
      <c r="CA55" s="252"/>
      <c r="CB55" s="252"/>
      <c r="CC55" s="252"/>
      <c r="CD55" s="252"/>
      <c r="CE55" s="252"/>
      <c r="CF55" s="252"/>
      <c r="CG55" s="252"/>
      <c r="CH55" s="252"/>
      <c r="CI55" s="252"/>
      <c r="CJ55" s="252"/>
      <c r="CK55" s="252"/>
      <c r="CL55" s="252"/>
      <c r="CM55" s="252"/>
      <c r="CN55" s="252"/>
      <c r="CO55" s="252"/>
      <c r="CP55" s="252"/>
      <c r="CQ55" s="252"/>
      <c r="CR55" s="252"/>
      <c r="CS55" s="252"/>
      <c r="CT55" s="252"/>
      <c r="CU55" s="252"/>
      <c r="CV55" s="252"/>
      <c r="CW55" s="252"/>
      <c r="CX55" s="252"/>
      <c r="CY55" s="252"/>
      <c r="CZ55" s="252"/>
      <c r="DA55" s="252"/>
      <c r="DB55" s="252"/>
      <c r="DC55" s="252"/>
      <c r="DD55" s="252"/>
      <c r="DE55" s="252"/>
      <c r="DF55" s="252"/>
      <c r="DG55" s="252"/>
      <c r="DH55" s="252"/>
      <c r="DI55" s="252"/>
      <c r="DJ55" s="252"/>
      <c r="DK55" s="252"/>
      <c r="DL55" s="252"/>
      <c r="DM55" s="252"/>
      <c r="DN55" s="252"/>
      <c r="DO55" s="252"/>
      <c r="DP55" s="252"/>
      <c r="DQ55" s="252"/>
      <c r="DR55" s="252"/>
      <c r="DS55" s="252"/>
      <c r="DT55" s="252"/>
      <c r="DU55" s="252"/>
      <c r="DV55" s="252"/>
      <c r="DW55" s="252"/>
      <c r="DX55" s="252"/>
      <c r="DY55" s="252"/>
      <c r="DZ55" s="252"/>
      <c r="EA55" s="252"/>
      <c r="EB55" s="252"/>
      <c r="EC55" s="252"/>
      <c r="ED55" s="252"/>
      <c r="EE55" s="252"/>
      <c r="EF55" s="252"/>
      <c r="EG55" s="252"/>
      <c r="EH55" s="252"/>
      <c r="EI55" s="252"/>
      <c r="EJ55" s="252"/>
      <c r="EK55" s="252"/>
      <c r="EL55" s="252"/>
      <c r="EM55" s="252"/>
      <c r="EN55" s="252"/>
      <c r="EO55" s="252"/>
      <c r="EP55" s="252"/>
      <c r="EQ55" s="252"/>
      <c r="ER55" s="252"/>
      <c r="ES55" s="252"/>
      <c r="ET55" s="252"/>
      <c r="EU55" s="252"/>
      <c r="EV55" s="252"/>
      <c r="EW55" s="252"/>
      <c r="EX55" s="252"/>
      <c r="EY55" s="252"/>
      <c r="EZ55" s="252"/>
      <c r="FA55" s="189">
        <f t="shared" si="4"/>
        <v>20168.5</v>
      </c>
      <c r="FB55" s="358">
        <f>449000-FA55+350000+350000</f>
        <v>1128831.5</v>
      </c>
      <c r="FC55" s="194" t="str">
        <f t="shared" si="5"/>
        <v>Wafl</v>
      </c>
      <c r="FE55" s="234">
        <f t="shared" si="3"/>
        <v>20168.5</v>
      </c>
      <c r="FI55" s="234">
        <v>71377</v>
      </c>
      <c r="FJ55" s="234"/>
      <c r="FK55" s="979">
        <v>42</v>
      </c>
      <c r="FL55" s="981">
        <f t="shared" si="2"/>
        <v>820.51282051282055</v>
      </c>
      <c r="FM55" s="977">
        <v>8000</v>
      </c>
      <c r="FN55" s="978" t="s">
        <v>80</v>
      </c>
    </row>
    <row r="56" spans="1:178" ht="10.15" customHeight="1">
      <c r="A56" s="195" t="s">
        <v>181</v>
      </c>
      <c r="B56" s="252"/>
      <c r="C56" s="252"/>
      <c r="D56" s="252"/>
      <c r="E56" s="252"/>
      <c r="F56" s="252"/>
      <c r="G56" s="252"/>
      <c r="H56" s="252"/>
      <c r="I56" s="252"/>
      <c r="J56" s="252"/>
      <c r="K56" s="1139"/>
      <c r="L56" s="252"/>
      <c r="M56" s="252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  <c r="AA56" s="252"/>
      <c r="AB56" s="252"/>
      <c r="AC56" s="252"/>
      <c r="AD56" s="252"/>
      <c r="AE56" s="252"/>
      <c r="AF56" s="252"/>
      <c r="AG56" s="252"/>
      <c r="AH56" s="252"/>
      <c r="AI56" s="252"/>
      <c r="AJ56" s="252"/>
      <c r="AK56" s="252"/>
      <c r="AL56" s="252"/>
      <c r="AM56" s="252"/>
      <c r="AN56" s="252"/>
      <c r="AO56" s="252"/>
      <c r="AP56" s="252"/>
      <c r="AQ56" s="252"/>
      <c r="AR56" s="252"/>
      <c r="AS56" s="252"/>
      <c r="AT56" s="252"/>
      <c r="AU56" s="252"/>
      <c r="AV56" s="252"/>
      <c r="AW56" s="252"/>
      <c r="AX56" s="252"/>
      <c r="AY56" s="252"/>
      <c r="AZ56" s="252"/>
      <c r="BA56" s="252"/>
      <c r="BB56" s="252"/>
      <c r="BC56" s="252"/>
      <c r="BD56" s="252"/>
      <c r="BE56" s="252"/>
      <c r="BF56" s="252"/>
      <c r="BG56" s="252"/>
      <c r="BH56" s="252"/>
      <c r="BI56" s="252"/>
      <c r="BJ56" s="252"/>
      <c r="BK56" s="252"/>
      <c r="BL56" s="252"/>
      <c r="BM56" s="252"/>
      <c r="BN56" s="252"/>
      <c r="BO56" s="252"/>
      <c r="BP56" s="252"/>
      <c r="BQ56" s="252"/>
      <c r="BR56" s="252"/>
      <c r="BS56" s="252"/>
      <c r="BT56" s="252"/>
      <c r="BU56" s="252"/>
      <c r="BV56" s="252"/>
      <c r="BW56" s="252"/>
      <c r="BX56" s="252"/>
      <c r="BY56" s="252"/>
      <c r="BZ56" s="252"/>
      <c r="CA56" s="252"/>
      <c r="CB56" s="252"/>
      <c r="CC56" s="252"/>
      <c r="CD56" s="252"/>
      <c r="CE56" s="252"/>
      <c r="CF56" s="252"/>
      <c r="CG56" s="252"/>
      <c r="CH56" s="252"/>
      <c r="CI56" s="252"/>
      <c r="CJ56" s="252"/>
      <c r="CK56" s="252"/>
      <c r="CL56" s="252"/>
      <c r="CM56" s="252"/>
      <c r="CN56" s="252"/>
      <c r="CO56" s="252"/>
      <c r="CP56" s="252"/>
      <c r="CQ56" s="252"/>
      <c r="CR56" s="252"/>
      <c r="CS56" s="252"/>
      <c r="CT56" s="252"/>
      <c r="CU56" s="252"/>
      <c r="CV56" s="252"/>
      <c r="CW56" s="252"/>
      <c r="CX56" s="252"/>
      <c r="CY56" s="252"/>
      <c r="CZ56" s="252"/>
      <c r="DA56" s="252"/>
      <c r="DB56" s="252"/>
      <c r="DC56" s="252"/>
      <c r="DD56" s="252"/>
      <c r="DE56" s="252"/>
      <c r="DF56" s="252"/>
      <c r="DG56" s="252"/>
      <c r="DH56" s="252"/>
      <c r="DI56" s="252"/>
      <c r="DJ56" s="252"/>
      <c r="DK56" s="252"/>
      <c r="DL56" s="252"/>
      <c r="DM56" s="252"/>
      <c r="DN56" s="252"/>
      <c r="DO56" s="252"/>
      <c r="DP56" s="252"/>
      <c r="DQ56" s="252"/>
      <c r="DR56" s="252"/>
      <c r="DS56" s="252"/>
      <c r="DT56" s="252"/>
      <c r="DU56" s="252"/>
      <c r="DV56" s="252"/>
      <c r="DW56" s="252"/>
      <c r="DX56" s="252"/>
      <c r="DY56" s="252"/>
      <c r="DZ56" s="252"/>
      <c r="EA56" s="252"/>
      <c r="EB56" s="252"/>
      <c r="EC56" s="252"/>
      <c r="ED56" s="252"/>
      <c r="EE56" s="252"/>
      <c r="EF56" s="252"/>
      <c r="EG56" s="252"/>
      <c r="EH56" s="252"/>
      <c r="EI56" s="252"/>
      <c r="EJ56" s="252"/>
      <c r="EK56" s="252"/>
      <c r="EL56" s="252"/>
      <c r="EM56" s="252"/>
      <c r="EN56" s="252"/>
      <c r="EO56" s="252"/>
      <c r="EP56" s="252"/>
      <c r="EQ56" s="252"/>
      <c r="ER56" s="252"/>
      <c r="ES56" s="252"/>
      <c r="ET56" s="252"/>
      <c r="EU56" s="252"/>
      <c r="EV56" s="252"/>
      <c r="EW56" s="252"/>
      <c r="EX56" s="252"/>
      <c r="EY56" s="252"/>
      <c r="EZ56" s="252"/>
      <c r="FA56" s="189">
        <f t="shared" si="4"/>
        <v>0</v>
      </c>
      <c r="FB56" s="358">
        <f t="shared" ref="FB56:FB61" si="6">100000-FA56</f>
        <v>100000</v>
      </c>
      <c r="FC56" s="194" t="str">
        <f t="shared" si="5"/>
        <v>White Rabbit</v>
      </c>
      <c r="FE56" s="234">
        <f t="shared" si="3"/>
        <v>0</v>
      </c>
      <c r="FI56" s="234">
        <v>3570</v>
      </c>
      <c r="FJ56" s="234"/>
      <c r="FK56" s="979">
        <v>43</v>
      </c>
      <c r="FL56" s="981">
        <f t="shared" si="2"/>
        <v>783.58974358974353</v>
      </c>
      <c r="FM56" s="977">
        <v>7640</v>
      </c>
      <c r="FN56" s="978" t="s">
        <v>181</v>
      </c>
    </row>
    <row r="57" spans="1:178" ht="10.15" customHeight="1">
      <c r="A57" s="515" t="s">
        <v>205</v>
      </c>
      <c r="B57" s="738"/>
      <c r="C57" s="738"/>
      <c r="D57" s="738"/>
      <c r="E57" s="738"/>
      <c r="F57" s="589">
        <f>'12.05.22'!E27</f>
        <v>2004.5</v>
      </c>
      <c r="G57" s="589"/>
      <c r="H57" s="589"/>
      <c r="I57" s="589"/>
      <c r="J57" s="252"/>
      <c r="K57" s="1139"/>
      <c r="L57" s="252"/>
      <c r="M57" s="252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  <c r="AA57" s="252"/>
      <c r="AB57" s="252"/>
      <c r="AC57" s="252"/>
      <c r="AD57" s="252"/>
      <c r="AE57" s="252"/>
      <c r="AF57" s="252"/>
      <c r="AG57" s="252"/>
      <c r="AH57" s="252"/>
      <c r="AI57" s="252"/>
      <c r="AJ57" s="252"/>
      <c r="AK57" s="252"/>
      <c r="AL57" s="252"/>
      <c r="AM57" s="252"/>
      <c r="AN57" s="252"/>
      <c r="AO57" s="252"/>
      <c r="AP57" s="252"/>
      <c r="AQ57" s="252"/>
      <c r="AR57" s="252"/>
      <c r="AS57" s="252"/>
      <c r="AT57" s="252"/>
      <c r="AU57" s="252"/>
      <c r="AV57" s="252"/>
      <c r="AW57" s="252"/>
      <c r="AX57" s="252"/>
      <c r="AY57" s="252"/>
      <c r="AZ57" s="252"/>
      <c r="BA57" s="252"/>
      <c r="BB57" s="252"/>
      <c r="BC57" s="252"/>
      <c r="BD57" s="252"/>
      <c r="BE57" s="252"/>
      <c r="BF57" s="252"/>
      <c r="BG57" s="252"/>
      <c r="BH57" s="252"/>
      <c r="BI57" s="252"/>
      <c r="BJ57" s="252"/>
      <c r="BK57" s="252"/>
      <c r="BL57" s="252"/>
      <c r="BM57" s="252"/>
      <c r="BN57" s="252"/>
      <c r="BO57" s="252"/>
      <c r="BP57" s="252"/>
      <c r="BQ57" s="252"/>
      <c r="BR57" s="252"/>
      <c r="BS57" s="252"/>
      <c r="BT57" s="252"/>
      <c r="BU57" s="252"/>
      <c r="BV57" s="252"/>
      <c r="BW57" s="252"/>
      <c r="BX57" s="252"/>
      <c r="BY57" s="252"/>
      <c r="BZ57" s="252"/>
      <c r="CA57" s="252"/>
      <c r="CB57" s="252"/>
      <c r="CC57" s="252"/>
      <c r="CD57" s="252"/>
      <c r="CE57" s="252"/>
      <c r="CF57" s="252"/>
      <c r="CG57" s="252"/>
      <c r="CH57" s="252"/>
      <c r="CI57" s="252"/>
      <c r="CJ57" s="252"/>
      <c r="CK57" s="252"/>
      <c r="CL57" s="252"/>
      <c r="CM57" s="252"/>
      <c r="CN57" s="252"/>
      <c r="CO57" s="252"/>
      <c r="CP57" s="252"/>
      <c r="CQ57" s="252"/>
      <c r="CR57" s="252"/>
      <c r="CS57" s="252"/>
      <c r="CT57" s="252"/>
      <c r="CU57" s="252"/>
      <c r="CV57" s="252"/>
      <c r="CW57" s="252"/>
      <c r="CX57" s="252"/>
      <c r="CY57" s="252"/>
      <c r="CZ57" s="252"/>
      <c r="DA57" s="252"/>
      <c r="DB57" s="252"/>
      <c r="DC57" s="252"/>
      <c r="DD57" s="252"/>
      <c r="DE57" s="252"/>
      <c r="DF57" s="252"/>
      <c r="DG57" s="252"/>
      <c r="DH57" s="252"/>
      <c r="DI57" s="252"/>
      <c r="DJ57" s="252"/>
      <c r="DK57" s="252"/>
      <c r="DL57" s="252"/>
      <c r="DM57" s="252"/>
      <c r="DN57" s="252"/>
      <c r="DO57" s="252"/>
      <c r="DP57" s="252"/>
      <c r="DQ57" s="252"/>
      <c r="DR57" s="252"/>
      <c r="DS57" s="252"/>
      <c r="DT57" s="252"/>
      <c r="DU57" s="252"/>
      <c r="DV57" s="252"/>
      <c r="DW57" s="252"/>
      <c r="DX57" s="252"/>
      <c r="DY57" s="252"/>
      <c r="DZ57" s="252"/>
      <c r="EA57" s="252"/>
      <c r="EB57" s="252"/>
      <c r="EC57" s="252"/>
      <c r="ED57" s="252"/>
      <c r="EE57" s="252"/>
      <c r="EF57" s="252"/>
      <c r="EG57" s="252"/>
      <c r="EH57" s="252"/>
      <c r="EI57" s="252"/>
      <c r="EJ57" s="252"/>
      <c r="EK57" s="252"/>
      <c r="EL57" s="252"/>
      <c r="EM57" s="252"/>
      <c r="EN57" s="252"/>
      <c r="EO57" s="252"/>
      <c r="EP57" s="252"/>
      <c r="EQ57" s="252"/>
      <c r="ER57" s="252"/>
      <c r="ES57" s="252"/>
      <c r="ET57" s="252"/>
      <c r="EU57" s="252"/>
      <c r="EV57" s="252"/>
      <c r="EW57" s="252"/>
      <c r="EX57" s="252"/>
      <c r="EY57" s="252"/>
      <c r="EZ57" s="252"/>
      <c r="FA57" s="189">
        <f t="shared" si="4"/>
        <v>2004.5</v>
      </c>
      <c r="FB57" s="522">
        <f t="shared" si="6"/>
        <v>97995.5</v>
      </c>
      <c r="FC57" s="194" t="str">
        <f t="shared" si="5"/>
        <v>Yalla</v>
      </c>
      <c r="FE57" s="234">
        <f t="shared" si="3"/>
        <v>2004.5</v>
      </c>
      <c r="FI57" s="234">
        <v>43804.5</v>
      </c>
      <c r="FJ57" s="234"/>
      <c r="FK57" s="979">
        <v>44</v>
      </c>
      <c r="FL57" s="981">
        <f t="shared" si="2"/>
        <v>693.33333333333337</v>
      </c>
      <c r="FM57" s="977">
        <v>6760</v>
      </c>
      <c r="FN57" s="978" t="s">
        <v>81</v>
      </c>
    </row>
    <row r="58" spans="1:178" ht="10.15" customHeight="1">
      <c r="A58" s="195" t="s">
        <v>244</v>
      </c>
      <c r="B58" s="738">
        <f>'12.01.22'!E19</f>
        <v>6051.5</v>
      </c>
      <c r="C58" s="738"/>
      <c r="D58" s="738"/>
      <c r="E58" s="738"/>
      <c r="F58" s="589">
        <f>'12.05.22'!E19</f>
        <v>6802</v>
      </c>
      <c r="G58" s="589"/>
      <c r="H58" s="589"/>
      <c r="I58" s="589"/>
      <c r="J58" s="252"/>
      <c r="K58" s="1139"/>
      <c r="L58" s="252"/>
      <c r="M58" s="252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  <c r="AA58" s="252"/>
      <c r="AB58" s="252"/>
      <c r="AC58" s="252"/>
      <c r="AD58" s="252"/>
      <c r="AE58" s="252"/>
      <c r="AF58" s="252"/>
      <c r="AG58" s="252"/>
      <c r="AH58" s="252"/>
      <c r="AI58" s="252"/>
      <c r="AJ58" s="252"/>
      <c r="AK58" s="252"/>
      <c r="AL58" s="252"/>
      <c r="AM58" s="252"/>
      <c r="AN58" s="252"/>
      <c r="AO58" s="252"/>
      <c r="AP58" s="252"/>
      <c r="AQ58" s="252"/>
      <c r="AR58" s="252"/>
      <c r="AS58" s="252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252"/>
      <c r="BI58" s="252"/>
      <c r="BJ58" s="252"/>
      <c r="BK58" s="252"/>
      <c r="BL58" s="252"/>
      <c r="BM58" s="252"/>
      <c r="BN58" s="252"/>
      <c r="BO58" s="252"/>
      <c r="BP58" s="252"/>
      <c r="BQ58" s="252"/>
      <c r="BR58" s="252"/>
      <c r="BS58" s="252"/>
      <c r="BT58" s="252"/>
      <c r="BU58" s="252"/>
      <c r="BV58" s="252"/>
      <c r="BW58" s="252"/>
      <c r="BX58" s="252"/>
      <c r="BY58" s="252"/>
      <c r="BZ58" s="252"/>
      <c r="CA58" s="252"/>
      <c r="CB58" s="252"/>
      <c r="CC58" s="252"/>
      <c r="CD58" s="252"/>
      <c r="CE58" s="252"/>
      <c r="CF58" s="252"/>
      <c r="CG58" s="252"/>
      <c r="CH58" s="252"/>
      <c r="CI58" s="252"/>
      <c r="CJ58" s="252"/>
      <c r="CK58" s="252"/>
      <c r="CL58" s="252"/>
      <c r="CM58" s="252"/>
      <c r="CN58" s="252"/>
      <c r="CO58" s="252"/>
      <c r="CP58" s="252"/>
      <c r="CQ58" s="252"/>
      <c r="CR58" s="252"/>
      <c r="CS58" s="252"/>
      <c r="CT58" s="252"/>
      <c r="CU58" s="252"/>
      <c r="CV58" s="252"/>
      <c r="CW58" s="252"/>
      <c r="CX58" s="252"/>
      <c r="CY58" s="252"/>
      <c r="CZ58" s="252"/>
      <c r="DA58" s="252"/>
      <c r="DB58" s="252"/>
      <c r="DC58" s="252"/>
      <c r="DD58" s="252"/>
      <c r="DE58" s="252"/>
      <c r="DF58" s="252"/>
      <c r="DG58" s="252"/>
      <c r="DH58" s="252"/>
      <c r="DI58" s="252"/>
      <c r="DJ58" s="252"/>
      <c r="DK58" s="252"/>
      <c r="DL58" s="252"/>
      <c r="DM58" s="252"/>
      <c r="DN58" s="252"/>
      <c r="DO58" s="252"/>
      <c r="DP58" s="252"/>
      <c r="DQ58" s="252"/>
      <c r="DR58" s="252"/>
      <c r="DS58" s="252"/>
      <c r="DT58" s="252"/>
      <c r="DU58" s="252"/>
      <c r="DV58" s="252"/>
      <c r="DW58" s="252"/>
      <c r="DX58" s="252"/>
      <c r="DY58" s="252"/>
      <c r="DZ58" s="252"/>
      <c r="EA58" s="252"/>
      <c r="EB58" s="252"/>
      <c r="EC58" s="252"/>
      <c r="ED58" s="252"/>
      <c r="EE58" s="252"/>
      <c r="EF58" s="252"/>
      <c r="EG58" s="252"/>
      <c r="EH58" s="252"/>
      <c r="EI58" s="252"/>
      <c r="EJ58" s="252"/>
      <c r="EK58" s="252"/>
      <c r="EL58" s="252"/>
      <c r="EM58" s="252"/>
      <c r="EN58" s="252"/>
      <c r="EO58" s="252"/>
      <c r="EP58" s="252"/>
      <c r="EQ58" s="252"/>
      <c r="ER58" s="252"/>
      <c r="ES58" s="252"/>
      <c r="ET58" s="252"/>
      <c r="EU58" s="252"/>
      <c r="EV58" s="252"/>
      <c r="EW58" s="252"/>
      <c r="EX58" s="252"/>
      <c r="EY58" s="252"/>
      <c r="EZ58" s="252"/>
      <c r="FA58" s="189">
        <f t="shared" si="4"/>
        <v>12853.5</v>
      </c>
      <c r="FB58" s="358">
        <f t="shared" si="6"/>
        <v>87146.5</v>
      </c>
      <c r="FC58" s="194" t="str">
        <f t="shared" si="5"/>
        <v>Yuna's Bob</v>
      </c>
      <c r="FE58" s="234">
        <f t="shared" si="3"/>
        <v>12853.5</v>
      </c>
      <c r="FI58" s="234">
        <v>499011.5</v>
      </c>
      <c r="FJ58" s="234"/>
      <c r="FK58" s="979">
        <v>45</v>
      </c>
      <c r="FL58" s="981">
        <f t="shared" si="2"/>
        <v>597.9487179487179</v>
      </c>
      <c r="FM58" s="977">
        <v>5830</v>
      </c>
      <c r="FN58" s="978" t="s">
        <v>58</v>
      </c>
    </row>
    <row r="59" spans="1:178" ht="10.15" customHeight="1">
      <c r="A59" s="195"/>
      <c r="B59" s="252"/>
      <c r="C59" s="252"/>
      <c r="D59" s="252"/>
      <c r="E59" s="252"/>
      <c r="F59" s="252"/>
      <c r="G59" s="252"/>
      <c r="H59" s="252"/>
      <c r="I59" s="252"/>
      <c r="J59" s="252"/>
      <c r="K59" s="1139"/>
      <c r="L59" s="252"/>
      <c r="M59" s="252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  <c r="AA59" s="252"/>
      <c r="AB59" s="252"/>
      <c r="AC59" s="252"/>
      <c r="AD59" s="252"/>
      <c r="AE59" s="252"/>
      <c r="AF59" s="252"/>
      <c r="AG59" s="252"/>
      <c r="AH59" s="252"/>
      <c r="AI59" s="252"/>
      <c r="AJ59" s="252"/>
      <c r="AK59" s="252"/>
      <c r="AL59" s="252"/>
      <c r="AM59" s="252"/>
      <c r="AN59" s="252"/>
      <c r="AO59" s="252"/>
      <c r="AP59" s="252"/>
      <c r="AQ59" s="252"/>
      <c r="AR59" s="252"/>
      <c r="AS59" s="25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52"/>
      <c r="BI59" s="252"/>
      <c r="BJ59" s="252"/>
      <c r="BK59" s="252"/>
      <c r="BL59" s="252"/>
      <c r="BM59" s="252"/>
      <c r="BN59" s="252"/>
      <c r="BO59" s="252"/>
      <c r="BP59" s="252"/>
      <c r="BQ59" s="252"/>
      <c r="BR59" s="252"/>
      <c r="BS59" s="252"/>
      <c r="BT59" s="252"/>
      <c r="BU59" s="252"/>
      <c r="BV59" s="252"/>
      <c r="BW59" s="252"/>
      <c r="BX59" s="252"/>
      <c r="BY59" s="252"/>
      <c r="BZ59" s="252"/>
      <c r="CA59" s="252"/>
      <c r="CB59" s="252"/>
      <c r="CC59" s="252"/>
      <c r="CD59" s="252"/>
      <c r="CE59" s="252"/>
      <c r="CF59" s="252"/>
      <c r="CG59" s="252"/>
      <c r="CH59" s="252"/>
      <c r="CI59" s="252"/>
      <c r="CJ59" s="252"/>
      <c r="CK59" s="252"/>
      <c r="CL59" s="252"/>
      <c r="CM59" s="252"/>
      <c r="CN59" s="252"/>
      <c r="CO59" s="252"/>
      <c r="CP59" s="252"/>
      <c r="CQ59" s="252"/>
      <c r="CR59" s="252"/>
      <c r="CS59" s="252"/>
      <c r="CT59" s="252"/>
      <c r="CU59" s="252"/>
      <c r="CV59" s="252"/>
      <c r="CW59" s="252"/>
      <c r="CX59" s="252"/>
      <c r="CY59" s="252"/>
      <c r="CZ59" s="252"/>
      <c r="DA59" s="252"/>
      <c r="DB59" s="252"/>
      <c r="DC59" s="252"/>
      <c r="DD59" s="252"/>
      <c r="DE59" s="252"/>
      <c r="DF59" s="252"/>
      <c r="DG59" s="252"/>
      <c r="DH59" s="252"/>
      <c r="DI59" s="252"/>
      <c r="DJ59" s="252"/>
      <c r="DK59" s="252"/>
      <c r="DL59" s="252"/>
      <c r="DM59" s="252"/>
      <c r="DN59" s="252"/>
      <c r="DO59" s="252"/>
      <c r="DP59" s="252"/>
      <c r="DQ59" s="252"/>
      <c r="DR59" s="252"/>
      <c r="DS59" s="252"/>
      <c r="DT59" s="252"/>
      <c r="DU59" s="252"/>
      <c r="DV59" s="252"/>
      <c r="DW59" s="252"/>
      <c r="DX59" s="252"/>
      <c r="DY59" s="252"/>
      <c r="DZ59" s="252"/>
      <c r="EA59" s="252"/>
      <c r="EB59" s="252"/>
      <c r="EC59" s="252"/>
      <c r="ED59" s="252"/>
      <c r="EE59" s="252"/>
      <c r="EF59" s="252"/>
      <c r="EG59" s="252"/>
      <c r="EH59" s="252"/>
      <c r="EI59" s="252"/>
      <c r="EJ59" s="252"/>
      <c r="EK59" s="252"/>
      <c r="EL59" s="252"/>
      <c r="EM59" s="252"/>
      <c r="EN59" s="252"/>
      <c r="EO59" s="252"/>
      <c r="EP59" s="252"/>
      <c r="EQ59" s="252"/>
      <c r="ER59" s="252"/>
      <c r="ES59" s="252"/>
      <c r="ET59" s="252"/>
      <c r="EU59" s="252"/>
      <c r="EV59" s="252"/>
      <c r="EW59" s="252"/>
      <c r="EX59" s="252"/>
      <c r="EY59" s="252"/>
      <c r="EZ59" s="252"/>
      <c r="FA59" s="189">
        <f t="shared" si="4"/>
        <v>0</v>
      </c>
      <c r="FB59" s="961">
        <f t="shared" si="6"/>
        <v>100000</v>
      </c>
      <c r="FC59" s="195"/>
      <c r="FE59" s="234">
        <f t="shared" si="3"/>
        <v>0</v>
      </c>
      <c r="FI59" s="234">
        <v>7640</v>
      </c>
      <c r="FJ59" s="234"/>
      <c r="FK59" s="979">
        <v>46</v>
      </c>
      <c r="FL59" s="981">
        <f t="shared" si="2"/>
        <v>366.15384615384613</v>
      </c>
      <c r="FM59" s="977">
        <v>3570</v>
      </c>
      <c r="FN59" s="978" t="s">
        <v>240</v>
      </c>
    </row>
    <row r="60" spans="1:178" ht="10.15" customHeight="1">
      <c r="A60" s="195"/>
      <c r="B60" s="252"/>
      <c r="C60" s="252"/>
      <c r="D60" s="252"/>
      <c r="E60" s="252"/>
      <c r="F60" s="252"/>
      <c r="G60" s="252"/>
      <c r="H60" s="252"/>
      <c r="I60" s="252"/>
      <c r="J60" s="252"/>
      <c r="K60" s="1139"/>
      <c r="L60" s="252"/>
      <c r="M60" s="252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  <c r="AA60" s="252"/>
      <c r="AB60" s="252"/>
      <c r="AC60" s="252"/>
      <c r="AD60" s="252"/>
      <c r="AE60" s="252"/>
      <c r="AF60" s="252"/>
      <c r="AG60" s="252"/>
      <c r="AH60" s="252"/>
      <c r="AI60" s="252"/>
      <c r="AJ60" s="252"/>
      <c r="AK60" s="252"/>
      <c r="AL60" s="252"/>
      <c r="AM60" s="252"/>
      <c r="AN60" s="252"/>
      <c r="AO60" s="252"/>
      <c r="AP60" s="252"/>
      <c r="AQ60" s="252"/>
      <c r="AR60" s="252"/>
      <c r="AS60" s="25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52"/>
      <c r="BI60" s="252"/>
      <c r="BJ60" s="252"/>
      <c r="BK60" s="252"/>
      <c r="BL60" s="252"/>
      <c r="BM60" s="252"/>
      <c r="BN60" s="252"/>
      <c r="BO60" s="252"/>
      <c r="BP60" s="252"/>
      <c r="BQ60" s="252"/>
      <c r="BR60" s="252"/>
      <c r="BS60" s="252"/>
      <c r="BT60" s="252"/>
      <c r="BU60" s="252"/>
      <c r="BV60" s="252"/>
      <c r="BW60" s="252"/>
      <c r="BX60" s="252"/>
      <c r="BY60" s="252"/>
      <c r="BZ60" s="252"/>
      <c r="CA60" s="252"/>
      <c r="CB60" s="252"/>
      <c r="CC60" s="252"/>
      <c r="CD60" s="252"/>
      <c r="CE60" s="252"/>
      <c r="CF60" s="252"/>
      <c r="CG60" s="252"/>
      <c r="CH60" s="252"/>
      <c r="CI60" s="252"/>
      <c r="CJ60" s="252"/>
      <c r="CK60" s="252"/>
      <c r="CL60" s="252"/>
      <c r="CM60" s="252"/>
      <c r="CN60" s="252"/>
      <c r="CO60" s="252"/>
      <c r="CP60" s="252"/>
      <c r="CQ60" s="252"/>
      <c r="CR60" s="252"/>
      <c r="CS60" s="252"/>
      <c r="CT60" s="252"/>
      <c r="CU60" s="252"/>
      <c r="CV60" s="252"/>
      <c r="CW60" s="252"/>
      <c r="CX60" s="252"/>
      <c r="CY60" s="252"/>
      <c r="CZ60" s="252"/>
      <c r="DA60" s="252"/>
      <c r="DB60" s="252"/>
      <c r="DC60" s="252"/>
      <c r="DD60" s="252"/>
      <c r="DE60" s="252"/>
      <c r="DF60" s="252"/>
      <c r="DG60" s="252"/>
      <c r="DH60" s="252"/>
      <c r="DI60" s="252"/>
      <c r="DJ60" s="252"/>
      <c r="DK60" s="252"/>
      <c r="DL60" s="252"/>
      <c r="DM60" s="252"/>
      <c r="DN60" s="252"/>
      <c r="DO60" s="252"/>
      <c r="DP60" s="252"/>
      <c r="DQ60" s="252"/>
      <c r="DR60" s="252"/>
      <c r="DS60" s="252"/>
      <c r="DT60" s="252"/>
      <c r="DU60" s="252"/>
      <c r="DV60" s="252"/>
      <c r="DW60" s="252"/>
      <c r="DX60" s="252"/>
      <c r="DY60" s="252"/>
      <c r="DZ60" s="252"/>
      <c r="EA60" s="252"/>
      <c r="EB60" s="252"/>
      <c r="EC60" s="252"/>
      <c r="ED60" s="252"/>
      <c r="EE60" s="252"/>
      <c r="EF60" s="252"/>
      <c r="EG60" s="252"/>
      <c r="EH60" s="252"/>
      <c r="EI60" s="252"/>
      <c r="EJ60" s="252"/>
      <c r="EK60" s="252"/>
      <c r="EL60" s="252"/>
      <c r="EM60" s="252"/>
      <c r="EN60" s="252"/>
      <c r="EO60" s="252"/>
      <c r="EP60" s="252"/>
      <c r="EQ60" s="252"/>
      <c r="ER60" s="252"/>
      <c r="ES60" s="252"/>
      <c r="ET60" s="252"/>
      <c r="EU60" s="252"/>
      <c r="EV60" s="252"/>
      <c r="EW60" s="252"/>
      <c r="EX60" s="252"/>
      <c r="EY60" s="252"/>
      <c r="EZ60" s="252"/>
      <c r="FA60" s="189">
        <f t="shared" si="4"/>
        <v>0</v>
      </c>
      <c r="FB60" s="961">
        <f t="shared" si="6"/>
        <v>100000</v>
      </c>
      <c r="FC60" s="195"/>
      <c r="FE60" s="234">
        <f t="shared" si="3"/>
        <v>0</v>
      </c>
      <c r="FI60" s="234">
        <v>64586.5</v>
      </c>
      <c r="FJ60" s="234"/>
      <c r="FK60" s="979">
        <v>47</v>
      </c>
      <c r="FL60" s="981">
        <f t="shared" si="2"/>
        <v>284.5128205128205</v>
      </c>
      <c r="FM60" s="977">
        <v>2774</v>
      </c>
      <c r="FN60" s="978" t="s">
        <v>265</v>
      </c>
    </row>
    <row r="61" spans="1:178" s="521" customFormat="1" ht="10.15" customHeight="1">
      <c r="A61" s="195"/>
      <c r="B61" s="252"/>
      <c r="C61" s="252"/>
      <c r="D61" s="252"/>
      <c r="E61" s="252"/>
      <c r="F61" s="252"/>
      <c r="G61" s="252"/>
      <c r="H61" s="252"/>
      <c r="I61" s="252"/>
      <c r="J61" s="252"/>
      <c r="K61" s="1139"/>
      <c r="L61" s="252"/>
      <c r="M61" s="252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  <c r="AA61" s="252"/>
      <c r="AB61" s="252"/>
      <c r="AC61" s="252"/>
      <c r="AD61" s="252"/>
      <c r="AE61" s="252"/>
      <c r="AF61" s="252"/>
      <c r="AG61" s="252"/>
      <c r="AH61" s="252"/>
      <c r="AI61" s="252"/>
      <c r="AJ61" s="252"/>
      <c r="AK61" s="252"/>
      <c r="AL61" s="252"/>
      <c r="AM61" s="252"/>
      <c r="AN61" s="252"/>
      <c r="AO61" s="252"/>
      <c r="AP61" s="252"/>
      <c r="AQ61" s="252"/>
      <c r="AR61" s="252"/>
      <c r="AS61" s="25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52"/>
      <c r="BI61" s="252"/>
      <c r="BJ61" s="252"/>
      <c r="BK61" s="252"/>
      <c r="BL61" s="252"/>
      <c r="BM61" s="252"/>
      <c r="BN61" s="252"/>
      <c r="BO61" s="252"/>
      <c r="BP61" s="252"/>
      <c r="BQ61" s="252"/>
      <c r="BR61" s="252"/>
      <c r="BS61" s="252"/>
      <c r="BT61" s="252"/>
      <c r="BU61" s="252"/>
      <c r="BV61" s="252"/>
      <c r="BW61" s="252"/>
      <c r="BX61" s="252"/>
      <c r="BY61" s="252"/>
      <c r="BZ61" s="252"/>
      <c r="CA61" s="252"/>
      <c r="CB61" s="252"/>
      <c r="CC61" s="252"/>
      <c r="CD61" s="252"/>
      <c r="CE61" s="252"/>
      <c r="CF61" s="252"/>
      <c r="CG61" s="252"/>
      <c r="CH61" s="252"/>
      <c r="CI61" s="252"/>
      <c r="CJ61" s="252"/>
      <c r="CK61" s="252"/>
      <c r="CL61" s="252"/>
      <c r="CM61" s="252"/>
      <c r="CN61" s="252"/>
      <c r="CO61" s="252"/>
      <c r="CP61" s="252"/>
      <c r="CQ61" s="252"/>
      <c r="CR61" s="252"/>
      <c r="CS61" s="252"/>
      <c r="CT61" s="252"/>
      <c r="CU61" s="252"/>
      <c r="CV61" s="252"/>
      <c r="CW61" s="252"/>
      <c r="CX61" s="252"/>
      <c r="CY61" s="252"/>
      <c r="CZ61" s="252"/>
      <c r="DA61" s="252"/>
      <c r="DB61" s="252"/>
      <c r="DC61" s="252"/>
      <c r="DD61" s="252"/>
      <c r="DE61" s="252"/>
      <c r="DF61" s="252"/>
      <c r="DG61" s="252"/>
      <c r="DH61" s="252"/>
      <c r="DI61" s="252"/>
      <c r="DJ61" s="252"/>
      <c r="DK61" s="252"/>
      <c r="DL61" s="252"/>
      <c r="DM61" s="252"/>
      <c r="DN61" s="252"/>
      <c r="DO61" s="252"/>
      <c r="DP61" s="252"/>
      <c r="DQ61" s="252"/>
      <c r="DR61" s="252"/>
      <c r="DS61" s="252"/>
      <c r="DT61" s="252"/>
      <c r="DU61" s="252"/>
      <c r="DV61" s="252"/>
      <c r="DW61" s="252"/>
      <c r="DX61" s="252"/>
      <c r="DY61" s="252"/>
      <c r="DZ61" s="252"/>
      <c r="EA61" s="252"/>
      <c r="EB61" s="252"/>
      <c r="EC61" s="252"/>
      <c r="ED61" s="252"/>
      <c r="EE61" s="252"/>
      <c r="EF61" s="252"/>
      <c r="EG61" s="252"/>
      <c r="EH61" s="252"/>
      <c r="EI61" s="252"/>
      <c r="EJ61" s="252"/>
      <c r="EK61" s="252"/>
      <c r="EL61" s="252"/>
      <c r="EM61" s="252"/>
      <c r="EN61" s="252"/>
      <c r="EO61" s="252"/>
      <c r="EP61" s="252"/>
      <c r="EQ61" s="252"/>
      <c r="ER61" s="252"/>
      <c r="ES61" s="252"/>
      <c r="ET61" s="252"/>
      <c r="EU61" s="252"/>
      <c r="EV61" s="252"/>
      <c r="EW61" s="252"/>
      <c r="EX61" s="252"/>
      <c r="EY61" s="252"/>
      <c r="EZ61" s="252"/>
      <c r="FA61" s="189">
        <f t="shared" si="4"/>
        <v>0</v>
      </c>
      <c r="FB61" s="961">
        <f t="shared" si="6"/>
        <v>100000</v>
      </c>
      <c r="FC61" s="195"/>
      <c r="FD61" s="934"/>
      <c r="FE61" s="234">
        <f t="shared" si="3"/>
        <v>0</v>
      </c>
      <c r="FF61" s="934"/>
      <c r="FG61" s="934"/>
      <c r="FH61" s="934"/>
      <c r="FI61" s="234">
        <v>42224</v>
      </c>
      <c r="FJ61" s="234"/>
      <c r="FK61" s="979">
        <v>48</v>
      </c>
      <c r="FL61" s="981">
        <f t="shared" si="2"/>
        <v>51.282051282051285</v>
      </c>
      <c r="FM61" s="977">
        <v>500</v>
      </c>
      <c r="FN61" s="978" t="s">
        <v>79</v>
      </c>
    </row>
    <row r="62" spans="1:178" ht="13.9" customHeight="1" thickBot="1">
      <c r="A62" s="46" t="s">
        <v>24</v>
      </c>
      <c r="B62" s="530">
        <f t="shared" ref="B62:U62" si="7">SUM(B3:B61)</f>
        <v>49922.5</v>
      </c>
      <c r="C62" s="530">
        <f t="shared" si="7"/>
        <v>39377.5</v>
      </c>
      <c r="D62" s="530">
        <f t="shared" si="7"/>
        <v>50758.5</v>
      </c>
      <c r="E62" s="530">
        <f t="shared" si="7"/>
        <v>58529.5</v>
      </c>
      <c r="F62" s="530">
        <f t="shared" si="7"/>
        <v>49105.5</v>
      </c>
      <c r="G62" s="530">
        <f t="shared" si="7"/>
        <v>36841</v>
      </c>
      <c r="H62" s="530">
        <f t="shared" si="7"/>
        <v>43006.5</v>
      </c>
      <c r="I62" s="530">
        <f t="shared" si="7"/>
        <v>62842.5</v>
      </c>
      <c r="J62" s="530">
        <f t="shared" si="7"/>
        <v>17128.5</v>
      </c>
      <c r="K62" s="1140">
        <f t="shared" si="7"/>
        <v>0</v>
      </c>
      <c r="L62" s="530">
        <f t="shared" si="7"/>
        <v>0</v>
      </c>
      <c r="M62" s="530">
        <f t="shared" si="7"/>
        <v>0</v>
      </c>
      <c r="N62" s="530">
        <f t="shared" si="7"/>
        <v>0</v>
      </c>
      <c r="O62" s="530">
        <f t="shared" si="7"/>
        <v>0</v>
      </c>
      <c r="P62" s="530">
        <f t="shared" si="7"/>
        <v>0</v>
      </c>
      <c r="Q62" s="530">
        <f t="shared" si="7"/>
        <v>0</v>
      </c>
      <c r="R62" s="530">
        <f t="shared" si="7"/>
        <v>0</v>
      </c>
      <c r="S62" s="530">
        <f t="shared" si="7"/>
        <v>0</v>
      </c>
      <c r="T62" s="530">
        <f t="shared" si="7"/>
        <v>0</v>
      </c>
      <c r="U62" s="530">
        <f t="shared" si="7"/>
        <v>0</v>
      </c>
      <c r="V62" s="530">
        <f t="shared" ref="V62:CH62" si="8">SUM(V3:V61)</f>
        <v>0</v>
      </c>
      <c r="W62" s="530">
        <f t="shared" si="8"/>
        <v>0</v>
      </c>
      <c r="X62" s="530">
        <f t="shared" si="8"/>
        <v>0</v>
      </c>
      <c r="Y62" s="530">
        <f t="shared" si="8"/>
        <v>0</v>
      </c>
      <c r="Z62" s="530">
        <f t="shared" si="8"/>
        <v>0</v>
      </c>
      <c r="AA62" s="530">
        <f t="shared" si="8"/>
        <v>0</v>
      </c>
      <c r="AB62" s="530">
        <f t="shared" si="8"/>
        <v>0</v>
      </c>
      <c r="AC62" s="530">
        <f t="shared" si="8"/>
        <v>0</v>
      </c>
      <c r="AD62" s="530">
        <f t="shared" si="8"/>
        <v>0</v>
      </c>
      <c r="AE62" s="530">
        <f t="shared" si="8"/>
        <v>0</v>
      </c>
      <c r="AF62" s="530">
        <f t="shared" si="8"/>
        <v>0</v>
      </c>
      <c r="AG62" s="530">
        <f t="shared" si="8"/>
        <v>0</v>
      </c>
      <c r="AH62" s="530">
        <f t="shared" si="8"/>
        <v>0</v>
      </c>
      <c r="AI62" s="530">
        <f t="shared" si="8"/>
        <v>0</v>
      </c>
      <c r="AJ62" s="530">
        <f t="shared" si="8"/>
        <v>0</v>
      </c>
      <c r="AK62" s="530">
        <f t="shared" si="8"/>
        <v>0</v>
      </c>
      <c r="AL62" s="530">
        <f t="shared" si="8"/>
        <v>0</v>
      </c>
      <c r="AM62" s="530">
        <f t="shared" si="8"/>
        <v>0</v>
      </c>
      <c r="AN62" s="530">
        <f t="shared" si="8"/>
        <v>0</v>
      </c>
      <c r="AO62" s="530">
        <f t="shared" si="8"/>
        <v>0</v>
      </c>
      <c r="AP62" s="530">
        <f t="shared" si="8"/>
        <v>0</v>
      </c>
      <c r="AQ62" s="530">
        <f t="shared" si="8"/>
        <v>0</v>
      </c>
      <c r="AR62" s="530">
        <f t="shared" si="8"/>
        <v>0</v>
      </c>
      <c r="AS62" s="530">
        <f t="shared" si="8"/>
        <v>0</v>
      </c>
      <c r="AT62" s="530">
        <f t="shared" si="8"/>
        <v>0</v>
      </c>
      <c r="AU62" s="530">
        <f t="shared" si="8"/>
        <v>0</v>
      </c>
      <c r="AV62" s="530">
        <f t="shared" si="8"/>
        <v>0</v>
      </c>
      <c r="AW62" s="530">
        <f t="shared" si="8"/>
        <v>0</v>
      </c>
      <c r="AX62" s="530">
        <f t="shared" si="8"/>
        <v>0</v>
      </c>
      <c r="AY62" s="530">
        <f t="shared" si="8"/>
        <v>0</v>
      </c>
      <c r="AZ62" s="530">
        <f t="shared" si="8"/>
        <v>0</v>
      </c>
      <c r="BA62" s="530">
        <f t="shared" si="8"/>
        <v>0</v>
      </c>
      <c r="BB62" s="530">
        <f t="shared" si="8"/>
        <v>0</v>
      </c>
      <c r="BC62" s="530">
        <f t="shared" si="8"/>
        <v>0</v>
      </c>
      <c r="BD62" s="530">
        <f t="shared" si="8"/>
        <v>0</v>
      </c>
      <c r="BE62" s="530">
        <f t="shared" si="8"/>
        <v>0</v>
      </c>
      <c r="BF62" s="530">
        <f t="shared" si="8"/>
        <v>0</v>
      </c>
      <c r="BG62" s="530">
        <f t="shared" si="8"/>
        <v>0</v>
      </c>
      <c r="BH62" s="530">
        <f t="shared" si="8"/>
        <v>0</v>
      </c>
      <c r="BI62" s="530">
        <f t="shared" si="8"/>
        <v>0</v>
      </c>
      <c r="BJ62" s="530">
        <f t="shared" si="8"/>
        <v>0</v>
      </c>
      <c r="BK62" s="530">
        <f t="shared" si="8"/>
        <v>0</v>
      </c>
      <c r="BL62" s="530">
        <f t="shared" si="8"/>
        <v>0</v>
      </c>
      <c r="BM62" s="530">
        <f t="shared" si="8"/>
        <v>0</v>
      </c>
      <c r="BN62" s="530">
        <f t="shared" si="8"/>
        <v>0</v>
      </c>
      <c r="BO62" s="530">
        <f t="shared" si="8"/>
        <v>0</v>
      </c>
      <c r="BP62" s="530">
        <f t="shared" si="8"/>
        <v>0</v>
      </c>
      <c r="BQ62" s="530">
        <f t="shared" si="8"/>
        <v>0</v>
      </c>
      <c r="BR62" s="530">
        <f t="shared" si="8"/>
        <v>0</v>
      </c>
      <c r="BS62" s="530">
        <f t="shared" si="8"/>
        <v>0</v>
      </c>
      <c r="BT62" s="530">
        <f t="shared" si="8"/>
        <v>0</v>
      </c>
      <c r="BU62" s="530">
        <f t="shared" si="8"/>
        <v>0</v>
      </c>
      <c r="BV62" s="530">
        <f t="shared" si="8"/>
        <v>0</v>
      </c>
      <c r="BW62" s="530">
        <f t="shared" si="8"/>
        <v>0</v>
      </c>
      <c r="BX62" s="530">
        <f t="shared" si="8"/>
        <v>0</v>
      </c>
      <c r="BY62" s="530">
        <f t="shared" si="8"/>
        <v>0</v>
      </c>
      <c r="BZ62" s="530">
        <f t="shared" si="8"/>
        <v>0</v>
      </c>
      <c r="CA62" s="530">
        <f t="shared" si="8"/>
        <v>0</v>
      </c>
      <c r="CB62" s="530">
        <f t="shared" si="8"/>
        <v>0</v>
      </c>
      <c r="CC62" s="530">
        <f t="shared" si="8"/>
        <v>0</v>
      </c>
      <c r="CD62" s="530">
        <f t="shared" si="8"/>
        <v>0</v>
      </c>
      <c r="CE62" s="530">
        <f t="shared" si="8"/>
        <v>0</v>
      </c>
      <c r="CF62" s="530">
        <f t="shared" si="8"/>
        <v>0</v>
      </c>
      <c r="CG62" s="530">
        <f t="shared" si="8"/>
        <v>0</v>
      </c>
      <c r="CH62" s="530">
        <f t="shared" si="8"/>
        <v>0</v>
      </c>
      <c r="CI62" s="530">
        <f t="shared" ref="CI62:ET62" si="9">SUM(CI3:CI61)</f>
        <v>0</v>
      </c>
      <c r="CJ62" s="530">
        <f t="shared" si="9"/>
        <v>0</v>
      </c>
      <c r="CK62" s="530">
        <f t="shared" si="9"/>
        <v>0</v>
      </c>
      <c r="CL62" s="530">
        <f t="shared" si="9"/>
        <v>0</v>
      </c>
      <c r="CM62" s="530">
        <f t="shared" si="9"/>
        <v>0</v>
      </c>
      <c r="CN62" s="530">
        <f t="shared" si="9"/>
        <v>0</v>
      </c>
      <c r="CO62" s="530">
        <f t="shared" si="9"/>
        <v>0</v>
      </c>
      <c r="CP62" s="530">
        <f t="shared" si="9"/>
        <v>0</v>
      </c>
      <c r="CQ62" s="530">
        <f t="shared" si="9"/>
        <v>0</v>
      </c>
      <c r="CR62" s="530">
        <f t="shared" si="9"/>
        <v>0</v>
      </c>
      <c r="CS62" s="530">
        <f t="shared" si="9"/>
        <v>0</v>
      </c>
      <c r="CT62" s="530">
        <f t="shared" si="9"/>
        <v>0</v>
      </c>
      <c r="CU62" s="530">
        <f t="shared" si="9"/>
        <v>0</v>
      </c>
      <c r="CV62" s="530">
        <f t="shared" si="9"/>
        <v>0</v>
      </c>
      <c r="CW62" s="530">
        <f t="shared" si="9"/>
        <v>0</v>
      </c>
      <c r="CX62" s="530">
        <f t="shared" si="9"/>
        <v>0</v>
      </c>
      <c r="CY62" s="530">
        <f t="shared" si="9"/>
        <v>0</v>
      </c>
      <c r="CZ62" s="530">
        <f t="shared" si="9"/>
        <v>0</v>
      </c>
      <c r="DA62" s="530">
        <f t="shared" si="9"/>
        <v>0</v>
      </c>
      <c r="DB62" s="530">
        <f t="shared" si="9"/>
        <v>0</v>
      </c>
      <c r="DC62" s="530">
        <f t="shared" si="9"/>
        <v>0</v>
      </c>
      <c r="DD62" s="530">
        <f t="shared" si="9"/>
        <v>0</v>
      </c>
      <c r="DE62" s="530">
        <f t="shared" si="9"/>
        <v>0</v>
      </c>
      <c r="DF62" s="530">
        <f t="shared" si="9"/>
        <v>0</v>
      </c>
      <c r="DG62" s="530">
        <f t="shared" si="9"/>
        <v>0</v>
      </c>
      <c r="DH62" s="530">
        <f t="shared" si="9"/>
        <v>0</v>
      </c>
      <c r="DI62" s="530">
        <f t="shared" si="9"/>
        <v>0</v>
      </c>
      <c r="DJ62" s="530">
        <f t="shared" si="9"/>
        <v>0</v>
      </c>
      <c r="DK62" s="530">
        <f t="shared" si="9"/>
        <v>0</v>
      </c>
      <c r="DL62" s="530">
        <f t="shared" si="9"/>
        <v>0</v>
      </c>
      <c r="DM62" s="530">
        <f t="shared" si="9"/>
        <v>0</v>
      </c>
      <c r="DN62" s="530">
        <f t="shared" si="9"/>
        <v>0</v>
      </c>
      <c r="DO62" s="530">
        <f t="shared" si="9"/>
        <v>0</v>
      </c>
      <c r="DP62" s="530">
        <f t="shared" si="9"/>
        <v>0</v>
      </c>
      <c r="DQ62" s="530">
        <f t="shared" si="9"/>
        <v>0</v>
      </c>
      <c r="DR62" s="530">
        <f t="shared" si="9"/>
        <v>0</v>
      </c>
      <c r="DS62" s="530">
        <f t="shared" si="9"/>
        <v>0</v>
      </c>
      <c r="DT62" s="530">
        <f t="shared" si="9"/>
        <v>0</v>
      </c>
      <c r="DU62" s="530">
        <f t="shared" si="9"/>
        <v>0</v>
      </c>
      <c r="DV62" s="530">
        <f t="shared" si="9"/>
        <v>0</v>
      </c>
      <c r="DW62" s="530">
        <f t="shared" si="9"/>
        <v>0</v>
      </c>
      <c r="DX62" s="530">
        <f t="shared" si="9"/>
        <v>0</v>
      </c>
      <c r="DY62" s="530">
        <f t="shared" si="9"/>
        <v>0</v>
      </c>
      <c r="DZ62" s="530">
        <f t="shared" si="9"/>
        <v>0</v>
      </c>
      <c r="EA62" s="530">
        <f t="shared" si="9"/>
        <v>0</v>
      </c>
      <c r="EB62" s="530">
        <f t="shared" si="9"/>
        <v>0</v>
      </c>
      <c r="EC62" s="530">
        <f t="shared" si="9"/>
        <v>0</v>
      </c>
      <c r="ED62" s="530">
        <f t="shared" si="9"/>
        <v>0</v>
      </c>
      <c r="EE62" s="530">
        <f t="shared" si="9"/>
        <v>0</v>
      </c>
      <c r="EF62" s="530">
        <f t="shared" si="9"/>
        <v>0</v>
      </c>
      <c r="EG62" s="530">
        <f t="shared" si="9"/>
        <v>0</v>
      </c>
      <c r="EH62" s="530">
        <f t="shared" si="9"/>
        <v>0</v>
      </c>
      <c r="EI62" s="530">
        <f t="shared" si="9"/>
        <v>0</v>
      </c>
      <c r="EJ62" s="530">
        <f t="shared" si="9"/>
        <v>0</v>
      </c>
      <c r="EK62" s="530">
        <f t="shared" si="9"/>
        <v>0</v>
      </c>
      <c r="EL62" s="530">
        <f t="shared" si="9"/>
        <v>0</v>
      </c>
      <c r="EM62" s="530">
        <f t="shared" si="9"/>
        <v>0</v>
      </c>
      <c r="EN62" s="530">
        <f t="shared" si="9"/>
        <v>0</v>
      </c>
      <c r="EO62" s="530">
        <f t="shared" si="9"/>
        <v>0</v>
      </c>
      <c r="EP62" s="530">
        <f t="shared" si="9"/>
        <v>0</v>
      </c>
      <c r="EQ62" s="530">
        <f t="shared" si="9"/>
        <v>0</v>
      </c>
      <c r="ER62" s="530">
        <f t="shared" si="9"/>
        <v>0</v>
      </c>
      <c r="ES62" s="530">
        <f t="shared" si="9"/>
        <v>0</v>
      </c>
      <c r="ET62" s="530">
        <f t="shared" si="9"/>
        <v>0</v>
      </c>
      <c r="EU62" s="530">
        <f t="shared" ref="EU62:EX62" si="10">SUM(EU3:EU61)</f>
        <v>0</v>
      </c>
      <c r="EV62" s="530">
        <f t="shared" si="10"/>
        <v>0</v>
      </c>
      <c r="EW62" s="530">
        <f t="shared" si="10"/>
        <v>0</v>
      </c>
      <c r="EX62" s="530">
        <f t="shared" si="10"/>
        <v>0</v>
      </c>
      <c r="EY62" s="530">
        <f>SUM(EY3:EY61)</f>
        <v>0</v>
      </c>
      <c r="EZ62" s="530">
        <f>SUM(EZ3:EZ61)</f>
        <v>0</v>
      </c>
      <c r="FA62" s="55">
        <f>SUM(FA3:FA61)</f>
        <v>407512</v>
      </c>
      <c r="FB62" s="55">
        <f>SUM(FB3:FB61)</f>
        <v>15441558.5</v>
      </c>
      <c r="FI62" s="234">
        <f>SUM(FI3:FI61)</f>
        <v>5235114.5</v>
      </c>
      <c r="FJ62" s="234"/>
      <c r="FK62" s="980"/>
      <c r="FL62" s="981">
        <f>SUM(FL3:FL61)</f>
        <v>526400.15384615399</v>
      </c>
      <c r="FM62" s="977">
        <f>SUM(FM3:FM61)</f>
        <v>5132401.5</v>
      </c>
      <c r="FN62" s="937"/>
    </row>
    <row r="63" spans="1:178" ht="12" customHeight="1" thickTop="1">
      <c r="A63" s="198" t="s">
        <v>85</v>
      </c>
      <c r="B63" s="241">
        <f>'12.01.22'!E38</f>
        <v>49922.5</v>
      </c>
      <c r="C63" s="241">
        <f>'12.02.22'!E38</f>
        <v>39377.5</v>
      </c>
      <c r="D63" s="241">
        <f>'12.03.22'!E38</f>
        <v>50758.5</v>
      </c>
      <c r="E63" s="241">
        <f>'12.04.22'!E38</f>
        <v>58529.5</v>
      </c>
      <c r="F63" s="241">
        <f>'12.05.22'!E38</f>
        <v>49105.5</v>
      </c>
      <c r="G63" s="241">
        <f>'12.06.22'!E38</f>
        <v>36841</v>
      </c>
      <c r="H63" s="241">
        <f>'12.07.22'!E38</f>
        <v>43006.5</v>
      </c>
      <c r="I63" s="241">
        <f>'12.08.22'!E44</f>
        <v>62842.5</v>
      </c>
      <c r="J63" s="241">
        <f>'12.13.22'!E24</f>
        <v>17128.5</v>
      </c>
      <c r="K63" s="241"/>
      <c r="L63" s="241"/>
      <c r="M63" s="241"/>
      <c r="N63" s="241"/>
      <c r="O63" s="241"/>
      <c r="P63" s="241"/>
      <c r="Q63" s="241"/>
      <c r="R63" s="241"/>
      <c r="S63" s="241"/>
      <c r="T63" s="241"/>
      <c r="U63" s="241"/>
      <c r="V63" s="241"/>
      <c r="W63" s="241"/>
      <c r="X63" s="241"/>
      <c r="Y63" s="241"/>
      <c r="Z63" s="241"/>
      <c r="AA63" s="241"/>
      <c r="AB63" s="241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  <c r="AN63" s="241"/>
      <c r="AO63" s="241"/>
      <c r="AP63" s="241"/>
      <c r="AQ63" s="241"/>
      <c r="AR63" s="241"/>
      <c r="AS63" s="241"/>
      <c r="AT63" s="241"/>
      <c r="AU63" s="241"/>
      <c r="AV63" s="241"/>
      <c r="AW63" s="241"/>
      <c r="AX63" s="241"/>
      <c r="AY63" s="241"/>
      <c r="AZ63" s="241"/>
      <c r="BA63" s="241"/>
      <c r="BB63" s="241"/>
      <c r="BC63" s="241"/>
      <c r="BD63" s="241"/>
      <c r="BE63" s="241"/>
      <c r="BF63" s="241"/>
      <c r="BG63" s="241"/>
      <c r="BH63" s="241"/>
      <c r="BI63" s="241"/>
      <c r="BJ63" s="241"/>
      <c r="BK63" s="241"/>
      <c r="BL63" s="241"/>
      <c r="BM63" s="241"/>
      <c r="BN63" s="241"/>
      <c r="BO63" s="241"/>
      <c r="BP63" s="241"/>
      <c r="BQ63" s="241"/>
      <c r="BR63" s="241"/>
      <c r="BS63" s="241"/>
      <c r="BT63" s="241"/>
      <c r="BU63" s="241"/>
      <c r="BV63" s="241"/>
      <c r="BW63" s="241"/>
      <c r="BX63" s="241"/>
      <c r="BY63" s="241"/>
      <c r="BZ63" s="241"/>
      <c r="CA63" s="241"/>
      <c r="CB63" s="241"/>
      <c r="CC63" s="241"/>
      <c r="CD63" s="241"/>
      <c r="CE63" s="241"/>
      <c r="CF63" s="241"/>
      <c r="CG63" s="241"/>
      <c r="CH63" s="241"/>
      <c r="CI63" s="241"/>
      <c r="CJ63" s="241"/>
      <c r="CK63" s="241"/>
      <c r="CL63" s="241"/>
      <c r="CM63" s="241"/>
      <c r="CN63" s="241"/>
      <c r="CO63" s="241"/>
      <c r="CP63" s="241"/>
      <c r="CQ63" s="241"/>
      <c r="CR63" s="241"/>
      <c r="CS63" s="241"/>
      <c r="CT63" s="241"/>
      <c r="CU63" s="241"/>
      <c r="CV63" s="241"/>
      <c r="CW63" s="241"/>
      <c r="CX63" s="241"/>
      <c r="CY63" s="241"/>
      <c r="CZ63" s="241"/>
      <c r="DA63" s="241"/>
      <c r="DB63" s="241"/>
      <c r="DC63" s="241"/>
      <c r="DD63" s="241"/>
      <c r="DE63" s="241"/>
      <c r="DF63" s="241"/>
      <c r="DG63" s="241"/>
      <c r="DH63" s="241"/>
      <c r="DI63" s="241"/>
      <c r="DJ63" s="241"/>
      <c r="DK63" s="241"/>
      <c r="DL63" s="241"/>
      <c r="DM63" s="241"/>
      <c r="DN63" s="241"/>
      <c r="DO63" s="241"/>
      <c r="DP63" s="241"/>
      <c r="DQ63" s="241"/>
      <c r="DR63" s="241"/>
      <c r="DS63" s="241"/>
      <c r="DT63" s="241"/>
      <c r="DU63" s="241"/>
      <c r="DV63" s="241"/>
      <c r="DW63" s="241"/>
      <c r="DX63" s="241"/>
      <c r="DY63" s="241"/>
      <c r="DZ63" s="241"/>
      <c r="EA63" s="241"/>
      <c r="EB63" s="241"/>
      <c r="EC63" s="241"/>
      <c r="ED63" s="241"/>
      <c r="EE63" s="241"/>
      <c r="EF63" s="241"/>
      <c r="EG63" s="241"/>
      <c r="EH63" s="241"/>
      <c r="EI63" s="241"/>
      <c r="EJ63" s="241"/>
      <c r="EK63" s="241"/>
      <c r="EL63" s="241"/>
      <c r="EM63" s="241"/>
      <c r="EN63" s="241"/>
      <c r="EO63" s="241"/>
      <c r="EP63" s="241"/>
      <c r="EQ63" s="241"/>
      <c r="ER63" s="241"/>
      <c r="ES63" s="241"/>
      <c r="ET63" s="241"/>
      <c r="EU63" s="241"/>
      <c r="EV63" s="241"/>
      <c r="EW63" s="241"/>
      <c r="EX63" s="241"/>
      <c r="EY63" s="241"/>
      <c r="EZ63" s="241"/>
      <c r="FA63" s="197"/>
      <c r="FB63" s="57"/>
      <c r="FC63" s="521"/>
      <c r="FD63" s="521"/>
      <c r="FE63" s="521"/>
      <c r="FF63" s="521"/>
      <c r="FG63" s="521"/>
      <c r="FH63" s="521"/>
    </row>
    <row r="64" spans="1:178" ht="12" customHeight="1">
      <c r="A64" s="198" t="s">
        <v>86</v>
      </c>
      <c r="B64" s="242">
        <f>B62-B63</f>
        <v>0</v>
      </c>
      <c r="C64" s="242">
        <f t="shared" ref="C64:EZ64" si="11">C62-C63</f>
        <v>0</v>
      </c>
      <c r="D64" s="242">
        <f t="shared" si="11"/>
        <v>0</v>
      </c>
      <c r="E64" s="242">
        <f t="shared" si="11"/>
        <v>0</v>
      </c>
      <c r="F64" s="242">
        <f t="shared" si="11"/>
        <v>0</v>
      </c>
      <c r="G64" s="242">
        <f t="shared" si="11"/>
        <v>0</v>
      </c>
      <c r="H64" s="242">
        <f t="shared" si="11"/>
        <v>0</v>
      </c>
      <c r="I64" s="242">
        <f t="shared" si="11"/>
        <v>0</v>
      </c>
      <c r="J64" s="242">
        <f t="shared" si="11"/>
        <v>0</v>
      </c>
      <c r="K64" s="242">
        <f t="shared" si="11"/>
        <v>0</v>
      </c>
      <c r="L64" s="242">
        <f t="shared" si="11"/>
        <v>0</v>
      </c>
      <c r="M64" s="242">
        <f t="shared" si="11"/>
        <v>0</v>
      </c>
      <c r="N64" s="242">
        <f t="shared" si="11"/>
        <v>0</v>
      </c>
      <c r="O64" s="242">
        <f t="shared" si="11"/>
        <v>0</v>
      </c>
      <c r="P64" s="242">
        <f t="shared" si="11"/>
        <v>0</v>
      </c>
      <c r="Q64" s="242">
        <f t="shared" si="11"/>
        <v>0</v>
      </c>
      <c r="R64" s="242">
        <f t="shared" si="11"/>
        <v>0</v>
      </c>
      <c r="S64" s="242">
        <f t="shared" si="11"/>
        <v>0</v>
      </c>
      <c r="T64" s="242">
        <f t="shared" si="11"/>
        <v>0</v>
      </c>
      <c r="U64" s="242">
        <f t="shared" si="11"/>
        <v>0</v>
      </c>
      <c r="V64" s="242">
        <f t="shared" si="11"/>
        <v>0</v>
      </c>
      <c r="W64" s="242">
        <f t="shared" si="11"/>
        <v>0</v>
      </c>
      <c r="X64" s="242">
        <f t="shared" si="11"/>
        <v>0</v>
      </c>
      <c r="Y64" s="242">
        <f t="shared" si="11"/>
        <v>0</v>
      </c>
      <c r="Z64" s="242">
        <f t="shared" si="11"/>
        <v>0</v>
      </c>
      <c r="AA64" s="242">
        <f t="shared" si="11"/>
        <v>0</v>
      </c>
      <c r="AB64" s="242">
        <f t="shared" si="11"/>
        <v>0</v>
      </c>
      <c r="AC64" s="242">
        <f t="shared" si="11"/>
        <v>0</v>
      </c>
      <c r="AD64" s="242">
        <f t="shared" si="11"/>
        <v>0</v>
      </c>
      <c r="AE64" s="242">
        <f t="shared" si="11"/>
        <v>0</v>
      </c>
      <c r="AF64" s="242">
        <f t="shared" si="11"/>
        <v>0</v>
      </c>
      <c r="AG64" s="242">
        <f t="shared" si="11"/>
        <v>0</v>
      </c>
      <c r="AH64" s="242">
        <f t="shared" si="11"/>
        <v>0</v>
      </c>
      <c r="AI64" s="242">
        <f t="shared" si="11"/>
        <v>0</v>
      </c>
      <c r="AJ64" s="242">
        <f t="shared" si="11"/>
        <v>0</v>
      </c>
      <c r="AK64" s="242">
        <f t="shared" si="11"/>
        <v>0</v>
      </c>
      <c r="AL64" s="242">
        <f t="shared" si="11"/>
        <v>0</v>
      </c>
      <c r="AM64" s="242">
        <f t="shared" si="11"/>
        <v>0</v>
      </c>
      <c r="AN64" s="242">
        <f t="shared" si="11"/>
        <v>0</v>
      </c>
      <c r="AO64" s="242">
        <f t="shared" si="11"/>
        <v>0</v>
      </c>
      <c r="AP64" s="242">
        <f t="shared" si="11"/>
        <v>0</v>
      </c>
      <c r="AQ64" s="242">
        <f t="shared" si="11"/>
        <v>0</v>
      </c>
      <c r="AR64" s="242">
        <f t="shared" si="11"/>
        <v>0</v>
      </c>
      <c r="AS64" s="242">
        <f t="shared" si="11"/>
        <v>0</v>
      </c>
      <c r="AT64" s="242">
        <f t="shared" si="11"/>
        <v>0</v>
      </c>
      <c r="AU64" s="242">
        <f t="shared" si="11"/>
        <v>0</v>
      </c>
      <c r="AV64" s="242">
        <f t="shared" si="11"/>
        <v>0</v>
      </c>
      <c r="AW64" s="242">
        <f t="shared" si="11"/>
        <v>0</v>
      </c>
      <c r="AX64" s="242">
        <f t="shared" si="11"/>
        <v>0</v>
      </c>
      <c r="AY64" s="242">
        <f t="shared" si="11"/>
        <v>0</v>
      </c>
      <c r="AZ64" s="242">
        <f t="shared" si="11"/>
        <v>0</v>
      </c>
      <c r="BA64" s="242">
        <f t="shared" si="11"/>
        <v>0</v>
      </c>
      <c r="BB64" s="242">
        <f t="shared" si="11"/>
        <v>0</v>
      </c>
      <c r="BC64" s="242">
        <f t="shared" si="11"/>
        <v>0</v>
      </c>
      <c r="BD64" s="242">
        <f t="shared" si="11"/>
        <v>0</v>
      </c>
      <c r="BE64" s="242">
        <f t="shared" si="11"/>
        <v>0</v>
      </c>
      <c r="BF64" s="242">
        <f t="shared" si="11"/>
        <v>0</v>
      </c>
      <c r="BG64" s="242">
        <f t="shared" si="11"/>
        <v>0</v>
      </c>
      <c r="BH64" s="242">
        <f t="shared" si="11"/>
        <v>0</v>
      </c>
      <c r="BI64" s="242">
        <f t="shared" si="11"/>
        <v>0</v>
      </c>
      <c r="BJ64" s="242">
        <f t="shared" si="11"/>
        <v>0</v>
      </c>
      <c r="BK64" s="242">
        <f t="shared" si="11"/>
        <v>0</v>
      </c>
      <c r="BL64" s="242">
        <f t="shared" si="11"/>
        <v>0</v>
      </c>
      <c r="BM64" s="242">
        <f t="shared" si="11"/>
        <v>0</v>
      </c>
      <c r="BN64" s="242">
        <f t="shared" si="11"/>
        <v>0</v>
      </c>
      <c r="BO64" s="242">
        <f t="shared" si="11"/>
        <v>0</v>
      </c>
      <c r="BP64" s="242">
        <f t="shared" si="11"/>
        <v>0</v>
      </c>
      <c r="BQ64" s="242">
        <f t="shared" si="11"/>
        <v>0</v>
      </c>
      <c r="BR64" s="242">
        <f t="shared" si="11"/>
        <v>0</v>
      </c>
      <c r="BS64" s="242">
        <f t="shared" si="11"/>
        <v>0</v>
      </c>
      <c r="BT64" s="242">
        <f t="shared" si="11"/>
        <v>0</v>
      </c>
      <c r="BU64" s="242">
        <f t="shared" si="11"/>
        <v>0</v>
      </c>
      <c r="BV64" s="242">
        <f t="shared" si="11"/>
        <v>0</v>
      </c>
      <c r="BW64" s="242">
        <f t="shared" si="11"/>
        <v>0</v>
      </c>
      <c r="BX64" s="242">
        <f t="shared" si="11"/>
        <v>0</v>
      </c>
      <c r="BY64" s="242">
        <f t="shared" si="11"/>
        <v>0</v>
      </c>
      <c r="BZ64" s="242">
        <f t="shared" si="11"/>
        <v>0</v>
      </c>
      <c r="CA64" s="242">
        <f t="shared" si="11"/>
        <v>0</v>
      </c>
      <c r="CB64" s="242">
        <f t="shared" si="11"/>
        <v>0</v>
      </c>
      <c r="CC64" s="242">
        <f t="shared" si="11"/>
        <v>0</v>
      </c>
      <c r="CD64" s="242">
        <f t="shared" si="11"/>
        <v>0</v>
      </c>
      <c r="CE64" s="242">
        <f t="shared" si="11"/>
        <v>0</v>
      </c>
      <c r="CF64" s="242">
        <f t="shared" si="11"/>
        <v>0</v>
      </c>
      <c r="CG64" s="242">
        <f t="shared" si="11"/>
        <v>0</v>
      </c>
      <c r="CH64" s="242">
        <f t="shared" si="11"/>
        <v>0</v>
      </c>
      <c r="CI64" s="242">
        <f t="shared" si="11"/>
        <v>0</v>
      </c>
      <c r="CJ64" s="242">
        <f t="shared" si="11"/>
        <v>0</v>
      </c>
      <c r="CK64" s="242">
        <f t="shared" si="11"/>
        <v>0</v>
      </c>
      <c r="CL64" s="242">
        <f t="shared" si="11"/>
        <v>0</v>
      </c>
      <c r="CM64" s="242">
        <f t="shared" si="11"/>
        <v>0</v>
      </c>
      <c r="CN64" s="242">
        <f t="shared" si="11"/>
        <v>0</v>
      </c>
      <c r="CO64" s="242">
        <f t="shared" si="11"/>
        <v>0</v>
      </c>
      <c r="CP64" s="242">
        <f t="shared" si="11"/>
        <v>0</v>
      </c>
      <c r="CQ64" s="242">
        <f t="shared" si="11"/>
        <v>0</v>
      </c>
      <c r="CR64" s="242">
        <f t="shared" si="11"/>
        <v>0</v>
      </c>
      <c r="CS64" s="242">
        <f t="shared" si="11"/>
        <v>0</v>
      </c>
      <c r="CT64" s="242">
        <f t="shared" si="11"/>
        <v>0</v>
      </c>
      <c r="CU64" s="242">
        <f t="shared" si="11"/>
        <v>0</v>
      </c>
      <c r="CV64" s="242">
        <f t="shared" si="11"/>
        <v>0</v>
      </c>
      <c r="CW64" s="242">
        <f t="shared" si="11"/>
        <v>0</v>
      </c>
      <c r="CX64" s="242">
        <f t="shared" si="11"/>
        <v>0</v>
      </c>
      <c r="CY64" s="242">
        <f t="shared" si="11"/>
        <v>0</v>
      </c>
      <c r="CZ64" s="242">
        <f t="shared" si="11"/>
        <v>0</v>
      </c>
      <c r="DA64" s="242">
        <f t="shared" si="11"/>
        <v>0</v>
      </c>
      <c r="DB64" s="242">
        <f t="shared" si="11"/>
        <v>0</v>
      </c>
      <c r="DC64" s="242">
        <f t="shared" si="11"/>
        <v>0</v>
      </c>
      <c r="DD64" s="242">
        <f t="shared" si="11"/>
        <v>0</v>
      </c>
      <c r="DE64" s="242">
        <f t="shared" si="11"/>
        <v>0</v>
      </c>
      <c r="DF64" s="242">
        <f t="shared" si="11"/>
        <v>0</v>
      </c>
      <c r="DG64" s="242">
        <f t="shared" si="11"/>
        <v>0</v>
      </c>
      <c r="DH64" s="242">
        <f t="shared" si="11"/>
        <v>0</v>
      </c>
      <c r="DI64" s="242">
        <f t="shared" si="11"/>
        <v>0</v>
      </c>
      <c r="DJ64" s="242">
        <f t="shared" si="11"/>
        <v>0</v>
      </c>
      <c r="DK64" s="242">
        <f t="shared" si="11"/>
        <v>0</v>
      </c>
      <c r="DL64" s="242">
        <f t="shared" si="11"/>
        <v>0</v>
      </c>
      <c r="DM64" s="242">
        <f t="shared" si="11"/>
        <v>0</v>
      </c>
      <c r="DN64" s="242">
        <f t="shared" si="11"/>
        <v>0</v>
      </c>
      <c r="DO64" s="242">
        <f t="shared" si="11"/>
        <v>0</v>
      </c>
      <c r="DP64" s="242">
        <f t="shared" si="11"/>
        <v>0</v>
      </c>
      <c r="DQ64" s="242">
        <f t="shared" si="11"/>
        <v>0</v>
      </c>
      <c r="DR64" s="242">
        <f t="shared" si="11"/>
        <v>0</v>
      </c>
      <c r="DS64" s="242">
        <f t="shared" si="11"/>
        <v>0</v>
      </c>
      <c r="DT64" s="242">
        <f t="shared" si="11"/>
        <v>0</v>
      </c>
      <c r="DU64" s="242">
        <f t="shared" si="11"/>
        <v>0</v>
      </c>
      <c r="DV64" s="242">
        <f t="shared" si="11"/>
        <v>0</v>
      </c>
      <c r="DW64" s="242">
        <f t="shared" si="11"/>
        <v>0</v>
      </c>
      <c r="DX64" s="242">
        <f t="shared" si="11"/>
        <v>0</v>
      </c>
      <c r="DY64" s="242">
        <f t="shared" si="11"/>
        <v>0</v>
      </c>
      <c r="DZ64" s="242">
        <f t="shared" si="11"/>
        <v>0</v>
      </c>
      <c r="EA64" s="242">
        <f t="shared" si="11"/>
        <v>0</v>
      </c>
      <c r="EB64" s="242">
        <f t="shared" si="11"/>
        <v>0</v>
      </c>
      <c r="EC64" s="242">
        <f t="shared" si="11"/>
        <v>0</v>
      </c>
      <c r="ED64" s="242">
        <f t="shared" si="11"/>
        <v>0</v>
      </c>
      <c r="EE64" s="242">
        <f t="shared" si="11"/>
        <v>0</v>
      </c>
      <c r="EF64" s="242">
        <f t="shared" si="11"/>
        <v>0</v>
      </c>
      <c r="EG64" s="242">
        <f t="shared" si="11"/>
        <v>0</v>
      </c>
      <c r="EH64" s="242">
        <f t="shared" si="11"/>
        <v>0</v>
      </c>
      <c r="EI64" s="242">
        <f t="shared" si="11"/>
        <v>0</v>
      </c>
      <c r="EJ64" s="242">
        <f t="shared" si="11"/>
        <v>0</v>
      </c>
      <c r="EK64" s="242">
        <f t="shared" si="11"/>
        <v>0</v>
      </c>
      <c r="EL64" s="242">
        <f t="shared" si="11"/>
        <v>0</v>
      </c>
      <c r="EM64" s="242">
        <f t="shared" si="11"/>
        <v>0</v>
      </c>
      <c r="EN64" s="242">
        <f t="shared" si="11"/>
        <v>0</v>
      </c>
      <c r="EO64" s="242">
        <f t="shared" si="11"/>
        <v>0</v>
      </c>
      <c r="EP64" s="242">
        <f t="shared" si="11"/>
        <v>0</v>
      </c>
      <c r="EQ64" s="242">
        <f t="shared" si="11"/>
        <v>0</v>
      </c>
      <c r="ER64" s="242">
        <f t="shared" si="11"/>
        <v>0</v>
      </c>
      <c r="ES64" s="242">
        <f t="shared" si="11"/>
        <v>0</v>
      </c>
      <c r="ET64" s="242">
        <f t="shared" si="11"/>
        <v>0</v>
      </c>
      <c r="EU64" s="242">
        <f t="shared" si="11"/>
        <v>0</v>
      </c>
      <c r="EV64" s="242">
        <f t="shared" si="11"/>
        <v>0</v>
      </c>
      <c r="EW64" s="242">
        <f t="shared" si="11"/>
        <v>0</v>
      </c>
      <c r="EX64" s="242">
        <f t="shared" si="11"/>
        <v>0</v>
      </c>
      <c r="EY64" s="242">
        <f t="shared" si="11"/>
        <v>0</v>
      </c>
      <c r="EZ64" s="242">
        <f t="shared" si="11"/>
        <v>0</v>
      </c>
      <c r="FA64" s="233"/>
      <c r="FB64" s="199"/>
      <c r="FD64" s="316"/>
      <c r="FE64" s="316"/>
      <c r="FF64" s="316"/>
      <c r="FG64" s="316"/>
      <c r="FH64" s="316"/>
      <c r="FI64" s="199"/>
      <c r="FJ64" s="199"/>
      <c r="FK64" s="199"/>
      <c r="FL64" s="198"/>
      <c r="FM64" s="199"/>
      <c r="FN64" s="199"/>
      <c r="FO64" s="199"/>
      <c r="FP64" s="199"/>
      <c r="FQ64" s="199"/>
      <c r="FR64" s="199"/>
      <c r="FS64" s="199"/>
      <c r="FT64" s="199"/>
      <c r="FU64" s="199"/>
      <c r="FV64" s="199"/>
    </row>
    <row r="65" spans="1:164" ht="23.25">
      <c r="D65" s="982"/>
      <c r="E65" s="982"/>
      <c r="F65" s="982"/>
      <c r="G65" s="982"/>
      <c r="H65" s="982"/>
      <c r="I65" s="982"/>
      <c r="J65" s="982" t="s">
        <v>786</v>
      </c>
      <c r="K65" s="982"/>
      <c r="L65" s="982"/>
      <c r="M65" s="982"/>
      <c r="N65" s="982"/>
      <c r="O65" s="982"/>
      <c r="P65" s="982"/>
      <c r="Q65" s="982"/>
      <c r="R65" s="982"/>
      <c r="S65" s="982"/>
      <c r="T65" s="982"/>
      <c r="U65" s="982"/>
      <c r="V65" s="982"/>
      <c r="W65" s="982"/>
      <c r="X65" s="982"/>
      <c r="Y65" s="982"/>
      <c r="Z65" s="982"/>
      <c r="AA65" s="982"/>
      <c r="AB65" s="982"/>
      <c r="AC65" s="982"/>
      <c r="AD65" s="982"/>
      <c r="AE65" s="982"/>
      <c r="AF65" s="982"/>
      <c r="AG65" s="982"/>
      <c r="AH65" s="982"/>
      <c r="AI65" s="982"/>
      <c r="AJ65" s="982"/>
      <c r="AK65" s="982"/>
      <c r="AL65" s="982"/>
      <c r="AM65" s="982"/>
      <c r="AN65" s="982"/>
      <c r="AO65" s="982"/>
      <c r="AP65" s="982"/>
      <c r="AQ65" s="982"/>
      <c r="AR65" s="982"/>
      <c r="AS65" s="982"/>
      <c r="AT65" s="982"/>
      <c r="AU65" s="982"/>
      <c r="AV65" s="982"/>
      <c r="AW65" s="982"/>
      <c r="AX65" s="982"/>
      <c r="AY65" s="982"/>
      <c r="AZ65" s="982"/>
      <c r="BA65" s="982"/>
      <c r="BB65" s="982"/>
      <c r="BC65" s="982"/>
      <c r="BD65" s="982"/>
      <c r="BE65" s="982"/>
      <c r="BF65" s="982"/>
      <c r="BG65" s="982"/>
      <c r="BH65" s="982"/>
      <c r="BI65" s="982"/>
      <c r="BJ65" s="982"/>
      <c r="BK65" s="982"/>
      <c r="BL65" s="982"/>
      <c r="BM65" s="982"/>
      <c r="BN65" s="982"/>
      <c r="BO65" s="982"/>
      <c r="BP65" s="982"/>
      <c r="BQ65" s="982"/>
      <c r="BR65" s="982"/>
      <c r="BS65" s="982"/>
      <c r="BT65" s="982"/>
      <c r="BU65" s="982"/>
      <c r="BV65" s="982"/>
      <c r="BW65" s="982"/>
      <c r="BX65" s="982"/>
      <c r="BY65" s="982"/>
      <c r="BZ65" s="982"/>
      <c r="CA65" s="982"/>
      <c r="CB65" s="982"/>
      <c r="CC65" s="982"/>
      <c r="CD65" s="982"/>
      <c r="CE65" s="982"/>
      <c r="CF65" s="982"/>
      <c r="CG65" s="982"/>
      <c r="CH65" s="982"/>
      <c r="CI65" s="982"/>
      <c r="CJ65" s="982"/>
      <c r="CK65" s="982"/>
      <c r="CL65" s="982"/>
      <c r="CM65" s="982"/>
      <c r="CN65" s="982"/>
      <c r="CO65" s="982"/>
      <c r="CP65" s="982"/>
      <c r="CQ65" s="982"/>
      <c r="CR65" s="982"/>
      <c r="CS65" s="982"/>
      <c r="CT65" s="982"/>
      <c r="CU65" s="982"/>
      <c r="CV65" s="982"/>
      <c r="CW65" s="982"/>
      <c r="CX65" s="982"/>
      <c r="CY65" s="982"/>
      <c r="CZ65" s="982"/>
      <c r="DA65" s="982"/>
      <c r="DB65" s="982"/>
      <c r="DC65" s="982"/>
      <c r="DD65" s="982"/>
      <c r="DE65" s="982"/>
      <c r="DF65" s="982"/>
      <c r="DG65" s="982"/>
      <c r="DH65" s="982"/>
      <c r="DI65" s="982"/>
      <c r="DJ65" s="982"/>
      <c r="DK65" s="982"/>
      <c r="DL65" s="982"/>
      <c r="DM65" s="982"/>
      <c r="DN65" s="982"/>
      <c r="DO65" s="982"/>
      <c r="DP65" s="982"/>
      <c r="DQ65" s="982"/>
      <c r="DR65" s="982"/>
      <c r="DS65" s="982"/>
      <c r="DT65" s="982"/>
      <c r="DU65" s="982"/>
      <c r="DV65" s="982"/>
      <c r="DW65" s="982"/>
      <c r="DX65" s="982"/>
      <c r="DY65" s="982"/>
      <c r="DZ65" s="982"/>
      <c r="EA65" s="982"/>
      <c r="EB65" s="982"/>
      <c r="EC65" s="982"/>
      <c r="ED65" s="982"/>
      <c r="EE65" s="982"/>
      <c r="EF65" s="982"/>
      <c r="EG65" s="982"/>
      <c r="EH65" s="982"/>
      <c r="EI65" s="982"/>
      <c r="EJ65" s="982"/>
      <c r="EK65" s="982"/>
      <c r="EL65" s="982"/>
      <c r="EM65" s="982"/>
      <c r="EN65" s="982"/>
      <c r="EO65" s="982"/>
      <c r="EP65" s="982"/>
      <c r="EQ65" s="982"/>
      <c r="ER65" s="982"/>
      <c r="ES65" s="982"/>
      <c r="ET65" s="982"/>
      <c r="EU65" s="982"/>
      <c r="EV65" s="982"/>
      <c r="EW65" s="982"/>
      <c r="EX65" s="982"/>
    </row>
    <row r="66" spans="1:164">
      <c r="I66" s="974" t="s">
        <v>323</v>
      </c>
      <c r="J66" s="974" t="s">
        <v>324</v>
      </c>
      <c r="FA66" s="234"/>
      <c r="FC66" s="199"/>
      <c r="FD66" s="199"/>
      <c r="FE66" s="199"/>
      <c r="FF66" s="199"/>
      <c r="FG66" s="199"/>
      <c r="FH66" s="199"/>
    </row>
    <row r="68" spans="1:164">
      <c r="A68" s="188"/>
    </row>
    <row r="69" spans="1:164">
      <c r="A69" s="188"/>
    </row>
  </sheetData>
  <mergeCells count="3">
    <mergeCell ref="A1:A2"/>
    <mergeCell ref="FA1:FA2"/>
    <mergeCell ref="FB1:FB2"/>
  </mergeCells>
  <conditionalFormatting sqref="FB26:FB28 FB36 FB39 FB58 FB51:FB53 FB33 FB61 FB6:FB8 FB11 FB13:FB15 FB19:FB21 FB41:FB46">
    <cfRule type="cellIs" dxfId="379" priority="87" operator="lessThan">
      <formula>20000</formula>
    </cfRule>
    <cfRule type="cellIs" dxfId="378" priority="88" operator="lessThan">
      <formula>25000</formula>
    </cfRule>
    <cfRule type="cellIs" dxfId="377" priority="89" operator="lessThan">
      <formula>50000</formula>
    </cfRule>
  </conditionalFormatting>
  <conditionalFormatting sqref="FB22">
    <cfRule type="cellIs" dxfId="376" priority="84" operator="lessThan">
      <formula>20000</formula>
    </cfRule>
    <cfRule type="cellIs" dxfId="375" priority="85" operator="lessThan">
      <formula>25000</formula>
    </cfRule>
    <cfRule type="cellIs" dxfId="374" priority="86" operator="lessThan">
      <formula>50000</formula>
    </cfRule>
  </conditionalFormatting>
  <conditionalFormatting sqref="FB34">
    <cfRule type="cellIs" dxfId="373" priority="81" operator="lessThan">
      <formula>20000</formula>
    </cfRule>
    <cfRule type="cellIs" dxfId="372" priority="82" operator="lessThan">
      <formula>25000</formula>
    </cfRule>
    <cfRule type="cellIs" dxfId="371" priority="83" operator="lessThan">
      <formula>50000</formula>
    </cfRule>
  </conditionalFormatting>
  <conditionalFormatting sqref="FB37">
    <cfRule type="cellIs" dxfId="370" priority="78" operator="lessThan">
      <formula>20000</formula>
    </cfRule>
    <cfRule type="cellIs" dxfId="369" priority="79" operator="lessThan">
      <formula>25000</formula>
    </cfRule>
    <cfRule type="cellIs" dxfId="368" priority="80" operator="lessThan">
      <formula>50000</formula>
    </cfRule>
  </conditionalFormatting>
  <conditionalFormatting sqref="FB50">
    <cfRule type="cellIs" dxfId="367" priority="75" operator="lessThan">
      <formula>20000</formula>
    </cfRule>
    <cfRule type="cellIs" dxfId="366" priority="76" operator="lessThan">
      <formula>25000</formula>
    </cfRule>
    <cfRule type="cellIs" dxfId="365" priority="77" operator="lessThan">
      <formula>50000</formula>
    </cfRule>
  </conditionalFormatting>
  <conditionalFormatting sqref="FB55">
    <cfRule type="cellIs" dxfId="364" priority="72" operator="lessThan">
      <formula>20000</formula>
    </cfRule>
    <cfRule type="cellIs" dxfId="363" priority="73" operator="lessThan">
      <formula>25000</formula>
    </cfRule>
    <cfRule type="cellIs" dxfId="362" priority="74" operator="lessThan">
      <formula>50000</formula>
    </cfRule>
  </conditionalFormatting>
  <conditionalFormatting sqref="FB48">
    <cfRule type="cellIs" dxfId="361" priority="69" operator="lessThan">
      <formula>20000</formula>
    </cfRule>
    <cfRule type="cellIs" dxfId="360" priority="70" operator="lessThan">
      <formula>25000</formula>
    </cfRule>
    <cfRule type="cellIs" dxfId="359" priority="71" operator="lessThan">
      <formula>50000</formula>
    </cfRule>
  </conditionalFormatting>
  <conditionalFormatting sqref="FB5">
    <cfRule type="cellIs" dxfId="358" priority="66" operator="lessThan">
      <formula>20000</formula>
    </cfRule>
    <cfRule type="cellIs" dxfId="357" priority="67" operator="lessThan">
      <formula>25000</formula>
    </cfRule>
    <cfRule type="cellIs" dxfId="356" priority="68" operator="lessThan">
      <formula>50000</formula>
    </cfRule>
  </conditionalFormatting>
  <conditionalFormatting sqref="FB54">
    <cfRule type="cellIs" dxfId="355" priority="63" operator="lessThan">
      <formula>20000</formula>
    </cfRule>
    <cfRule type="cellIs" dxfId="354" priority="64" operator="lessThan">
      <formula>25000</formula>
    </cfRule>
    <cfRule type="cellIs" dxfId="353" priority="65" operator="lessThan">
      <formula>50000</formula>
    </cfRule>
  </conditionalFormatting>
  <conditionalFormatting sqref="FB35">
    <cfRule type="cellIs" dxfId="352" priority="60" operator="lessThan">
      <formula>20000</formula>
    </cfRule>
    <cfRule type="cellIs" dxfId="351" priority="61" operator="lessThan">
      <formula>25000</formula>
    </cfRule>
    <cfRule type="cellIs" dxfId="350" priority="62" operator="lessThan">
      <formula>50000</formula>
    </cfRule>
  </conditionalFormatting>
  <conditionalFormatting sqref="FB3:FB4">
    <cfRule type="cellIs" dxfId="349" priority="57" operator="lessThan">
      <formula>20000</formula>
    </cfRule>
    <cfRule type="cellIs" dxfId="348" priority="58" operator="lessThan">
      <formula>25000</formula>
    </cfRule>
    <cfRule type="cellIs" dxfId="347" priority="59" operator="lessThan">
      <formula>50000</formula>
    </cfRule>
  </conditionalFormatting>
  <conditionalFormatting sqref="FB16">
    <cfRule type="cellIs" dxfId="346" priority="54" operator="lessThan">
      <formula>20000</formula>
    </cfRule>
    <cfRule type="cellIs" dxfId="345" priority="55" operator="lessThan">
      <formula>25000</formula>
    </cfRule>
    <cfRule type="cellIs" dxfId="344" priority="56" operator="lessThan">
      <formula>50000</formula>
    </cfRule>
  </conditionalFormatting>
  <conditionalFormatting sqref="FB29:FB30">
    <cfRule type="cellIs" dxfId="343" priority="51" operator="lessThan">
      <formula>20000</formula>
    </cfRule>
    <cfRule type="cellIs" dxfId="342" priority="52" operator="lessThan">
      <formula>25000</formula>
    </cfRule>
    <cfRule type="cellIs" dxfId="341" priority="53" operator="lessThan">
      <formula>50000</formula>
    </cfRule>
  </conditionalFormatting>
  <conditionalFormatting sqref="FB59:FB60">
    <cfRule type="cellIs" dxfId="340" priority="48" operator="lessThan">
      <formula>20000</formula>
    </cfRule>
    <cfRule type="cellIs" dxfId="339" priority="49" operator="lessThan">
      <formula>25000</formula>
    </cfRule>
    <cfRule type="cellIs" dxfId="338" priority="50" operator="lessThan">
      <formula>50000</formula>
    </cfRule>
  </conditionalFormatting>
  <conditionalFormatting sqref="FB23">
    <cfRule type="cellIs" dxfId="337" priority="45" operator="lessThan">
      <formula>20000</formula>
    </cfRule>
    <cfRule type="cellIs" dxfId="336" priority="46" operator="lessThan">
      <formula>25000</formula>
    </cfRule>
    <cfRule type="cellIs" dxfId="335" priority="47" operator="lessThan">
      <formula>50000</formula>
    </cfRule>
  </conditionalFormatting>
  <conditionalFormatting sqref="FB10">
    <cfRule type="cellIs" dxfId="334" priority="42" operator="lessThan">
      <formula>20000</formula>
    </cfRule>
    <cfRule type="cellIs" dxfId="333" priority="43" operator="lessThan">
      <formula>25000</formula>
    </cfRule>
    <cfRule type="cellIs" dxfId="332" priority="44" operator="lessThan">
      <formula>50000</formula>
    </cfRule>
  </conditionalFormatting>
  <conditionalFormatting sqref="FB56:FB57">
    <cfRule type="cellIs" dxfId="331" priority="39" operator="lessThan">
      <formula>20000</formula>
    </cfRule>
    <cfRule type="cellIs" dxfId="330" priority="40" operator="lessThan">
      <formula>25000</formula>
    </cfRule>
    <cfRule type="cellIs" dxfId="329" priority="41" operator="lessThan">
      <formula>50000</formula>
    </cfRule>
  </conditionalFormatting>
  <conditionalFormatting sqref="FB38">
    <cfRule type="cellIs" dxfId="328" priority="36" operator="lessThan">
      <formula>20000</formula>
    </cfRule>
    <cfRule type="cellIs" dxfId="327" priority="37" operator="lessThan">
      <formula>25000</formula>
    </cfRule>
    <cfRule type="cellIs" dxfId="326" priority="38" operator="lessThan">
      <formula>50000</formula>
    </cfRule>
  </conditionalFormatting>
  <conditionalFormatting sqref="FB17">
    <cfRule type="cellIs" dxfId="325" priority="33" operator="lessThan">
      <formula>20000</formula>
    </cfRule>
    <cfRule type="cellIs" dxfId="324" priority="34" operator="lessThan">
      <formula>25000</formula>
    </cfRule>
    <cfRule type="cellIs" dxfId="323" priority="35" operator="lessThan">
      <formula>50000</formula>
    </cfRule>
  </conditionalFormatting>
  <conditionalFormatting sqref="FB40">
    <cfRule type="cellIs" dxfId="322" priority="30" operator="lessThan">
      <formula>20000</formula>
    </cfRule>
    <cfRule type="cellIs" dxfId="321" priority="31" operator="lessThan">
      <formula>25000</formula>
    </cfRule>
    <cfRule type="cellIs" dxfId="320" priority="32" operator="lessThan">
      <formula>50000</formula>
    </cfRule>
  </conditionalFormatting>
  <conditionalFormatting sqref="FB12">
    <cfRule type="cellIs" dxfId="319" priority="27" operator="lessThan">
      <formula>20000</formula>
    </cfRule>
    <cfRule type="cellIs" dxfId="318" priority="28" operator="lessThan">
      <formula>25000</formula>
    </cfRule>
    <cfRule type="cellIs" dxfId="317" priority="29" operator="lessThan">
      <formula>50000</formula>
    </cfRule>
  </conditionalFormatting>
  <conditionalFormatting sqref="B64:EZ64">
    <cfRule type="cellIs" dxfId="316" priority="25" operator="lessThan">
      <formula>0</formula>
    </cfRule>
    <cfRule type="cellIs" dxfId="315" priority="26" operator="greaterThan">
      <formula>0</formula>
    </cfRule>
  </conditionalFormatting>
  <conditionalFormatting sqref="FB31">
    <cfRule type="cellIs" dxfId="314" priority="22" operator="lessThan">
      <formula>20000</formula>
    </cfRule>
    <cfRule type="cellIs" dxfId="313" priority="23" operator="lessThan">
      <formula>25000</formula>
    </cfRule>
    <cfRule type="cellIs" dxfId="312" priority="24" operator="lessThan">
      <formula>50000</formula>
    </cfRule>
  </conditionalFormatting>
  <conditionalFormatting sqref="FB9">
    <cfRule type="cellIs" dxfId="311" priority="19" operator="lessThan">
      <formula>20000</formula>
    </cfRule>
    <cfRule type="cellIs" dxfId="310" priority="20" operator="lessThan">
      <formula>25000</formula>
    </cfRule>
    <cfRule type="cellIs" dxfId="309" priority="21" operator="lessThan">
      <formula>50000</formula>
    </cfRule>
  </conditionalFormatting>
  <conditionalFormatting sqref="FB18">
    <cfRule type="cellIs" dxfId="308" priority="16" operator="lessThan">
      <formula>20000</formula>
    </cfRule>
    <cfRule type="cellIs" dxfId="307" priority="17" operator="lessThan">
      <formula>25000</formula>
    </cfRule>
    <cfRule type="cellIs" dxfId="306" priority="18" operator="lessThan">
      <formula>50000</formula>
    </cfRule>
  </conditionalFormatting>
  <conditionalFormatting sqref="FB25">
    <cfRule type="cellIs" dxfId="305" priority="13" operator="lessThan">
      <formula>20000</formula>
    </cfRule>
    <cfRule type="cellIs" dxfId="304" priority="14" operator="lessThan">
      <formula>25000</formula>
    </cfRule>
    <cfRule type="cellIs" dxfId="303" priority="15" operator="lessThan">
      <formula>50000</formula>
    </cfRule>
  </conditionalFormatting>
  <conditionalFormatting sqref="FB32">
    <cfRule type="cellIs" dxfId="302" priority="10" operator="lessThan">
      <formula>20000</formula>
    </cfRule>
    <cfRule type="cellIs" dxfId="301" priority="11" operator="lessThan">
      <formula>25000</formula>
    </cfRule>
    <cfRule type="cellIs" dxfId="300" priority="12" operator="lessThan">
      <formula>50000</formula>
    </cfRule>
  </conditionalFormatting>
  <conditionalFormatting sqref="FB47">
    <cfRule type="cellIs" dxfId="299" priority="7" operator="lessThan">
      <formula>20000</formula>
    </cfRule>
    <cfRule type="cellIs" dxfId="298" priority="8" operator="lessThan">
      <formula>25000</formula>
    </cfRule>
    <cfRule type="cellIs" dxfId="297" priority="9" operator="lessThan">
      <formula>50000</formula>
    </cfRule>
  </conditionalFormatting>
  <conditionalFormatting sqref="FB49">
    <cfRule type="cellIs" dxfId="296" priority="4" operator="lessThan">
      <formula>20000</formula>
    </cfRule>
    <cfRule type="cellIs" dxfId="295" priority="5" operator="lessThan">
      <formula>25000</formula>
    </cfRule>
    <cfRule type="cellIs" dxfId="294" priority="6" operator="lessThan">
      <formula>50000</formula>
    </cfRule>
  </conditionalFormatting>
  <conditionalFormatting sqref="FB24">
    <cfRule type="cellIs" dxfId="293" priority="1" operator="lessThan">
      <formula>20000</formula>
    </cfRule>
    <cfRule type="cellIs" dxfId="292" priority="2" operator="lessThan">
      <formula>25000</formula>
    </cfRule>
    <cfRule type="cellIs" dxfId="291" priority="3" operator="lessThan">
      <formula>50000</formula>
    </cfRule>
  </conditionalFormatting>
  <pageMargins left="0.7" right="0.7" top="0.75" bottom="0.75" header="0.3" footer="0.3"/>
  <pageSetup scale="130" orientation="portrait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1AC14-BA58-4F16-BF81-0DD720D47C73}">
  <sheetPr codeName="Sheet357"/>
  <dimension ref="A1:BA68"/>
  <sheetViews>
    <sheetView workbookViewId="0">
      <selection sqref="A1:A2"/>
    </sheetView>
  </sheetViews>
  <sheetFormatPr defaultColWidth="8.85546875" defaultRowHeight="15"/>
  <cols>
    <col min="1" max="1" width="21.85546875" style="974" bestFit="1" customWidth="1"/>
    <col min="2" max="15" width="8.5703125" style="974" customWidth="1"/>
    <col min="16" max="16" width="8.7109375" style="974" customWidth="1"/>
    <col min="17" max="17" width="8.5703125" style="974" customWidth="1"/>
    <col min="18" max="19" width="8.5703125" style="974" bestFit="1" customWidth="1"/>
    <col min="20" max="28" width="8.5703125" style="974" customWidth="1"/>
    <col min="29" max="31" width="8.5703125" style="974" bestFit="1" customWidth="1"/>
    <col min="32" max="32" width="12.28515625" style="934" customWidth="1"/>
    <col min="33" max="33" width="18" style="934" customWidth="1"/>
    <col min="34" max="34" width="18.28515625" style="934" customWidth="1"/>
    <col min="35" max="35" width="5.85546875" style="934" customWidth="1"/>
    <col min="36" max="36" width="9.7109375" style="934" customWidth="1"/>
    <col min="37" max="39" width="5.85546875" style="934" customWidth="1"/>
    <col min="40" max="40" width="12.42578125" style="934" customWidth="1"/>
    <col min="41" max="41" width="6.5703125" style="934" customWidth="1"/>
    <col min="42" max="42" width="3.42578125" style="934" customWidth="1"/>
    <col min="43" max="43" width="8.28515625" style="974" customWidth="1"/>
    <col min="44" max="44" width="10.7109375" style="934" customWidth="1"/>
    <col min="45" max="45" width="21.28515625" style="934" bestFit="1" customWidth="1"/>
    <col min="46" max="16384" width="8.85546875" style="934"/>
  </cols>
  <sheetData>
    <row r="1" spans="1:45">
      <c r="A1" s="1251" t="s">
        <v>77</v>
      </c>
      <c r="B1" s="250" t="s">
        <v>88</v>
      </c>
      <c r="C1" s="250" t="s">
        <v>89</v>
      </c>
      <c r="D1" s="250" t="s">
        <v>90</v>
      </c>
      <c r="E1" s="250" t="s">
        <v>91</v>
      </c>
      <c r="F1" s="250" t="s">
        <v>92</v>
      </c>
      <c r="G1" s="250" t="s">
        <v>93</v>
      </c>
      <c r="H1" s="250" t="s">
        <v>87</v>
      </c>
      <c r="I1" s="250" t="s">
        <v>88</v>
      </c>
      <c r="J1" s="250" t="s">
        <v>89</v>
      </c>
      <c r="K1" s="250" t="s">
        <v>90</v>
      </c>
      <c r="L1" s="250" t="s">
        <v>91</v>
      </c>
      <c r="M1" s="250" t="s">
        <v>92</v>
      </c>
      <c r="N1" s="250" t="s">
        <v>93</v>
      </c>
      <c r="O1" s="250" t="s">
        <v>87</v>
      </c>
      <c r="P1" s="250" t="s">
        <v>88</v>
      </c>
      <c r="Q1" s="250" t="s">
        <v>89</v>
      </c>
      <c r="R1" s="250" t="s">
        <v>90</v>
      </c>
      <c r="S1" s="250" t="s">
        <v>91</v>
      </c>
      <c r="T1" s="250" t="s">
        <v>92</v>
      </c>
      <c r="U1" s="250" t="s">
        <v>93</v>
      </c>
      <c r="V1" s="250" t="s">
        <v>87</v>
      </c>
      <c r="W1" s="250" t="s">
        <v>88</v>
      </c>
      <c r="X1" s="250" t="s">
        <v>89</v>
      </c>
      <c r="Y1" s="250" t="s">
        <v>90</v>
      </c>
      <c r="Z1" s="250" t="s">
        <v>91</v>
      </c>
      <c r="AA1" s="250" t="s">
        <v>92</v>
      </c>
      <c r="AB1" s="250" t="s">
        <v>93</v>
      </c>
      <c r="AC1" s="250" t="s">
        <v>87</v>
      </c>
      <c r="AD1" s="250" t="s">
        <v>88</v>
      </c>
      <c r="AE1" s="250" t="s">
        <v>89</v>
      </c>
      <c r="AF1" s="1253" t="s">
        <v>31</v>
      </c>
      <c r="AG1" s="1282" t="s">
        <v>190</v>
      </c>
      <c r="AN1" s="974" t="s">
        <v>222</v>
      </c>
    </row>
    <row r="2" spans="1:45" ht="15.75" thickBot="1">
      <c r="A2" s="1280"/>
      <c r="B2" s="251">
        <v>44866</v>
      </c>
      <c r="C2" s="251">
        <v>44867</v>
      </c>
      <c r="D2" s="251">
        <v>44868</v>
      </c>
      <c r="E2" s="251">
        <v>44869</v>
      </c>
      <c r="F2" s="251">
        <v>44870</v>
      </c>
      <c r="G2" s="251">
        <v>44871</v>
      </c>
      <c r="H2" s="251">
        <v>44872</v>
      </c>
      <c r="I2" s="251">
        <v>44873</v>
      </c>
      <c r="J2" s="251">
        <v>44874</v>
      </c>
      <c r="K2" s="251">
        <v>44875</v>
      </c>
      <c r="L2" s="251">
        <v>44876</v>
      </c>
      <c r="M2" s="251">
        <v>44877</v>
      </c>
      <c r="N2" s="251">
        <v>44878</v>
      </c>
      <c r="O2" s="251">
        <v>44879</v>
      </c>
      <c r="P2" s="251">
        <v>44880</v>
      </c>
      <c r="Q2" s="251">
        <v>44881</v>
      </c>
      <c r="R2" s="251">
        <v>44882</v>
      </c>
      <c r="S2" s="251">
        <v>44883</v>
      </c>
      <c r="T2" s="251">
        <v>44884</v>
      </c>
      <c r="U2" s="251">
        <v>44885</v>
      </c>
      <c r="V2" s="251">
        <v>44886</v>
      </c>
      <c r="W2" s="251">
        <v>44887</v>
      </c>
      <c r="X2" s="251">
        <v>44888</v>
      </c>
      <c r="Y2" s="251">
        <v>44889</v>
      </c>
      <c r="Z2" s="251">
        <v>44890</v>
      </c>
      <c r="AA2" s="251">
        <v>44891</v>
      </c>
      <c r="AB2" s="251">
        <v>44892</v>
      </c>
      <c r="AC2" s="251">
        <v>44893</v>
      </c>
      <c r="AD2" s="251">
        <v>44894</v>
      </c>
      <c r="AE2" s="251">
        <v>44895</v>
      </c>
      <c r="AF2" s="1281"/>
      <c r="AG2" s="1283"/>
      <c r="AI2" s="974"/>
      <c r="AJ2" s="974" t="s">
        <v>705</v>
      </c>
      <c r="AK2" s="974"/>
      <c r="AL2" s="974"/>
      <c r="AM2" s="974"/>
      <c r="AN2" s="974" t="s">
        <v>132</v>
      </c>
      <c r="AO2" s="974"/>
      <c r="AP2" s="937"/>
      <c r="AQ2" s="756" t="s">
        <v>316</v>
      </c>
      <c r="AR2" s="937" t="s">
        <v>326</v>
      </c>
      <c r="AS2" s="937"/>
    </row>
    <row r="3" spans="1:45" ht="11.45" customHeight="1">
      <c r="A3" s="194" t="s">
        <v>185</v>
      </c>
      <c r="B3" s="736">
        <f>'11.01.22'!E28</f>
        <v>4094.5</v>
      </c>
      <c r="C3" s="736">
        <f>'11.02.22'!E21+'11.02.22'!E31</f>
        <v>11970</v>
      </c>
      <c r="D3" s="736">
        <f>'11.03.22'!E28</f>
        <v>5937.5</v>
      </c>
      <c r="E3" s="736"/>
      <c r="F3" s="736">
        <f>'11.05.22'!E18</f>
        <v>8065.5</v>
      </c>
      <c r="G3" s="736"/>
      <c r="H3" s="591"/>
      <c r="I3" s="591"/>
      <c r="J3" s="591"/>
      <c r="K3" s="591"/>
      <c r="L3" s="591">
        <f>'11.11.22'!E18+'11.11.22'!E28</f>
        <v>11010.5</v>
      </c>
      <c r="M3" s="591"/>
      <c r="N3" s="591"/>
      <c r="O3" s="638"/>
      <c r="P3" s="638"/>
      <c r="Q3" s="638">
        <f>'11.16.22'!E29</f>
        <v>5187</v>
      </c>
      <c r="R3" s="638">
        <f>'11.17.22'!E17+'11.17.22'!E27</f>
        <v>13005.5</v>
      </c>
      <c r="S3" s="638"/>
      <c r="T3" s="638">
        <f>'11.19.22'!E8</f>
        <v>8987</v>
      </c>
      <c r="U3" s="638"/>
      <c r="V3" s="701"/>
      <c r="W3" s="701">
        <f>'11.22.22'!E29</f>
        <v>4607.5</v>
      </c>
      <c r="X3" s="1134"/>
      <c r="Y3" s="1134"/>
      <c r="Z3" s="1134"/>
      <c r="AA3" s="1134"/>
      <c r="AB3" s="701"/>
      <c r="AC3" s="512">
        <f>'11.28.22'!E9+'11.28.22'!E19</f>
        <v>16302</v>
      </c>
      <c r="AD3" s="512"/>
      <c r="AE3" s="512"/>
      <c r="AF3" s="189">
        <f t="shared" ref="AF3:AF34" si="0">SUM(B3:AE3)</f>
        <v>89167</v>
      </c>
      <c r="AG3" s="189">
        <f>449000-AF3+350000</f>
        <v>709833</v>
      </c>
      <c r="AH3" s="194" t="str">
        <f t="shared" ref="AH3:AH34" si="1">A3</f>
        <v>8E8 Thai Street Food</v>
      </c>
      <c r="AJ3" s="234">
        <f>AF3</f>
        <v>89167</v>
      </c>
      <c r="AN3" s="234">
        <v>415532</v>
      </c>
      <c r="AO3" s="234"/>
      <c r="AP3" s="979">
        <v>1</v>
      </c>
      <c r="AQ3" s="981">
        <f t="shared" ref="AQ3:AQ60" si="2">AR3/9.75</f>
        <v>51180.666666666664</v>
      </c>
      <c r="AR3" s="977">
        <v>499011.5</v>
      </c>
      <c r="AS3" s="978" t="s">
        <v>70</v>
      </c>
    </row>
    <row r="4" spans="1:45" ht="10.15" customHeight="1">
      <c r="A4" s="194" t="s">
        <v>330</v>
      </c>
      <c r="B4" s="736">
        <f>'11.01.22'!E8+'11.01.22'!E18</f>
        <v>11837</v>
      </c>
      <c r="C4" s="736"/>
      <c r="D4" s="736"/>
      <c r="E4" s="736"/>
      <c r="F4" s="736"/>
      <c r="G4" s="736"/>
      <c r="H4" s="591"/>
      <c r="I4" s="591">
        <f>'11.08.22'!E9</f>
        <v>6460</v>
      </c>
      <c r="J4" s="591"/>
      <c r="K4" s="591">
        <f>'11.10.22'!E21</f>
        <v>5985</v>
      </c>
      <c r="L4" s="591"/>
      <c r="M4" s="591"/>
      <c r="N4" s="591">
        <f>'11.13.22'!E18</f>
        <v>7334</v>
      </c>
      <c r="O4" s="638"/>
      <c r="P4" s="638"/>
      <c r="Q4" s="638">
        <f>'11.16.22'!E20</f>
        <v>7372</v>
      </c>
      <c r="R4" s="638"/>
      <c r="S4" s="638"/>
      <c r="T4" s="638"/>
      <c r="U4" s="638"/>
      <c r="V4" s="512"/>
      <c r="W4" s="512"/>
      <c r="X4" s="1131"/>
      <c r="Y4" s="1131"/>
      <c r="Z4" s="1131"/>
      <c r="AA4" s="1131"/>
      <c r="AB4" s="512"/>
      <c r="AC4" s="512"/>
      <c r="AD4" s="512"/>
      <c r="AE4" s="512">
        <f>'11.30.22'!E8</f>
        <v>8198.5</v>
      </c>
      <c r="AF4" s="189">
        <f t="shared" si="0"/>
        <v>47186.5</v>
      </c>
      <c r="AG4" s="189">
        <v>99000</v>
      </c>
      <c r="AH4" s="194" t="str">
        <f t="shared" si="1"/>
        <v>Aloha Friday</v>
      </c>
      <c r="AJ4" s="234">
        <f t="shared" ref="AJ4:AJ60" si="3">AF4</f>
        <v>47186.5</v>
      </c>
      <c r="AN4" s="234"/>
      <c r="AO4" s="234"/>
      <c r="AP4" s="979"/>
      <c r="AQ4" s="981"/>
      <c r="AR4" s="977"/>
      <c r="AS4" s="978"/>
    </row>
    <row r="5" spans="1:45" ht="10.15" customHeight="1">
      <c r="A5" s="194" t="s">
        <v>164</v>
      </c>
      <c r="B5" s="737"/>
      <c r="C5" s="737"/>
      <c r="D5" s="737"/>
      <c r="E5" s="736"/>
      <c r="F5" s="737"/>
      <c r="G5" s="736">
        <f>'11.06.22'!E19+'11.06.22'!E29</f>
        <v>8056</v>
      </c>
      <c r="H5" s="590"/>
      <c r="I5" s="590"/>
      <c r="J5" s="590"/>
      <c r="K5" s="590"/>
      <c r="L5" s="591"/>
      <c r="M5" s="590"/>
      <c r="N5" s="591">
        <f>'11.13.22'!E27</f>
        <v>3686</v>
      </c>
      <c r="O5" s="639"/>
      <c r="P5" s="639"/>
      <c r="Q5" s="639"/>
      <c r="R5" s="639"/>
      <c r="S5" s="639"/>
      <c r="T5" s="639"/>
      <c r="U5" s="639">
        <f>'11.20.22'!E27</f>
        <v>3515</v>
      </c>
      <c r="V5" s="700"/>
      <c r="W5" s="700"/>
      <c r="X5" s="1134"/>
      <c r="Y5" s="1134"/>
      <c r="Z5" s="1134"/>
      <c r="AA5" s="1134"/>
      <c r="AB5" s="700">
        <f>'11.27.22'!E27</f>
        <v>3572</v>
      </c>
      <c r="AC5" s="452"/>
      <c r="AD5" s="452"/>
      <c r="AE5" s="452"/>
      <c r="AF5" s="189">
        <f t="shared" si="0"/>
        <v>18829</v>
      </c>
      <c r="AG5" s="189">
        <f>449000-AF5</f>
        <v>430171</v>
      </c>
      <c r="AH5" s="194" t="str">
        <f t="shared" si="1"/>
        <v>Austyn's Burgers</v>
      </c>
      <c r="AJ5" s="234">
        <f t="shared" si="3"/>
        <v>18829</v>
      </c>
      <c r="AN5" s="234">
        <v>270375.5</v>
      </c>
      <c r="AO5" s="234"/>
      <c r="AP5" s="979">
        <v>2</v>
      </c>
      <c r="AQ5" s="981">
        <f t="shared" si="2"/>
        <v>42618.666666666664</v>
      </c>
      <c r="AR5" s="977">
        <v>415532</v>
      </c>
      <c r="AS5" s="978" t="s">
        <v>185</v>
      </c>
    </row>
    <row r="6" spans="1:45" ht="10.15" customHeight="1">
      <c r="A6" s="195" t="s">
        <v>51</v>
      </c>
      <c r="B6" s="252"/>
      <c r="C6" s="252"/>
      <c r="D6" s="252"/>
      <c r="E6" s="252"/>
      <c r="F6" s="252"/>
      <c r="G6" s="252"/>
      <c r="H6" s="589"/>
      <c r="I6" s="589">
        <f>'11.08.22'!E8</f>
        <v>4199</v>
      </c>
      <c r="J6" s="589"/>
      <c r="K6" s="589"/>
      <c r="L6" s="589">
        <f>'11.11.22'!E17</f>
        <v>4047</v>
      </c>
      <c r="M6" s="589"/>
      <c r="N6" s="589"/>
      <c r="O6" s="640"/>
      <c r="P6" s="640"/>
      <c r="Q6" s="640">
        <f>'11.16.22'!E9</f>
        <v>4522</v>
      </c>
      <c r="R6" s="640"/>
      <c r="S6" s="640"/>
      <c r="T6" s="640"/>
      <c r="U6" s="640"/>
      <c r="V6" s="702">
        <f>'11.21.22'!E8</f>
        <v>4997</v>
      </c>
      <c r="W6" s="702"/>
      <c r="X6" s="1134"/>
      <c r="Y6" s="1134"/>
      <c r="Z6" s="1134"/>
      <c r="AA6" s="1134"/>
      <c r="AB6" s="702"/>
      <c r="AC6" s="252"/>
      <c r="AD6" s="252"/>
      <c r="AE6" s="252"/>
      <c r="AF6" s="189">
        <f t="shared" si="0"/>
        <v>17765</v>
      </c>
      <c r="AG6" s="961">
        <f>100000-AF6+350000</f>
        <v>432235</v>
      </c>
      <c r="AH6" s="194" t="str">
        <f t="shared" si="1"/>
        <v>Baby's Burgers</v>
      </c>
      <c r="AJ6" s="234">
        <f t="shared" si="3"/>
        <v>17765</v>
      </c>
      <c r="AN6" s="234">
        <v>128995</v>
      </c>
      <c r="AO6" s="234"/>
      <c r="AP6" s="979">
        <v>3</v>
      </c>
      <c r="AQ6" s="981">
        <f t="shared" si="2"/>
        <v>37149.794871794875</v>
      </c>
      <c r="AR6" s="977">
        <v>362210.5</v>
      </c>
      <c r="AS6" s="978" t="s">
        <v>53</v>
      </c>
    </row>
    <row r="7" spans="1:45" ht="10.15" customHeight="1">
      <c r="A7" s="195" t="s">
        <v>62</v>
      </c>
      <c r="B7" s="738"/>
      <c r="C7" s="738"/>
      <c r="D7" s="738">
        <f>'11.03.22'!E19</f>
        <v>2403.5</v>
      </c>
      <c r="E7" s="738"/>
      <c r="F7" s="738"/>
      <c r="G7" s="738"/>
      <c r="H7" s="589"/>
      <c r="I7" s="589"/>
      <c r="J7" s="589">
        <f>'11.09.22'!E9</f>
        <v>1957</v>
      </c>
      <c r="K7" s="589"/>
      <c r="L7" s="589"/>
      <c r="M7" s="589"/>
      <c r="N7" s="589"/>
      <c r="O7" s="252"/>
      <c r="P7" s="252"/>
      <c r="Q7" s="252"/>
      <c r="R7" s="252"/>
      <c r="S7" s="252"/>
      <c r="T7" s="252"/>
      <c r="U7" s="252"/>
      <c r="V7" s="252"/>
      <c r="W7" s="252"/>
      <c r="X7" s="1131"/>
      <c r="Y7" s="1131"/>
      <c r="Z7" s="1131"/>
      <c r="AA7" s="1131"/>
      <c r="AB7" s="252"/>
      <c r="AC7" s="252"/>
      <c r="AD7" s="252"/>
      <c r="AE7" s="252"/>
      <c r="AF7" s="189">
        <f t="shared" si="0"/>
        <v>4360.5</v>
      </c>
      <c r="AG7" s="961">
        <f>100000-AF7</f>
        <v>95639.5</v>
      </c>
      <c r="AH7" s="194" t="str">
        <f t="shared" si="1"/>
        <v>Belly's Sliders Wings</v>
      </c>
      <c r="AJ7" s="234">
        <f t="shared" si="3"/>
        <v>4360.5</v>
      </c>
      <c r="AN7" s="234">
        <v>67842.5</v>
      </c>
      <c r="AO7" s="234"/>
      <c r="AP7" s="979">
        <v>4</v>
      </c>
      <c r="AQ7" s="981">
        <f t="shared" si="2"/>
        <v>34980.051282051281</v>
      </c>
      <c r="AR7" s="977">
        <v>341055.5</v>
      </c>
      <c r="AS7" s="978" t="s">
        <v>65</v>
      </c>
    </row>
    <row r="8" spans="1:45" ht="10.15" customHeight="1">
      <c r="A8" s="195" t="s">
        <v>12</v>
      </c>
      <c r="B8" s="738"/>
      <c r="C8" s="738">
        <f>'11.02.22'!E7</f>
        <v>4512.5</v>
      </c>
      <c r="D8" s="738"/>
      <c r="E8" s="738">
        <f>'11.04.22'!E8</f>
        <v>3857</v>
      </c>
      <c r="F8" s="738"/>
      <c r="G8" s="738">
        <f>'11.06.22'!E20</f>
        <v>2983</v>
      </c>
      <c r="H8" s="252"/>
      <c r="I8" s="252"/>
      <c r="J8" s="252"/>
      <c r="K8" s="252"/>
      <c r="L8" s="252"/>
      <c r="M8" s="252"/>
      <c r="N8" s="252"/>
      <c r="O8" s="640"/>
      <c r="P8" s="640"/>
      <c r="Q8" s="640"/>
      <c r="R8" s="640">
        <f>'11.17.22'!E29</f>
        <v>2536.5</v>
      </c>
      <c r="S8" s="640">
        <f>'11.18.22'!E7</f>
        <v>4056.5</v>
      </c>
      <c r="T8" s="640"/>
      <c r="U8" s="640"/>
      <c r="V8" s="702"/>
      <c r="W8" s="702">
        <f>'11.22.22'!E18</f>
        <v>2555.5</v>
      </c>
      <c r="X8" s="1134"/>
      <c r="Y8" s="1134"/>
      <c r="Z8" s="1134"/>
      <c r="AA8" s="1134"/>
      <c r="AB8" s="702">
        <f>'11.27.22'!E19</f>
        <v>3106.5</v>
      </c>
      <c r="AC8" s="252"/>
      <c r="AD8" s="252">
        <f>'11.29.22'!E10</f>
        <v>4246.5</v>
      </c>
      <c r="AE8" s="252"/>
      <c r="AF8" s="189">
        <f t="shared" si="0"/>
        <v>27854</v>
      </c>
      <c r="AG8" s="961">
        <f>100000-AF8</f>
        <v>72146</v>
      </c>
      <c r="AH8" s="194" t="str">
        <f t="shared" si="1"/>
        <v>Bison Burger</v>
      </c>
      <c r="AJ8" s="234">
        <f t="shared" si="3"/>
        <v>27854</v>
      </c>
      <c r="AN8" s="234">
        <v>36161.5</v>
      </c>
      <c r="AO8" s="234"/>
      <c r="AP8" s="979">
        <v>5</v>
      </c>
      <c r="AQ8" s="981">
        <f t="shared" si="2"/>
        <v>30042.153846153848</v>
      </c>
      <c r="AR8" s="977">
        <v>292911</v>
      </c>
      <c r="AS8" s="978" t="s">
        <v>235</v>
      </c>
    </row>
    <row r="9" spans="1:45" ht="10.15" customHeight="1">
      <c r="A9" s="195" t="s">
        <v>331</v>
      </c>
      <c r="B9" s="738"/>
      <c r="C9" s="738"/>
      <c r="D9" s="738">
        <f>'11.03.22'!E27</f>
        <v>3904.5</v>
      </c>
      <c r="E9" s="738">
        <f>'11.04.22'!E31</f>
        <v>3239.5</v>
      </c>
      <c r="F9" s="738"/>
      <c r="G9" s="738"/>
      <c r="H9" s="589"/>
      <c r="I9" s="589"/>
      <c r="J9" s="589"/>
      <c r="K9" s="589">
        <f>'11.10.22'!E31</f>
        <v>3667</v>
      </c>
      <c r="L9" s="589"/>
      <c r="M9" s="589"/>
      <c r="N9" s="589"/>
      <c r="O9" s="640"/>
      <c r="P9" s="640"/>
      <c r="Q9" s="640">
        <f>'11.16.22'!E31</f>
        <v>4132.5</v>
      </c>
      <c r="R9" s="640"/>
      <c r="S9" s="640">
        <f>'11.18.22'!E31</f>
        <v>3553</v>
      </c>
      <c r="T9" s="640"/>
      <c r="U9" s="640"/>
      <c r="V9" s="252"/>
      <c r="W9" s="252"/>
      <c r="X9" s="1131"/>
      <c r="Y9" s="1131"/>
      <c r="Z9" s="1131"/>
      <c r="AA9" s="1131"/>
      <c r="AB9" s="252"/>
      <c r="AC9" s="252"/>
      <c r="AD9" s="252"/>
      <c r="AE9" s="252"/>
      <c r="AF9" s="189">
        <f t="shared" si="0"/>
        <v>18496.5</v>
      </c>
      <c r="AG9" s="189">
        <v>99000</v>
      </c>
      <c r="AH9" s="194" t="str">
        <f t="shared" si="1"/>
        <v>Bittie Bitez</v>
      </c>
      <c r="AJ9" s="234">
        <f t="shared" si="3"/>
        <v>18496.5</v>
      </c>
      <c r="AN9" s="234"/>
      <c r="AO9" s="234"/>
      <c r="AP9" s="979"/>
      <c r="AQ9" s="981"/>
      <c r="AR9" s="977"/>
      <c r="AS9" s="978"/>
    </row>
    <row r="10" spans="1:45" ht="10.15" customHeight="1">
      <c r="A10" s="195" t="s">
        <v>239</v>
      </c>
      <c r="B10" s="738"/>
      <c r="C10" s="738"/>
      <c r="D10" s="738"/>
      <c r="E10" s="738">
        <f>'11.04.22'!E10</f>
        <v>2080.5</v>
      </c>
      <c r="F10" s="738">
        <f>'11.05.22'!E8</f>
        <v>1947.5</v>
      </c>
      <c r="G10" s="738"/>
      <c r="H10" s="589">
        <f>'11.07.22'!E28</f>
        <v>1938</v>
      </c>
      <c r="I10" s="589">
        <f>'11.08.22'!E20</f>
        <v>1938</v>
      </c>
      <c r="J10" s="589"/>
      <c r="K10" s="589"/>
      <c r="L10" s="589"/>
      <c r="M10" s="589">
        <f>'11.12.22'!E28</f>
        <v>1947.5</v>
      </c>
      <c r="N10" s="589">
        <f>'11.13.22'!E29</f>
        <v>1862</v>
      </c>
      <c r="O10" s="640"/>
      <c r="P10" s="640"/>
      <c r="Q10" s="640"/>
      <c r="R10" s="640"/>
      <c r="S10" s="640">
        <f>'11.18.22'!E19+'11.18.22'!E29</f>
        <v>3201.5</v>
      </c>
      <c r="T10" s="640"/>
      <c r="U10" s="640">
        <f>'11.20.22'!E19</f>
        <v>2888</v>
      </c>
      <c r="V10" s="702"/>
      <c r="W10" s="702"/>
      <c r="X10" s="1134"/>
      <c r="Y10" s="1134"/>
      <c r="Z10" s="1134"/>
      <c r="AA10" s="1134"/>
      <c r="AB10" s="702">
        <f>'11.27.22'!E18</f>
        <v>2603</v>
      </c>
      <c r="AC10" s="252"/>
      <c r="AD10" s="252"/>
      <c r="AE10" s="252"/>
      <c r="AF10" s="189">
        <f t="shared" si="0"/>
        <v>20406</v>
      </c>
      <c r="AG10" s="961">
        <f>100000-AF10</f>
        <v>79594</v>
      </c>
      <c r="AH10" s="194" t="str">
        <f t="shared" si="1"/>
        <v>Bollywood Kitchen</v>
      </c>
      <c r="AJ10" s="234">
        <f t="shared" si="3"/>
        <v>20406</v>
      </c>
      <c r="AN10" s="234">
        <v>41845.5</v>
      </c>
      <c r="AO10" s="234"/>
      <c r="AP10" s="979">
        <v>6</v>
      </c>
      <c r="AQ10" s="981">
        <f t="shared" si="2"/>
        <v>27730.820512820512</v>
      </c>
      <c r="AR10" s="977">
        <v>270375.5</v>
      </c>
      <c r="AS10" s="978" t="s">
        <v>164</v>
      </c>
    </row>
    <row r="11" spans="1:45" ht="10.15" customHeight="1">
      <c r="A11" s="195" t="s">
        <v>68</v>
      </c>
      <c r="B11" s="252"/>
      <c r="C11" s="252"/>
      <c r="D11" s="252"/>
      <c r="E11" s="252"/>
      <c r="F11" s="252"/>
      <c r="G11" s="252"/>
      <c r="H11" s="252"/>
      <c r="I11" s="252"/>
      <c r="J11" s="252"/>
      <c r="K11" s="252"/>
      <c r="L11" s="252"/>
      <c r="M11" s="252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1131"/>
      <c r="Y11" s="1131"/>
      <c r="Z11" s="1131"/>
      <c r="AA11" s="1131"/>
      <c r="AB11" s="252"/>
      <c r="AC11" s="252"/>
      <c r="AD11" s="252"/>
      <c r="AE11" s="252"/>
      <c r="AF11" s="189">
        <f t="shared" si="0"/>
        <v>0</v>
      </c>
      <c r="AG11" s="961">
        <f>100000-AF11</f>
        <v>100000</v>
      </c>
      <c r="AH11" s="194" t="str">
        <f t="shared" si="1"/>
        <v>Bunz Gourmet Burgers</v>
      </c>
      <c r="AJ11" s="234">
        <f t="shared" si="3"/>
        <v>0</v>
      </c>
      <c r="AN11" s="234">
        <v>18672</v>
      </c>
      <c r="AO11" s="234"/>
      <c r="AP11" s="979">
        <v>7</v>
      </c>
      <c r="AQ11" s="981">
        <f t="shared" si="2"/>
        <v>23386.205128205129</v>
      </c>
      <c r="AR11" s="977">
        <v>228015.5</v>
      </c>
      <c r="AS11" s="978" t="s">
        <v>45</v>
      </c>
    </row>
    <row r="12" spans="1:45" ht="10.15" customHeight="1">
      <c r="A12" s="195" t="s">
        <v>245</v>
      </c>
      <c r="B12" s="738"/>
      <c r="C12" s="738">
        <f>'11.02.22'!E17</f>
        <v>2318</v>
      </c>
      <c r="D12" s="738"/>
      <c r="E12" s="738"/>
      <c r="F12" s="738"/>
      <c r="G12" s="738">
        <f>'11.06.22'!E31</f>
        <v>1130.5</v>
      </c>
      <c r="H12" s="589"/>
      <c r="I12" s="589">
        <f>'11.08.22'!E10</f>
        <v>2717</v>
      </c>
      <c r="J12" s="589"/>
      <c r="K12" s="589"/>
      <c r="L12" s="589"/>
      <c r="M12" s="589"/>
      <c r="N12" s="589">
        <f>'11.13.22'!E20</f>
        <v>2850</v>
      </c>
      <c r="O12" s="640"/>
      <c r="P12" s="640">
        <f>'11.15.22'!E19+'11.15.22'!E29</f>
        <v>4170.5</v>
      </c>
      <c r="Q12" s="640"/>
      <c r="R12" s="640"/>
      <c r="S12" s="640"/>
      <c r="T12" s="640"/>
      <c r="U12" s="640"/>
      <c r="V12" s="702">
        <f>'11.21.22'!E30</f>
        <v>1501</v>
      </c>
      <c r="W12" s="702"/>
      <c r="X12" s="1134"/>
      <c r="Y12" s="1134"/>
      <c r="Z12" s="1134"/>
      <c r="AA12" s="1134"/>
      <c r="AB12" s="702"/>
      <c r="AC12" s="252"/>
      <c r="AD12" s="252">
        <f>'11.29.22'!E19</f>
        <v>3030.5</v>
      </c>
      <c r="AE12" s="252">
        <f>'11.30.22'!E17</f>
        <v>2489</v>
      </c>
      <c r="AF12" s="189">
        <f t="shared" si="0"/>
        <v>20206.5</v>
      </c>
      <c r="AG12" s="961">
        <f>100000-AF12</f>
        <v>79793.5</v>
      </c>
      <c r="AH12" s="194" t="str">
        <f t="shared" si="1"/>
        <v>Café Vietnam</v>
      </c>
      <c r="AJ12" s="234">
        <f t="shared" si="3"/>
        <v>20206.5</v>
      </c>
      <c r="AN12" s="234">
        <v>32515.5</v>
      </c>
      <c r="AO12" s="234"/>
      <c r="AP12" s="979">
        <v>8</v>
      </c>
      <c r="AQ12" s="981">
        <f t="shared" si="2"/>
        <v>20230.51282051282</v>
      </c>
      <c r="AR12" s="977">
        <v>197247.5</v>
      </c>
      <c r="AS12" s="978" t="s">
        <v>143</v>
      </c>
    </row>
    <row r="13" spans="1:45" ht="10.15" customHeight="1">
      <c r="A13" s="195" t="s">
        <v>254</v>
      </c>
      <c r="B13" s="738"/>
      <c r="C13" s="738">
        <f>'11.02.22'!E20</f>
        <v>2527</v>
      </c>
      <c r="D13" s="738"/>
      <c r="E13" s="738"/>
      <c r="F13" s="738"/>
      <c r="G13" s="738"/>
      <c r="H13" s="589">
        <f>'11.07.22'!E31</f>
        <v>2099.5</v>
      </c>
      <c r="I13" s="589"/>
      <c r="J13" s="589"/>
      <c r="K13" s="589">
        <f>'11.10.22'!E7</f>
        <v>2964</v>
      </c>
      <c r="L13" s="589"/>
      <c r="M13" s="589">
        <f>'11.12.22'!E19+'11.12.22'!E29</f>
        <v>4446</v>
      </c>
      <c r="N13" s="589"/>
      <c r="O13" s="640"/>
      <c r="P13" s="640">
        <f>'11.15.22'!E7</f>
        <v>3686</v>
      </c>
      <c r="Q13" s="640"/>
      <c r="R13" s="640">
        <f>'11.17.22'!E7</f>
        <v>3581.5</v>
      </c>
      <c r="S13" s="640">
        <f>'11.18.22'!E20+'11.18.22'!E30</f>
        <v>4636</v>
      </c>
      <c r="T13" s="640"/>
      <c r="U13" s="640"/>
      <c r="V13" s="702"/>
      <c r="W13" s="702">
        <f>'11.22.22'!E19</f>
        <v>2014</v>
      </c>
      <c r="X13" s="1134"/>
      <c r="Y13" s="1134"/>
      <c r="Z13" s="1134"/>
      <c r="AA13" s="1134"/>
      <c r="AB13" s="702">
        <f>'11.27.22'!E29</f>
        <v>2764.5</v>
      </c>
      <c r="AC13" s="252">
        <f>'11.28.22'!E27</f>
        <v>2755</v>
      </c>
      <c r="AD13" s="252"/>
      <c r="AE13" s="252"/>
      <c r="AF13" s="189">
        <f t="shared" si="0"/>
        <v>31473.5</v>
      </c>
      <c r="AG13" s="961">
        <f>100000-AF13+350000</f>
        <v>418526.5</v>
      </c>
      <c r="AH13" s="194" t="str">
        <f t="shared" si="1"/>
        <v>Cartel Taco Truck</v>
      </c>
      <c r="AJ13" s="234">
        <f t="shared" si="3"/>
        <v>31473.5</v>
      </c>
      <c r="AN13" s="234">
        <v>126406.5</v>
      </c>
      <c r="AO13" s="234"/>
      <c r="AP13" s="979">
        <v>9</v>
      </c>
      <c r="AQ13" s="981">
        <f t="shared" si="2"/>
        <v>19788.205128205129</v>
      </c>
      <c r="AR13" s="977">
        <v>192935</v>
      </c>
      <c r="AS13" s="978" t="s">
        <v>242</v>
      </c>
    </row>
    <row r="14" spans="1:45" ht="10.15" customHeight="1">
      <c r="A14" s="195" t="s">
        <v>49</v>
      </c>
      <c r="B14" s="738">
        <f>'11.01.22'!E9+'11.01.22'!E19</f>
        <v>6384</v>
      </c>
      <c r="C14" s="738">
        <f>'11.02.22'!E18+'11.02.22'!E28</f>
        <v>7011</v>
      </c>
      <c r="D14" s="738"/>
      <c r="E14" s="738"/>
      <c r="F14" s="738"/>
      <c r="G14" s="738"/>
      <c r="H14" s="589"/>
      <c r="I14" s="589"/>
      <c r="J14" s="589">
        <f>'11.09.22'!E19+'11.09.22'!E30</f>
        <v>6707</v>
      </c>
      <c r="K14" s="589">
        <f>'11.10.22'!E20+'11.10.22'!E30</f>
        <v>5149</v>
      </c>
      <c r="L14" s="589"/>
      <c r="M14" s="589"/>
      <c r="N14" s="589"/>
      <c r="O14" s="252"/>
      <c r="P14" s="252"/>
      <c r="Q14" s="252"/>
      <c r="R14" s="252"/>
      <c r="S14" s="252"/>
      <c r="T14" s="252"/>
      <c r="U14" s="252"/>
      <c r="V14" s="252"/>
      <c r="W14" s="252"/>
      <c r="X14" s="1131"/>
      <c r="Y14" s="1131"/>
      <c r="Z14" s="1131"/>
      <c r="AA14" s="1131"/>
      <c r="AB14" s="252"/>
      <c r="AC14" s="252"/>
      <c r="AD14" s="252"/>
      <c r="AE14" s="252"/>
      <c r="AF14" s="189">
        <f t="shared" si="0"/>
        <v>25251</v>
      </c>
      <c r="AG14" s="961">
        <f>100000-AF14</f>
        <v>74749</v>
      </c>
      <c r="AH14" s="194" t="str">
        <f t="shared" si="1"/>
        <v>Cerda Vega Tacos</v>
      </c>
      <c r="AJ14" s="234">
        <f t="shared" si="3"/>
        <v>25251</v>
      </c>
      <c r="AN14" s="782">
        <v>103495</v>
      </c>
      <c r="AO14" s="234"/>
      <c r="AP14" s="979">
        <v>10</v>
      </c>
      <c r="AQ14" s="981">
        <f t="shared" si="2"/>
        <v>19293.897435897437</v>
      </c>
      <c r="AR14" s="977">
        <v>188115.5</v>
      </c>
      <c r="AS14" s="978" t="s">
        <v>63</v>
      </c>
    </row>
    <row r="15" spans="1:45" ht="10.15" customHeight="1">
      <c r="A15" s="195" t="s">
        <v>235</v>
      </c>
      <c r="B15" s="738"/>
      <c r="C15" s="738">
        <f>'11.02.22'!E27</f>
        <v>5158.5</v>
      </c>
      <c r="D15" s="738"/>
      <c r="E15" s="738">
        <f>'11.04.22'!E28</f>
        <v>3942.5</v>
      </c>
      <c r="F15" s="738">
        <f>'11.05.22'!E28</f>
        <v>3467.5</v>
      </c>
      <c r="G15" s="738"/>
      <c r="H15" s="589"/>
      <c r="I15" s="589"/>
      <c r="J15" s="589">
        <f>'11.09.22'!E27</f>
        <v>5586</v>
      </c>
      <c r="K15" s="589"/>
      <c r="L15" s="589">
        <f>'11.11.22'!E27</f>
        <v>4446</v>
      </c>
      <c r="M15" s="589">
        <f>'11.12.22'!E27</f>
        <v>3942.5</v>
      </c>
      <c r="N15" s="589">
        <f>'11.13.22'!E28</f>
        <v>5481.5</v>
      </c>
      <c r="O15" s="640"/>
      <c r="P15" s="640">
        <f>'11.15.22'!E28</f>
        <v>5443.5</v>
      </c>
      <c r="Q15" s="640"/>
      <c r="R15" s="640"/>
      <c r="S15" s="640">
        <f>'11.18.22'!E28</f>
        <v>3942.5</v>
      </c>
      <c r="T15" s="640">
        <f>'11.19.22'!E31</f>
        <v>4332</v>
      </c>
      <c r="U15" s="640">
        <f>'11.20.22'!E28</f>
        <v>5975.5</v>
      </c>
      <c r="V15" s="252"/>
      <c r="W15" s="252"/>
      <c r="X15" s="1131"/>
      <c r="Y15" s="1131"/>
      <c r="Z15" s="1131"/>
      <c r="AA15" s="1131"/>
      <c r="AB15" s="252"/>
      <c r="AC15" s="252"/>
      <c r="AD15" s="252"/>
      <c r="AE15" s="252">
        <f>'11.30.22'!E28</f>
        <v>6336.5</v>
      </c>
      <c r="AF15" s="189">
        <f t="shared" si="0"/>
        <v>58054.5</v>
      </c>
      <c r="AG15" s="961">
        <f>100000-AF15+350000</f>
        <v>391945.5</v>
      </c>
      <c r="AH15" s="194" t="str">
        <f t="shared" si="1"/>
        <v>Creamy Boys</v>
      </c>
      <c r="AJ15" s="234">
        <f t="shared" si="3"/>
        <v>58054.5</v>
      </c>
      <c r="AN15" s="234">
        <v>292911</v>
      </c>
      <c r="AO15" s="234"/>
      <c r="AP15" s="979">
        <v>11</v>
      </c>
      <c r="AQ15" s="981">
        <f t="shared" si="2"/>
        <v>17233.384615384617</v>
      </c>
      <c r="AR15" s="977">
        <v>168025.5</v>
      </c>
      <c r="AS15" s="978" t="s">
        <v>145</v>
      </c>
    </row>
    <row r="16" spans="1:45" ht="10.15" customHeight="1">
      <c r="A16" s="195" t="s">
        <v>188</v>
      </c>
      <c r="B16" s="252"/>
      <c r="C16" s="252"/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52"/>
      <c r="O16" s="640"/>
      <c r="P16" s="640">
        <f>'11.15.22'!E30</f>
        <v>1244.5</v>
      </c>
      <c r="Q16" s="640"/>
      <c r="R16" s="640"/>
      <c r="S16" s="640">
        <f>'11.18.22'!E27</f>
        <v>1482</v>
      </c>
      <c r="T16" s="640"/>
      <c r="U16" s="640"/>
      <c r="V16" s="252"/>
      <c r="W16" s="252"/>
      <c r="X16" s="1131"/>
      <c r="Y16" s="1131"/>
      <c r="Z16" s="1131"/>
      <c r="AA16" s="1131"/>
      <c r="AB16" s="252"/>
      <c r="AC16" s="252">
        <f>'11.28.22'!E29</f>
        <v>2346.5</v>
      </c>
      <c r="AD16" s="252"/>
      <c r="AE16" s="252"/>
      <c r="AF16" s="189">
        <f t="shared" si="0"/>
        <v>5073</v>
      </c>
      <c r="AG16" s="961">
        <f>100000-AF16</f>
        <v>94927</v>
      </c>
      <c r="AH16" s="194" t="str">
        <f t="shared" si="1"/>
        <v>Deli Doctor</v>
      </c>
      <c r="AJ16" s="234">
        <f t="shared" si="3"/>
        <v>5073</v>
      </c>
      <c r="AN16" s="234">
        <v>51936.5</v>
      </c>
      <c r="AO16" s="234"/>
      <c r="AP16" s="979">
        <v>12</v>
      </c>
      <c r="AQ16" s="981">
        <f t="shared" si="2"/>
        <v>16683.333333333332</v>
      </c>
      <c r="AR16" s="977">
        <v>162662.5</v>
      </c>
      <c r="AS16" s="978" t="s">
        <v>82</v>
      </c>
    </row>
    <row r="17" spans="1:45" ht="9.75" customHeight="1">
      <c r="A17" s="195" t="s">
        <v>243</v>
      </c>
      <c r="B17" s="738"/>
      <c r="C17" s="738"/>
      <c r="D17" s="738"/>
      <c r="E17" s="738"/>
      <c r="F17" s="738">
        <f>'11.05.22'!E9</f>
        <v>6593</v>
      </c>
      <c r="G17" s="738">
        <f>'11.06.22'!E7</f>
        <v>5842.5</v>
      </c>
      <c r="H17" s="589"/>
      <c r="I17" s="589"/>
      <c r="J17" s="589"/>
      <c r="K17" s="589">
        <f>'11.10.22'!E18</f>
        <v>7115.5</v>
      </c>
      <c r="L17" s="589"/>
      <c r="M17" s="589">
        <f>'11.12.22'!E10+'11.12.22'!E20</f>
        <v>11599.5</v>
      </c>
      <c r="N17" s="589">
        <f>'11.13.22'!E10</f>
        <v>5700</v>
      </c>
      <c r="O17" s="640">
        <f>'11.14.22'!E9+'11.14.22'!E19</f>
        <v>11542.5</v>
      </c>
      <c r="P17" s="640"/>
      <c r="Q17" s="640"/>
      <c r="R17" s="640"/>
      <c r="S17" s="640"/>
      <c r="T17" s="640"/>
      <c r="U17" s="640">
        <f>'11.20.22'!E8</f>
        <v>8027.5</v>
      </c>
      <c r="V17" s="702"/>
      <c r="W17" s="702">
        <f>'11.22.22'!E10</f>
        <v>6213</v>
      </c>
      <c r="X17" s="1134"/>
      <c r="Y17" s="1134"/>
      <c r="Z17" s="1134"/>
      <c r="AA17" s="1134"/>
      <c r="AB17" s="702"/>
      <c r="AC17" s="252"/>
      <c r="AD17" s="252"/>
      <c r="AE17" s="252"/>
      <c r="AF17" s="189">
        <f t="shared" si="0"/>
        <v>62633.5</v>
      </c>
      <c r="AG17" s="961">
        <f>100000-AF17+100000</f>
        <v>137366.5</v>
      </c>
      <c r="AH17" s="194" t="str">
        <f t="shared" si="1"/>
        <v>Dina's Dumpling</v>
      </c>
      <c r="AJ17" s="234">
        <f t="shared" si="3"/>
        <v>62633.5</v>
      </c>
      <c r="AN17" s="234">
        <v>70634</v>
      </c>
      <c r="AO17" s="234"/>
      <c r="AP17" s="979">
        <v>13</v>
      </c>
      <c r="AQ17" s="981">
        <f t="shared" si="2"/>
        <v>13230.25641025641</v>
      </c>
      <c r="AR17" s="977">
        <v>128995</v>
      </c>
      <c r="AS17" s="978" t="s">
        <v>51</v>
      </c>
    </row>
    <row r="18" spans="1:45" ht="10.15" customHeight="1">
      <c r="A18" s="195" t="s">
        <v>334</v>
      </c>
      <c r="B18" s="738">
        <f>'11.01.22'!E29</f>
        <v>4199</v>
      </c>
      <c r="C18" s="738"/>
      <c r="D18" s="738"/>
      <c r="E18" s="738"/>
      <c r="F18" s="738">
        <f>'11.05.22'!E20+'11.05.22'!E30</f>
        <v>6070.5</v>
      </c>
      <c r="G18" s="738"/>
      <c r="H18" s="589"/>
      <c r="I18" s="589">
        <f>'11.08.22'!E21</f>
        <v>2394</v>
      </c>
      <c r="J18" s="589">
        <f>'11.09.22'!E20</f>
        <v>3676.5</v>
      </c>
      <c r="K18" s="589"/>
      <c r="L18" s="589"/>
      <c r="M18" s="589"/>
      <c r="N18" s="589"/>
      <c r="O18" s="640"/>
      <c r="P18" s="640"/>
      <c r="Q18" s="640">
        <f>'11.16.22'!E17</f>
        <v>4550.5</v>
      </c>
      <c r="R18" s="640"/>
      <c r="S18" s="640">
        <f>'11.18.22'!E18</f>
        <v>3486.5</v>
      </c>
      <c r="T18" s="640"/>
      <c r="U18" s="640">
        <f>'11.20.22'!E20</f>
        <v>4151.5</v>
      </c>
      <c r="V18" s="252"/>
      <c r="W18" s="252"/>
      <c r="X18" s="1131"/>
      <c r="Y18" s="1131"/>
      <c r="Z18" s="1131"/>
      <c r="AA18" s="1131"/>
      <c r="AB18" s="252"/>
      <c r="AC18" s="252"/>
      <c r="AD18" s="252"/>
      <c r="AE18" s="252"/>
      <c r="AF18" s="189">
        <f t="shared" si="0"/>
        <v>28528.5</v>
      </c>
      <c r="AG18" s="189">
        <v>99000</v>
      </c>
      <c r="AH18" s="194" t="str">
        <f t="shared" si="1"/>
        <v>Dulce Europa</v>
      </c>
      <c r="AJ18" s="234">
        <f t="shared" si="3"/>
        <v>28528.5</v>
      </c>
      <c r="AN18" s="234"/>
      <c r="AO18" s="234"/>
      <c r="AP18" s="979"/>
      <c r="AQ18" s="981"/>
      <c r="AR18" s="977"/>
      <c r="AS18" s="978"/>
    </row>
    <row r="19" spans="1:45" ht="10.15" customHeight="1">
      <c r="A19" s="195" t="s">
        <v>63</v>
      </c>
      <c r="B19" s="738">
        <f>'11.01.22'!E21</f>
        <v>3325</v>
      </c>
      <c r="C19" s="738"/>
      <c r="D19" s="738">
        <f>'11.03.22'!E30</f>
        <v>2460.5</v>
      </c>
      <c r="E19" s="738"/>
      <c r="F19" s="738"/>
      <c r="G19" s="738">
        <f>'11.06.22'!E30</f>
        <v>1681.5</v>
      </c>
      <c r="H19" s="589"/>
      <c r="I19" s="589">
        <f>'11.08.22'!E7</f>
        <v>3211</v>
      </c>
      <c r="J19" s="589">
        <f>'11.09.22'!E10</f>
        <v>3306</v>
      </c>
      <c r="K19" s="589"/>
      <c r="L19" s="589">
        <f>'11.11.22'!E9+'11.11.22'!E19</f>
        <v>5757</v>
      </c>
      <c r="M19" s="589"/>
      <c r="N19" s="589">
        <f>'11.13.22'!E30</f>
        <v>2527</v>
      </c>
      <c r="O19" s="640"/>
      <c r="P19" s="640">
        <f>'11.15.22'!E9</f>
        <v>3163.5</v>
      </c>
      <c r="Q19" s="640"/>
      <c r="R19" s="640"/>
      <c r="S19" s="640"/>
      <c r="T19" s="640"/>
      <c r="U19" s="640">
        <f>'11.20.22'!E18</f>
        <v>3524.5</v>
      </c>
      <c r="V19" s="252"/>
      <c r="W19" s="252"/>
      <c r="X19" s="1131"/>
      <c r="Y19" s="1131"/>
      <c r="Z19" s="1131"/>
      <c r="AA19" s="1131"/>
      <c r="AB19" s="252"/>
      <c r="AC19" s="252"/>
      <c r="AD19" s="252"/>
      <c r="AE19" s="252"/>
      <c r="AF19" s="189">
        <f t="shared" si="0"/>
        <v>28956</v>
      </c>
      <c r="AG19" s="961">
        <f>449000-AF19+350000</f>
        <v>770044</v>
      </c>
      <c r="AH19" s="194" t="str">
        <f t="shared" si="1"/>
        <v>Flamin Hot Chicken</v>
      </c>
      <c r="AJ19" s="234">
        <f t="shared" si="3"/>
        <v>28956</v>
      </c>
      <c r="AN19" s="234">
        <v>188115.5</v>
      </c>
      <c r="AO19" s="234"/>
      <c r="AP19" s="979">
        <v>14</v>
      </c>
      <c r="AQ19" s="981">
        <f t="shared" si="2"/>
        <v>13104.358974358975</v>
      </c>
      <c r="AR19" s="977">
        <v>127767.5</v>
      </c>
      <c r="AS19" s="978" t="s">
        <v>246</v>
      </c>
    </row>
    <row r="20" spans="1:45" ht="10.15" customHeight="1">
      <c r="A20" s="195" t="s">
        <v>78</v>
      </c>
      <c r="B20" s="738"/>
      <c r="C20" s="738"/>
      <c r="D20" s="738"/>
      <c r="E20" s="738">
        <f>'11.04.22'!E7</f>
        <v>3800</v>
      </c>
      <c r="F20" s="738"/>
      <c r="G20" s="738"/>
      <c r="H20" s="589"/>
      <c r="I20" s="589"/>
      <c r="J20" s="589"/>
      <c r="K20" s="589">
        <f>'11.10.22'!E9</f>
        <v>3429.5</v>
      </c>
      <c r="L20" s="589"/>
      <c r="M20" s="589"/>
      <c r="N20" s="589"/>
      <c r="O20" s="640"/>
      <c r="P20" s="640"/>
      <c r="Q20" s="640"/>
      <c r="R20" s="640"/>
      <c r="S20" s="640">
        <f>'11.18.22'!E17</f>
        <v>3771.5</v>
      </c>
      <c r="T20" s="640">
        <f>'11.19.22'!E9</f>
        <v>3391.5</v>
      </c>
      <c r="U20" s="640"/>
      <c r="V20" s="702">
        <f>'11.21.22'!E7</f>
        <v>4094.5</v>
      </c>
      <c r="W20" s="702"/>
      <c r="X20" s="1134"/>
      <c r="Y20" s="1134"/>
      <c r="Z20" s="1134"/>
      <c r="AA20" s="1134"/>
      <c r="AB20" s="702"/>
      <c r="AC20" s="252">
        <f>'11.28.22'!E18</f>
        <v>4284.5</v>
      </c>
      <c r="AD20" s="252"/>
      <c r="AE20" s="252">
        <f>'11.30.22'!E10</f>
        <v>4142</v>
      </c>
      <c r="AF20" s="189">
        <f t="shared" si="0"/>
        <v>26913.5</v>
      </c>
      <c r="AG20" s="961">
        <f>100000-AF20</f>
        <v>73086.5</v>
      </c>
      <c r="AH20" s="194" t="str">
        <f t="shared" si="1"/>
        <v>Flaming Grain</v>
      </c>
      <c r="AJ20" s="234">
        <f t="shared" si="3"/>
        <v>26913.5</v>
      </c>
      <c r="AN20" s="234">
        <v>55223</v>
      </c>
      <c r="AO20" s="234"/>
      <c r="AP20" s="979">
        <v>15</v>
      </c>
      <c r="AQ20" s="981">
        <f t="shared" si="2"/>
        <v>12964.76923076923</v>
      </c>
      <c r="AR20" s="977">
        <v>126406.5</v>
      </c>
      <c r="AS20" s="978" t="s">
        <v>43</v>
      </c>
    </row>
    <row r="21" spans="1:45" ht="10.15" customHeight="1">
      <c r="A21" s="195" t="s">
        <v>696</v>
      </c>
      <c r="B21" s="738"/>
      <c r="C21" s="738"/>
      <c r="D21" s="738"/>
      <c r="E21" s="738">
        <f>'11.04.22'!E9</f>
        <v>2669.5</v>
      </c>
      <c r="F21" s="738">
        <f>'11.05.22'!E17</f>
        <v>2536.5</v>
      </c>
      <c r="G21" s="738">
        <f>'11.06.22'!E8</f>
        <v>3040</v>
      </c>
      <c r="H21" s="589">
        <f>'11.07.22'!E18</f>
        <v>2669.5</v>
      </c>
      <c r="I21" s="589"/>
      <c r="J21" s="589"/>
      <c r="K21" s="589"/>
      <c r="L21" s="589"/>
      <c r="M21" s="589">
        <f>'11.12.22'!E17</f>
        <v>1881</v>
      </c>
      <c r="N21" s="589"/>
      <c r="O21" s="640">
        <f>'11.14.22'!E10</f>
        <v>3078</v>
      </c>
      <c r="P21" s="640"/>
      <c r="Q21" s="640">
        <f>'11.16.22'!E10</f>
        <v>3059</v>
      </c>
      <c r="R21" s="640"/>
      <c r="S21" s="640"/>
      <c r="T21" s="640"/>
      <c r="U21" s="640"/>
      <c r="V21" s="702"/>
      <c r="W21" s="702">
        <f>'11.22.22'!E9</f>
        <v>2261</v>
      </c>
      <c r="X21" s="1134"/>
      <c r="Y21" s="1134"/>
      <c r="Z21" s="1134"/>
      <c r="AA21" s="1134"/>
      <c r="AB21" s="702"/>
      <c r="AC21" s="252"/>
      <c r="AD21" s="252"/>
      <c r="AE21" s="252"/>
      <c r="AF21" s="189">
        <f t="shared" si="0"/>
        <v>21194.5</v>
      </c>
      <c r="AG21" s="961">
        <f>100000-AF21</f>
        <v>78805.5</v>
      </c>
      <c r="AH21" s="194" t="str">
        <f t="shared" si="1"/>
        <v>Go Fusion</v>
      </c>
      <c r="AJ21" s="234">
        <f t="shared" si="3"/>
        <v>21194.5</v>
      </c>
      <c r="AN21" s="234"/>
      <c r="AO21" s="234"/>
      <c r="AP21" s="979"/>
      <c r="AQ21" s="981"/>
      <c r="AR21" s="977"/>
      <c r="AS21" s="978"/>
    </row>
    <row r="22" spans="1:45" ht="10.15" customHeight="1">
      <c r="A22" s="195" t="s">
        <v>129</v>
      </c>
      <c r="B22" s="252"/>
      <c r="C22" s="252"/>
      <c r="D22" s="252"/>
      <c r="E22" s="252"/>
      <c r="F22" s="252"/>
      <c r="G22" s="252"/>
      <c r="H22" s="252"/>
      <c r="I22" s="252"/>
      <c r="J22" s="252"/>
      <c r="K22" s="252"/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1131"/>
      <c r="Y22" s="1131"/>
      <c r="Z22" s="1131"/>
      <c r="AA22" s="1131"/>
      <c r="AB22" s="252"/>
      <c r="AC22" s="252"/>
      <c r="AD22" s="252"/>
      <c r="AE22" s="252"/>
      <c r="AF22" s="189">
        <f t="shared" si="0"/>
        <v>0</v>
      </c>
      <c r="AG22" s="961">
        <f>100000-AF22</f>
        <v>100000</v>
      </c>
      <c r="AH22" s="194" t="str">
        <f t="shared" si="1"/>
        <v>Good East and Vibes</v>
      </c>
      <c r="AJ22" s="234">
        <f t="shared" si="3"/>
        <v>0</v>
      </c>
      <c r="AN22" s="234">
        <v>11600</v>
      </c>
      <c r="AO22" s="234"/>
      <c r="AP22" s="979">
        <v>16</v>
      </c>
      <c r="AQ22" s="981">
        <f t="shared" si="2"/>
        <v>12548.51282051282</v>
      </c>
      <c r="AR22" s="977">
        <v>122348</v>
      </c>
      <c r="AS22" s="978" t="s">
        <v>44</v>
      </c>
    </row>
    <row r="23" spans="1:45" ht="10.15" customHeight="1">
      <c r="A23" s="195" t="s">
        <v>238</v>
      </c>
      <c r="B23" s="738"/>
      <c r="C23" s="738">
        <f>'11.02.22'!E8</f>
        <v>2850</v>
      </c>
      <c r="D23" s="738"/>
      <c r="E23" s="738">
        <f>'11.04.22'!E20</f>
        <v>2394</v>
      </c>
      <c r="F23" s="738"/>
      <c r="G23" s="738"/>
      <c r="H23" s="589"/>
      <c r="I23" s="589">
        <f>'11.08.22'!E17</f>
        <v>2707.5</v>
      </c>
      <c r="J23" s="589"/>
      <c r="K23" s="589"/>
      <c r="L23" s="589">
        <f>'11.11.22'!E20</f>
        <v>2033</v>
      </c>
      <c r="M23" s="589"/>
      <c r="N23" s="589"/>
      <c r="O23" s="640">
        <f>'11.14.22'!E20+'11.14.22'!E30</f>
        <v>4265.5</v>
      </c>
      <c r="P23" s="640"/>
      <c r="Q23" s="640"/>
      <c r="R23" s="640"/>
      <c r="S23" s="640"/>
      <c r="T23" s="640"/>
      <c r="U23" s="640"/>
      <c r="V23" s="702">
        <f>'11.21.22'!E19</f>
        <v>3154</v>
      </c>
      <c r="W23" s="702"/>
      <c r="X23" s="1134"/>
      <c r="Y23" s="1134"/>
      <c r="Z23" s="1134"/>
      <c r="AA23" s="1134"/>
      <c r="AB23" s="702"/>
      <c r="AC23" s="252">
        <f>'11.28.22'!E17</f>
        <v>3068.5</v>
      </c>
      <c r="AD23" s="252"/>
      <c r="AE23" s="252"/>
      <c r="AF23" s="189">
        <f t="shared" si="0"/>
        <v>20472.5</v>
      </c>
      <c r="AG23" s="961">
        <f>100000-AF23</f>
        <v>79527.5</v>
      </c>
      <c r="AH23" s="194" t="str">
        <f t="shared" si="1"/>
        <v>Habibi Shack</v>
      </c>
      <c r="AJ23" s="234">
        <f t="shared" si="3"/>
        <v>20472.5</v>
      </c>
      <c r="AN23" s="234">
        <v>38069</v>
      </c>
      <c r="AO23" s="234"/>
      <c r="AP23" s="979">
        <v>17</v>
      </c>
      <c r="AQ23" s="981">
        <f t="shared" si="2"/>
        <v>11411.589743589744</v>
      </c>
      <c r="AR23" s="977">
        <v>111263</v>
      </c>
      <c r="AS23" s="978" t="s">
        <v>66</v>
      </c>
    </row>
    <row r="24" spans="1:45" ht="10.15" customHeight="1">
      <c r="A24" s="195" t="s">
        <v>328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1131"/>
      <c r="Y24" s="1131"/>
      <c r="Z24" s="1131"/>
      <c r="AA24" s="1131"/>
      <c r="AB24" s="252"/>
      <c r="AC24" s="252"/>
      <c r="AD24" s="252"/>
      <c r="AE24" s="252"/>
      <c r="AF24" s="189">
        <f t="shared" si="0"/>
        <v>0</v>
      </c>
      <c r="AG24" s="189">
        <v>99000</v>
      </c>
      <c r="AH24" s="194" t="str">
        <f t="shared" si="1"/>
        <v>Heritage LA</v>
      </c>
      <c r="AJ24" s="234">
        <f t="shared" si="3"/>
        <v>0</v>
      </c>
      <c r="AN24" s="234"/>
      <c r="AO24" s="234"/>
      <c r="AP24" s="979"/>
      <c r="AQ24" s="981"/>
      <c r="AR24" s="977"/>
      <c r="AS24" s="978"/>
    </row>
    <row r="25" spans="1:45" ht="10.15" customHeight="1">
      <c r="A25" s="195" t="s">
        <v>53</v>
      </c>
      <c r="B25" s="252"/>
      <c r="C25" s="252"/>
      <c r="D25" s="252"/>
      <c r="E25" s="252"/>
      <c r="F25" s="252"/>
      <c r="G25" s="252"/>
      <c r="H25" s="252"/>
      <c r="I25" s="252"/>
      <c r="J25" s="252"/>
      <c r="K25" s="252"/>
      <c r="L25" s="252"/>
      <c r="M25" s="252"/>
      <c r="N25" s="252"/>
      <c r="O25" s="640"/>
      <c r="P25" s="640"/>
      <c r="Q25" s="640"/>
      <c r="R25" s="640">
        <f>'11.17.22'!E20</f>
        <v>2802.5</v>
      </c>
      <c r="S25" s="640">
        <f>'11.18.22'!E9</f>
        <v>3192</v>
      </c>
      <c r="T25" s="640"/>
      <c r="U25" s="640"/>
      <c r="V25" s="702"/>
      <c r="W25" s="702">
        <f>'11.22.22'!E20</f>
        <v>2185</v>
      </c>
      <c r="X25" s="1134"/>
      <c r="Y25" s="1134"/>
      <c r="Z25" s="1134"/>
      <c r="AA25" s="1134"/>
      <c r="AB25" s="702"/>
      <c r="AC25" s="252"/>
      <c r="AD25" s="252"/>
      <c r="AE25" s="252"/>
      <c r="AF25" s="189">
        <f t="shared" si="0"/>
        <v>8179.5</v>
      </c>
      <c r="AG25" s="358">
        <f>350000-AF25+700000</f>
        <v>1041820.5</v>
      </c>
      <c r="AH25" s="194" t="str">
        <f t="shared" si="1"/>
        <v>Kogi</v>
      </c>
      <c r="AJ25" s="234">
        <f t="shared" si="3"/>
        <v>8179.5</v>
      </c>
      <c r="AN25" s="234">
        <v>500</v>
      </c>
      <c r="AO25" s="234"/>
      <c r="AP25" s="979">
        <v>18</v>
      </c>
      <c r="AQ25" s="981">
        <f t="shared" si="2"/>
        <v>10614.871794871795</v>
      </c>
      <c r="AR25" s="977">
        <v>103495</v>
      </c>
      <c r="AS25" s="978" t="s">
        <v>49</v>
      </c>
    </row>
    <row r="26" spans="1:45" ht="10.15" customHeight="1">
      <c r="A26" s="515" t="s">
        <v>267</v>
      </c>
      <c r="B26" s="738"/>
      <c r="C26" s="738">
        <f>'11.02.22'!E10</f>
        <v>4047</v>
      </c>
      <c r="D26" s="738"/>
      <c r="E26" s="738">
        <f>'11.04.22'!E29</f>
        <v>1900</v>
      </c>
      <c r="F26" s="738"/>
      <c r="G26" s="738">
        <f>'11.06.22'!E17</f>
        <v>3847.5</v>
      </c>
      <c r="H26" s="589"/>
      <c r="I26" s="589"/>
      <c r="J26" s="589"/>
      <c r="K26" s="589">
        <f>'11.10.22'!E8</f>
        <v>3876</v>
      </c>
      <c r="L26" s="589"/>
      <c r="M26" s="589"/>
      <c r="N26" s="589"/>
      <c r="O26" s="640"/>
      <c r="P26" s="640">
        <f>'11.15.22'!E10</f>
        <v>4579</v>
      </c>
      <c r="Q26" s="640"/>
      <c r="R26" s="640"/>
      <c r="S26" s="640"/>
      <c r="T26" s="640">
        <f>'11.19.22'!E28</f>
        <v>3448.5</v>
      </c>
      <c r="U26" s="640">
        <f>'11.20.22'!E29</f>
        <v>3125.5</v>
      </c>
      <c r="V26" s="252"/>
      <c r="W26" s="252"/>
      <c r="X26" s="1131"/>
      <c r="Y26" s="1131"/>
      <c r="Z26" s="1131"/>
      <c r="AA26" s="1131"/>
      <c r="AB26" s="252"/>
      <c r="AC26" s="252"/>
      <c r="AD26" s="252">
        <f>'11.29.22'!E29</f>
        <v>3610</v>
      </c>
      <c r="AE26" s="252">
        <f>'11.30.22'!E19</f>
        <v>4617</v>
      </c>
      <c r="AF26" s="189">
        <f t="shared" si="0"/>
        <v>33050.5</v>
      </c>
      <c r="AG26" s="961">
        <f>100000-AF26</f>
        <v>66949.5</v>
      </c>
      <c r="AH26" s="988" t="str">
        <f t="shared" si="1"/>
        <v>Love Greek Cuisine/Kalamaki Greek LA</v>
      </c>
      <c r="AJ26" s="234">
        <f t="shared" si="3"/>
        <v>33050.5</v>
      </c>
      <c r="AN26" s="234">
        <v>362210.5</v>
      </c>
      <c r="AO26" s="234"/>
      <c r="AP26" s="979">
        <v>19</v>
      </c>
      <c r="AQ26" s="981">
        <f t="shared" si="2"/>
        <v>9866.6666666666661</v>
      </c>
      <c r="AR26" s="977">
        <v>96200</v>
      </c>
      <c r="AS26" s="978" t="s">
        <v>76</v>
      </c>
    </row>
    <row r="27" spans="1:45" ht="10.15" customHeight="1">
      <c r="A27" s="195" t="s">
        <v>234</v>
      </c>
      <c r="B27" s="252"/>
      <c r="C27" s="252"/>
      <c r="D27" s="252"/>
      <c r="E27" s="252"/>
      <c r="F27" s="252"/>
      <c r="G27" s="252"/>
      <c r="H27" s="252"/>
      <c r="I27" s="252"/>
      <c r="J27" s="252"/>
      <c r="K27" s="252"/>
      <c r="L27" s="252"/>
      <c r="M27" s="252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1131"/>
      <c r="Y27" s="1131"/>
      <c r="Z27" s="1131"/>
      <c r="AA27" s="1131"/>
      <c r="AB27" s="252"/>
      <c r="AC27" s="252"/>
      <c r="AD27" s="252"/>
      <c r="AE27" s="252"/>
      <c r="AF27" s="189">
        <f t="shared" si="0"/>
        <v>0</v>
      </c>
      <c r="AG27" s="961">
        <f>100000-AF27</f>
        <v>100000</v>
      </c>
      <c r="AH27" s="194" t="str">
        <f t="shared" si="1"/>
        <v>Manna From Heaven</v>
      </c>
      <c r="AJ27" s="234">
        <f t="shared" si="3"/>
        <v>0</v>
      </c>
      <c r="AN27" s="234">
        <v>8000</v>
      </c>
      <c r="AO27" s="234"/>
      <c r="AP27" s="979">
        <v>20</v>
      </c>
      <c r="AQ27" s="981">
        <f t="shared" si="2"/>
        <v>7791.7948717948721</v>
      </c>
      <c r="AR27" s="977">
        <v>75970</v>
      </c>
      <c r="AS27" s="978" t="s">
        <v>172</v>
      </c>
    </row>
    <row r="28" spans="1:45" ht="9.6" customHeight="1">
      <c r="A28" s="195" t="s">
        <v>265</v>
      </c>
      <c r="B28" s="252"/>
      <c r="C28" s="252"/>
      <c r="D28" s="252"/>
      <c r="E28" s="252"/>
      <c r="F28" s="252"/>
      <c r="G28" s="252"/>
      <c r="H28" s="252"/>
      <c r="I28" s="252"/>
      <c r="J28" s="252"/>
      <c r="K28" s="252"/>
      <c r="L28" s="252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1131"/>
      <c r="Y28" s="1131"/>
      <c r="Z28" s="1131"/>
      <c r="AA28" s="1131"/>
      <c r="AB28" s="252"/>
      <c r="AC28" s="252"/>
      <c r="AD28" s="252"/>
      <c r="AE28" s="252"/>
      <c r="AF28" s="189">
        <f t="shared" si="0"/>
        <v>0</v>
      </c>
      <c r="AG28" s="961">
        <f>100000-AF28</f>
        <v>100000</v>
      </c>
      <c r="AH28" s="194" t="str">
        <f t="shared" si="1"/>
        <v>Messi Burgers</v>
      </c>
      <c r="AJ28" s="234">
        <f t="shared" si="3"/>
        <v>0</v>
      </c>
      <c r="AN28" s="234">
        <v>27987</v>
      </c>
      <c r="AO28" s="234"/>
      <c r="AP28" s="979">
        <v>21</v>
      </c>
      <c r="AQ28" s="981">
        <f t="shared" si="2"/>
        <v>7320.7179487179483</v>
      </c>
      <c r="AR28" s="977">
        <v>71377</v>
      </c>
      <c r="AS28" s="978" t="s">
        <v>144</v>
      </c>
    </row>
    <row r="29" spans="1:45" ht="9.6" customHeight="1">
      <c r="A29" s="195" t="s">
        <v>69</v>
      </c>
      <c r="B29" s="252"/>
      <c r="C29" s="252"/>
      <c r="D29" s="252"/>
      <c r="E29" s="252"/>
      <c r="F29" s="252"/>
      <c r="G29" s="252"/>
      <c r="H29" s="252"/>
      <c r="I29" s="252"/>
      <c r="J29" s="252"/>
      <c r="K29" s="252"/>
      <c r="L29" s="252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1131"/>
      <c r="Y29" s="1131"/>
      <c r="Z29" s="1131"/>
      <c r="AA29" s="1131"/>
      <c r="AB29" s="252"/>
      <c r="AC29" s="252"/>
      <c r="AD29" s="252"/>
      <c r="AE29" s="252"/>
      <c r="AF29" s="189">
        <f t="shared" si="0"/>
        <v>0</v>
      </c>
      <c r="AG29" s="961">
        <f>100000-AF29</f>
        <v>100000</v>
      </c>
      <c r="AH29" s="194" t="str">
        <f t="shared" si="1"/>
        <v>Mikhuna</v>
      </c>
      <c r="AJ29" s="234">
        <f t="shared" si="3"/>
        <v>0</v>
      </c>
      <c r="AN29" s="234">
        <v>34678.5</v>
      </c>
      <c r="AO29" s="234"/>
      <c r="AP29" s="979">
        <v>22</v>
      </c>
      <c r="AQ29" s="981">
        <f t="shared" si="2"/>
        <v>7244.5128205128203</v>
      </c>
      <c r="AR29" s="977">
        <v>70634</v>
      </c>
      <c r="AS29" s="978" t="s">
        <v>243</v>
      </c>
    </row>
    <row r="30" spans="1:45" ht="9.6" customHeight="1">
      <c r="A30" s="195" t="s">
        <v>76</v>
      </c>
      <c r="B30" s="252"/>
      <c r="C30" s="252"/>
      <c r="D30" s="252"/>
      <c r="E30" s="252"/>
      <c r="F30" s="252"/>
      <c r="G30" s="252"/>
      <c r="H30" s="252"/>
      <c r="I30" s="252"/>
      <c r="J30" s="252"/>
      <c r="K30" s="252"/>
      <c r="L30" s="252"/>
      <c r="M30" s="252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1131"/>
      <c r="Y30" s="1131"/>
      <c r="Z30" s="1131"/>
      <c r="AA30" s="1131"/>
      <c r="AB30" s="252"/>
      <c r="AC30" s="252"/>
      <c r="AD30" s="252"/>
      <c r="AE30" s="252"/>
      <c r="AF30" s="189">
        <f t="shared" si="0"/>
        <v>0</v>
      </c>
      <c r="AG30" s="961">
        <f>449000-AF30+350000</f>
        <v>799000</v>
      </c>
      <c r="AH30" s="194" t="str">
        <f t="shared" si="1"/>
        <v>ML Eats Burger</v>
      </c>
      <c r="AJ30" s="234">
        <f t="shared" si="3"/>
        <v>0</v>
      </c>
      <c r="AN30" s="234">
        <v>2774</v>
      </c>
      <c r="AO30" s="234"/>
      <c r="AP30" s="979">
        <v>23</v>
      </c>
      <c r="AQ30" s="981">
        <f t="shared" si="2"/>
        <v>6958.2051282051279</v>
      </c>
      <c r="AR30" s="977">
        <v>67842.5</v>
      </c>
      <c r="AS30" s="978" t="s">
        <v>62</v>
      </c>
    </row>
    <row r="31" spans="1:45" ht="9.6" customHeight="1">
      <c r="A31" s="195" t="s">
        <v>335</v>
      </c>
      <c r="B31" s="252"/>
      <c r="C31" s="252"/>
      <c r="D31" s="252"/>
      <c r="E31" s="252"/>
      <c r="F31" s="252"/>
      <c r="G31" s="252"/>
      <c r="H31" s="252"/>
      <c r="I31" s="252"/>
      <c r="J31" s="252"/>
      <c r="K31" s="252"/>
      <c r="L31" s="252"/>
      <c r="M31" s="252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1131"/>
      <c r="Y31" s="1131"/>
      <c r="Z31" s="1131"/>
      <c r="AA31" s="1131"/>
      <c r="AB31" s="252"/>
      <c r="AC31" s="252"/>
      <c r="AD31" s="252"/>
      <c r="AE31" s="252"/>
      <c r="AF31" s="189">
        <f t="shared" si="0"/>
        <v>0</v>
      </c>
      <c r="AG31" s="189">
        <v>99000</v>
      </c>
      <c r="AH31" s="194" t="str">
        <f t="shared" si="1"/>
        <v>Mumu's</v>
      </c>
      <c r="AJ31" s="234">
        <f t="shared" si="3"/>
        <v>0</v>
      </c>
      <c r="AN31" s="234"/>
      <c r="AO31" s="234"/>
      <c r="AP31" s="979"/>
      <c r="AQ31" s="981"/>
      <c r="AR31" s="977"/>
      <c r="AS31" s="978"/>
    </row>
    <row r="32" spans="1:45" ht="10.15" customHeight="1">
      <c r="A32" s="195" t="s">
        <v>186</v>
      </c>
      <c r="B32" s="252"/>
      <c r="C32" s="252"/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1131"/>
      <c r="Y32" s="1131"/>
      <c r="Z32" s="1131"/>
      <c r="AA32" s="1131"/>
      <c r="AB32" s="252"/>
      <c r="AC32" s="252"/>
      <c r="AD32" s="252"/>
      <c r="AE32" s="252"/>
      <c r="AF32" s="189">
        <f t="shared" si="0"/>
        <v>0</v>
      </c>
      <c r="AG32" s="961">
        <f>100000-AF32</f>
        <v>100000</v>
      </c>
      <c r="AH32" s="194" t="str">
        <f t="shared" si="1"/>
        <v>Ohana Hibachi</v>
      </c>
      <c r="AJ32" s="234">
        <f t="shared" si="3"/>
        <v>0</v>
      </c>
      <c r="AN32" s="234">
        <v>29265</v>
      </c>
      <c r="AO32" s="234"/>
      <c r="AP32" s="979">
        <v>24</v>
      </c>
      <c r="AQ32" s="981">
        <f t="shared" si="2"/>
        <v>6624.2564102564102</v>
      </c>
      <c r="AR32" s="977">
        <v>64586.5</v>
      </c>
      <c r="AS32" s="978" t="s">
        <v>244</v>
      </c>
    </row>
    <row r="33" spans="1:45" ht="10.15" customHeight="1">
      <c r="A33" s="195" t="s">
        <v>44</v>
      </c>
      <c r="B33" s="738"/>
      <c r="C33" s="738"/>
      <c r="D33" s="738"/>
      <c r="E33" s="738"/>
      <c r="F33" s="738">
        <f>'11.05.22'!E27</f>
        <v>1985.5</v>
      </c>
      <c r="G33" s="738"/>
      <c r="H33" s="589">
        <f>'11.07.22'!E30</f>
        <v>2261</v>
      </c>
      <c r="I33" s="589">
        <f>'11.08.22'!E29</f>
        <v>1881</v>
      </c>
      <c r="J33" s="589"/>
      <c r="K33" s="589">
        <f>'11.10.22'!E17</f>
        <v>2821.5</v>
      </c>
      <c r="L33" s="589"/>
      <c r="M33" s="589"/>
      <c r="N33" s="589"/>
      <c r="O33" s="640"/>
      <c r="P33" s="640"/>
      <c r="Q33" s="640"/>
      <c r="R33" s="640"/>
      <c r="S33" s="640"/>
      <c r="T33" s="640">
        <f>'11.19.22'!E29</f>
        <v>2546</v>
      </c>
      <c r="U33" s="640">
        <f>'11.20.22'!E30</f>
        <v>2080.5</v>
      </c>
      <c r="V33" s="252"/>
      <c r="W33" s="252"/>
      <c r="X33" s="1131"/>
      <c r="Y33" s="1131"/>
      <c r="Z33" s="1131"/>
      <c r="AA33" s="1131"/>
      <c r="AB33" s="252"/>
      <c r="AC33" s="252"/>
      <c r="AD33" s="252"/>
      <c r="AE33" s="252"/>
      <c r="AF33" s="189">
        <f t="shared" si="0"/>
        <v>13575.5</v>
      </c>
      <c r="AG33" s="961">
        <f>100000-AF33</f>
        <v>86424.5</v>
      </c>
      <c r="AH33" s="194" t="str">
        <f t="shared" si="1"/>
        <v>Original Herbivore</v>
      </c>
      <c r="AJ33" s="234">
        <f t="shared" si="3"/>
        <v>13575.5</v>
      </c>
      <c r="AN33" s="234">
        <v>96200</v>
      </c>
      <c r="AO33" s="234"/>
      <c r="AP33" s="979">
        <v>25</v>
      </c>
      <c r="AQ33" s="981">
        <f t="shared" si="2"/>
        <v>5663.8974358974356</v>
      </c>
      <c r="AR33" s="977">
        <v>55223</v>
      </c>
      <c r="AS33" s="978" t="s">
        <v>78</v>
      </c>
    </row>
    <row r="34" spans="1:45" ht="10.15" customHeight="1">
      <c r="A34" s="195" t="s">
        <v>143</v>
      </c>
      <c r="B34" s="738"/>
      <c r="C34" s="738"/>
      <c r="D34" s="738">
        <f>'11.03.22'!E17</f>
        <v>4265.5</v>
      </c>
      <c r="E34" s="738"/>
      <c r="F34" s="738">
        <f>'11.05.22'!E19</f>
        <v>4579</v>
      </c>
      <c r="G34" s="738"/>
      <c r="H34" s="589"/>
      <c r="I34" s="589">
        <f>'11.08.22'!E31</f>
        <v>2555.5</v>
      </c>
      <c r="J34" s="589">
        <f>'11.09.22'!E17+'11.09.22'!E28</f>
        <v>6393.5</v>
      </c>
      <c r="K34" s="589"/>
      <c r="L34" s="589"/>
      <c r="M34" s="589"/>
      <c r="N34" s="589"/>
      <c r="O34" s="640">
        <f>'11.14.22'!E29</f>
        <v>2859.5</v>
      </c>
      <c r="P34" s="640"/>
      <c r="Q34" s="640"/>
      <c r="R34" s="640"/>
      <c r="S34" s="640"/>
      <c r="T34" s="640">
        <f>'11.19.22'!E20+'11.19.22'!E30</f>
        <v>7277</v>
      </c>
      <c r="U34" s="640"/>
      <c r="V34" s="702">
        <f>'11.21.22'!E29</f>
        <v>3486.5</v>
      </c>
      <c r="W34" s="702"/>
      <c r="X34" s="1134"/>
      <c r="Y34" s="1134"/>
      <c r="Z34" s="1134"/>
      <c r="AA34" s="1134"/>
      <c r="AB34" s="702"/>
      <c r="AC34" s="252"/>
      <c r="AD34" s="252"/>
      <c r="AE34" s="252"/>
      <c r="AF34" s="189">
        <f t="shared" si="0"/>
        <v>31416.5</v>
      </c>
      <c r="AG34" s="961">
        <f>100000-AF34+350000+350000</f>
        <v>768583.5</v>
      </c>
      <c r="AH34" s="194" t="str">
        <f t="shared" si="1"/>
        <v>Pacifico Charbroiled</v>
      </c>
      <c r="AJ34" s="234">
        <f t="shared" si="3"/>
        <v>31416.5</v>
      </c>
      <c r="AN34" s="234">
        <v>23730</v>
      </c>
      <c r="AO34" s="234"/>
      <c r="AP34" s="979">
        <v>26</v>
      </c>
      <c r="AQ34" s="981">
        <f t="shared" si="2"/>
        <v>5338.0512820512822</v>
      </c>
      <c r="AR34" s="977">
        <v>52046</v>
      </c>
      <c r="AS34" s="978" t="s">
        <v>83</v>
      </c>
    </row>
    <row r="35" spans="1:45" ht="10.15" customHeight="1">
      <c r="A35" s="515" t="s">
        <v>242</v>
      </c>
      <c r="B35" s="738">
        <f>'11.01.22'!E27</f>
        <v>4028</v>
      </c>
      <c r="C35" s="738"/>
      <c r="D35" s="738"/>
      <c r="E35" s="738"/>
      <c r="F35" s="738"/>
      <c r="G35" s="738"/>
      <c r="H35" s="589">
        <f>'11.07.22'!E27</f>
        <v>4085</v>
      </c>
      <c r="I35" s="589"/>
      <c r="J35" s="589"/>
      <c r="K35" s="589">
        <f>'11.10.22'!E27</f>
        <v>3942.5</v>
      </c>
      <c r="L35" s="589"/>
      <c r="M35" s="589"/>
      <c r="N35" s="589"/>
      <c r="O35" s="640">
        <f>'11.14.22'!E28</f>
        <v>3999.5</v>
      </c>
      <c r="P35" s="640"/>
      <c r="Q35" s="640">
        <f>'11.16.22'!E28</f>
        <v>4750</v>
      </c>
      <c r="R35" s="640">
        <f>'11.17.22'!E28</f>
        <v>4655</v>
      </c>
      <c r="S35" s="640"/>
      <c r="T35" s="640"/>
      <c r="U35" s="640"/>
      <c r="V35" s="702"/>
      <c r="W35" s="702">
        <f>'11.22.22'!E28</f>
        <v>3876</v>
      </c>
      <c r="X35" s="1134"/>
      <c r="Y35" s="1134"/>
      <c r="Z35" s="1134"/>
      <c r="AA35" s="1134"/>
      <c r="AB35" s="702"/>
      <c r="AC35" s="252">
        <f>'11.28.22'!E28</f>
        <v>4569.5</v>
      </c>
      <c r="AD35" s="252">
        <f>'11.29.22'!E28</f>
        <v>5035</v>
      </c>
      <c r="AE35" s="252"/>
      <c r="AF35" s="189">
        <f t="shared" ref="AF35:AF60" si="4">SUM(B35:AE35)</f>
        <v>38940.5</v>
      </c>
      <c r="AG35" s="961">
        <f>100000-AF35+350000+350000</f>
        <v>761059.5</v>
      </c>
      <c r="AH35" s="988" t="str">
        <f t="shared" ref="AH35:AH57" si="5">A35</f>
        <v>Paradise Cookies &amp; Ice Cream</v>
      </c>
      <c r="AJ35" s="234">
        <f t="shared" si="3"/>
        <v>38940.5</v>
      </c>
      <c r="AN35" s="234">
        <v>122348</v>
      </c>
      <c r="AO35" s="234"/>
      <c r="AP35" s="979">
        <v>27</v>
      </c>
      <c r="AQ35" s="981">
        <f t="shared" si="2"/>
        <v>5326.8205128205127</v>
      </c>
      <c r="AR35" s="977">
        <v>51936.5</v>
      </c>
      <c r="AS35" s="978" t="s">
        <v>188</v>
      </c>
    </row>
    <row r="36" spans="1:45" ht="10.15" customHeight="1">
      <c r="A36" s="195" t="s">
        <v>246</v>
      </c>
      <c r="B36" s="738"/>
      <c r="C36" s="738"/>
      <c r="D36" s="738"/>
      <c r="E36" s="738">
        <f>'11.04.22'!E30</f>
        <v>1938</v>
      </c>
      <c r="F36" s="738">
        <f>'11.05.22'!E29</f>
        <v>2622</v>
      </c>
      <c r="G36" s="738">
        <f>'11.06.22'!E27</f>
        <v>1947.5</v>
      </c>
      <c r="H36" s="589">
        <f>'11.07.22'!E19+'11.07.22'!E29</f>
        <v>7153.5</v>
      </c>
      <c r="I36" s="589"/>
      <c r="J36" s="589"/>
      <c r="K36" s="589"/>
      <c r="L36" s="589">
        <f>'11.11.22'!E29</f>
        <v>2736</v>
      </c>
      <c r="M36" s="589"/>
      <c r="N36" s="589">
        <f>'11.13.22'!E19</f>
        <v>4702.5</v>
      </c>
      <c r="O36" s="640">
        <f>'11.14.22'!E7</f>
        <v>4417.5</v>
      </c>
      <c r="P36" s="640"/>
      <c r="Q36" s="640"/>
      <c r="R36" s="640"/>
      <c r="S36" s="640"/>
      <c r="T36" s="640">
        <f>'11.19.22'!E17+'11.19.22'!E27</f>
        <v>6365</v>
      </c>
      <c r="U36" s="640">
        <f>'11.20.22'!E17</f>
        <v>5158.5</v>
      </c>
      <c r="V36" s="702"/>
      <c r="W36" s="702"/>
      <c r="X36" s="1134"/>
      <c r="Y36" s="1134"/>
      <c r="Z36" s="1134"/>
      <c r="AA36" s="1134"/>
      <c r="AB36" s="702">
        <f>'11.27.22'!E17</f>
        <v>921.5</v>
      </c>
      <c r="AC36" s="252"/>
      <c r="AD36" s="252"/>
      <c r="AE36" s="252"/>
      <c r="AF36" s="189">
        <f t="shared" si="4"/>
        <v>37962</v>
      </c>
      <c r="AG36" s="961">
        <f>100000-AF36+350000</f>
        <v>412038</v>
      </c>
      <c r="AH36" s="194" t="str">
        <f t="shared" si="5"/>
        <v>Perro 1-10 Tacos</v>
      </c>
      <c r="AJ36" s="234">
        <f t="shared" si="3"/>
        <v>37962</v>
      </c>
      <c r="AN36" s="234">
        <v>197247.5</v>
      </c>
      <c r="AO36" s="234"/>
      <c r="AP36" s="979">
        <v>28</v>
      </c>
      <c r="AQ36" s="981">
        <f t="shared" si="2"/>
        <v>5196.6153846153848</v>
      </c>
      <c r="AR36" s="977">
        <v>50667</v>
      </c>
      <c r="AS36" s="978" t="s">
        <v>159</v>
      </c>
    </row>
    <row r="37" spans="1:45" ht="10.15" customHeight="1">
      <c r="A37" s="195" t="s">
        <v>66</v>
      </c>
      <c r="B37" s="738">
        <f>'11.01.22'!E7</f>
        <v>4018.5</v>
      </c>
      <c r="C37" s="738"/>
      <c r="D37" s="738"/>
      <c r="E37" s="738"/>
      <c r="F37" s="738"/>
      <c r="G37" s="738"/>
      <c r="H37" s="589">
        <f>'11.07.22'!E17</f>
        <v>4436.5</v>
      </c>
      <c r="I37" s="589"/>
      <c r="J37" s="589">
        <f>'11.09.22'!E29</f>
        <v>2850</v>
      </c>
      <c r="K37" s="589"/>
      <c r="L37" s="589"/>
      <c r="M37" s="589">
        <f>'11.12.22'!E8</f>
        <v>3952</v>
      </c>
      <c r="N37" s="589"/>
      <c r="O37" s="640">
        <f>'11.14.22'!E17</f>
        <v>3876</v>
      </c>
      <c r="P37" s="640">
        <f>'11.15.22'!E18</f>
        <v>3866.5</v>
      </c>
      <c r="Q37" s="640"/>
      <c r="R37" s="640"/>
      <c r="S37" s="640"/>
      <c r="T37" s="640"/>
      <c r="U37" s="640"/>
      <c r="V37" s="252"/>
      <c r="W37" s="252"/>
      <c r="X37" s="1131"/>
      <c r="Y37" s="1131"/>
      <c r="Z37" s="1131"/>
      <c r="AA37" s="1131"/>
      <c r="AB37" s="252"/>
      <c r="AC37" s="252">
        <f>'11.28.22'!E10</f>
        <v>4161</v>
      </c>
      <c r="AD37" s="252">
        <f>'11.29.22'!E8</f>
        <v>3885.5</v>
      </c>
      <c r="AE37" s="252">
        <f>'11.30.22'!E29</f>
        <v>2802.5</v>
      </c>
      <c r="AF37" s="189">
        <f t="shared" si="4"/>
        <v>33848.5</v>
      </c>
      <c r="AG37" s="961">
        <f>100000-AF37+350000</f>
        <v>416151.5</v>
      </c>
      <c r="AH37" s="194" t="str">
        <f t="shared" si="5"/>
        <v>PhillyJay's Steaks</v>
      </c>
      <c r="AJ37" s="234">
        <f t="shared" si="3"/>
        <v>33848.5</v>
      </c>
      <c r="AN37" s="234">
        <v>192935</v>
      </c>
      <c r="AO37" s="234"/>
      <c r="AP37" s="979">
        <v>29</v>
      </c>
      <c r="AQ37" s="981">
        <f t="shared" si="2"/>
        <v>4492.7692307692305</v>
      </c>
      <c r="AR37" s="977">
        <v>43804.5</v>
      </c>
      <c r="AS37" s="978" t="s">
        <v>258</v>
      </c>
    </row>
    <row r="38" spans="1:45" ht="10.15" customHeight="1">
      <c r="A38" s="196" t="s">
        <v>65</v>
      </c>
      <c r="B38" s="738"/>
      <c r="C38" s="738">
        <f>'11.02.22'!E19+'11.02.22'!E29</f>
        <v>5652.5</v>
      </c>
      <c r="D38" s="738">
        <f>'11.03.22'!E29</f>
        <v>2213.5</v>
      </c>
      <c r="E38" s="738"/>
      <c r="F38" s="738"/>
      <c r="G38" s="738"/>
      <c r="H38" s="589">
        <f>'11.07.22'!E7</f>
        <v>4322.5</v>
      </c>
      <c r="I38" s="589">
        <f>'11.08.22'!E28</f>
        <v>2945</v>
      </c>
      <c r="J38" s="589">
        <f>'11.09.22'!E7+'11.09.22'!E18</f>
        <v>8835</v>
      </c>
      <c r="K38" s="589">
        <f>'11.10.22'!E28</f>
        <v>2318</v>
      </c>
      <c r="L38" s="589"/>
      <c r="M38" s="589"/>
      <c r="N38" s="589"/>
      <c r="O38" s="640"/>
      <c r="P38" s="640">
        <f>'11.15.22'!E8</f>
        <v>4940</v>
      </c>
      <c r="Q38" s="640">
        <f>'11.16.22'!E8</f>
        <v>4921</v>
      </c>
      <c r="R38" s="640">
        <f>'11.17.22'!E19+'11.17.22'!E30</f>
        <v>5310.5</v>
      </c>
      <c r="S38" s="640"/>
      <c r="T38" s="640"/>
      <c r="U38" s="640"/>
      <c r="V38" s="702">
        <f>'11.21.22'!E20</f>
        <v>3144.5</v>
      </c>
      <c r="W38" s="702"/>
      <c r="X38" s="1134"/>
      <c r="Y38" s="1134"/>
      <c r="Z38" s="1134"/>
      <c r="AA38" s="1134"/>
      <c r="AB38" s="702"/>
      <c r="AC38" s="252"/>
      <c r="AD38" s="252"/>
      <c r="AE38" s="252"/>
      <c r="AF38" s="189">
        <f t="shared" si="4"/>
        <v>44602.5</v>
      </c>
      <c r="AG38" s="961">
        <f>449000-AF38+350000</f>
        <v>754397.5</v>
      </c>
      <c r="AH38" s="194" t="str">
        <f t="shared" si="5"/>
        <v>Pinch of Flavor</v>
      </c>
      <c r="AJ38" s="234">
        <f t="shared" si="3"/>
        <v>44602.5</v>
      </c>
      <c r="AN38" s="234">
        <v>6760</v>
      </c>
      <c r="AO38" s="234"/>
      <c r="AP38" s="979">
        <v>30</v>
      </c>
      <c r="AQ38" s="981">
        <f t="shared" si="2"/>
        <v>4330.666666666667</v>
      </c>
      <c r="AR38" s="977">
        <v>42224</v>
      </c>
      <c r="AS38" s="978" t="s">
        <v>205</v>
      </c>
    </row>
    <row r="39" spans="1:45" ht="10.15" customHeight="1">
      <c r="A39" s="195" t="s">
        <v>82</v>
      </c>
      <c r="B39" s="738">
        <f>'11.01.22'!E31</f>
        <v>2318</v>
      </c>
      <c r="C39" s="738"/>
      <c r="D39" s="738"/>
      <c r="E39" s="738"/>
      <c r="F39" s="738"/>
      <c r="G39" s="738">
        <f>'11.06.22'!E18</f>
        <v>3277.5</v>
      </c>
      <c r="H39" s="589">
        <f>'11.07.22'!E8</f>
        <v>3448.5</v>
      </c>
      <c r="I39" s="589"/>
      <c r="J39" s="589"/>
      <c r="K39" s="589">
        <f>'11.10.22'!E19</f>
        <v>2850</v>
      </c>
      <c r="L39" s="589"/>
      <c r="M39" s="589"/>
      <c r="N39" s="589">
        <f>'11.13.22'!E17</f>
        <v>3505.5</v>
      </c>
      <c r="O39" s="640"/>
      <c r="P39" s="640"/>
      <c r="Q39" s="640">
        <f>'11.16.22'!E30</f>
        <v>2679</v>
      </c>
      <c r="R39" s="640"/>
      <c r="S39" s="640"/>
      <c r="T39" s="640">
        <f>'11.19.22'!E18</f>
        <v>2555.5</v>
      </c>
      <c r="U39" s="640"/>
      <c r="V39" s="702"/>
      <c r="W39" s="702">
        <f>'11.22.22'!E17</f>
        <v>3296.5</v>
      </c>
      <c r="X39" s="1134"/>
      <c r="Y39" s="1134"/>
      <c r="Z39" s="1134"/>
      <c r="AA39" s="1134"/>
      <c r="AB39" s="702"/>
      <c r="AC39" s="252"/>
      <c r="AD39" s="252"/>
      <c r="AE39" s="252">
        <f>'11.30.22'!E9</f>
        <v>4094.5</v>
      </c>
      <c r="AF39" s="189">
        <f t="shared" si="4"/>
        <v>28025</v>
      </c>
      <c r="AG39" s="961">
        <f>100000-AF39+350000</f>
        <v>421975</v>
      </c>
      <c r="AH39" s="194" t="str">
        <f t="shared" si="5"/>
        <v>Poutine Brothers</v>
      </c>
      <c r="AJ39" s="234">
        <f t="shared" si="3"/>
        <v>28025</v>
      </c>
      <c r="AN39" s="782">
        <v>127767.5</v>
      </c>
      <c r="AO39" s="234"/>
      <c r="AP39" s="979">
        <v>31</v>
      </c>
      <c r="AQ39" s="981">
        <f t="shared" si="2"/>
        <v>4291.8461538461543</v>
      </c>
      <c r="AR39" s="977">
        <v>41845.5</v>
      </c>
      <c r="AS39" s="978" t="s">
        <v>239</v>
      </c>
    </row>
    <row r="40" spans="1:45" ht="10.15" customHeight="1">
      <c r="A40" s="195" t="s">
        <v>329</v>
      </c>
      <c r="B40" s="738"/>
      <c r="C40" s="738"/>
      <c r="D40" s="738">
        <f>'11.03.22'!E20</f>
        <v>3420</v>
      </c>
      <c r="E40" s="738"/>
      <c r="F40" s="738">
        <f>'11.05.22'!E10</f>
        <v>6241.5</v>
      </c>
      <c r="G40" s="738">
        <f>'11.06.22'!E21</f>
        <v>3097</v>
      </c>
      <c r="H40" s="589">
        <f>'11.07.22'!E10+'11.07.22'!E20</f>
        <v>6488.5</v>
      </c>
      <c r="I40" s="589"/>
      <c r="J40" s="589"/>
      <c r="K40" s="589"/>
      <c r="L40" s="589"/>
      <c r="M40" s="589">
        <f>'11.12.22'!E7</f>
        <v>6393.5</v>
      </c>
      <c r="N40" s="589">
        <f>'11.13.22'!E8</f>
        <v>5063.5</v>
      </c>
      <c r="O40" s="640">
        <f>'11.14.22'!E8</f>
        <v>5491</v>
      </c>
      <c r="P40" s="640"/>
      <c r="Q40" s="640"/>
      <c r="R40" s="640"/>
      <c r="S40" s="640"/>
      <c r="T40" s="640"/>
      <c r="U40" s="640">
        <f>'11.20.22'!E10</f>
        <v>5358</v>
      </c>
      <c r="V40" s="252"/>
      <c r="W40" s="252"/>
      <c r="X40" s="1131"/>
      <c r="Y40" s="1131"/>
      <c r="Z40" s="1131"/>
      <c r="AA40" s="1131"/>
      <c r="AB40" s="252"/>
      <c r="AC40" s="252">
        <f>'11.28.22'!E8</f>
        <v>6887.5</v>
      </c>
      <c r="AD40" s="252"/>
      <c r="AE40" s="252"/>
      <c r="AF40" s="189">
        <f t="shared" si="4"/>
        <v>48440.5</v>
      </c>
      <c r="AG40" s="961">
        <f>100000-AF40</f>
        <v>51559.5</v>
      </c>
      <c r="AH40" s="194" t="str">
        <f t="shared" si="5"/>
        <v>Salpicon</v>
      </c>
      <c r="AJ40" s="234">
        <f t="shared" si="3"/>
        <v>48440.5</v>
      </c>
      <c r="AN40" s="782"/>
      <c r="AO40" s="234"/>
      <c r="AP40" s="979"/>
      <c r="AQ40" s="981"/>
      <c r="AR40" s="977"/>
      <c r="AS40" s="978"/>
    </row>
    <row r="41" spans="1:45" ht="10.15" customHeight="1">
      <c r="A41" s="195" t="s">
        <v>83</v>
      </c>
      <c r="B41" s="738"/>
      <c r="C41" s="738"/>
      <c r="D41" s="738"/>
      <c r="E41" s="738">
        <f>'11.04.22'!E27</f>
        <v>1691</v>
      </c>
      <c r="F41" s="738"/>
      <c r="G41" s="738">
        <f>'11.06.22'!E10</f>
        <v>2764.5</v>
      </c>
      <c r="H41" s="589"/>
      <c r="I41" s="589"/>
      <c r="J41" s="589">
        <f>'11.09.22'!E8</f>
        <v>2489</v>
      </c>
      <c r="K41" s="589"/>
      <c r="L41" s="589"/>
      <c r="M41" s="589"/>
      <c r="N41" s="589"/>
      <c r="O41" s="252"/>
      <c r="P41" s="252"/>
      <c r="Q41" s="252"/>
      <c r="R41" s="252"/>
      <c r="S41" s="252"/>
      <c r="T41" s="252"/>
      <c r="U41" s="252"/>
      <c r="V41" s="252"/>
      <c r="W41" s="252"/>
      <c r="X41" s="1131"/>
      <c r="Y41" s="1131"/>
      <c r="Z41" s="1131"/>
      <c r="AA41" s="1131"/>
      <c r="AB41" s="252"/>
      <c r="AC41" s="252"/>
      <c r="AD41" s="252">
        <f>'11.29.22'!E18</f>
        <v>3591</v>
      </c>
      <c r="AE41" s="252"/>
      <c r="AF41" s="189">
        <f t="shared" si="4"/>
        <v>10535.5</v>
      </c>
      <c r="AG41" s="961">
        <f>100000-AF41</f>
        <v>89464.5</v>
      </c>
      <c r="AH41" s="194" t="str">
        <f t="shared" si="5"/>
        <v>Salvage Tacos</v>
      </c>
      <c r="AJ41" s="234">
        <f t="shared" si="3"/>
        <v>10535.5</v>
      </c>
      <c r="AN41" s="782">
        <v>111263</v>
      </c>
      <c r="AO41" s="234"/>
      <c r="AP41" s="979">
        <v>32</v>
      </c>
      <c r="AQ41" s="981">
        <f t="shared" si="2"/>
        <v>3904.5128205128203</v>
      </c>
      <c r="AR41" s="977">
        <v>38069</v>
      </c>
      <c r="AS41" s="978" t="s">
        <v>238</v>
      </c>
    </row>
    <row r="42" spans="1:45" ht="10.15" customHeight="1">
      <c r="A42" s="195" t="s">
        <v>332</v>
      </c>
      <c r="B42" s="738"/>
      <c r="C42" s="738"/>
      <c r="D42" s="738">
        <f>'11.03.22'!E21</f>
        <v>5443.5</v>
      </c>
      <c r="E42" s="738">
        <f>'11.04.22'!E17</f>
        <v>4788</v>
      </c>
      <c r="F42" s="738"/>
      <c r="G42" s="738"/>
      <c r="H42" s="589">
        <f>'11.07.22'!E21</f>
        <v>4161</v>
      </c>
      <c r="I42" s="589"/>
      <c r="J42" s="589"/>
      <c r="K42" s="589"/>
      <c r="L42" s="589">
        <f>'11.11.22'!E8</f>
        <v>5681</v>
      </c>
      <c r="M42" s="589"/>
      <c r="N42" s="589"/>
      <c r="O42" s="640"/>
      <c r="P42" s="640">
        <f>'11.15.22'!E20</f>
        <v>5567</v>
      </c>
      <c r="Q42" s="640"/>
      <c r="R42" s="640"/>
      <c r="S42" s="640">
        <f>'11.18.22'!E8</f>
        <v>5529</v>
      </c>
      <c r="T42" s="640"/>
      <c r="U42" s="640"/>
      <c r="V42" s="702">
        <f>'11.21.22'!E9</f>
        <v>5804.5</v>
      </c>
      <c r="W42" s="702"/>
      <c r="X42" s="1134"/>
      <c r="Y42" s="1134"/>
      <c r="Z42" s="1134"/>
      <c r="AA42" s="1134"/>
      <c r="AB42" s="702"/>
      <c r="AC42" s="252"/>
      <c r="AD42" s="252">
        <f>'11.29.22'!E17</f>
        <v>6080</v>
      </c>
      <c r="AE42" s="252"/>
      <c r="AF42" s="189">
        <f t="shared" si="4"/>
        <v>43054</v>
      </c>
      <c r="AG42" s="961">
        <f>100000-AF42</f>
        <v>56946</v>
      </c>
      <c r="AH42" s="194" t="str">
        <f t="shared" si="5"/>
        <v>Smile Hot Dog</v>
      </c>
      <c r="AJ42" s="234">
        <f t="shared" si="3"/>
        <v>43054</v>
      </c>
      <c r="AN42" s="782"/>
      <c r="AO42" s="234"/>
      <c r="AP42" s="979"/>
      <c r="AQ42" s="981"/>
      <c r="AR42" s="977"/>
      <c r="AS42" s="978"/>
    </row>
    <row r="43" spans="1:45" ht="10.15" customHeight="1">
      <c r="A43" s="195" t="s">
        <v>159</v>
      </c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1131"/>
      <c r="Y43" s="1131"/>
      <c r="Z43" s="1131"/>
      <c r="AA43" s="1131"/>
      <c r="AB43" s="252"/>
      <c r="AC43" s="252"/>
      <c r="AD43" s="252"/>
      <c r="AE43" s="252"/>
      <c r="AF43" s="189">
        <f t="shared" si="4"/>
        <v>0</v>
      </c>
      <c r="AG43" s="961">
        <f>100000-AF43</f>
        <v>100000</v>
      </c>
      <c r="AH43" s="194" t="str">
        <f t="shared" si="5"/>
        <v>Something Good LA</v>
      </c>
      <c r="AJ43" s="234">
        <f t="shared" si="3"/>
        <v>0</v>
      </c>
      <c r="AN43" s="234">
        <v>341055.5</v>
      </c>
      <c r="AO43" s="234"/>
      <c r="AP43" s="979">
        <v>33</v>
      </c>
      <c r="AQ43" s="981">
        <f t="shared" si="2"/>
        <v>3708.8717948717949</v>
      </c>
      <c r="AR43" s="977">
        <v>36161.5</v>
      </c>
      <c r="AS43" s="978" t="s">
        <v>12</v>
      </c>
    </row>
    <row r="44" spans="1:45" ht="10.15" customHeight="1">
      <c r="A44" s="195" t="s">
        <v>145</v>
      </c>
      <c r="B44" s="738"/>
      <c r="C44" s="738"/>
      <c r="D44" s="738">
        <f>'11.03.22'!E8</f>
        <v>3648</v>
      </c>
      <c r="E44" s="738"/>
      <c r="F44" s="738">
        <f>'11.05.22'!E7</f>
        <v>3695.5</v>
      </c>
      <c r="G44" s="738">
        <f>'11.06.22'!E9</f>
        <v>4265.5</v>
      </c>
      <c r="H44" s="589"/>
      <c r="I44" s="589"/>
      <c r="J44" s="589"/>
      <c r="K44" s="589"/>
      <c r="L44" s="589">
        <f>'11.11.22'!E10</f>
        <v>4085</v>
      </c>
      <c r="M44" s="589">
        <f>'11.12.22'!E18</f>
        <v>3572</v>
      </c>
      <c r="N44" s="589"/>
      <c r="O44" s="640"/>
      <c r="P44" s="640"/>
      <c r="Q44" s="640">
        <f>'11.16.22'!E18</f>
        <v>4313</v>
      </c>
      <c r="R44" s="640">
        <f>'11.17.22'!E9</f>
        <v>4721.5</v>
      </c>
      <c r="S44" s="640"/>
      <c r="T44" s="640"/>
      <c r="U44" s="640">
        <f>'11.20.22'!E9</f>
        <v>5196.5</v>
      </c>
      <c r="V44" s="702"/>
      <c r="W44" s="702">
        <f>'11.22.22'!E8</f>
        <v>4028</v>
      </c>
      <c r="X44" s="1134"/>
      <c r="Y44" s="1134"/>
      <c r="Z44" s="1134"/>
      <c r="AA44" s="1134"/>
      <c r="AB44" s="702"/>
      <c r="AC44" s="252">
        <f>'11.28.22'!E7</f>
        <v>4721.5</v>
      </c>
      <c r="AD44" s="252"/>
      <c r="AE44" s="252">
        <f>'11.30.22'!E18</f>
        <v>5206</v>
      </c>
      <c r="AF44" s="189">
        <f t="shared" si="4"/>
        <v>47452.5</v>
      </c>
      <c r="AG44" s="961">
        <f>100000-AF44+449000</f>
        <v>501547.5</v>
      </c>
      <c r="AH44" s="194" t="str">
        <f t="shared" si="5"/>
        <v>Stop Bye Café</v>
      </c>
      <c r="AJ44" s="234">
        <f t="shared" si="3"/>
        <v>47452.5</v>
      </c>
      <c r="AN44" s="234">
        <v>162662.5</v>
      </c>
      <c r="AO44" s="234"/>
      <c r="AP44" s="979">
        <v>34</v>
      </c>
      <c r="AQ44" s="981">
        <f t="shared" si="2"/>
        <v>3556.7692307692309</v>
      </c>
      <c r="AR44" s="977">
        <v>34678.5</v>
      </c>
      <c r="AS44" s="978" t="s">
        <v>234</v>
      </c>
    </row>
    <row r="45" spans="1:45" ht="10.15" customHeight="1">
      <c r="A45" s="195" t="s">
        <v>84</v>
      </c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1131"/>
      <c r="Y45" s="1131"/>
      <c r="Z45" s="1131"/>
      <c r="AA45" s="1131"/>
      <c r="AB45" s="252"/>
      <c r="AC45" s="252"/>
      <c r="AD45" s="252"/>
      <c r="AE45" s="252"/>
      <c r="AF45" s="189">
        <f t="shared" si="4"/>
        <v>0</v>
      </c>
      <c r="AG45" s="961">
        <f>100000-AF45+350000</f>
        <v>450000</v>
      </c>
      <c r="AH45" s="194" t="str">
        <f t="shared" si="5"/>
        <v>Stout Burgers</v>
      </c>
      <c r="AJ45" s="234">
        <f t="shared" si="3"/>
        <v>0</v>
      </c>
      <c r="AN45" s="234">
        <v>52046</v>
      </c>
      <c r="AO45" s="234"/>
      <c r="AP45" s="979">
        <v>35</v>
      </c>
      <c r="AQ45" s="981">
        <f t="shared" si="2"/>
        <v>3334.9230769230771</v>
      </c>
      <c r="AR45" s="977">
        <v>32515.5</v>
      </c>
      <c r="AS45" s="978" t="s">
        <v>245</v>
      </c>
    </row>
    <row r="46" spans="1:45" ht="10.15" customHeight="1">
      <c r="A46" s="195" t="s">
        <v>333</v>
      </c>
      <c r="B46" s="738"/>
      <c r="C46" s="738">
        <f>'11.02.22'!E30</f>
        <v>2394</v>
      </c>
      <c r="D46" s="738">
        <f>'11.03.22'!E31</f>
        <v>2470</v>
      </c>
      <c r="E46" s="738"/>
      <c r="F46" s="738"/>
      <c r="G46" s="738"/>
      <c r="H46" s="589"/>
      <c r="I46" s="589">
        <f>'11.08.22'!E27</f>
        <v>2802.5</v>
      </c>
      <c r="J46" s="589"/>
      <c r="K46" s="589"/>
      <c r="L46" s="589"/>
      <c r="M46" s="589">
        <f>'11.12.22'!E9</f>
        <v>2859.5</v>
      </c>
      <c r="N46" s="589">
        <f>'11.13.22'!E9</f>
        <v>2755</v>
      </c>
      <c r="O46" s="640"/>
      <c r="P46" s="640">
        <f>'11.15.22'!E31</f>
        <v>2508</v>
      </c>
      <c r="Q46" s="640"/>
      <c r="R46" s="640">
        <f>'11.17.22'!E8</f>
        <v>3686</v>
      </c>
      <c r="S46" s="640"/>
      <c r="T46" s="640">
        <f>'11.19.22'!E7</f>
        <v>3144.5</v>
      </c>
      <c r="U46" s="640">
        <f>'11.20.22'!E7</f>
        <v>3325</v>
      </c>
      <c r="V46" s="702"/>
      <c r="W46" s="702"/>
      <c r="X46" s="1134"/>
      <c r="Y46" s="1134"/>
      <c r="Z46" s="1134"/>
      <c r="AA46" s="1134"/>
      <c r="AB46" s="702">
        <f>'11.27.22'!E28</f>
        <v>3220.5</v>
      </c>
      <c r="AC46" s="252"/>
      <c r="AD46" s="252"/>
      <c r="AE46" s="252"/>
      <c r="AF46" s="189">
        <f t="shared" si="4"/>
        <v>29165</v>
      </c>
      <c r="AG46" s="189">
        <v>99000</v>
      </c>
      <c r="AH46" s="194" t="str">
        <f t="shared" si="5"/>
        <v>Sweets on Wheels</v>
      </c>
      <c r="AJ46" s="234">
        <f t="shared" si="3"/>
        <v>29165</v>
      </c>
      <c r="AN46" s="234">
        <v>52046</v>
      </c>
      <c r="AO46" s="234"/>
      <c r="AP46" s="979"/>
      <c r="AQ46" s="981"/>
      <c r="AR46" s="977"/>
      <c r="AS46" s="978"/>
    </row>
    <row r="47" spans="1:45" ht="9" customHeight="1">
      <c r="A47" s="195" t="s">
        <v>58</v>
      </c>
      <c r="B47" s="252"/>
      <c r="C47" s="252"/>
      <c r="D47" s="252"/>
      <c r="E47" s="252"/>
      <c r="F47" s="252"/>
      <c r="G47" s="252"/>
      <c r="H47" s="252"/>
      <c r="I47" s="252"/>
      <c r="J47" s="252"/>
      <c r="K47" s="252"/>
      <c r="L47" s="252"/>
      <c r="M47" s="252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1131"/>
      <c r="Y47" s="1131"/>
      <c r="Z47" s="1131"/>
      <c r="AA47" s="1131"/>
      <c r="AB47" s="252"/>
      <c r="AC47" s="252"/>
      <c r="AD47" s="252"/>
      <c r="AE47" s="252"/>
      <c r="AF47" s="189">
        <f t="shared" si="4"/>
        <v>0</v>
      </c>
      <c r="AG47" s="961">
        <f>100000-AF47</f>
        <v>100000</v>
      </c>
      <c r="AH47" s="194" t="str">
        <f t="shared" si="5"/>
        <v>Taste Collective Burger</v>
      </c>
      <c r="AJ47" s="234">
        <f t="shared" si="3"/>
        <v>0</v>
      </c>
      <c r="AN47" s="234">
        <v>50667</v>
      </c>
      <c r="AO47" s="234"/>
      <c r="AP47" s="979">
        <v>36</v>
      </c>
      <c r="AQ47" s="981">
        <f t="shared" si="2"/>
        <v>3001.5384615384614</v>
      </c>
      <c r="AR47" s="977">
        <v>29265</v>
      </c>
      <c r="AS47" s="978" t="s">
        <v>69</v>
      </c>
    </row>
    <row r="48" spans="1:45" ht="10.15" customHeight="1">
      <c r="A48" s="195" t="s">
        <v>728</v>
      </c>
      <c r="B48" s="738">
        <f>'11.01.22'!E10</f>
        <v>2014</v>
      </c>
      <c r="C48" s="738"/>
      <c r="D48" s="738">
        <f>'11.03.22'!E7</f>
        <v>3486.5</v>
      </c>
      <c r="E48" s="738"/>
      <c r="F48" s="738"/>
      <c r="G48" s="738"/>
      <c r="H48" s="589"/>
      <c r="I48" s="589">
        <f>'11.08.22'!E18</f>
        <v>3097</v>
      </c>
      <c r="J48" s="589"/>
      <c r="K48" s="589"/>
      <c r="L48" s="589">
        <f>'11.11.22'!E7</f>
        <v>2650.5</v>
      </c>
      <c r="M48" s="589"/>
      <c r="N48" s="589"/>
      <c r="O48" s="640"/>
      <c r="P48" s="640"/>
      <c r="Q48" s="640">
        <f>'11.16.22'!E19</f>
        <v>2869</v>
      </c>
      <c r="R48" s="640"/>
      <c r="S48" s="640"/>
      <c r="T48" s="640"/>
      <c r="U48" s="640"/>
      <c r="V48" s="702">
        <f>'11.21.22'!E17</f>
        <v>1662.5</v>
      </c>
      <c r="W48" s="702"/>
      <c r="X48" s="1134"/>
      <c r="Y48" s="1134"/>
      <c r="Z48" s="1134"/>
      <c r="AA48" s="1134"/>
      <c r="AB48" s="702"/>
      <c r="AC48" s="252"/>
      <c r="AD48" s="252">
        <f>'11.29.22'!E7</f>
        <v>3733.5</v>
      </c>
      <c r="AE48" s="252">
        <f>'11.30.22'!E27</f>
        <v>2755</v>
      </c>
      <c r="AF48" s="189">
        <f t="shared" si="4"/>
        <v>22268</v>
      </c>
      <c r="AG48" s="961">
        <f>100000-AF48</f>
        <v>77732</v>
      </c>
      <c r="AH48" s="194" t="str">
        <f t="shared" si="5"/>
        <v>Thai Mex Cocina</v>
      </c>
      <c r="AJ48" s="234">
        <f t="shared" si="3"/>
        <v>22268</v>
      </c>
      <c r="AN48" s="234">
        <v>50667</v>
      </c>
      <c r="AO48" s="234"/>
      <c r="AP48" s="979"/>
      <c r="AQ48" s="981"/>
      <c r="AR48" s="977"/>
      <c r="AS48" s="978"/>
    </row>
    <row r="49" spans="1:53" ht="10.15" customHeight="1">
      <c r="A49" s="195" t="s">
        <v>45</v>
      </c>
      <c r="B49" s="738">
        <f>'11.01.22'!E30</f>
        <v>2945</v>
      </c>
      <c r="C49" s="738"/>
      <c r="D49" s="738">
        <f>'11.03.22'!E10</f>
        <v>3990</v>
      </c>
      <c r="E49" s="738"/>
      <c r="F49" s="738"/>
      <c r="G49" s="738"/>
      <c r="H49" s="589">
        <f>'11.07.22'!E9</f>
        <v>3553</v>
      </c>
      <c r="I49" s="589"/>
      <c r="J49" s="589">
        <f>'11.09.22'!E21+'11.09.22'!E31</f>
        <v>5386.5</v>
      </c>
      <c r="K49" s="589"/>
      <c r="L49" s="589"/>
      <c r="M49" s="589"/>
      <c r="N49" s="589"/>
      <c r="O49" s="640"/>
      <c r="P49" s="640">
        <f>'11.15.22'!E27</f>
        <v>2859.5</v>
      </c>
      <c r="Q49" s="640"/>
      <c r="R49" s="640"/>
      <c r="S49" s="640">
        <f>'11.18.22'!E10</f>
        <v>4218</v>
      </c>
      <c r="T49" s="640"/>
      <c r="U49" s="640"/>
      <c r="V49" s="702"/>
      <c r="W49" s="702">
        <f>'11.22.22'!E27</f>
        <v>2375</v>
      </c>
      <c r="X49" s="1134"/>
      <c r="Y49" s="1134"/>
      <c r="Z49" s="1134"/>
      <c r="AA49" s="1134"/>
      <c r="AB49" s="702"/>
      <c r="AC49" s="252"/>
      <c r="AD49" s="252"/>
      <c r="AE49" s="252"/>
      <c r="AF49" s="189">
        <f t="shared" si="4"/>
        <v>25327</v>
      </c>
      <c r="AG49" s="961">
        <f>100000-AF49+350000</f>
        <v>424673</v>
      </c>
      <c r="AH49" s="194" t="str">
        <f t="shared" si="5"/>
        <v>Tokyo Style</v>
      </c>
      <c r="AJ49" s="234">
        <f t="shared" si="3"/>
        <v>25327</v>
      </c>
      <c r="AN49" s="234">
        <v>168025.5</v>
      </c>
      <c r="AO49" s="234"/>
      <c r="AP49" s="979">
        <v>37</v>
      </c>
      <c r="AQ49" s="981">
        <f t="shared" si="2"/>
        <v>2870.4615384615386</v>
      </c>
      <c r="AR49" s="977">
        <v>27987</v>
      </c>
      <c r="AS49" s="978" t="s">
        <v>194</v>
      </c>
    </row>
    <row r="50" spans="1:53" ht="10.15" customHeight="1">
      <c r="A50" s="195" t="s">
        <v>172</v>
      </c>
      <c r="B50" s="252"/>
      <c r="C50" s="252"/>
      <c r="D50" s="252"/>
      <c r="E50" s="252"/>
      <c r="F50" s="252"/>
      <c r="G50" s="252"/>
      <c r="H50" s="252"/>
      <c r="I50" s="252"/>
      <c r="J50" s="252"/>
      <c r="K50" s="252"/>
      <c r="L50" s="252"/>
      <c r="M50" s="252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1131"/>
      <c r="Y50" s="1131"/>
      <c r="Z50" s="1131"/>
      <c r="AA50" s="1131"/>
      <c r="AB50" s="252"/>
      <c r="AC50" s="252"/>
      <c r="AD50" s="252"/>
      <c r="AE50" s="252"/>
      <c r="AF50" s="189">
        <f t="shared" si="4"/>
        <v>0</v>
      </c>
      <c r="AG50" s="961">
        <f>100000-AF50</f>
        <v>100000</v>
      </c>
      <c r="AH50" s="194" t="str">
        <f t="shared" si="5"/>
        <v>Trapiyaki</v>
      </c>
      <c r="AJ50" s="234">
        <f t="shared" si="3"/>
        <v>0</v>
      </c>
      <c r="AN50" s="234">
        <v>21920</v>
      </c>
      <c r="AO50" s="234"/>
      <c r="AP50" s="979">
        <v>38</v>
      </c>
      <c r="AQ50" s="981">
        <f t="shared" si="2"/>
        <v>2433.8461538461538</v>
      </c>
      <c r="AR50" s="977">
        <v>23730</v>
      </c>
      <c r="AS50" s="978" t="s">
        <v>186</v>
      </c>
    </row>
    <row r="51" spans="1:53" ht="10.15" customHeight="1">
      <c r="A51" s="195" t="s">
        <v>144</v>
      </c>
      <c r="B51" s="252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640"/>
      <c r="P51" s="640"/>
      <c r="Q51" s="640">
        <f>'11.16.22'!E27</f>
        <v>2261</v>
      </c>
      <c r="R51" s="640">
        <f>'11.17.22'!E10</f>
        <v>2850</v>
      </c>
      <c r="S51" s="640"/>
      <c r="T51" s="640"/>
      <c r="U51" s="640"/>
      <c r="V51" s="702"/>
      <c r="W51" s="702">
        <f>'11.22.22'!E7</f>
        <v>3116</v>
      </c>
      <c r="X51" s="1134"/>
      <c r="Y51" s="1134"/>
      <c r="Z51" s="1134"/>
      <c r="AA51" s="1134"/>
      <c r="AB51" s="702"/>
      <c r="AC51" s="252"/>
      <c r="AD51" s="252"/>
      <c r="AE51" s="252"/>
      <c r="AF51" s="189">
        <f t="shared" si="4"/>
        <v>8227</v>
      </c>
      <c r="AG51" s="961">
        <f>100000-AF51</f>
        <v>91773</v>
      </c>
      <c r="AH51" s="194" t="str">
        <f t="shared" si="5"/>
        <v>Uncle Al's BBQ</v>
      </c>
      <c r="AJ51" s="234">
        <f t="shared" si="3"/>
        <v>8227</v>
      </c>
      <c r="AN51" s="234">
        <v>5830</v>
      </c>
      <c r="AO51" s="234"/>
      <c r="AP51" s="979">
        <v>39</v>
      </c>
      <c r="AQ51" s="981">
        <f t="shared" si="2"/>
        <v>2248.2051282051284</v>
      </c>
      <c r="AR51" s="977">
        <v>21920</v>
      </c>
      <c r="AS51" s="978" t="s">
        <v>84</v>
      </c>
    </row>
    <row r="52" spans="1:53" ht="10.15" customHeight="1">
      <c r="A52" s="195" t="s">
        <v>240</v>
      </c>
      <c r="B52" s="252"/>
      <c r="C52" s="252"/>
      <c r="D52" s="252"/>
      <c r="E52" s="252"/>
      <c r="F52" s="252"/>
      <c r="G52" s="252"/>
      <c r="H52" s="252"/>
      <c r="I52" s="252"/>
      <c r="J52" s="252"/>
      <c r="K52" s="252"/>
      <c r="L52" s="252"/>
      <c r="M52" s="252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1131"/>
      <c r="Y52" s="1131"/>
      <c r="Z52" s="1131"/>
      <c r="AA52" s="1131"/>
      <c r="AB52" s="252"/>
      <c r="AC52" s="252"/>
      <c r="AD52" s="252"/>
      <c r="AE52" s="252"/>
      <c r="AF52" s="189">
        <f t="shared" si="4"/>
        <v>0</v>
      </c>
      <c r="AG52" s="961">
        <f>100000-AF52</f>
        <v>100000</v>
      </c>
      <c r="AH52" s="194" t="str">
        <f t="shared" si="5"/>
        <v>Veggie Bomb</v>
      </c>
      <c r="AJ52" s="234">
        <f t="shared" si="3"/>
        <v>0</v>
      </c>
      <c r="AN52" s="234">
        <v>228015.5</v>
      </c>
      <c r="AO52" s="234"/>
      <c r="AP52" s="979">
        <v>40</v>
      </c>
      <c r="AQ52" s="981">
        <f t="shared" si="2"/>
        <v>1915.0769230769231</v>
      </c>
      <c r="AR52" s="977">
        <v>18672</v>
      </c>
      <c r="AS52" s="978" t="s">
        <v>68</v>
      </c>
    </row>
    <row r="53" spans="1:53" ht="10.15" customHeight="1">
      <c r="A53" s="195" t="s">
        <v>258</v>
      </c>
      <c r="B53" s="738"/>
      <c r="C53" s="738"/>
      <c r="D53" s="738"/>
      <c r="E53" s="738"/>
      <c r="F53" s="738"/>
      <c r="G53" s="738">
        <f>'11.06.22'!E28</f>
        <v>2365.5</v>
      </c>
      <c r="H53" s="252"/>
      <c r="I53" s="252"/>
      <c r="J53" s="252"/>
      <c r="K53" s="252"/>
      <c r="L53" s="252"/>
      <c r="M53" s="252"/>
      <c r="N53" s="252"/>
      <c r="O53" s="640">
        <f>'11.14.22'!E31</f>
        <v>1178</v>
      </c>
      <c r="P53" s="640"/>
      <c r="Q53" s="640"/>
      <c r="R53" s="640"/>
      <c r="S53" s="640"/>
      <c r="T53" s="640"/>
      <c r="U53" s="640"/>
      <c r="V53" s="702">
        <f>'11.21.22'!E28</f>
        <v>2945</v>
      </c>
      <c r="W53" s="702"/>
      <c r="X53" s="1134"/>
      <c r="Y53" s="1134"/>
      <c r="Z53" s="1134"/>
      <c r="AA53" s="1134"/>
      <c r="AB53" s="702"/>
      <c r="AC53" s="252"/>
      <c r="AD53" s="252"/>
      <c r="AE53" s="252"/>
      <c r="AF53" s="189">
        <f t="shared" si="4"/>
        <v>6488.5</v>
      </c>
      <c r="AG53" s="961">
        <f>100000-AF53</f>
        <v>93511.5</v>
      </c>
      <c r="AH53" s="194" t="str">
        <f t="shared" si="5"/>
        <v>Venice Gelato</v>
      </c>
      <c r="AJ53" s="234">
        <f t="shared" si="3"/>
        <v>6488.5</v>
      </c>
      <c r="AN53" s="234">
        <v>75970</v>
      </c>
      <c r="AO53" s="234"/>
      <c r="AP53" s="979">
        <v>41</v>
      </c>
      <c r="AQ53" s="981">
        <f t="shared" si="2"/>
        <v>1189.7435897435898</v>
      </c>
      <c r="AR53" s="977">
        <v>11600</v>
      </c>
      <c r="AS53" s="978" t="s">
        <v>129</v>
      </c>
    </row>
    <row r="54" spans="1:53" ht="10.15" customHeight="1">
      <c r="A54" s="195" t="s">
        <v>70</v>
      </c>
      <c r="B54" s="738"/>
      <c r="C54" s="738"/>
      <c r="D54" s="738">
        <f>'11.03.22'!E9</f>
        <v>4294</v>
      </c>
      <c r="E54" s="738">
        <f>'11.04.22'!E18</f>
        <v>3800</v>
      </c>
      <c r="F54" s="738"/>
      <c r="G54" s="738"/>
      <c r="H54" s="589"/>
      <c r="I54" s="589">
        <f>'11.08.22'!E30</f>
        <v>4056.5</v>
      </c>
      <c r="J54" s="589"/>
      <c r="K54" s="589">
        <f>'11.10.22'!E10</f>
        <v>3895</v>
      </c>
      <c r="L54" s="589"/>
      <c r="M54" s="589"/>
      <c r="N54" s="589">
        <f>'11.13.22'!E7</f>
        <v>4493.5</v>
      </c>
      <c r="O54" s="640">
        <f>'11.14.22'!E27</f>
        <v>4142</v>
      </c>
      <c r="P54" s="640"/>
      <c r="Q54" s="640"/>
      <c r="R54" s="640"/>
      <c r="S54" s="640"/>
      <c r="T54" s="640">
        <f>'11.19.22'!E10</f>
        <v>4503</v>
      </c>
      <c r="U54" s="640"/>
      <c r="V54" s="702"/>
      <c r="W54" s="702">
        <f>'11.22.22'!E30</f>
        <v>2774</v>
      </c>
      <c r="X54" s="1134"/>
      <c r="Y54" s="1134"/>
      <c r="Z54" s="1134"/>
      <c r="AA54" s="1134"/>
      <c r="AB54" s="702"/>
      <c r="AC54" s="252"/>
      <c r="AD54" s="252"/>
      <c r="AE54" s="252"/>
      <c r="AF54" s="189">
        <f t="shared" si="4"/>
        <v>31958</v>
      </c>
      <c r="AG54" s="358">
        <f>449000-AF54+350000+350000</f>
        <v>1117042</v>
      </c>
      <c r="AH54" s="194" t="str">
        <f t="shared" si="5"/>
        <v>Wafl</v>
      </c>
      <c r="AJ54" s="234">
        <f t="shared" si="3"/>
        <v>31958</v>
      </c>
      <c r="AN54" s="234">
        <v>71377</v>
      </c>
      <c r="AO54" s="234"/>
      <c r="AP54" s="979">
        <v>42</v>
      </c>
      <c r="AQ54" s="981">
        <f t="shared" si="2"/>
        <v>820.51282051282055</v>
      </c>
      <c r="AR54" s="977">
        <v>8000</v>
      </c>
      <c r="AS54" s="978" t="s">
        <v>80</v>
      </c>
    </row>
    <row r="55" spans="1:53" ht="10.15" customHeight="1">
      <c r="A55" s="195" t="s">
        <v>181</v>
      </c>
      <c r="B55" s="252"/>
      <c r="C55" s="252"/>
      <c r="D55" s="252"/>
      <c r="E55" s="252"/>
      <c r="F55" s="252"/>
      <c r="G55" s="252"/>
      <c r="H55" s="252"/>
      <c r="I55" s="252"/>
      <c r="J55" s="252"/>
      <c r="K55" s="252"/>
      <c r="L55" s="252"/>
      <c r="M55" s="252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1131"/>
      <c r="Y55" s="1131"/>
      <c r="Z55" s="1131"/>
      <c r="AA55" s="1131"/>
      <c r="AB55" s="252"/>
      <c r="AC55" s="252"/>
      <c r="AD55" s="252"/>
      <c r="AE55" s="252"/>
      <c r="AF55" s="189">
        <f t="shared" si="4"/>
        <v>0</v>
      </c>
      <c r="AG55" s="358">
        <f t="shared" ref="AG55:AG60" si="6">100000-AF55</f>
        <v>100000</v>
      </c>
      <c r="AH55" s="194" t="str">
        <f t="shared" si="5"/>
        <v>White Rabbit</v>
      </c>
      <c r="AJ55" s="234">
        <f t="shared" si="3"/>
        <v>0</v>
      </c>
      <c r="AN55" s="234">
        <v>3570</v>
      </c>
      <c r="AO55" s="234"/>
      <c r="AP55" s="979">
        <v>43</v>
      </c>
      <c r="AQ55" s="981">
        <f t="shared" si="2"/>
        <v>783.58974358974353</v>
      </c>
      <c r="AR55" s="977">
        <v>7640</v>
      </c>
      <c r="AS55" s="978" t="s">
        <v>181</v>
      </c>
    </row>
    <row r="56" spans="1:53" ht="10.15" customHeight="1">
      <c r="A56" s="515" t="s">
        <v>205</v>
      </c>
      <c r="B56" s="738"/>
      <c r="C56" s="738"/>
      <c r="D56" s="738"/>
      <c r="E56" s="738">
        <f>'11.04.22'!E19</f>
        <v>1482</v>
      </c>
      <c r="F56" s="738"/>
      <c r="G56" s="738"/>
      <c r="H56" s="252"/>
      <c r="I56" s="252"/>
      <c r="J56" s="252"/>
      <c r="K56" s="252"/>
      <c r="L56" s="252"/>
      <c r="M56" s="252"/>
      <c r="N56" s="252"/>
      <c r="O56" s="640"/>
      <c r="P56" s="640">
        <f>'11.15.22'!E17</f>
        <v>2508</v>
      </c>
      <c r="Q56" s="640"/>
      <c r="R56" s="640"/>
      <c r="S56" s="640"/>
      <c r="T56" s="640"/>
      <c r="U56" s="640"/>
      <c r="V56" s="252"/>
      <c r="W56" s="252"/>
      <c r="X56" s="1131"/>
      <c r="Y56" s="1131"/>
      <c r="Z56" s="1131"/>
      <c r="AA56" s="1131"/>
      <c r="AB56" s="252"/>
      <c r="AC56" s="252"/>
      <c r="AD56" s="252"/>
      <c r="AE56" s="252">
        <f>'11.30.22'!E7</f>
        <v>2945</v>
      </c>
      <c r="AF56" s="189">
        <f t="shared" si="4"/>
        <v>6935</v>
      </c>
      <c r="AG56" s="522">
        <f t="shared" si="6"/>
        <v>93065</v>
      </c>
      <c r="AH56" s="194" t="str">
        <f t="shared" si="5"/>
        <v>Yalla</v>
      </c>
      <c r="AJ56" s="234">
        <f t="shared" si="3"/>
        <v>6935</v>
      </c>
      <c r="AN56" s="234">
        <v>43804.5</v>
      </c>
      <c r="AO56" s="234"/>
      <c r="AP56" s="979">
        <v>44</v>
      </c>
      <c r="AQ56" s="981">
        <f t="shared" si="2"/>
        <v>693.33333333333337</v>
      </c>
      <c r="AR56" s="977">
        <v>6760</v>
      </c>
      <c r="AS56" s="978" t="s">
        <v>81</v>
      </c>
    </row>
    <row r="57" spans="1:53" ht="10.15" customHeight="1">
      <c r="A57" s="195" t="s">
        <v>244</v>
      </c>
      <c r="B57" s="738">
        <f>'11.01.22'!E17</f>
        <v>5614.5</v>
      </c>
      <c r="C57" s="738"/>
      <c r="D57" s="738">
        <f>'11.03.22'!E18</f>
        <v>5225</v>
      </c>
      <c r="E57" s="738"/>
      <c r="F57" s="738"/>
      <c r="G57" s="738"/>
      <c r="H57" s="589"/>
      <c r="I57" s="1129">
        <f>'11.08.22'!E19</f>
        <v>5282</v>
      </c>
      <c r="J57" s="589"/>
      <c r="K57" s="589"/>
      <c r="L57" s="589"/>
      <c r="M57" s="589"/>
      <c r="N57" s="589"/>
      <c r="O57" s="640">
        <f>'11.14.22'!E18</f>
        <v>4911.5</v>
      </c>
      <c r="P57" s="640"/>
      <c r="Q57" s="640"/>
      <c r="R57" s="640"/>
      <c r="S57" s="640"/>
      <c r="T57" s="640"/>
      <c r="U57" s="640"/>
      <c r="V57" s="702">
        <f>'11.21.22'!E18</f>
        <v>5073</v>
      </c>
      <c r="W57" s="702"/>
      <c r="X57" s="1134"/>
      <c r="Y57" s="1134"/>
      <c r="Z57" s="1134"/>
      <c r="AA57" s="1134"/>
      <c r="AB57" s="702"/>
      <c r="AC57" s="252"/>
      <c r="AD57" s="252">
        <f>'11.29.22'!E9</f>
        <v>5671.5</v>
      </c>
      <c r="AE57" s="252"/>
      <c r="AF57" s="189">
        <f t="shared" si="4"/>
        <v>31777.5</v>
      </c>
      <c r="AG57" s="358">
        <f t="shared" si="6"/>
        <v>68222.5</v>
      </c>
      <c r="AH57" s="194" t="str">
        <f t="shared" si="5"/>
        <v>Yuna's Bob</v>
      </c>
      <c r="AJ57" s="234">
        <f t="shared" si="3"/>
        <v>31777.5</v>
      </c>
      <c r="AN57" s="234">
        <v>499011.5</v>
      </c>
      <c r="AO57" s="234"/>
      <c r="AP57" s="979">
        <v>45</v>
      </c>
      <c r="AQ57" s="981">
        <f t="shared" si="2"/>
        <v>597.9487179487179</v>
      </c>
      <c r="AR57" s="977">
        <v>5830</v>
      </c>
      <c r="AS57" s="978" t="s">
        <v>58</v>
      </c>
    </row>
    <row r="58" spans="1:53" ht="10.15" customHeight="1">
      <c r="A58" s="195"/>
      <c r="B58" s="252"/>
      <c r="C58" s="252"/>
      <c r="D58" s="252"/>
      <c r="E58" s="252"/>
      <c r="F58" s="252"/>
      <c r="G58" s="252"/>
      <c r="H58" s="252"/>
      <c r="I58" s="252"/>
      <c r="J58" s="252"/>
      <c r="K58" s="252"/>
      <c r="L58" s="252"/>
      <c r="M58" s="252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1131"/>
      <c r="Y58" s="1131"/>
      <c r="Z58" s="1131"/>
      <c r="AA58" s="1131"/>
      <c r="AB58" s="252"/>
      <c r="AC58" s="252"/>
      <c r="AD58" s="252"/>
      <c r="AE58" s="252"/>
      <c r="AF58" s="189">
        <f t="shared" si="4"/>
        <v>0</v>
      </c>
      <c r="AG58" s="961">
        <f t="shared" si="6"/>
        <v>100000</v>
      </c>
      <c r="AH58" s="195"/>
      <c r="AJ58" s="234">
        <f t="shared" si="3"/>
        <v>0</v>
      </c>
      <c r="AN58" s="234">
        <v>7640</v>
      </c>
      <c r="AO58" s="234"/>
      <c r="AP58" s="979">
        <v>46</v>
      </c>
      <c r="AQ58" s="981">
        <f t="shared" si="2"/>
        <v>366.15384615384613</v>
      </c>
      <c r="AR58" s="977">
        <v>3570</v>
      </c>
      <c r="AS58" s="978" t="s">
        <v>240</v>
      </c>
    </row>
    <row r="59" spans="1:53" ht="10.15" customHeight="1">
      <c r="A59" s="195"/>
      <c r="B59" s="252"/>
      <c r="C59" s="252"/>
      <c r="D59" s="252"/>
      <c r="E59" s="252"/>
      <c r="F59" s="252"/>
      <c r="G59" s="252"/>
      <c r="H59" s="252"/>
      <c r="I59" s="987"/>
      <c r="J59" s="252"/>
      <c r="K59" s="252"/>
      <c r="L59" s="252"/>
      <c r="M59" s="252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1131"/>
      <c r="Y59" s="1131"/>
      <c r="Z59" s="1131"/>
      <c r="AA59" s="1131"/>
      <c r="AB59" s="252"/>
      <c r="AC59" s="252"/>
      <c r="AD59" s="252"/>
      <c r="AE59" s="252"/>
      <c r="AF59" s="189">
        <f t="shared" si="4"/>
        <v>0</v>
      </c>
      <c r="AG59" s="961">
        <f t="shared" si="6"/>
        <v>100000</v>
      </c>
      <c r="AH59" s="195"/>
      <c r="AJ59" s="234">
        <f t="shared" si="3"/>
        <v>0</v>
      </c>
      <c r="AN59" s="234">
        <v>64586.5</v>
      </c>
      <c r="AO59" s="234"/>
      <c r="AP59" s="979">
        <v>47</v>
      </c>
      <c r="AQ59" s="981">
        <f t="shared" si="2"/>
        <v>284.5128205128205</v>
      </c>
      <c r="AR59" s="977">
        <v>2774</v>
      </c>
      <c r="AS59" s="978" t="s">
        <v>265</v>
      </c>
    </row>
    <row r="60" spans="1:53" s="521" customFormat="1" ht="10.15" customHeight="1">
      <c r="A60" s="195"/>
      <c r="B60" s="252"/>
      <c r="C60" s="252"/>
      <c r="D60" s="252"/>
      <c r="E60" s="252"/>
      <c r="F60" s="252"/>
      <c r="G60" s="252"/>
      <c r="H60" s="252"/>
      <c r="I60" s="252"/>
      <c r="J60" s="252"/>
      <c r="K60" s="252"/>
      <c r="L60" s="252"/>
      <c r="M60" s="252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1131"/>
      <c r="Y60" s="1131"/>
      <c r="Z60" s="1131"/>
      <c r="AA60" s="1131"/>
      <c r="AB60" s="252"/>
      <c r="AC60" s="252"/>
      <c r="AD60" s="252"/>
      <c r="AE60" s="252"/>
      <c r="AF60" s="189">
        <f t="shared" si="4"/>
        <v>0</v>
      </c>
      <c r="AG60" s="961">
        <f t="shared" si="6"/>
        <v>100000</v>
      </c>
      <c r="AH60" s="195"/>
      <c r="AI60" s="934"/>
      <c r="AJ60" s="234">
        <f t="shared" si="3"/>
        <v>0</v>
      </c>
      <c r="AK60" s="934"/>
      <c r="AL60" s="934"/>
      <c r="AM60" s="934"/>
      <c r="AN60" s="234">
        <v>42224</v>
      </c>
      <c r="AO60" s="234"/>
      <c r="AP60" s="979">
        <v>48</v>
      </c>
      <c r="AQ60" s="981">
        <f t="shared" si="2"/>
        <v>51.282051282051285</v>
      </c>
      <c r="AR60" s="977">
        <v>500</v>
      </c>
      <c r="AS60" s="978" t="s">
        <v>79</v>
      </c>
    </row>
    <row r="61" spans="1:53" ht="13.9" customHeight="1" thickBot="1">
      <c r="A61" s="46" t="s">
        <v>24</v>
      </c>
      <c r="B61" s="530">
        <f t="shared" ref="B61:AE61" si="7">SUM(B3:B60)</f>
        <v>50777.5</v>
      </c>
      <c r="C61" s="530">
        <f t="shared" si="7"/>
        <v>48440.5</v>
      </c>
      <c r="D61" s="530">
        <f t="shared" si="7"/>
        <v>53162</v>
      </c>
      <c r="E61" s="530">
        <f t="shared" si="7"/>
        <v>37582</v>
      </c>
      <c r="F61" s="530">
        <f t="shared" si="7"/>
        <v>47804</v>
      </c>
      <c r="G61" s="530">
        <f t="shared" si="7"/>
        <v>44298.5</v>
      </c>
      <c r="H61" s="530">
        <f t="shared" si="7"/>
        <v>46616.5</v>
      </c>
      <c r="I61" s="530">
        <f t="shared" si="7"/>
        <v>46246</v>
      </c>
      <c r="J61" s="530">
        <f t="shared" si="7"/>
        <v>47186.5</v>
      </c>
      <c r="K61" s="530">
        <f t="shared" si="7"/>
        <v>48013</v>
      </c>
      <c r="L61" s="530">
        <f t="shared" si="7"/>
        <v>42446</v>
      </c>
      <c r="M61" s="530">
        <f t="shared" si="7"/>
        <v>40593.5</v>
      </c>
      <c r="N61" s="530">
        <f t="shared" si="7"/>
        <v>49960.5</v>
      </c>
      <c r="O61" s="530">
        <f t="shared" si="7"/>
        <v>49761</v>
      </c>
      <c r="P61" s="530">
        <f t="shared" si="7"/>
        <v>44536</v>
      </c>
      <c r="Q61" s="530">
        <f t="shared" si="7"/>
        <v>50616</v>
      </c>
      <c r="R61" s="530">
        <f t="shared" si="7"/>
        <v>43149</v>
      </c>
      <c r="S61" s="530">
        <f t="shared" si="7"/>
        <v>41068.5</v>
      </c>
      <c r="T61" s="530">
        <f t="shared" si="7"/>
        <v>46550</v>
      </c>
      <c r="U61" s="530">
        <f t="shared" si="7"/>
        <v>52326</v>
      </c>
      <c r="V61" s="530">
        <f t="shared" si="7"/>
        <v>35862.5</v>
      </c>
      <c r="W61" s="530">
        <f t="shared" si="7"/>
        <v>39301.5</v>
      </c>
      <c r="X61" s="530">
        <f t="shared" si="7"/>
        <v>0</v>
      </c>
      <c r="Y61" s="530">
        <f t="shared" si="7"/>
        <v>0</v>
      </c>
      <c r="Z61" s="530">
        <f t="shared" si="7"/>
        <v>0</v>
      </c>
      <c r="AA61" s="530">
        <f t="shared" si="7"/>
        <v>0</v>
      </c>
      <c r="AB61" s="530">
        <f t="shared" si="7"/>
        <v>16188</v>
      </c>
      <c r="AC61" s="530">
        <f t="shared" si="7"/>
        <v>49096</v>
      </c>
      <c r="AD61" s="530">
        <f t="shared" si="7"/>
        <v>38883.5</v>
      </c>
      <c r="AE61" s="530">
        <f t="shared" si="7"/>
        <v>43586</v>
      </c>
      <c r="AF61" s="55">
        <f>SUM(AF3:AF60)</f>
        <v>1154050.5</v>
      </c>
      <c r="AG61" s="55">
        <f>SUM(AG3:AG60)</f>
        <v>14656326</v>
      </c>
      <c r="AN61" s="234">
        <f>SUM(AN3:AN60)</f>
        <v>5235114.5</v>
      </c>
      <c r="AO61" s="234"/>
      <c r="AP61" s="980"/>
      <c r="AQ61" s="981">
        <f>SUM(AQ3:AQ60)</f>
        <v>526400.15384615399</v>
      </c>
      <c r="AR61" s="977">
        <f>SUM(AR3:AR60)</f>
        <v>5132401.5</v>
      </c>
      <c r="AS61" s="937"/>
    </row>
    <row r="62" spans="1:53" ht="12" customHeight="1" thickTop="1">
      <c r="A62" s="198" t="s">
        <v>85</v>
      </c>
      <c r="B62" s="241">
        <f>'11.01.22'!E38</f>
        <v>50777.5</v>
      </c>
      <c r="C62" s="241">
        <f>'11.02.22'!E38</f>
        <v>48440.5</v>
      </c>
      <c r="D62" s="241">
        <f>'11.03.22'!E38</f>
        <v>53162</v>
      </c>
      <c r="E62" s="241">
        <f>'11.04.22'!E38</f>
        <v>37582</v>
      </c>
      <c r="F62" s="241">
        <f>'11.05.22'!E38</f>
        <v>47804</v>
      </c>
      <c r="G62" s="241">
        <f>'11.06.22'!E38</f>
        <v>44298.5</v>
      </c>
      <c r="H62" s="241">
        <f>'11.07.22'!E38</f>
        <v>46616.5</v>
      </c>
      <c r="I62" s="241">
        <f>'11.08.22'!E38</f>
        <v>46246</v>
      </c>
      <c r="J62" s="241">
        <f>'11.09.22'!E38</f>
        <v>47186.5</v>
      </c>
      <c r="K62" s="241">
        <f>'11.10.22'!E38</f>
        <v>48013</v>
      </c>
      <c r="L62" s="241">
        <f>'11.11.22'!E38</f>
        <v>42446</v>
      </c>
      <c r="M62" s="241">
        <f>'11.12.22'!E38</f>
        <v>40593.5</v>
      </c>
      <c r="N62" s="241">
        <f>'11.13.22'!E38</f>
        <v>49960.5</v>
      </c>
      <c r="O62" s="241">
        <f>'11.14.22'!E38</f>
        <v>49761</v>
      </c>
      <c r="P62" s="241">
        <f>'11.15.22'!E38</f>
        <v>44536</v>
      </c>
      <c r="Q62" s="241">
        <f>'11.16.22'!E38</f>
        <v>50616</v>
      </c>
      <c r="R62" s="241">
        <f>'11.17.22'!E38</f>
        <v>43149</v>
      </c>
      <c r="S62" s="241">
        <f>'11.18.22'!E38</f>
        <v>41068.5</v>
      </c>
      <c r="T62" s="241">
        <f>'11.19.22'!E38</f>
        <v>46550</v>
      </c>
      <c r="U62" s="241">
        <f>'11.20.22'!E38</f>
        <v>52326</v>
      </c>
      <c r="V62" s="241">
        <f>'11.21.22'!E38</f>
        <v>35862.5</v>
      </c>
      <c r="W62" s="241">
        <f>'11.22.22'!E38</f>
        <v>39301.5</v>
      </c>
      <c r="X62" s="241"/>
      <c r="Y62" s="241"/>
      <c r="Z62" s="241"/>
      <c r="AA62" s="241"/>
      <c r="AB62" s="241">
        <f>'11.27.22'!E38</f>
        <v>16188</v>
      </c>
      <c r="AC62" s="241">
        <f>'11.28.22'!E38</f>
        <v>49096</v>
      </c>
      <c r="AD62" s="241">
        <f>'11.29.22'!E38</f>
        <v>38883.5</v>
      </c>
      <c r="AE62" s="241">
        <f>'11.30.22'!E38</f>
        <v>43586</v>
      </c>
      <c r="AF62" s="197"/>
      <c r="AG62" s="57"/>
      <c r="AH62" s="521"/>
      <c r="AI62" s="521"/>
      <c r="AJ62" s="521"/>
      <c r="AK62" s="521"/>
      <c r="AL62" s="521"/>
      <c r="AM62" s="521"/>
    </row>
    <row r="63" spans="1:53" ht="12" customHeight="1">
      <c r="A63" s="198" t="s">
        <v>86</v>
      </c>
      <c r="B63" s="242">
        <f t="shared" ref="B63:S63" si="8">B61-B62</f>
        <v>0</v>
      </c>
      <c r="C63" s="242">
        <f t="shared" si="8"/>
        <v>0</v>
      </c>
      <c r="D63" s="242">
        <f t="shared" si="8"/>
        <v>0</v>
      </c>
      <c r="E63" s="242">
        <f t="shared" si="8"/>
        <v>0</v>
      </c>
      <c r="F63" s="242">
        <f t="shared" si="8"/>
        <v>0</v>
      </c>
      <c r="G63" s="242">
        <f t="shared" si="8"/>
        <v>0</v>
      </c>
      <c r="H63" s="242">
        <f t="shared" si="8"/>
        <v>0</v>
      </c>
      <c r="I63" s="242">
        <f t="shared" si="8"/>
        <v>0</v>
      </c>
      <c r="J63" s="242">
        <f t="shared" si="8"/>
        <v>0</v>
      </c>
      <c r="K63" s="242">
        <f t="shared" si="8"/>
        <v>0</v>
      </c>
      <c r="L63" s="242">
        <f t="shared" si="8"/>
        <v>0</v>
      </c>
      <c r="M63" s="242">
        <f t="shared" si="8"/>
        <v>0</v>
      </c>
      <c r="N63" s="242">
        <f t="shared" si="8"/>
        <v>0</v>
      </c>
      <c r="O63" s="242">
        <f t="shared" si="8"/>
        <v>0</v>
      </c>
      <c r="P63" s="242">
        <f t="shared" si="8"/>
        <v>0</v>
      </c>
      <c r="Q63" s="242">
        <f t="shared" si="8"/>
        <v>0</v>
      </c>
      <c r="R63" s="242">
        <f t="shared" si="8"/>
        <v>0</v>
      </c>
      <c r="S63" s="242">
        <f t="shared" si="8"/>
        <v>0</v>
      </c>
      <c r="T63" s="242">
        <f t="shared" ref="T63:AE63" si="9">T61-T62</f>
        <v>0</v>
      </c>
      <c r="U63" s="242">
        <f t="shared" si="9"/>
        <v>0</v>
      </c>
      <c r="V63" s="242">
        <f t="shared" si="9"/>
        <v>0</v>
      </c>
      <c r="W63" s="242">
        <f t="shared" si="9"/>
        <v>0</v>
      </c>
      <c r="X63" s="242">
        <f t="shared" si="9"/>
        <v>0</v>
      </c>
      <c r="Y63" s="242">
        <f t="shared" si="9"/>
        <v>0</v>
      </c>
      <c r="Z63" s="242">
        <f t="shared" si="9"/>
        <v>0</v>
      </c>
      <c r="AA63" s="242">
        <f t="shared" si="9"/>
        <v>0</v>
      </c>
      <c r="AB63" s="242">
        <f t="shared" si="9"/>
        <v>0</v>
      </c>
      <c r="AC63" s="242">
        <f t="shared" si="9"/>
        <v>0</v>
      </c>
      <c r="AD63" s="242">
        <f t="shared" si="9"/>
        <v>0</v>
      </c>
      <c r="AE63" s="242">
        <f t="shared" si="9"/>
        <v>0</v>
      </c>
      <c r="AF63" s="233"/>
      <c r="AG63" s="199"/>
      <c r="AI63" s="316"/>
      <c r="AJ63" s="316"/>
      <c r="AK63" s="316"/>
      <c r="AL63" s="316"/>
      <c r="AM63" s="316"/>
      <c r="AN63" s="199"/>
      <c r="AO63" s="199"/>
      <c r="AP63" s="199"/>
      <c r="AQ63" s="198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</row>
    <row r="64" spans="1:53">
      <c r="Y64" s="974" t="s">
        <v>777</v>
      </c>
      <c r="AC64" s="974" t="s">
        <v>317</v>
      </c>
      <c r="AD64" s="974" t="s">
        <v>318</v>
      </c>
      <c r="AE64" s="974" t="s">
        <v>318</v>
      </c>
    </row>
    <row r="65" spans="1:39">
      <c r="Y65" s="974" t="s">
        <v>778</v>
      </c>
      <c r="AF65" s="234"/>
      <c r="AH65" s="199"/>
      <c r="AI65" s="199"/>
      <c r="AJ65" s="199"/>
      <c r="AK65" s="199"/>
      <c r="AL65" s="199"/>
      <c r="AM65" s="199"/>
    </row>
    <row r="67" spans="1:39">
      <c r="A67" s="188"/>
    </row>
    <row r="68" spans="1:39">
      <c r="A68" s="188"/>
    </row>
  </sheetData>
  <mergeCells count="3">
    <mergeCell ref="A1:A2"/>
    <mergeCell ref="AF1:AF2"/>
    <mergeCell ref="AG1:AG2"/>
  </mergeCells>
  <conditionalFormatting sqref="AG25:AG27 AG35 AG38 AG57 AG50:AG52 AG32 AG60 AG6:AG8 AG11 AG13:AG15 AG19:AG21 AG40:AG45">
    <cfRule type="cellIs" dxfId="290" priority="84" operator="lessThan">
      <formula>20000</formula>
    </cfRule>
    <cfRule type="cellIs" dxfId="289" priority="85" operator="lessThan">
      <formula>25000</formula>
    </cfRule>
    <cfRule type="cellIs" dxfId="288" priority="86" operator="lessThan">
      <formula>50000</formula>
    </cfRule>
  </conditionalFormatting>
  <conditionalFormatting sqref="AG22">
    <cfRule type="cellIs" dxfId="287" priority="81" operator="lessThan">
      <formula>20000</formula>
    </cfRule>
    <cfRule type="cellIs" dxfId="286" priority="82" operator="lessThan">
      <formula>25000</formula>
    </cfRule>
    <cfRule type="cellIs" dxfId="285" priority="83" operator="lessThan">
      <formula>50000</formula>
    </cfRule>
  </conditionalFormatting>
  <conditionalFormatting sqref="AG33">
    <cfRule type="cellIs" dxfId="284" priority="78" operator="lessThan">
      <formula>20000</formula>
    </cfRule>
    <cfRule type="cellIs" dxfId="283" priority="79" operator="lessThan">
      <formula>25000</formula>
    </cfRule>
    <cfRule type="cellIs" dxfId="282" priority="80" operator="lessThan">
      <formula>50000</formula>
    </cfRule>
  </conditionalFormatting>
  <conditionalFormatting sqref="AG36">
    <cfRule type="cellIs" dxfId="281" priority="75" operator="lessThan">
      <formula>20000</formula>
    </cfRule>
    <cfRule type="cellIs" dxfId="280" priority="76" operator="lessThan">
      <formula>25000</formula>
    </cfRule>
    <cfRule type="cellIs" dxfId="279" priority="77" operator="lessThan">
      <formula>50000</formula>
    </cfRule>
  </conditionalFormatting>
  <conditionalFormatting sqref="AG49">
    <cfRule type="cellIs" dxfId="278" priority="72" operator="lessThan">
      <formula>20000</formula>
    </cfRule>
    <cfRule type="cellIs" dxfId="277" priority="73" operator="lessThan">
      <formula>25000</formula>
    </cfRule>
    <cfRule type="cellIs" dxfId="276" priority="74" operator="lessThan">
      <formula>50000</formula>
    </cfRule>
  </conditionalFormatting>
  <conditionalFormatting sqref="AG54">
    <cfRule type="cellIs" dxfId="275" priority="69" operator="lessThan">
      <formula>20000</formula>
    </cfRule>
    <cfRule type="cellIs" dxfId="274" priority="70" operator="lessThan">
      <formula>25000</formula>
    </cfRule>
    <cfRule type="cellIs" dxfId="273" priority="71" operator="lessThan">
      <formula>50000</formula>
    </cfRule>
  </conditionalFormatting>
  <conditionalFormatting sqref="AG47">
    <cfRule type="cellIs" dxfId="272" priority="66" operator="lessThan">
      <formula>20000</formula>
    </cfRule>
    <cfRule type="cellIs" dxfId="271" priority="67" operator="lessThan">
      <formula>25000</formula>
    </cfRule>
    <cfRule type="cellIs" dxfId="270" priority="68" operator="lessThan">
      <formula>50000</formula>
    </cfRule>
  </conditionalFormatting>
  <conditionalFormatting sqref="AG5">
    <cfRule type="cellIs" dxfId="269" priority="63" operator="lessThan">
      <formula>20000</formula>
    </cfRule>
    <cfRule type="cellIs" dxfId="268" priority="64" operator="lessThan">
      <formula>25000</formula>
    </cfRule>
    <cfRule type="cellIs" dxfId="267" priority="65" operator="lessThan">
      <formula>50000</formula>
    </cfRule>
  </conditionalFormatting>
  <conditionalFormatting sqref="AG53">
    <cfRule type="cellIs" dxfId="266" priority="60" operator="lessThan">
      <formula>20000</formula>
    </cfRule>
    <cfRule type="cellIs" dxfId="265" priority="61" operator="lessThan">
      <formula>25000</formula>
    </cfRule>
    <cfRule type="cellIs" dxfId="264" priority="62" operator="lessThan">
      <formula>50000</formula>
    </cfRule>
  </conditionalFormatting>
  <conditionalFormatting sqref="AG34">
    <cfRule type="cellIs" dxfId="263" priority="57" operator="lessThan">
      <formula>20000</formula>
    </cfRule>
    <cfRule type="cellIs" dxfId="262" priority="58" operator="lessThan">
      <formula>25000</formula>
    </cfRule>
    <cfRule type="cellIs" dxfId="261" priority="59" operator="lessThan">
      <formula>50000</formula>
    </cfRule>
  </conditionalFormatting>
  <conditionalFormatting sqref="AG3:AG4">
    <cfRule type="cellIs" dxfId="260" priority="54" operator="lessThan">
      <formula>20000</formula>
    </cfRule>
    <cfRule type="cellIs" dxfId="259" priority="55" operator="lessThan">
      <formula>25000</formula>
    </cfRule>
    <cfRule type="cellIs" dxfId="258" priority="56" operator="lessThan">
      <formula>50000</formula>
    </cfRule>
  </conditionalFormatting>
  <conditionalFormatting sqref="AG16">
    <cfRule type="cellIs" dxfId="257" priority="51" operator="lessThan">
      <formula>20000</formula>
    </cfRule>
    <cfRule type="cellIs" dxfId="256" priority="52" operator="lessThan">
      <formula>25000</formula>
    </cfRule>
    <cfRule type="cellIs" dxfId="255" priority="53" operator="lessThan">
      <formula>50000</formula>
    </cfRule>
  </conditionalFormatting>
  <conditionalFormatting sqref="AG28:AG29">
    <cfRule type="cellIs" dxfId="254" priority="48" operator="lessThan">
      <formula>20000</formula>
    </cfRule>
    <cfRule type="cellIs" dxfId="253" priority="49" operator="lessThan">
      <formula>25000</formula>
    </cfRule>
    <cfRule type="cellIs" dxfId="252" priority="50" operator="lessThan">
      <formula>50000</formula>
    </cfRule>
  </conditionalFormatting>
  <conditionalFormatting sqref="AG58:AG59">
    <cfRule type="cellIs" dxfId="251" priority="45" operator="lessThan">
      <formula>20000</formula>
    </cfRule>
    <cfRule type="cellIs" dxfId="250" priority="46" operator="lessThan">
      <formula>25000</formula>
    </cfRule>
    <cfRule type="cellIs" dxfId="249" priority="47" operator="lessThan">
      <formula>50000</formula>
    </cfRule>
  </conditionalFormatting>
  <conditionalFormatting sqref="AG23">
    <cfRule type="cellIs" dxfId="248" priority="42" operator="lessThan">
      <formula>20000</formula>
    </cfRule>
    <cfRule type="cellIs" dxfId="247" priority="43" operator="lessThan">
      <formula>25000</formula>
    </cfRule>
    <cfRule type="cellIs" dxfId="246" priority="44" operator="lessThan">
      <formula>50000</formula>
    </cfRule>
  </conditionalFormatting>
  <conditionalFormatting sqref="AG10">
    <cfRule type="cellIs" dxfId="245" priority="39" operator="lessThan">
      <formula>20000</formula>
    </cfRule>
    <cfRule type="cellIs" dxfId="244" priority="40" operator="lessThan">
      <formula>25000</formula>
    </cfRule>
    <cfRule type="cellIs" dxfId="243" priority="41" operator="lessThan">
      <formula>50000</formula>
    </cfRule>
  </conditionalFormatting>
  <conditionalFormatting sqref="AG55:AG56">
    <cfRule type="cellIs" dxfId="242" priority="36" operator="lessThan">
      <formula>20000</formula>
    </cfRule>
    <cfRule type="cellIs" dxfId="241" priority="37" operator="lessThan">
      <formula>25000</formula>
    </cfRule>
    <cfRule type="cellIs" dxfId="240" priority="38" operator="lessThan">
      <formula>50000</formula>
    </cfRule>
  </conditionalFormatting>
  <conditionalFormatting sqref="AG37">
    <cfRule type="cellIs" dxfId="239" priority="33" operator="lessThan">
      <formula>20000</formula>
    </cfRule>
    <cfRule type="cellIs" dxfId="238" priority="34" operator="lessThan">
      <formula>25000</formula>
    </cfRule>
    <cfRule type="cellIs" dxfId="237" priority="35" operator="lessThan">
      <formula>50000</formula>
    </cfRule>
  </conditionalFormatting>
  <conditionalFormatting sqref="AG17">
    <cfRule type="cellIs" dxfId="236" priority="30" operator="lessThan">
      <formula>20000</formula>
    </cfRule>
    <cfRule type="cellIs" dxfId="235" priority="31" operator="lessThan">
      <formula>25000</formula>
    </cfRule>
    <cfRule type="cellIs" dxfId="234" priority="32" operator="lessThan">
      <formula>50000</formula>
    </cfRule>
  </conditionalFormatting>
  <conditionalFormatting sqref="AG39">
    <cfRule type="cellIs" dxfId="233" priority="27" operator="lessThan">
      <formula>20000</formula>
    </cfRule>
    <cfRule type="cellIs" dxfId="232" priority="28" operator="lessThan">
      <formula>25000</formula>
    </cfRule>
    <cfRule type="cellIs" dxfId="231" priority="29" operator="lessThan">
      <formula>50000</formula>
    </cfRule>
  </conditionalFormatting>
  <conditionalFormatting sqref="AG12">
    <cfRule type="cellIs" dxfId="230" priority="24" operator="lessThan">
      <formula>20000</formula>
    </cfRule>
    <cfRule type="cellIs" dxfId="229" priority="25" operator="lessThan">
      <formula>25000</formula>
    </cfRule>
    <cfRule type="cellIs" dxfId="228" priority="26" operator="lessThan">
      <formula>50000</formula>
    </cfRule>
  </conditionalFormatting>
  <conditionalFormatting sqref="B63:AE63">
    <cfRule type="cellIs" dxfId="227" priority="22" operator="lessThan">
      <formula>0</formula>
    </cfRule>
    <cfRule type="cellIs" dxfId="226" priority="23" operator="greaterThan">
      <formula>0</formula>
    </cfRule>
  </conditionalFormatting>
  <conditionalFormatting sqref="AG30">
    <cfRule type="cellIs" dxfId="225" priority="19" operator="lessThan">
      <formula>20000</formula>
    </cfRule>
    <cfRule type="cellIs" dxfId="224" priority="20" operator="lessThan">
      <formula>25000</formula>
    </cfRule>
    <cfRule type="cellIs" dxfId="223" priority="21" operator="lessThan">
      <formula>50000</formula>
    </cfRule>
  </conditionalFormatting>
  <conditionalFormatting sqref="AG9">
    <cfRule type="cellIs" dxfId="222" priority="16" operator="lessThan">
      <formula>20000</formula>
    </cfRule>
    <cfRule type="cellIs" dxfId="221" priority="17" operator="lessThan">
      <formula>25000</formula>
    </cfRule>
    <cfRule type="cellIs" dxfId="220" priority="18" operator="lessThan">
      <formula>50000</formula>
    </cfRule>
  </conditionalFormatting>
  <conditionalFormatting sqref="AG18">
    <cfRule type="cellIs" dxfId="219" priority="13" operator="lessThan">
      <formula>20000</formula>
    </cfRule>
    <cfRule type="cellIs" dxfId="218" priority="14" operator="lessThan">
      <formula>25000</formula>
    </cfRule>
    <cfRule type="cellIs" dxfId="217" priority="15" operator="lessThan">
      <formula>50000</formula>
    </cfRule>
  </conditionalFormatting>
  <conditionalFormatting sqref="AG24">
    <cfRule type="cellIs" dxfId="216" priority="10" operator="lessThan">
      <formula>20000</formula>
    </cfRule>
    <cfRule type="cellIs" dxfId="215" priority="11" operator="lessThan">
      <formula>25000</formula>
    </cfRule>
    <cfRule type="cellIs" dxfId="214" priority="12" operator="lessThan">
      <formula>50000</formula>
    </cfRule>
  </conditionalFormatting>
  <conditionalFormatting sqref="AG31">
    <cfRule type="cellIs" dxfId="213" priority="7" operator="lessThan">
      <formula>20000</formula>
    </cfRule>
    <cfRule type="cellIs" dxfId="212" priority="8" operator="lessThan">
      <formula>25000</formula>
    </cfRule>
    <cfRule type="cellIs" dxfId="211" priority="9" operator="lessThan">
      <formula>50000</formula>
    </cfRule>
  </conditionalFormatting>
  <conditionalFormatting sqref="AG46">
    <cfRule type="cellIs" dxfId="210" priority="4" operator="lessThan">
      <formula>20000</formula>
    </cfRule>
    <cfRule type="cellIs" dxfId="209" priority="5" operator="lessThan">
      <formula>25000</formula>
    </cfRule>
    <cfRule type="cellIs" dxfId="208" priority="6" operator="lessThan">
      <formula>50000</formula>
    </cfRule>
  </conditionalFormatting>
  <conditionalFormatting sqref="AG48">
    <cfRule type="cellIs" dxfId="207" priority="1" operator="lessThan">
      <formula>20000</formula>
    </cfRule>
    <cfRule type="cellIs" dxfId="206" priority="2" operator="lessThan">
      <formula>25000</formula>
    </cfRule>
    <cfRule type="cellIs" dxfId="205" priority="3" operator="lessThan">
      <formula>50000</formula>
    </cfRule>
  </conditionalFormatting>
  <pageMargins left="0.7" right="0.7" top="0.75" bottom="0.75" header="0.3" footer="0.3"/>
  <pageSetup scale="130" orientation="portrait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5EEA2-E683-42DD-A505-698CD00DD59E}">
  <sheetPr codeName="Sheet358"/>
  <dimension ref="A1:BB68"/>
  <sheetViews>
    <sheetView workbookViewId="0">
      <selection sqref="A1:A2"/>
    </sheetView>
  </sheetViews>
  <sheetFormatPr defaultColWidth="8.85546875" defaultRowHeight="15"/>
  <cols>
    <col min="1" max="1" width="21.85546875" style="974" bestFit="1" customWidth="1"/>
    <col min="2" max="4" width="8.28515625" style="974" customWidth="1"/>
    <col min="5" max="6" width="8.42578125" style="974" customWidth="1"/>
    <col min="7" max="7" width="8.5703125" style="974" customWidth="1"/>
    <col min="8" max="10" width="8.42578125" style="974" customWidth="1"/>
    <col min="11" max="12" width="8.28515625" style="974" customWidth="1"/>
    <col min="13" max="15" width="8.42578125" style="974" customWidth="1"/>
    <col min="16" max="19" width="8.5703125" style="974" customWidth="1"/>
    <col min="20" max="20" width="8.28515625" style="974" customWidth="1"/>
    <col min="21" max="21" width="8.5703125" style="974" customWidth="1"/>
    <col min="22" max="22" width="8.7109375" style="974" customWidth="1"/>
    <col min="23" max="28" width="8.5703125" style="974" customWidth="1"/>
    <col min="29" max="29" width="8.5703125" style="974" bestFit="1" customWidth="1"/>
    <col min="30" max="32" width="8.5703125" style="974" customWidth="1"/>
    <col min="33" max="33" width="12.28515625" style="934" customWidth="1"/>
    <col min="34" max="34" width="18" style="934" customWidth="1"/>
    <col min="35" max="35" width="18.28515625" style="934" customWidth="1"/>
    <col min="36" max="36" width="5.85546875" style="934" customWidth="1"/>
    <col min="37" max="37" width="8.42578125" style="934" customWidth="1"/>
    <col min="38" max="40" width="5.85546875" style="934" customWidth="1"/>
    <col min="41" max="41" width="12.42578125" style="934" customWidth="1"/>
    <col min="42" max="42" width="6.5703125" style="934" customWidth="1"/>
    <col min="43" max="43" width="3.42578125" style="934" customWidth="1"/>
    <col min="44" max="44" width="8.28515625" style="974" customWidth="1"/>
    <col min="45" max="45" width="10.7109375" style="934" customWidth="1"/>
    <col min="46" max="46" width="21.28515625" style="934" bestFit="1" customWidth="1"/>
    <col min="47" max="16384" width="8.85546875" style="934"/>
  </cols>
  <sheetData>
    <row r="1" spans="1:46">
      <c r="A1" s="1251" t="s">
        <v>77</v>
      </c>
      <c r="B1" s="250" t="s">
        <v>92</v>
      </c>
      <c r="C1" s="250" t="s">
        <v>93</v>
      </c>
      <c r="D1" s="250" t="s">
        <v>87</v>
      </c>
      <c r="E1" s="250" t="s">
        <v>88</v>
      </c>
      <c r="F1" s="250" t="s">
        <v>89</v>
      </c>
      <c r="G1" s="250" t="s">
        <v>90</v>
      </c>
      <c r="H1" s="250" t="s">
        <v>91</v>
      </c>
      <c r="I1" s="250" t="s">
        <v>92</v>
      </c>
      <c r="J1" s="250" t="s">
        <v>93</v>
      </c>
      <c r="K1" s="250" t="s">
        <v>87</v>
      </c>
      <c r="L1" s="250" t="s">
        <v>88</v>
      </c>
      <c r="M1" s="250" t="s">
        <v>89</v>
      </c>
      <c r="N1" s="250" t="s">
        <v>90</v>
      </c>
      <c r="O1" s="250" t="s">
        <v>91</v>
      </c>
      <c r="P1" s="250" t="s">
        <v>92</v>
      </c>
      <c r="Q1" s="250" t="s">
        <v>93</v>
      </c>
      <c r="R1" s="250" t="s">
        <v>87</v>
      </c>
      <c r="S1" s="250" t="s">
        <v>88</v>
      </c>
      <c r="T1" s="250" t="s">
        <v>89</v>
      </c>
      <c r="U1" s="250" t="s">
        <v>90</v>
      </c>
      <c r="V1" s="250" t="s">
        <v>91</v>
      </c>
      <c r="W1" s="250" t="s">
        <v>92</v>
      </c>
      <c r="X1" s="250" t="s">
        <v>93</v>
      </c>
      <c r="Y1" s="250" t="s">
        <v>87</v>
      </c>
      <c r="Z1" s="250" t="s">
        <v>88</v>
      </c>
      <c r="AA1" s="250" t="s">
        <v>89</v>
      </c>
      <c r="AB1" s="250" t="s">
        <v>90</v>
      </c>
      <c r="AC1" s="250" t="s">
        <v>91</v>
      </c>
      <c r="AD1" s="250" t="s">
        <v>92</v>
      </c>
      <c r="AE1" s="250" t="s">
        <v>93</v>
      </c>
      <c r="AF1" s="250" t="s">
        <v>87</v>
      </c>
      <c r="AG1" s="1253" t="s">
        <v>31</v>
      </c>
      <c r="AH1" s="1282" t="s">
        <v>190</v>
      </c>
      <c r="AO1" s="974" t="s">
        <v>222</v>
      </c>
    </row>
    <row r="2" spans="1:46" ht="15.75" thickBot="1">
      <c r="A2" s="1280"/>
      <c r="B2" s="251">
        <v>44835</v>
      </c>
      <c r="C2" s="251">
        <v>44836</v>
      </c>
      <c r="D2" s="251">
        <v>44837</v>
      </c>
      <c r="E2" s="251">
        <v>44838</v>
      </c>
      <c r="F2" s="251">
        <v>44839</v>
      </c>
      <c r="G2" s="251">
        <v>44840</v>
      </c>
      <c r="H2" s="251">
        <v>44841</v>
      </c>
      <c r="I2" s="251">
        <v>44842</v>
      </c>
      <c r="J2" s="251">
        <v>44843</v>
      </c>
      <c r="K2" s="251">
        <v>44844</v>
      </c>
      <c r="L2" s="251">
        <v>44845</v>
      </c>
      <c r="M2" s="251">
        <v>44846</v>
      </c>
      <c r="N2" s="251">
        <v>44847</v>
      </c>
      <c r="O2" s="251">
        <v>44848</v>
      </c>
      <c r="P2" s="251">
        <v>44849</v>
      </c>
      <c r="Q2" s="251">
        <v>44850</v>
      </c>
      <c r="R2" s="251">
        <v>44851</v>
      </c>
      <c r="S2" s="251">
        <v>44852</v>
      </c>
      <c r="T2" s="251">
        <v>44853</v>
      </c>
      <c r="U2" s="251">
        <v>44854</v>
      </c>
      <c r="V2" s="251">
        <v>44855</v>
      </c>
      <c r="W2" s="251">
        <v>44856</v>
      </c>
      <c r="X2" s="251">
        <v>44857</v>
      </c>
      <c r="Y2" s="251">
        <v>44858</v>
      </c>
      <c r="Z2" s="251">
        <v>44859</v>
      </c>
      <c r="AA2" s="251">
        <v>44860</v>
      </c>
      <c r="AB2" s="251">
        <v>44861</v>
      </c>
      <c r="AC2" s="251">
        <v>44862</v>
      </c>
      <c r="AD2" s="251">
        <v>44863</v>
      </c>
      <c r="AE2" s="251">
        <v>44864</v>
      </c>
      <c r="AF2" s="251">
        <v>44865</v>
      </c>
      <c r="AG2" s="1281"/>
      <c r="AH2" s="1283"/>
      <c r="AJ2" s="974"/>
      <c r="AK2" s="974" t="s">
        <v>705</v>
      </c>
      <c r="AL2" s="974"/>
      <c r="AM2" s="974"/>
      <c r="AN2" s="974"/>
      <c r="AO2" s="974" t="s">
        <v>132</v>
      </c>
      <c r="AP2" s="974"/>
      <c r="AQ2" s="937"/>
      <c r="AR2" s="756" t="s">
        <v>316</v>
      </c>
      <c r="AS2" s="937" t="s">
        <v>326</v>
      </c>
      <c r="AT2" s="937"/>
    </row>
    <row r="3" spans="1:46" ht="11.45" customHeight="1">
      <c r="A3" s="194" t="s">
        <v>185</v>
      </c>
      <c r="B3" s="700"/>
      <c r="C3" s="701"/>
      <c r="D3" s="737"/>
      <c r="E3" s="736">
        <f>'10.04.22'!E11+'10.04.22'!E21</f>
        <v>13157.5</v>
      </c>
      <c r="F3" s="736"/>
      <c r="G3" s="736">
        <f>'10.06.22'!E19</f>
        <v>7942</v>
      </c>
      <c r="H3" s="736"/>
      <c r="I3" s="736">
        <f>'10.08.22'!E8+'10.08.22'!E18</f>
        <v>12635</v>
      </c>
      <c r="J3" s="736"/>
      <c r="K3" s="512"/>
      <c r="L3" s="512"/>
      <c r="M3" s="512"/>
      <c r="N3" s="512"/>
      <c r="O3" s="512"/>
      <c r="P3" s="512"/>
      <c r="Q3" s="512"/>
      <c r="R3" s="638"/>
      <c r="S3" s="638"/>
      <c r="T3" s="638"/>
      <c r="U3" s="640">
        <f>'10.20.22'!E11</f>
        <v>7096.5</v>
      </c>
      <c r="V3" s="638"/>
      <c r="W3" s="640">
        <f>'10.22.22'!E11 + '10.22.22'!E21</f>
        <v>13471</v>
      </c>
      <c r="X3" s="638"/>
      <c r="Y3" s="701"/>
      <c r="Z3" s="701"/>
      <c r="AA3" s="701"/>
      <c r="AB3" s="701">
        <f>'10.27.22'!E11+'10.27.22'!E21</f>
        <v>14763</v>
      </c>
      <c r="AC3" s="701"/>
      <c r="AD3" s="701">
        <f>'10.29.22'!E11+'10.29.22'!E21</f>
        <v>13043.5</v>
      </c>
      <c r="AE3" s="701"/>
      <c r="AF3" s="512">
        <f>'10.31.22'!E21+'10.31.22'!E31</f>
        <v>11096</v>
      </c>
      <c r="AG3" s="189">
        <f t="shared" ref="AG3:AG34" si="0">SUM(B3:AF3)</f>
        <v>93204.5</v>
      </c>
      <c r="AH3" s="189">
        <f>449000-AG3+350000</f>
        <v>705795.5</v>
      </c>
      <c r="AI3" s="194" t="str">
        <f t="shared" ref="AI3:AI34" si="1">A3</f>
        <v>8E8 Thai Street Food</v>
      </c>
      <c r="AK3" s="234">
        <f>AG3</f>
        <v>93204.5</v>
      </c>
      <c r="AO3" s="234">
        <v>415532</v>
      </c>
      <c r="AP3" s="234"/>
      <c r="AQ3" s="979">
        <v>1</v>
      </c>
      <c r="AR3" s="981">
        <f t="shared" ref="AR3:AR60" si="2">AS3/9.75</f>
        <v>51180.666666666664</v>
      </c>
      <c r="AS3" s="977">
        <v>499011.5</v>
      </c>
      <c r="AT3" s="978" t="s">
        <v>70</v>
      </c>
    </row>
    <row r="4" spans="1:46" ht="10.15" customHeight="1">
      <c r="A4" s="194" t="s">
        <v>330</v>
      </c>
      <c r="B4" s="452"/>
      <c r="C4" s="512"/>
      <c r="D4" s="737"/>
      <c r="E4" s="736"/>
      <c r="F4" s="736"/>
      <c r="G4" s="736"/>
      <c r="H4" s="736"/>
      <c r="I4" s="736"/>
      <c r="J4" s="736">
        <f>'10.09.22'!E21</f>
        <v>5956.5</v>
      </c>
      <c r="K4" s="591">
        <f>'10.10.22'!E10</f>
        <v>5367.5</v>
      </c>
      <c r="L4" s="591"/>
      <c r="M4" s="591">
        <f>'10.12.22'!E10</f>
        <v>5082.5</v>
      </c>
      <c r="N4" s="591"/>
      <c r="O4" s="591">
        <f>'10.14.22'!E19+'10.14.22'!E29</f>
        <v>7191.5</v>
      </c>
      <c r="P4" s="591"/>
      <c r="Q4" s="591"/>
      <c r="R4" s="638">
        <f>'10.17.22'!E7</f>
        <v>6070.5</v>
      </c>
      <c r="S4" s="638"/>
      <c r="T4" s="638"/>
      <c r="U4" s="640">
        <f>'10.20.22'!E21 + '10.20.22'!E31</f>
        <v>7685.5</v>
      </c>
      <c r="V4" s="640">
        <f>'10.21.22'!E29</f>
        <v>2270.5</v>
      </c>
      <c r="W4" s="638"/>
      <c r="X4" s="638"/>
      <c r="Y4" s="512"/>
      <c r="Z4" s="512"/>
      <c r="AA4" s="512"/>
      <c r="AB4" s="512"/>
      <c r="AC4" s="512"/>
      <c r="AD4" s="512"/>
      <c r="AE4" s="512"/>
      <c r="AF4" s="512"/>
      <c r="AG4" s="189">
        <f t="shared" si="0"/>
        <v>39624.5</v>
      </c>
      <c r="AH4" s="189">
        <v>99000</v>
      </c>
      <c r="AI4" s="194" t="str">
        <f t="shared" si="1"/>
        <v>Aloha Friday</v>
      </c>
      <c r="AK4" s="234">
        <f t="shared" ref="AK4:AK60" si="3">AG4</f>
        <v>39624.5</v>
      </c>
      <c r="AO4" s="234"/>
      <c r="AP4" s="234"/>
      <c r="AQ4" s="979"/>
      <c r="AR4" s="981"/>
      <c r="AS4" s="977"/>
      <c r="AT4" s="978"/>
    </row>
    <row r="5" spans="1:46" ht="10.15" customHeight="1">
      <c r="A5" s="194" t="s">
        <v>164</v>
      </c>
      <c r="B5" s="700"/>
      <c r="C5" s="701">
        <f>'10.02.22'!E27</f>
        <v>1985.5</v>
      </c>
      <c r="D5" s="737"/>
      <c r="E5" s="737"/>
      <c r="F5" s="737"/>
      <c r="G5" s="737"/>
      <c r="H5" s="737"/>
      <c r="I5" s="737"/>
      <c r="J5" s="736">
        <f>'10.09.22'!E17+'10.09.22'!E27</f>
        <v>6878</v>
      </c>
      <c r="K5" s="452"/>
      <c r="L5" s="452"/>
      <c r="M5" s="452"/>
      <c r="N5" s="452"/>
      <c r="O5" s="452"/>
      <c r="P5" s="452"/>
      <c r="Q5" s="452"/>
      <c r="R5" s="639"/>
      <c r="S5" s="639"/>
      <c r="T5" s="639"/>
      <c r="U5" s="639"/>
      <c r="V5" s="638"/>
      <c r="W5" s="639"/>
      <c r="X5" s="640">
        <f>'10.23.22'!E8 + '10.23.22'!E18</f>
        <v>8683</v>
      </c>
      <c r="Y5" s="700"/>
      <c r="Z5" s="700"/>
      <c r="AA5" s="700"/>
      <c r="AB5" s="700"/>
      <c r="AC5" s="700"/>
      <c r="AD5" s="700"/>
      <c r="AE5" s="700">
        <f>'10.30.22'!E17+'10.30.22'!E27</f>
        <v>7666.5</v>
      </c>
      <c r="AF5" s="452"/>
      <c r="AG5" s="189">
        <f t="shared" si="0"/>
        <v>25213</v>
      </c>
      <c r="AH5" s="189">
        <f>449000-AG5</f>
        <v>423787</v>
      </c>
      <c r="AI5" s="194" t="str">
        <f t="shared" si="1"/>
        <v>Austyn's Burgers</v>
      </c>
      <c r="AK5" s="234">
        <f t="shared" si="3"/>
        <v>25213</v>
      </c>
      <c r="AO5" s="234">
        <v>270375.5</v>
      </c>
      <c r="AP5" s="234"/>
      <c r="AQ5" s="979">
        <v>2</v>
      </c>
      <c r="AR5" s="981">
        <f t="shared" si="2"/>
        <v>42618.666666666664</v>
      </c>
      <c r="AS5" s="977">
        <v>415532</v>
      </c>
      <c r="AT5" s="978" t="s">
        <v>185</v>
      </c>
    </row>
    <row r="6" spans="1:46" ht="10.15" customHeight="1">
      <c r="A6" s="195" t="s">
        <v>51</v>
      </c>
      <c r="B6" s="702"/>
      <c r="C6" s="702"/>
      <c r="D6" s="738">
        <f>'10.03.22'!E10</f>
        <v>2660</v>
      </c>
      <c r="E6" s="738">
        <f>'10.04.22'!E7+'10.04.22'!E17</f>
        <v>6707</v>
      </c>
      <c r="F6" s="738"/>
      <c r="G6" s="738"/>
      <c r="H6" s="738"/>
      <c r="I6" s="738"/>
      <c r="J6" s="738"/>
      <c r="K6" s="589"/>
      <c r="L6" s="589"/>
      <c r="M6" s="589"/>
      <c r="N6" s="589"/>
      <c r="O6" s="589">
        <f>'10.14.22'!E31</f>
        <v>1140</v>
      </c>
      <c r="P6" s="589"/>
      <c r="Q6" s="589"/>
      <c r="R6" s="640"/>
      <c r="S6" s="640"/>
      <c r="T6" s="640"/>
      <c r="U6" s="640">
        <f>'10.20.22'!E7</f>
        <v>3638.5</v>
      </c>
      <c r="V6" s="640"/>
      <c r="W6" s="640"/>
      <c r="X6" s="640"/>
      <c r="Y6" s="702"/>
      <c r="Z6" s="702">
        <f>'10.25.22'!E9</f>
        <v>3477</v>
      </c>
      <c r="AA6" s="702"/>
      <c r="AB6" s="702"/>
      <c r="AC6" s="702"/>
      <c r="AD6" s="702"/>
      <c r="AE6" s="702"/>
      <c r="AF6" s="252"/>
      <c r="AG6" s="189">
        <f t="shared" si="0"/>
        <v>17622.5</v>
      </c>
      <c r="AH6" s="961">
        <f>100000-AG6+350000</f>
        <v>432377.5</v>
      </c>
      <c r="AI6" s="194" t="str">
        <f t="shared" si="1"/>
        <v>Baby's Burgers</v>
      </c>
      <c r="AK6" s="234">
        <f t="shared" si="3"/>
        <v>17622.5</v>
      </c>
      <c r="AO6" s="234">
        <v>128995</v>
      </c>
      <c r="AP6" s="234"/>
      <c r="AQ6" s="979">
        <v>3</v>
      </c>
      <c r="AR6" s="981">
        <f t="shared" si="2"/>
        <v>37149.794871794875</v>
      </c>
      <c r="AS6" s="977">
        <v>362210.5</v>
      </c>
      <c r="AT6" s="978" t="s">
        <v>53</v>
      </c>
    </row>
    <row r="7" spans="1:46" ht="10.15" customHeight="1">
      <c r="A7" s="195" t="s">
        <v>62</v>
      </c>
      <c r="B7" s="702"/>
      <c r="C7" s="702"/>
      <c r="D7" s="738"/>
      <c r="E7" s="738"/>
      <c r="F7" s="738"/>
      <c r="G7" s="738"/>
      <c r="H7" s="738">
        <f>'10.07.22'!E21</f>
        <v>1016.5</v>
      </c>
      <c r="I7" s="738"/>
      <c r="J7" s="738"/>
      <c r="K7" s="589"/>
      <c r="L7" s="589">
        <f>'10.11.22'!E19</f>
        <v>2650.5</v>
      </c>
      <c r="M7" s="589"/>
      <c r="N7" s="589"/>
      <c r="O7" s="589"/>
      <c r="P7" s="589"/>
      <c r="Q7" s="589"/>
      <c r="R7" s="640"/>
      <c r="S7" s="640"/>
      <c r="T7" s="640"/>
      <c r="U7" s="640"/>
      <c r="V7" s="640">
        <f>'10.21.22'!E10 + '10.21.22'!E20</f>
        <v>3448.5</v>
      </c>
      <c r="W7" s="640">
        <f>'10.22.22'!E19</f>
        <v>1795.5</v>
      </c>
      <c r="X7" s="640"/>
      <c r="Y7" s="702">
        <f>'10.24.22'!E10+'10.24.22'!E20</f>
        <v>3999.5</v>
      </c>
      <c r="Z7" s="702"/>
      <c r="AA7" s="702"/>
      <c r="AB7" s="702"/>
      <c r="AC7" s="702"/>
      <c r="AD7" s="702"/>
      <c r="AE7" s="702">
        <f>'10.30.22'!E10+'10.30.22'!E20</f>
        <v>2498.5</v>
      </c>
      <c r="AF7" s="252"/>
      <c r="AG7" s="189">
        <f t="shared" si="0"/>
        <v>15409</v>
      </c>
      <c r="AH7" s="961">
        <f>100000-AG7</f>
        <v>84591</v>
      </c>
      <c r="AI7" s="194" t="str">
        <f t="shared" si="1"/>
        <v>Belly's Sliders Wings</v>
      </c>
      <c r="AK7" s="234">
        <f t="shared" si="3"/>
        <v>15409</v>
      </c>
      <c r="AO7" s="234">
        <v>67842.5</v>
      </c>
      <c r="AP7" s="234"/>
      <c r="AQ7" s="979">
        <v>4</v>
      </c>
      <c r="AR7" s="981">
        <f t="shared" si="2"/>
        <v>34980.051282051281</v>
      </c>
      <c r="AS7" s="977">
        <v>341055.5</v>
      </c>
      <c r="AT7" s="978" t="s">
        <v>65</v>
      </c>
    </row>
    <row r="8" spans="1:46" ht="10.15" customHeight="1">
      <c r="A8" s="195" t="s">
        <v>12</v>
      </c>
      <c r="B8" s="702"/>
      <c r="C8" s="702">
        <f>'10.02.22'!E18</f>
        <v>2878.5</v>
      </c>
      <c r="D8" s="738">
        <f>'10.03.22'!E29</f>
        <v>2118.5</v>
      </c>
      <c r="E8" s="738"/>
      <c r="F8" s="738">
        <f>'10.05.22'!E10</f>
        <v>2878.5</v>
      </c>
      <c r="G8" s="738"/>
      <c r="H8" s="738"/>
      <c r="I8" s="738"/>
      <c r="J8" s="738">
        <f>'10.09.22'!E8</f>
        <v>3287</v>
      </c>
      <c r="K8" s="589">
        <f>'10.10.22'!E30</f>
        <v>1909.5</v>
      </c>
      <c r="L8" s="589"/>
      <c r="M8" s="589"/>
      <c r="N8" s="589">
        <f>'10.13.22'!E29</f>
        <v>1643.5</v>
      </c>
      <c r="O8" s="589"/>
      <c r="P8" s="589"/>
      <c r="Q8" s="589">
        <f>'10.16.22'!E19+'10.16.22'!E29</f>
        <v>5766.5</v>
      </c>
      <c r="R8" s="640"/>
      <c r="S8" s="640">
        <f>'10.18.22'!E11</f>
        <v>2356</v>
      </c>
      <c r="T8" s="640"/>
      <c r="U8" s="640"/>
      <c r="V8" s="640"/>
      <c r="W8" s="640"/>
      <c r="X8" s="640"/>
      <c r="Y8" s="702">
        <f>'10.24.22'!E27</f>
        <v>2318</v>
      </c>
      <c r="Z8" s="702">
        <f>'10.25.22'!E27</f>
        <v>1871.5</v>
      </c>
      <c r="AA8" s="702">
        <f>'10.26.22'!E7</f>
        <v>3315.5</v>
      </c>
      <c r="AB8" s="702"/>
      <c r="AC8" s="702"/>
      <c r="AD8" s="702"/>
      <c r="AE8" s="702"/>
      <c r="AF8" s="252"/>
      <c r="AG8" s="189">
        <f t="shared" si="0"/>
        <v>30343</v>
      </c>
      <c r="AH8" s="961">
        <f>100000-AG8</f>
        <v>69657</v>
      </c>
      <c r="AI8" s="194" t="str">
        <f t="shared" si="1"/>
        <v>Bison Burger</v>
      </c>
      <c r="AK8" s="234">
        <f t="shared" si="3"/>
        <v>30343</v>
      </c>
      <c r="AO8" s="234">
        <v>36161.5</v>
      </c>
      <c r="AP8" s="234"/>
      <c r="AQ8" s="979">
        <v>5</v>
      </c>
      <c r="AR8" s="981">
        <f t="shared" si="2"/>
        <v>30042.153846153848</v>
      </c>
      <c r="AS8" s="977">
        <v>292911</v>
      </c>
      <c r="AT8" s="978" t="s">
        <v>235</v>
      </c>
    </row>
    <row r="9" spans="1:46" ht="10.15" customHeight="1">
      <c r="A9" s="195" t="s">
        <v>331</v>
      </c>
      <c r="B9" s="702"/>
      <c r="C9" s="702"/>
      <c r="D9" s="738"/>
      <c r="E9" s="738">
        <f>'10.04.22'!E28</f>
        <v>3971</v>
      </c>
      <c r="F9" s="738">
        <f>'10.05.22'!E28</f>
        <v>3401</v>
      </c>
      <c r="G9" s="738"/>
      <c r="H9" s="738"/>
      <c r="I9" s="738"/>
      <c r="J9" s="738"/>
      <c r="K9" s="589"/>
      <c r="L9" s="589">
        <f>'10.11.22'!E27</f>
        <v>4075.5</v>
      </c>
      <c r="M9" s="589"/>
      <c r="N9" s="589"/>
      <c r="O9" s="589">
        <f>'10.14.22'!E27</f>
        <v>2945</v>
      </c>
      <c r="P9" s="589"/>
      <c r="Q9" s="589"/>
      <c r="R9" s="640"/>
      <c r="S9" s="640">
        <f>'10.18.22'!E28</f>
        <v>4066</v>
      </c>
      <c r="T9" s="640"/>
      <c r="U9" s="640"/>
      <c r="V9" s="640">
        <f>'10.21.22'!E31</f>
        <v>2821.5</v>
      </c>
      <c r="W9" s="640"/>
      <c r="X9" s="640">
        <f>'10.23.22'!E30</f>
        <v>3572</v>
      </c>
      <c r="Y9" s="702"/>
      <c r="Z9" s="702">
        <f>'10.25.22'!E31</f>
        <v>3876</v>
      </c>
      <c r="AA9" s="702">
        <f>'10.26.22'!E27</f>
        <v>3572</v>
      </c>
      <c r="AB9" s="702"/>
      <c r="AC9" s="702"/>
      <c r="AD9" s="702">
        <f>'10.29.22'!E31</f>
        <v>2242</v>
      </c>
      <c r="AE9" s="702">
        <f>'10.30.22'!E28</f>
        <v>3705</v>
      </c>
      <c r="AF9" s="252"/>
      <c r="AG9" s="189">
        <f t="shared" si="0"/>
        <v>38247</v>
      </c>
      <c r="AH9" s="189">
        <v>99000</v>
      </c>
      <c r="AI9" s="194" t="str">
        <f t="shared" si="1"/>
        <v>Bittie Bitez</v>
      </c>
      <c r="AK9" s="234">
        <f t="shared" si="3"/>
        <v>38247</v>
      </c>
      <c r="AO9" s="234"/>
      <c r="AP9" s="234"/>
      <c r="AQ9" s="979"/>
      <c r="AR9" s="981"/>
      <c r="AS9" s="977"/>
      <c r="AT9" s="978"/>
    </row>
    <row r="10" spans="1:46" ht="10.15" customHeight="1">
      <c r="A10" s="195" t="s">
        <v>239</v>
      </c>
      <c r="B10" s="702">
        <f>'10.01.22'!E10</f>
        <v>2413</v>
      </c>
      <c r="C10" s="702">
        <f>'10.02.22'!E20+'10.02.22'!E30</f>
        <v>3410.5</v>
      </c>
      <c r="D10" s="738"/>
      <c r="E10" s="738"/>
      <c r="F10" s="738">
        <f>'10.05.22'!E31</f>
        <v>665</v>
      </c>
      <c r="G10" s="738"/>
      <c r="H10" s="738"/>
      <c r="I10" s="738">
        <f>'10.08.22'!E30</f>
        <v>978.5</v>
      </c>
      <c r="J10" s="738">
        <f>'10.09.22'!E30</f>
        <v>1311</v>
      </c>
      <c r="K10" s="589"/>
      <c r="L10" s="589"/>
      <c r="M10" s="589"/>
      <c r="N10" s="589"/>
      <c r="O10" s="589">
        <f>'10.14.22'!E17+'10.14.22'!E28</f>
        <v>2669.5</v>
      </c>
      <c r="P10" s="589"/>
      <c r="Q10" s="589"/>
      <c r="R10" s="640">
        <f>'10.17.22'!E19</f>
        <v>2223</v>
      </c>
      <c r="S10" s="640"/>
      <c r="T10" s="640">
        <f>'10.19.22'!E8+'10.19.22'!E18</f>
        <v>3980.5</v>
      </c>
      <c r="U10" s="640"/>
      <c r="V10" s="640"/>
      <c r="W10" s="640"/>
      <c r="X10" s="640"/>
      <c r="Y10" s="702"/>
      <c r="Z10" s="702"/>
      <c r="AA10" s="702"/>
      <c r="AB10" s="702"/>
      <c r="AC10" s="702">
        <f>'10.28.22'!E7</f>
        <v>2451</v>
      </c>
      <c r="AD10" s="702"/>
      <c r="AE10" s="702"/>
      <c r="AF10" s="252">
        <f>'10.31.22'!E20</f>
        <v>2280</v>
      </c>
      <c r="AG10" s="189">
        <f t="shared" si="0"/>
        <v>22382</v>
      </c>
      <c r="AH10" s="961">
        <f>100000-AG10</f>
        <v>77618</v>
      </c>
      <c r="AI10" s="194" t="str">
        <f t="shared" si="1"/>
        <v>Bollywood Kitchen</v>
      </c>
      <c r="AK10" s="234">
        <f t="shared" si="3"/>
        <v>22382</v>
      </c>
      <c r="AO10" s="234">
        <v>41845.5</v>
      </c>
      <c r="AP10" s="234"/>
      <c r="AQ10" s="979">
        <v>6</v>
      </c>
      <c r="AR10" s="981">
        <f t="shared" si="2"/>
        <v>27730.820512820512</v>
      </c>
      <c r="AS10" s="977">
        <v>270375.5</v>
      </c>
      <c r="AT10" s="978" t="s">
        <v>164</v>
      </c>
    </row>
    <row r="11" spans="1:46" ht="10.15" customHeight="1">
      <c r="A11" s="195" t="s">
        <v>68</v>
      </c>
      <c r="B11" s="702"/>
      <c r="C11" s="702"/>
      <c r="D11" s="252"/>
      <c r="E11" s="252"/>
      <c r="F11" s="252"/>
      <c r="G11" s="252"/>
      <c r="H11" s="252"/>
      <c r="I11" s="252"/>
      <c r="J11" s="252"/>
      <c r="K11" s="252"/>
      <c r="L11" s="252"/>
      <c r="M11" s="252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  <c r="AA11" s="252"/>
      <c r="AB11" s="252"/>
      <c r="AC11" s="252"/>
      <c r="AD11" s="252"/>
      <c r="AE11" s="252"/>
      <c r="AF11" s="252"/>
      <c r="AG11" s="189">
        <f t="shared" si="0"/>
        <v>0</v>
      </c>
      <c r="AH11" s="961">
        <f>100000-AG11</f>
        <v>100000</v>
      </c>
      <c r="AI11" s="194" t="str">
        <f t="shared" si="1"/>
        <v>Bunz Gourmet Burgers</v>
      </c>
      <c r="AK11" s="234">
        <f t="shared" si="3"/>
        <v>0</v>
      </c>
      <c r="AO11" s="234">
        <v>18672</v>
      </c>
      <c r="AP11" s="234"/>
      <c r="AQ11" s="979">
        <v>7</v>
      </c>
      <c r="AR11" s="981">
        <f t="shared" si="2"/>
        <v>23386.205128205129</v>
      </c>
      <c r="AS11" s="977">
        <v>228015.5</v>
      </c>
      <c r="AT11" s="978" t="s">
        <v>45</v>
      </c>
    </row>
    <row r="12" spans="1:46" ht="10.15" customHeight="1">
      <c r="A12" s="195" t="s">
        <v>245</v>
      </c>
      <c r="B12" s="702">
        <f>'10.01.22'!E9</f>
        <v>2945</v>
      </c>
      <c r="C12" s="702"/>
      <c r="D12" s="738"/>
      <c r="E12" s="738"/>
      <c r="F12" s="738"/>
      <c r="G12" s="738"/>
      <c r="H12" s="738"/>
      <c r="I12" s="738"/>
      <c r="J12" s="738">
        <f>'10.09.22'!E29</f>
        <v>4123</v>
      </c>
      <c r="K12" s="252"/>
      <c r="L12" s="252"/>
      <c r="M12" s="252"/>
      <c r="N12" s="252"/>
      <c r="O12" s="252"/>
      <c r="P12" s="252"/>
      <c r="Q12" s="252"/>
      <c r="R12" s="640"/>
      <c r="S12" s="640"/>
      <c r="T12" s="640"/>
      <c r="U12" s="640"/>
      <c r="V12" s="640">
        <f>'10.21.22'!E21</f>
        <v>1890.5</v>
      </c>
      <c r="W12" s="640">
        <f>'10.22.22'!E18 + '10.22.22'!E28</f>
        <v>3629</v>
      </c>
      <c r="X12" s="640">
        <f>'10.23.22'!E29</f>
        <v>1757.5</v>
      </c>
      <c r="Y12" s="702">
        <f>'10.24.22'!E31</f>
        <v>1083</v>
      </c>
      <c r="Z12" s="702"/>
      <c r="AA12" s="702">
        <f>'10.26.22'!E10</f>
        <v>2793</v>
      </c>
      <c r="AB12" s="702"/>
      <c r="AC12" s="702"/>
      <c r="AD12" s="702"/>
      <c r="AE12" s="702"/>
      <c r="AF12" s="252">
        <f>'10.31.22'!E9</f>
        <v>2935.5</v>
      </c>
      <c r="AG12" s="189">
        <f t="shared" si="0"/>
        <v>21156.5</v>
      </c>
      <c r="AH12" s="961">
        <f>100000-AG12</f>
        <v>78843.5</v>
      </c>
      <c r="AI12" s="194" t="str">
        <f t="shared" si="1"/>
        <v>Café Vietnam</v>
      </c>
      <c r="AK12" s="234">
        <f t="shared" si="3"/>
        <v>21156.5</v>
      </c>
      <c r="AO12" s="234">
        <v>32515.5</v>
      </c>
      <c r="AP12" s="234"/>
      <c r="AQ12" s="979">
        <v>8</v>
      </c>
      <c r="AR12" s="981">
        <f t="shared" si="2"/>
        <v>20230.51282051282</v>
      </c>
      <c r="AS12" s="977">
        <v>197247.5</v>
      </c>
      <c r="AT12" s="978" t="s">
        <v>143</v>
      </c>
    </row>
    <row r="13" spans="1:46" ht="10.15" customHeight="1">
      <c r="A13" s="195" t="s">
        <v>254</v>
      </c>
      <c r="B13" s="702">
        <f>'10.01.22'!E11</f>
        <v>2042.5</v>
      </c>
      <c r="C13" s="702"/>
      <c r="D13" s="738">
        <f>'10.03.22'!E28</f>
        <v>1510.5</v>
      </c>
      <c r="E13" s="738">
        <f>'10.04.22'!E8</f>
        <v>2964</v>
      </c>
      <c r="F13" s="738">
        <f>'10.05.22'!E11</f>
        <v>2698</v>
      </c>
      <c r="G13" s="738">
        <f>'10.06.22'!E10+'10.06.22'!E20</f>
        <v>5415</v>
      </c>
      <c r="H13" s="738"/>
      <c r="I13" s="738"/>
      <c r="J13" s="738">
        <f>'10.09.22'!E7</f>
        <v>3087.5</v>
      </c>
      <c r="K13" s="589">
        <f>'10.10.22'!E8</f>
        <v>2612.5</v>
      </c>
      <c r="L13" s="589"/>
      <c r="M13" s="589"/>
      <c r="N13" s="589">
        <f>'10.13.22'!E21+'10.13.22'!E31</f>
        <v>3781</v>
      </c>
      <c r="O13" s="589"/>
      <c r="P13" s="589"/>
      <c r="Q13" s="589">
        <f>'10.16.22'!E11</f>
        <v>2736</v>
      </c>
      <c r="R13" s="252"/>
      <c r="S13" s="252"/>
      <c r="T13" s="252"/>
      <c r="U13" s="252"/>
      <c r="V13" s="252"/>
      <c r="W13" s="252"/>
      <c r="X13" s="252"/>
      <c r="Y13" s="702"/>
      <c r="Z13" s="702"/>
      <c r="AA13" s="702"/>
      <c r="AB13" s="702">
        <f>'10.27.22'!E27</f>
        <v>1843</v>
      </c>
      <c r="AC13" s="702"/>
      <c r="AD13" s="702"/>
      <c r="AE13" s="702"/>
      <c r="AF13" s="252"/>
      <c r="AG13" s="189">
        <f t="shared" si="0"/>
        <v>28690</v>
      </c>
      <c r="AH13" s="961">
        <f>100000-AG13+350000</f>
        <v>421310</v>
      </c>
      <c r="AI13" s="194" t="str">
        <f t="shared" si="1"/>
        <v>Cartel Taco Truck</v>
      </c>
      <c r="AK13" s="234">
        <f t="shared" si="3"/>
        <v>28690</v>
      </c>
      <c r="AO13" s="234">
        <v>126406.5</v>
      </c>
      <c r="AP13" s="234"/>
      <c r="AQ13" s="979">
        <v>9</v>
      </c>
      <c r="AR13" s="981">
        <f t="shared" si="2"/>
        <v>19788.205128205129</v>
      </c>
      <c r="AS13" s="977">
        <v>192935</v>
      </c>
      <c r="AT13" s="978" t="s">
        <v>242</v>
      </c>
    </row>
    <row r="14" spans="1:46" ht="10.15" customHeight="1">
      <c r="A14" s="195" t="s">
        <v>49</v>
      </c>
      <c r="B14" s="702"/>
      <c r="C14" s="702"/>
      <c r="D14" s="738">
        <f>'10.03.22'!E11+'10.03.22'!E21</f>
        <v>5244</v>
      </c>
      <c r="E14" s="738">
        <f>'10.04.22'!E27</f>
        <v>2612.5</v>
      </c>
      <c r="F14" s="738"/>
      <c r="G14" s="738"/>
      <c r="H14" s="738">
        <f>'10.07.22'!E7</f>
        <v>3372.5</v>
      </c>
      <c r="I14" s="738"/>
      <c r="J14" s="738"/>
      <c r="K14" s="589">
        <f>'10.10.22'!E20</f>
        <v>3467.5</v>
      </c>
      <c r="L14" s="589">
        <f>'10.11.22'!E11</f>
        <v>3002</v>
      </c>
      <c r="M14" s="589"/>
      <c r="N14" s="589"/>
      <c r="O14" s="589"/>
      <c r="P14" s="589">
        <f>'10.15.22'!E8+'10.15.22'!E18</f>
        <v>5386.5</v>
      </c>
      <c r="Q14" s="589"/>
      <c r="R14" s="640">
        <f>'10.17.22'!E31</f>
        <v>2109</v>
      </c>
      <c r="S14" s="640">
        <f>'10.18.22'!E29</f>
        <v>2337</v>
      </c>
      <c r="T14" s="640">
        <f>'10.19.22'!E17+'10.19.22'!E27</f>
        <v>6346</v>
      </c>
      <c r="U14" s="640"/>
      <c r="V14" s="640"/>
      <c r="W14" s="640"/>
      <c r="X14" s="640"/>
      <c r="Y14" s="702">
        <f>'10.24.22'!E19+'10.24.22'!E29</f>
        <v>6070.5</v>
      </c>
      <c r="Z14" s="702"/>
      <c r="AA14" s="702">
        <f>'10.26.22'!E18</f>
        <v>4465</v>
      </c>
      <c r="AB14" s="702">
        <f>'10.27.22'!E31</f>
        <v>1567.5</v>
      </c>
      <c r="AC14" s="702">
        <f>'10.28.22'!E17</f>
        <v>3667</v>
      </c>
      <c r="AD14" s="702"/>
      <c r="AE14" s="702"/>
      <c r="AF14" s="252"/>
      <c r="AG14" s="189">
        <f t="shared" si="0"/>
        <v>49647</v>
      </c>
      <c r="AH14" s="961">
        <f>100000-AG14</f>
        <v>50353</v>
      </c>
      <c r="AI14" s="194" t="str">
        <f t="shared" si="1"/>
        <v>Cerda Vega Tacos</v>
      </c>
      <c r="AK14" s="234">
        <f t="shared" si="3"/>
        <v>49647</v>
      </c>
      <c r="AO14" s="782">
        <v>103495</v>
      </c>
      <c r="AP14" s="234"/>
      <c r="AQ14" s="979">
        <v>10</v>
      </c>
      <c r="AR14" s="981">
        <f t="shared" si="2"/>
        <v>19293.897435897437</v>
      </c>
      <c r="AS14" s="977">
        <v>188115.5</v>
      </c>
      <c r="AT14" s="978" t="s">
        <v>63</v>
      </c>
    </row>
    <row r="15" spans="1:46" ht="10.15" customHeight="1">
      <c r="A15" s="195" t="s">
        <v>235</v>
      </c>
      <c r="B15" s="702">
        <f>'10.01.22'!E28</f>
        <v>2603</v>
      </c>
      <c r="C15" s="702">
        <f>'10.02.22'!E28</f>
        <v>3676.5</v>
      </c>
      <c r="D15" s="738"/>
      <c r="E15" s="738"/>
      <c r="F15" s="738"/>
      <c r="G15" s="738"/>
      <c r="H15" s="738">
        <f>'10.07.22'!E30</f>
        <v>4294</v>
      </c>
      <c r="I15" s="738">
        <f>'10.08.22'!E28</f>
        <v>4028</v>
      </c>
      <c r="J15" s="738">
        <f>'10.09.22'!E28</f>
        <v>5054</v>
      </c>
      <c r="K15" s="589"/>
      <c r="L15" s="589"/>
      <c r="M15" s="589">
        <f>'10.12.22'!E27</f>
        <v>5035</v>
      </c>
      <c r="N15" s="589"/>
      <c r="O15" s="589"/>
      <c r="P15" s="589">
        <f>'10.15.22'!E27</f>
        <v>4788</v>
      </c>
      <c r="Q15" s="589">
        <f>'10.16.22'!E28</f>
        <v>4208.5</v>
      </c>
      <c r="R15" s="640"/>
      <c r="S15" s="640"/>
      <c r="T15" s="640">
        <f>'10.19.22'!E28</f>
        <v>5823.5</v>
      </c>
      <c r="U15" s="640"/>
      <c r="V15" s="640">
        <f>'10.21.22'!E27</f>
        <v>3648</v>
      </c>
      <c r="W15" s="640">
        <f>'10.22.22'!E27</f>
        <v>3923.5</v>
      </c>
      <c r="X15" s="640">
        <f>'10.23.22'!E28</f>
        <v>2726.5</v>
      </c>
      <c r="Y15" s="702"/>
      <c r="Z15" s="702"/>
      <c r="AA15" s="702"/>
      <c r="AB15" s="702"/>
      <c r="AC15" s="702">
        <f>'10.28.22'!E27</f>
        <v>2935.5</v>
      </c>
      <c r="AD15" s="702">
        <f>'10.29.22'!E27</f>
        <v>3021</v>
      </c>
      <c r="AE15" s="702"/>
      <c r="AF15" s="252"/>
      <c r="AG15" s="189">
        <f t="shared" si="0"/>
        <v>55765</v>
      </c>
      <c r="AH15" s="961">
        <f>100000-AG15+350000</f>
        <v>394235</v>
      </c>
      <c r="AI15" s="194" t="str">
        <f t="shared" si="1"/>
        <v>Creamy Boys</v>
      </c>
      <c r="AK15" s="234">
        <f t="shared" si="3"/>
        <v>55765</v>
      </c>
      <c r="AO15" s="234">
        <v>292911</v>
      </c>
      <c r="AP15" s="234"/>
      <c r="AQ15" s="979">
        <v>11</v>
      </c>
      <c r="AR15" s="981">
        <f t="shared" si="2"/>
        <v>17233.384615384617</v>
      </c>
      <c r="AS15" s="977">
        <v>168025.5</v>
      </c>
      <c r="AT15" s="978" t="s">
        <v>145</v>
      </c>
    </row>
    <row r="16" spans="1:46" ht="10.15" customHeight="1">
      <c r="A16" s="195" t="s">
        <v>188</v>
      </c>
      <c r="B16" s="252"/>
      <c r="C16" s="252"/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702"/>
      <c r="Z16" s="702"/>
      <c r="AA16" s="702"/>
      <c r="AB16" s="702">
        <f>'10.27.22'!E19+'10.27.22'!E29</f>
        <v>3239.5</v>
      </c>
      <c r="AC16" s="702"/>
      <c r="AD16" s="702"/>
      <c r="AE16" s="702"/>
      <c r="AF16" s="252"/>
      <c r="AG16" s="189">
        <f t="shared" si="0"/>
        <v>3239.5</v>
      </c>
      <c r="AH16" s="961">
        <f>100000-AG16</f>
        <v>96760.5</v>
      </c>
      <c r="AI16" s="194" t="str">
        <f t="shared" si="1"/>
        <v>Deli Doctor</v>
      </c>
      <c r="AK16" s="234">
        <f t="shared" si="3"/>
        <v>3239.5</v>
      </c>
      <c r="AO16" s="234">
        <v>51936.5</v>
      </c>
      <c r="AP16" s="234"/>
      <c r="AQ16" s="979">
        <v>12</v>
      </c>
      <c r="AR16" s="981">
        <f t="shared" si="2"/>
        <v>16683.333333333332</v>
      </c>
      <c r="AS16" s="977">
        <v>162662.5</v>
      </c>
      <c r="AT16" s="978" t="s">
        <v>82</v>
      </c>
    </row>
    <row r="17" spans="1:46" ht="9.75" customHeight="1">
      <c r="A17" s="195" t="s">
        <v>243</v>
      </c>
      <c r="B17" s="252">
        <f>'10.01.22'!E30</f>
        <v>3125.5</v>
      </c>
      <c r="C17" s="252">
        <f>'10.02.22'!E21</f>
        <v>3999.5</v>
      </c>
      <c r="D17" s="738">
        <f>'10.03.22'!E17+'10.03.22'!E27</f>
        <v>8797</v>
      </c>
      <c r="E17" s="738"/>
      <c r="F17" s="738"/>
      <c r="G17" s="738"/>
      <c r="H17" s="738"/>
      <c r="I17" s="738"/>
      <c r="J17" s="738"/>
      <c r="K17" s="589">
        <f>'10.10.22'!E31</f>
        <v>3876</v>
      </c>
      <c r="L17" s="589">
        <f>'10.11.22'!E28</f>
        <v>3239.5</v>
      </c>
      <c r="M17" s="589"/>
      <c r="N17" s="589">
        <f>'10.13.22'!E18</f>
        <v>5994.5</v>
      </c>
      <c r="O17" s="589"/>
      <c r="P17" s="589">
        <f>'10.15.22'!E10</f>
        <v>6773.5</v>
      </c>
      <c r="Q17" s="589">
        <f>'10.16.22'!E7+'10.16.22'!E17</f>
        <v>11580.5</v>
      </c>
      <c r="R17" s="640"/>
      <c r="S17" s="640">
        <f>'10.18.22'!E31</f>
        <v>3790.5</v>
      </c>
      <c r="T17" s="640">
        <f>'10.19.22'!E21+'10.19.22'!E31</f>
        <v>7429</v>
      </c>
      <c r="U17" s="640"/>
      <c r="V17" s="640"/>
      <c r="W17" s="640"/>
      <c r="X17" s="640">
        <f>'10.23.22'!E10 + '10.23.22'!E20</f>
        <v>11466.5</v>
      </c>
      <c r="Y17" s="702"/>
      <c r="Z17" s="702">
        <f>'10.25.22'!E21</f>
        <v>5937.5</v>
      </c>
      <c r="AA17" s="702"/>
      <c r="AB17" s="702"/>
      <c r="AC17" s="702">
        <f>'10.28.22'!E11</f>
        <v>5491</v>
      </c>
      <c r="AD17" s="702"/>
      <c r="AE17" s="702">
        <f>'10.30.22'!E7</f>
        <v>6944.5</v>
      </c>
      <c r="AF17" s="252">
        <f>'10.31.22'!E18</f>
        <v>5738</v>
      </c>
      <c r="AG17" s="189">
        <f t="shared" si="0"/>
        <v>94183</v>
      </c>
      <c r="AH17" s="961">
        <f>100000-AG17+100000</f>
        <v>105817</v>
      </c>
      <c r="AI17" s="194" t="str">
        <f t="shared" si="1"/>
        <v>Dina's Dumpling</v>
      </c>
      <c r="AK17" s="234">
        <f t="shared" si="3"/>
        <v>94183</v>
      </c>
      <c r="AO17" s="234">
        <v>70634</v>
      </c>
      <c r="AP17" s="234"/>
      <c r="AQ17" s="979">
        <v>13</v>
      </c>
      <c r="AR17" s="981">
        <f t="shared" si="2"/>
        <v>13230.25641025641</v>
      </c>
      <c r="AS17" s="977">
        <v>128995</v>
      </c>
      <c r="AT17" s="978" t="s">
        <v>51</v>
      </c>
    </row>
    <row r="18" spans="1:46" ht="10.15" customHeight="1">
      <c r="A18" s="195" t="s">
        <v>334</v>
      </c>
      <c r="B18" s="702"/>
      <c r="C18" s="702">
        <f>'10.02.22'!E17</f>
        <v>2546</v>
      </c>
      <c r="D18" s="738"/>
      <c r="E18" s="738">
        <f>'10.04.22'!E10</f>
        <v>1634</v>
      </c>
      <c r="F18" s="738"/>
      <c r="G18" s="738">
        <f>'10.06.22'!E8</f>
        <v>2422.5</v>
      </c>
      <c r="H18" s="738"/>
      <c r="I18" s="738"/>
      <c r="J18" s="738"/>
      <c r="K18" s="589"/>
      <c r="L18" s="589">
        <f>'10.11.22'!E10</f>
        <v>1729</v>
      </c>
      <c r="M18" s="589">
        <f>'10.12.22'!E21</f>
        <v>2717</v>
      </c>
      <c r="N18" s="589">
        <f>'10.13.22'!E17</f>
        <v>3420</v>
      </c>
      <c r="O18" s="589"/>
      <c r="P18" s="589"/>
      <c r="Q18" s="589">
        <f>'10.16.22'!E18</f>
        <v>3135</v>
      </c>
      <c r="R18" s="640"/>
      <c r="S18" s="640">
        <f>'10.18.22'!E9+'10.18.22'!E19</f>
        <v>5120.5</v>
      </c>
      <c r="T18" s="640"/>
      <c r="U18" s="640">
        <f>'10.20.22'!E20</f>
        <v>3125.5</v>
      </c>
      <c r="V18" s="640"/>
      <c r="W18" s="640">
        <f>'10.22.22'!E9</f>
        <v>1643.5</v>
      </c>
      <c r="X18" s="640"/>
      <c r="Y18" s="702">
        <f>'10.24.22'!E8</f>
        <v>2308.5</v>
      </c>
      <c r="Z18" s="702"/>
      <c r="AA18" s="702">
        <f>'10.26.22'!E20</f>
        <v>3182.5</v>
      </c>
      <c r="AB18" s="702"/>
      <c r="AC18" s="702"/>
      <c r="AD18" s="702"/>
      <c r="AE18" s="702"/>
      <c r="AF18" s="252">
        <f>'10.31.22'!E10</f>
        <v>1976</v>
      </c>
      <c r="AG18" s="189">
        <f t="shared" si="0"/>
        <v>34960</v>
      </c>
      <c r="AH18" s="189">
        <v>99000</v>
      </c>
      <c r="AI18" s="194" t="str">
        <f t="shared" si="1"/>
        <v>Dulce Europa</v>
      </c>
      <c r="AK18" s="234">
        <f t="shared" si="3"/>
        <v>34960</v>
      </c>
      <c r="AO18" s="234"/>
      <c r="AP18" s="234"/>
      <c r="AQ18" s="979"/>
      <c r="AR18" s="981"/>
      <c r="AS18" s="977"/>
      <c r="AT18" s="978"/>
    </row>
    <row r="19" spans="1:46" ht="10.15" customHeight="1">
      <c r="A19" s="195" t="s">
        <v>63</v>
      </c>
      <c r="B19" s="702">
        <f>'10.01.22'!E8+'10.01.22'!E18</f>
        <v>5320</v>
      </c>
      <c r="C19" s="702"/>
      <c r="D19" s="738"/>
      <c r="E19" s="738"/>
      <c r="F19" s="738"/>
      <c r="G19" s="738"/>
      <c r="H19" s="738"/>
      <c r="I19" s="738"/>
      <c r="J19" s="738">
        <f>'10.09.22'!E11</f>
        <v>2384.5</v>
      </c>
      <c r="K19" s="589">
        <f>'10.10.22'!E29</f>
        <v>2365.5</v>
      </c>
      <c r="L19" s="589"/>
      <c r="M19" s="589"/>
      <c r="N19" s="589"/>
      <c r="O19" s="589">
        <f>'10.14.22'!E18</f>
        <v>3562.5</v>
      </c>
      <c r="P19" s="589">
        <f>'10.15.22'!E20</f>
        <v>3420</v>
      </c>
      <c r="Q19" s="589"/>
      <c r="R19" s="640">
        <f>'10.17.22'!E17+'10.17.22'!E27</f>
        <v>5149</v>
      </c>
      <c r="S19" s="640"/>
      <c r="T19" s="640">
        <f>'10.19.22'!E11</f>
        <v>2593.5</v>
      </c>
      <c r="U19" s="640"/>
      <c r="V19" s="640"/>
      <c r="W19" s="640">
        <f>'10.22.22'!E20 + '10.22.22'!E30</f>
        <v>4883</v>
      </c>
      <c r="X19" s="640"/>
      <c r="Y19" s="702">
        <f>'10.24.22'!E30</f>
        <v>2109</v>
      </c>
      <c r="Z19" s="702"/>
      <c r="AA19" s="702">
        <f>'10.26.22'!E29</f>
        <v>2014</v>
      </c>
      <c r="AB19" s="702"/>
      <c r="AC19" s="702"/>
      <c r="AD19" s="702">
        <f>'10.29.22'!E20+'10.29.22'!E30</f>
        <v>4503</v>
      </c>
      <c r="AE19" s="702">
        <f>'10.30.22'!E19+'10.30.22'!E29</f>
        <v>4978</v>
      </c>
      <c r="AF19" s="252"/>
      <c r="AG19" s="189">
        <f t="shared" si="0"/>
        <v>43282</v>
      </c>
      <c r="AH19" s="961">
        <f>449000-AG19+350000</f>
        <v>755718</v>
      </c>
      <c r="AI19" s="194" t="str">
        <f t="shared" si="1"/>
        <v>Flamin Hot Chicken</v>
      </c>
      <c r="AK19" s="234">
        <f t="shared" si="3"/>
        <v>43282</v>
      </c>
      <c r="AO19" s="234">
        <v>188115.5</v>
      </c>
      <c r="AP19" s="234"/>
      <c r="AQ19" s="979">
        <v>14</v>
      </c>
      <c r="AR19" s="981">
        <f t="shared" si="2"/>
        <v>13104.358974358975</v>
      </c>
      <c r="AS19" s="977">
        <v>127767.5</v>
      </c>
      <c r="AT19" s="978" t="s">
        <v>246</v>
      </c>
    </row>
    <row r="20" spans="1:46" ht="10.15" customHeight="1">
      <c r="A20" s="195" t="s">
        <v>78</v>
      </c>
      <c r="B20" s="702">
        <f>'10.01.22'!E20</f>
        <v>1206.5</v>
      </c>
      <c r="C20" s="702"/>
      <c r="D20" s="738"/>
      <c r="E20" s="738"/>
      <c r="F20" s="738">
        <f>'10.05.22'!E8+'10.05.22'!E18</f>
        <v>6688</v>
      </c>
      <c r="G20" s="738"/>
      <c r="H20" s="738">
        <f>'10.07.22'!E9+'10.07.22'!E20</f>
        <v>3733.5</v>
      </c>
      <c r="I20" s="738"/>
      <c r="J20" s="738"/>
      <c r="K20" s="589"/>
      <c r="L20" s="589">
        <f>'10.11.22'!E9</f>
        <v>2916.5</v>
      </c>
      <c r="M20" s="589"/>
      <c r="N20" s="589"/>
      <c r="O20" s="589">
        <f>'10.14.22'!E9</f>
        <v>2536.5</v>
      </c>
      <c r="P20" s="589">
        <f>'10.15.22'!E9</f>
        <v>3097</v>
      </c>
      <c r="Q20" s="589"/>
      <c r="R20" s="640">
        <f>'10.17.22'!E9</f>
        <v>1330</v>
      </c>
      <c r="S20" s="640"/>
      <c r="T20" s="640"/>
      <c r="U20" s="640"/>
      <c r="V20" s="640"/>
      <c r="W20" s="640"/>
      <c r="X20" s="640"/>
      <c r="Y20" s="702"/>
      <c r="Z20" s="702"/>
      <c r="AA20" s="702">
        <f>'10.26.22'!E8</f>
        <v>3743</v>
      </c>
      <c r="AB20" s="702">
        <f>'10.27.22'!E10+'10.27.22'!E20</f>
        <v>4398.5</v>
      </c>
      <c r="AC20" s="702"/>
      <c r="AD20" s="702"/>
      <c r="AE20" s="702"/>
      <c r="AF20" s="252"/>
      <c r="AG20" s="189">
        <f t="shared" si="0"/>
        <v>29649.5</v>
      </c>
      <c r="AH20" s="961">
        <f>100000-AG20</f>
        <v>70350.5</v>
      </c>
      <c r="AI20" s="194" t="str">
        <f t="shared" si="1"/>
        <v>Flaming Grain</v>
      </c>
      <c r="AK20" s="234">
        <f t="shared" si="3"/>
        <v>29649.5</v>
      </c>
      <c r="AO20" s="234">
        <v>55223</v>
      </c>
      <c r="AP20" s="234"/>
      <c r="AQ20" s="979">
        <v>15</v>
      </c>
      <c r="AR20" s="981">
        <f t="shared" si="2"/>
        <v>12964.76923076923</v>
      </c>
      <c r="AS20" s="977">
        <v>126406.5</v>
      </c>
      <c r="AT20" s="978" t="s">
        <v>43</v>
      </c>
    </row>
    <row r="21" spans="1:46" ht="10.15" customHeight="1">
      <c r="A21" s="195" t="s">
        <v>696</v>
      </c>
      <c r="B21" s="702">
        <f>'10.01.22'!E21</f>
        <v>1168.5</v>
      </c>
      <c r="C21" s="702"/>
      <c r="D21" s="738"/>
      <c r="E21" s="738"/>
      <c r="F21" s="738"/>
      <c r="G21" s="738"/>
      <c r="H21" s="738"/>
      <c r="I21" s="738"/>
      <c r="J21" s="738">
        <f>'10.09.22'!E20</f>
        <v>2166</v>
      </c>
      <c r="K21" s="589">
        <f>'10.10.22'!E21</f>
        <v>1862</v>
      </c>
      <c r="L21" s="589"/>
      <c r="M21" s="589"/>
      <c r="N21" s="589"/>
      <c r="O21" s="589"/>
      <c r="P21" s="589"/>
      <c r="Q21" s="589"/>
      <c r="R21" s="640">
        <f>'10.17.22'!E21</f>
        <v>1662.5</v>
      </c>
      <c r="S21" s="640">
        <f>'10.18.22'!E17</f>
        <v>3239.5</v>
      </c>
      <c r="T21" s="640"/>
      <c r="U21" s="640"/>
      <c r="V21" s="640"/>
      <c r="W21" s="640">
        <f>'10.22.22'!E8</f>
        <v>2109</v>
      </c>
      <c r="X21" s="640">
        <f>'10.23.22'!E17</f>
        <v>2688.5</v>
      </c>
      <c r="Y21" s="702">
        <f>'10.24.22'!E11</f>
        <v>2118.5</v>
      </c>
      <c r="Z21" s="702"/>
      <c r="AA21" s="702"/>
      <c r="AB21" s="702"/>
      <c r="AC21" s="702"/>
      <c r="AD21" s="702"/>
      <c r="AE21" s="702"/>
      <c r="AF21" s="252"/>
      <c r="AG21" s="189">
        <f t="shared" si="0"/>
        <v>17014.5</v>
      </c>
      <c r="AH21" s="961">
        <f>100000-AG21</f>
        <v>82985.5</v>
      </c>
      <c r="AI21" s="194" t="str">
        <f t="shared" si="1"/>
        <v>Go Fusion</v>
      </c>
      <c r="AK21" s="234">
        <f t="shared" si="3"/>
        <v>17014.5</v>
      </c>
      <c r="AO21" s="234"/>
      <c r="AP21" s="234"/>
      <c r="AQ21" s="979"/>
      <c r="AR21" s="981"/>
      <c r="AS21" s="977"/>
      <c r="AT21" s="978"/>
    </row>
    <row r="22" spans="1:46" ht="10.15" customHeight="1">
      <c r="A22" s="195" t="s">
        <v>129</v>
      </c>
      <c r="B22" s="252"/>
      <c r="C22" s="252"/>
      <c r="D22" s="252"/>
      <c r="E22" s="252"/>
      <c r="F22" s="252"/>
      <c r="G22" s="252"/>
      <c r="H22" s="252"/>
      <c r="I22" s="252"/>
      <c r="J22" s="252"/>
      <c r="K22" s="252"/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  <c r="AA22" s="252"/>
      <c r="AB22" s="252"/>
      <c r="AC22" s="252"/>
      <c r="AD22" s="252"/>
      <c r="AE22" s="252"/>
      <c r="AF22" s="252"/>
      <c r="AG22" s="189">
        <f t="shared" si="0"/>
        <v>0</v>
      </c>
      <c r="AH22" s="961">
        <f>100000-AG22</f>
        <v>100000</v>
      </c>
      <c r="AI22" s="194" t="str">
        <f t="shared" si="1"/>
        <v>Good East and Vibes</v>
      </c>
      <c r="AK22" s="234">
        <f t="shared" si="3"/>
        <v>0</v>
      </c>
      <c r="AO22" s="234">
        <v>11600</v>
      </c>
      <c r="AP22" s="234"/>
      <c r="AQ22" s="979">
        <v>16</v>
      </c>
      <c r="AR22" s="981">
        <f t="shared" si="2"/>
        <v>12548.51282051282</v>
      </c>
      <c r="AS22" s="977">
        <v>122348</v>
      </c>
      <c r="AT22" s="978" t="s">
        <v>44</v>
      </c>
    </row>
    <row r="23" spans="1:46" ht="10.15" customHeight="1">
      <c r="A23" s="195" t="s">
        <v>238</v>
      </c>
      <c r="B23" s="702"/>
      <c r="C23" s="702"/>
      <c r="D23" s="738"/>
      <c r="E23" s="738"/>
      <c r="F23" s="738">
        <f>'10.05.22'!E21</f>
        <v>3021</v>
      </c>
      <c r="G23" s="738"/>
      <c r="H23" s="738">
        <f>'10.07.22'!E18+'10.07.22'!E28</f>
        <v>4322.5</v>
      </c>
      <c r="I23" s="738"/>
      <c r="J23" s="738"/>
      <c r="K23" s="252"/>
      <c r="L23" s="252"/>
      <c r="M23" s="252"/>
      <c r="N23" s="252"/>
      <c r="O23" s="252"/>
      <c r="P23" s="252"/>
      <c r="Q23" s="252"/>
      <c r="R23" s="640"/>
      <c r="S23" s="640">
        <f>'10.18.22'!E18</f>
        <v>3410.5</v>
      </c>
      <c r="T23" s="640"/>
      <c r="U23" s="640">
        <f>'10.20.22'!E10</f>
        <v>2555.5</v>
      </c>
      <c r="V23" s="640">
        <f>'10.21.22'!E19</f>
        <v>2460.5</v>
      </c>
      <c r="W23" s="640"/>
      <c r="X23" s="640"/>
      <c r="Y23" s="702"/>
      <c r="Z23" s="702"/>
      <c r="AA23" s="702">
        <f>'10.26.22'!E21</f>
        <v>2204</v>
      </c>
      <c r="AB23" s="702"/>
      <c r="AC23" s="702">
        <f>'10.28.22'!E18</f>
        <v>2318</v>
      </c>
      <c r="AD23" s="702"/>
      <c r="AE23" s="702"/>
      <c r="AF23" s="252">
        <f>'10.31.22'!E17</f>
        <v>2850</v>
      </c>
      <c r="AG23" s="189">
        <f t="shared" si="0"/>
        <v>23142</v>
      </c>
      <c r="AH23" s="961">
        <f>100000-AG23</f>
        <v>76858</v>
      </c>
      <c r="AI23" s="194" t="str">
        <f t="shared" si="1"/>
        <v>Habibi Shack</v>
      </c>
      <c r="AK23" s="234">
        <f t="shared" si="3"/>
        <v>23142</v>
      </c>
      <c r="AO23" s="234">
        <v>38069</v>
      </c>
      <c r="AP23" s="234"/>
      <c r="AQ23" s="979">
        <v>17</v>
      </c>
      <c r="AR23" s="981">
        <f t="shared" si="2"/>
        <v>11411.589743589744</v>
      </c>
      <c r="AS23" s="977">
        <v>111263</v>
      </c>
      <c r="AT23" s="978" t="s">
        <v>66</v>
      </c>
    </row>
    <row r="24" spans="1:46" ht="10.15" customHeight="1">
      <c r="A24" s="195" t="s">
        <v>328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189">
        <f t="shared" si="0"/>
        <v>0</v>
      </c>
      <c r="AH24" s="189">
        <v>99000</v>
      </c>
      <c r="AI24" s="194" t="str">
        <f t="shared" si="1"/>
        <v>Heritage LA</v>
      </c>
      <c r="AK24" s="234">
        <f t="shared" si="3"/>
        <v>0</v>
      </c>
      <c r="AO24" s="234"/>
      <c r="AP24" s="234"/>
      <c r="AQ24" s="979"/>
      <c r="AR24" s="981"/>
      <c r="AS24" s="977"/>
      <c r="AT24" s="978"/>
    </row>
    <row r="25" spans="1:46" ht="10.15" customHeight="1">
      <c r="A25" s="195" t="s">
        <v>53</v>
      </c>
      <c r="B25" s="702"/>
      <c r="C25" s="702"/>
      <c r="D25" s="252"/>
      <c r="E25" s="252"/>
      <c r="F25" s="252"/>
      <c r="G25" s="252"/>
      <c r="H25" s="252"/>
      <c r="I25" s="252"/>
      <c r="J25" s="252"/>
      <c r="K25" s="589"/>
      <c r="L25" s="589"/>
      <c r="M25" s="589">
        <f>'10.12.22'!E28</f>
        <v>1225.5</v>
      </c>
      <c r="N25" s="589"/>
      <c r="O25" s="589"/>
      <c r="P25" s="589"/>
      <c r="Q25" s="589"/>
      <c r="R25" s="252"/>
      <c r="S25" s="252"/>
      <c r="T25" s="252"/>
      <c r="U25" s="252"/>
      <c r="V25" s="252"/>
      <c r="W25" s="252"/>
      <c r="X25" s="252"/>
      <c r="Y25" s="702"/>
      <c r="Z25" s="702"/>
      <c r="AA25" s="702"/>
      <c r="AB25" s="702"/>
      <c r="AC25" s="702">
        <f>'10.28.22'!E21+'10.28.22'!E31</f>
        <v>3011.5</v>
      </c>
      <c r="AD25" s="702"/>
      <c r="AE25" s="702"/>
      <c r="AF25" s="252"/>
      <c r="AG25" s="189">
        <f t="shared" si="0"/>
        <v>4237</v>
      </c>
      <c r="AH25" s="358">
        <f>350000-AG25+700000</f>
        <v>1045763</v>
      </c>
      <c r="AI25" s="194" t="str">
        <f t="shared" si="1"/>
        <v>Kogi</v>
      </c>
      <c r="AK25" s="234">
        <f t="shared" si="3"/>
        <v>4237</v>
      </c>
      <c r="AO25" s="234">
        <v>500</v>
      </c>
      <c r="AP25" s="234"/>
      <c r="AQ25" s="979">
        <v>18</v>
      </c>
      <c r="AR25" s="981">
        <f t="shared" si="2"/>
        <v>10614.871794871795</v>
      </c>
      <c r="AS25" s="977">
        <v>103495</v>
      </c>
      <c r="AT25" s="978" t="s">
        <v>49</v>
      </c>
    </row>
    <row r="26" spans="1:46" ht="10.15" customHeight="1">
      <c r="A26" s="515" t="s">
        <v>267</v>
      </c>
      <c r="B26" s="702">
        <f>'10.01.22'!E31</f>
        <v>1425</v>
      </c>
      <c r="C26" s="702">
        <f>'10.02.22'!E19</f>
        <v>2850</v>
      </c>
      <c r="D26" s="738"/>
      <c r="E26" s="738">
        <f>'10.04.22'!E18</f>
        <v>2850</v>
      </c>
      <c r="F26" s="738"/>
      <c r="G26" s="738">
        <f>'10.06.22'!E30</f>
        <v>1672</v>
      </c>
      <c r="H26" s="738"/>
      <c r="I26" s="738">
        <f>'10.08.22'!E21</f>
        <v>446.5</v>
      </c>
      <c r="J26" s="738"/>
      <c r="K26" s="589">
        <f>'10.10.22'!E18</f>
        <v>2736</v>
      </c>
      <c r="L26" s="589"/>
      <c r="M26" s="589">
        <f>'10.12.22'!E11</f>
        <v>2726.5</v>
      </c>
      <c r="N26" s="589">
        <f>'10.13.22'!E30</f>
        <v>1643.5</v>
      </c>
      <c r="O26" s="589"/>
      <c r="P26" s="589">
        <f>'10.15.22'!E21</f>
        <v>2774</v>
      </c>
      <c r="Q26" s="589">
        <f>'10.16.22'!E20+'10.16.22'!E30</f>
        <v>5111</v>
      </c>
      <c r="R26" s="640">
        <f>'10.17.22'!E29</f>
        <v>1871.5</v>
      </c>
      <c r="S26" s="640"/>
      <c r="T26" s="640"/>
      <c r="U26" s="640">
        <f>'10.20.22'!E27</f>
        <v>1463</v>
      </c>
      <c r="V26" s="640"/>
      <c r="W26" s="640"/>
      <c r="X26" s="640">
        <f>'10.23.22'!E27</f>
        <v>1501</v>
      </c>
      <c r="Y26" s="702">
        <f>'10.24.22'!E17</f>
        <v>3344</v>
      </c>
      <c r="Z26" s="702"/>
      <c r="AA26" s="702"/>
      <c r="AB26" s="702"/>
      <c r="AC26" s="702">
        <f>'10.28.22'!E29</f>
        <v>1282.5</v>
      </c>
      <c r="AD26" s="702">
        <f>'10.29.22'!E29</f>
        <v>1995</v>
      </c>
      <c r="AE26" s="702">
        <f>'10.30.22'!E30</f>
        <v>2707.5</v>
      </c>
      <c r="AF26" s="252"/>
      <c r="AG26" s="189">
        <f t="shared" si="0"/>
        <v>38399</v>
      </c>
      <c r="AH26" s="961">
        <f>100000-AG26</f>
        <v>61601</v>
      </c>
      <c r="AI26" s="988" t="str">
        <f t="shared" si="1"/>
        <v>Love Greek Cuisine/Kalamaki Greek LA</v>
      </c>
      <c r="AK26" s="234">
        <f t="shared" si="3"/>
        <v>38399</v>
      </c>
      <c r="AO26" s="234">
        <v>362210.5</v>
      </c>
      <c r="AP26" s="234"/>
      <c r="AQ26" s="979">
        <v>19</v>
      </c>
      <c r="AR26" s="981">
        <f t="shared" si="2"/>
        <v>9866.6666666666661</v>
      </c>
      <c r="AS26" s="977">
        <v>96200</v>
      </c>
      <c r="AT26" s="978" t="s">
        <v>76</v>
      </c>
    </row>
    <row r="27" spans="1:46" ht="10.15" customHeight="1">
      <c r="A27" s="195" t="s">
        <v>234</v>
      </c>
      <c r="B27" s="252"/>
      <c r="C27" s="252"/>
      <c r="D27" s="252"/>
      <c r="E27" s="252"/>
      <c r="F27" s="252"/>
      <c r="G27" s="252"/>
      <c r="H27" s="252"/>
      <c r="I27" s="252"/>
      <c r="J27" s="252"/>
      <c r="K27" s="252"/>
      <c r="L27" s="252"/>
      <c r="M27" s="252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  <c r="AA27" s="252"/>
      <c r="AB27" s="252"/>
      <c r="AC27" s="252"/>
      <c r="AD27" s="252"/>
      <c r="AE27" s="252"/>
      <c r="AF27" s="252"/>
      <c r="AG27" s="189">
        <f t="shared" si="0"/>
        <v>0</v>
      </c>
      <c r="AH27" s="961">
        <f>100000-AG27</f>
        <v>100000</v>
      </c>
      <c r="AI27" s="194" t="str">
        <f t="shared" si="1"/>
        <v>Manna From Heaven</v>
      </c>
      <c r="AK27" s="234">
        <f t="shared" si="3"/>
        <v>0</v>
      </c>
      <c r="AO27" s="234">
        <v>8000</v>
      </c>
      <c r="AP27" s="234"/>
      <c r="AQ27" s="979">
        <v>20</v>
      </c>
      <c r="AR27" s="981">
        <f t="shared" si="2"/>
        <v>7791.7948717948721</v>
      </c>
      <c r="AS27" s="977">
        <v>75970</v>
      </c>
      <c r="AT27" s="978" t="s">
        <v>172</v>
      </c>
    </row>
    <row r="28" spans="1:46" ht="9.6" customHeight="1">
      <c r="A28" s="195" t="s">
        <v>265</v>
      </c>
      <c r="B28" s="252"/>
      <c r="C28" s="252"/>
      <c r="D28" s="252"/>
      <c r="E28" s="252"/>
      <c r="F28" s="252"/>
      <c r="G28" s="252"/>
      <c r="H28" s="252"/>
      <c r="I28" s="252"/>
      <c r="J28" s="252"/>
      <c r="K28" s="252"/>
      <c r="L28" s="252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  <c r="AA28" s="252"/>
      <c r="AB28" s="252"/>
      <c r="AC28" s="252"/>
      <c r="AD28" s="252"/>
      <c r="AE28" s="252"/>
      <c r="AF28" s="252"/>
      <c r="AG28" s="189">
        <f t="shared" si="0"/>
        <v>0</v>
      </c>
      <c r="AH28" s="961">
        <f>100000-AG28</f>
        <v>100000</v>
      </c>
      <c r="AI28" s="194" t="str">
        <f t="shared" si="1"/>
        <v>Messi Burgers</v>
      </c>
      <c r="AK28" s="234">
        <f t="shared" si="3"/>
        <v>0</v>
      </c>
      <c r="AO28" s="234">
        <v>27987</v>
      </c>
      <c r="AP28" s="234"/>
      <c r="AQ28" s="979">
        <v>21</v>
      </c>
      <c r="AR28" s="981">
        <f t="shared" si="2"/>
        <v>7320.7179487179483</v>
      </c>
      <c r="AS28" s="977">
        <v>71377</v>
      </c>
      <c r="AT28" s="978" t="s">
        <v>144</v>
      </c>
    </row>
    <row r="29" spans="1:46" ht="9.6" customHeight="1">
      <c r="A29" s="195" t="s">
        <v>69</v>
      </c>
      <c r="B29" s="252"/>
      <c r="C29" s="252"/>
      <c r="D29" s="252"/>
      <c r="E29" s="252"/>
      <c r="F29" s="252"/>
      <c r="G29" s="252"/>
      <c r="H29" s="252"/>
      <c r="I29" s="252"/>
      <c r="J29" s="252"/>
      <c r="K29" s="252"/>
      <c r="L29" s="252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  <c r="AA29" s="252"/>
      <c r="AB29" s="252"/>
      <c r="AC29" s="252"/>
      <c r="AD29" s="252"/>
      <c r="AE29" s="252"/>
      <c r="AF29" s="252"/>
      <c r="AG29" s="189">
        <f t="shared" si="0"/>
        <v>0</v>
      </c>
      <c r="AH29" s="961">
        <f>100000-AG29</f>
        <v>100000</v>
      </c>
      <c r="AI29" s="194" t="str">
        <f t="shared" si="1"/>
        <v>Mikhuna</v>
      </c>
      <c r="AK29" s="234">
        <f t="shared" si="3"/>
        <v>0</v>
      </c>
      <c r="AO29" s="234">
        <v>34678.5</v>
      </c>
      <c r="AP29" s="234"/>
      <c r="AQ29" s="979">
        <v>22</v>
      </c>
      <c r="AR29" s="981">
        <f t="shared" si="2"/>
        <v>7244.5128205128203</v>
      </c>
      <c r="AS29" s="977">
        <v>70634</v>
      </c>
      <c r="AT29" s="978" t="s">
        <v>243</v>
      </c>
    </row>
    <row r="30" spans="1:46" ht="9.6" customHeight="1">
      <c r="A30" s="195" t="s">
        <v>76</v>
      </c>
      <c r="B30" s="252"/>
      <c r="C30" s="252"/>
      <c r="D30" s="252"/>
      <c r="E30" s="252"/>
      <c r="F30" s="252"/>
      <c r="G30" s="252"/>
      <c r="H30" s="252"/>
      <c r="I30" s="252"/>
      <c r="J30" s="252"/>
      <c r="K30" s="252"/>
      <c r="L30" s="252"/>
      <c r="M30" s="252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  <c r="AA30" s="252"/>
      <c r="AB30" s="252"/>
      <c r="AC30" s="252"/>
      <c r="AD30" s="252"/>
      <c r="AE30" s="252"/>
      <c r="AF30" s="252"/>
      <c r="AG30" s="189">
        <f t="shared" si="0"/>
        <v>0</v>
      </c>
      <c r="AH30" s="961">
        <f>449000-AG30+350000</f>
        <v>799000</v>
      </c>
      <c r="AI30" s="194" t="str">
        <f t="shared" si="1"/>
        <v>ML Eats Burger</v>
      </c>
      <c r="AK30" s="234">
        <f t="shared" si="3"/>
        <v>0</v>
      </c>
      <c r="AO30" s="234">
        <v>2774</v>
      </c>
      <c r="AP30" s="234"/>
      <c r="AQ30" s="979">
        <v>23</v>
      </c>
      <c r="AR30" s="981">
        <f t="shared" si="2"/>
        <v>6958.2051282051279</v>
      </c>
      <c r="AS30" s="977">
        <v>67842.5</v>
      </c>
      <c r="AT30" s="978" t="s">
        <v>62</v>
      </c>
    </row>
    <row r="31" spans="1:46" ht="9.6" customHeight="1">
      <c r="A31" s="195" t="s">
        <v>335</v>
      </c>
      <c r="B31" s="252"/>
      <c r="C31" s="252"/>
      <c r="D31" s="252"/>
      <c r="E31" s="252"/>
      <c r="F31" s="252"/>
      <c r="G31" s="252"/>
      <c r="H31" s="252"/>
      <c r="I31" s="252"/>
      <c r="J31" s="252"/>
      <c r="K31" s="252"/>
      <c r="L31" s="252"/>
      <c r="M31" s="252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  <c r="AA31" s="252"/>
      <c r="AB31" s="252"/>
      <c r="AC31" s="252"/>
      <c r="AD31" s="252"/>
      <c r="AE31" s="252"/>
      <c r="AF31" s="252"/>
      <c r="AG31" s="189">
        <f t="shared" si="0"/>
        <v>0</v>
      </c>
      <c r="AH31" s="189">
        <v>99000</v>
      </c>
      <c r="AI31" s="194" t="str">
        <f t="shared" si="1"/>
        <v>Mumu's</v>
      </c>
      <c r="AK31" s="234">
        <f t="shared" si="3"/>
        <v>0</v>
      </c>
      <c r="AO31" s="234"/>
      <c r="AP31" s="234"/>
      <c r="AQ31" s="979"/>
      <c r="AR31" s="981"/>
      <c r="AS31" s="977"/>
      <c r="AT31" s="978"/>
    </row>
    <row r="32" spans="1:46" ht="10.15" customHeight="1">
      <c r="A32" s="195" t="s">
        <v>186</v>
      </c>
      <c r="B32" s="252"/>
      <c r="C32" s="252"/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  <c r="AA32" s="252"/>
      <c r="AB32" s="252"/>
      <c r="AC32" s="252"/>
      <c r="AD32" s="252"/>
      <c r="AE32" s="252"/>
      <c r="AF32" s="252"/>
      <c r="AG32" s="189">
        <f t="shared" si="0"/>
        <v>0</v>
      </c>
      <c r="AH32" s="961">
        <f>100000-AG32</f>
        <v>100000</v>
      </c>
      <c r="AI32" s="194" t="str">
        <f t="shared" si="1"/>
        <v>Ohana Hibachi</v>
      </c>
      <c r="AK32" s="234">
        <f t="shared" si="3"/>
        <v>0</v>
      </c>
      <c r="AO32" s="234">
        <v>29265</v>
      </c>
      <c r="AP32" s="234"/>
      <c r="AQ32" s="979">
        <v>24</v>
      </c>
      <c r="AR32" s="981">
        <f t="shared" si="2"/>
        <v>6624.2564102564102</v>
      </c>
      <c r="AS32" s="977">
        <v>64586.5</v>
      </c>
      <c r="AT32" s="978" t="s">
        <v>244</v>
      </c>
    </row>
    <row r="33" spans="1:46" ht="10.15" customHeight="1">
      <c r="A33" s="195" t="s">
        <v>44</v>
      </c>
      <c r="B33" s="702"/>
      <c r="C33" s="702">
        <f>'10.02.22'!E29</f>
        <v>845.5</v>
      </c>
      <c r="D33" s="738">
        <f>'10.03.22'!E19</f>
        <v>2413</v>
      </c>
      <c r="E33" s="738">
        <f>'10.04.22'!E31</f>
        <v>1273</v>
      </c>
      <c r="F33" s="738"/>
      <c r="G33" s="738">
        <f>'10.06.22'!E29</f>
        <v>1520</v>
      </c>
      <c r="H33" s="738"/>
      <c r="I33" s="738"/>
      <c r="J33" s="738"/>
      <c r="K33" s="589"/>
      <c r="L33" s="589"/>
      <c r="M33" s="589"/>
      <c r="N33" s="589">
        <f>'10.13.22'!E10</f>
        <v>2451</v>
      </c>
      <c r="O33" s="589">
        <f>'10.14.22'!E20+'10.14.22'!E30</f>
        <v>2745.5</v>
      </c>
      <c r="P33" s="589"/>
      <c r="Q33" s="589">
        <f>'10.16.22'!E8</f>
        <v>2783.5</v>
      </c>
      <c r="R33" s="252"/>
      <c r="S33" s="252"/>
      <c r="T33" s="252"/>
      <c r="U33" s="252"/>
      <c r="V33" s="252"/>
      <c r="W33" s="252"/>
      <c r="X33" s="252"/>
      <c r="Y33" s="702"/>
      <c r="Z33" s="702"/>
      <c r="AA33" s="702">
        <f>'10.26.22'!E9</f>
        <v>1757.5</v>
      </c>
      <c r="AB33" s="702"/>
      <c r="AC33" s="702">
        <f>'10.28.22'!E20+'10.28.22'!E30</f>
        <v>2166</v>
      </c>
      <c r="AD33" s="702"/>
      <c r="AE33" s="702"/>
      <c r="AF33" s="252">
        <f>'10.31.22'!E19+'10.31.22'!E30</f>
        <v>3648</v>
      </c>
      <c r="AG33" s="189">
        <f t="shared" si="0"/>
        <v>21603</v>
      </c>
      <c r="AH33" s="961">
        <f>100000-AG33</f>
        <v>78397</v>
      </c>
      <c r="AI33" s="194" t="str">
        <f t="shared" si="1"/>
        <v>Original Herbivore</v>
      </c>
      <c r="AK33" s="234">
        <f t="shared" si="3"/>
        <v>21603</v>
      </c>
      <c r="AO33" s="234">
        <v>96200</v>
      </c>
      <c r="AP33" s="234"/>
      <c r="AQ33" s="979">
        <v>25</v>
      </c>
      <c r="AR33" s="981">
        <f t="shared" si="2"/>
        <v>5663.8974358974356</v>
      </c>
      <c r="AS33" s="977">
        <v>55223</v>
      </c>
      <c r="AT33" s="978" t="s">
        <v>78</v>
      </c>
    </row>
    <row r="34" spans="1:46" ht="10.15" customHeight="1">
      <c r="A34" s="195" t="s">
        <v>143</v>
      </c>
      <c r="B34" s="702">
        <f>'10.01.22'!E29</f>
        <v>1007</v>
      </c>
      <c r="C34" s="702">
        <f>'10.02.22'!E11</f>
        <v>1178</v>
      </c>
      <c r="D34" s="738"/>
      <c r="E34" s="738"/>
      <c r="F34" s="738">
        <f>'10.05.22'!E29</f>
        <v>2156.5</v>
      </c>
      <c r="G34" s="738"/>
      <c r="H34" s="738"/>
      <c r="I34" s="738">
        <f>'10.08.22'!E31</f>
        <v>1482</v>
      </c>
      <c r="J34" s="738">
        <f>'10.09.22'!E10</f>
        <v>3249</v>
      </c>
      <c r="K34" s="589"/>
      <c r="L34" s="589">
        <f>'10.11.22'!E8</f>
        <v>3249</v>
      </c>
      <c r="M34" s="589"/>
      <c r="N34" s="589"/>
      <c r="O34" s="589"/>
      <c r="P34" s="589">
        <f>'10.15.22'!E30</f>
        <v>1805</v>
      </c>
      <c r="Q34" s="589">
        <f>'10.16.22'!E9</f>
        <v>4389</v>
      </c>
      <c r="R34" s="640"/>
      <c r="S34" s="640"/>
      <c r="T34" s="640">
        <f>'10.19.22'!E10+'10.19.22'!E20</f>
        <v>7619</v>
      </c>
      <c r="U34" s="640">
        <f>'10.20.22'!E17</f>
        <v>3572</v>
      </c>
      <c r="V34" s="640"/>
      <c r="W34" s="640"/>
      <c r="X34" s="640">
        <f>'10.23.22'!E19</f>
        <v>4408</v>
      </c>
      <c r="Y34" s="702">
        <f>'10.24.22'!E18</f>
        <v>3800</v>
      </c>
      <c r="Z34" s="702">
        <f>'10.25.22'!E29</f>
        <v>2213.5</v>
      </c>
      <c r="AA34" s="702">
        <f>'10.26.22'!E30</f>
        <v>2023.5</v>
      </c>
      <c r="AB34" s="702">
        <f>'10.27.22'!E18</f>
        <v>3752.5</v>
      </c>
      <c r="AC34" s="702"/>
      <c r="AD34" s="702">
        <f>'10.29.22'!E17</f>
        <v>3106.5</v>
      </c>
      <c r="AE34" s="702"/>
      <c r="AF34" s="252">
        <f>'10.31.22'!E29</f>
        <v>2280</v>
      </c>
      <c r="AG34" s="189">
        <f t="shared" si="0"/>
        <v>51290.5</v>
      </c>
      <c r="AH34" s="961">
        <f>100000-AG34+350000+350000</f>
        <v>748709.5</v>
      </c>
      <c r="AI34" s="194" t="str">
        <f t="shared" si="1"/>
        <v>Pacifico Charbroiled</v>
      </c>
      <c r="AK34" s="234">
        <f t="shared" si="3"/>
        <v>51290.5</v>
      </c>
      <c r="AO34" s="234">
        <v>23730</v>
      </c>
      <c r="AP34" s="234"/>
      <c r="AQ34" s="979">
        <v>26</v>
      </c>
      <c r="AR34" s="981">
        <f t="shared" si="2"/>
        <v>5338.0512820512822</v>
      </c>
      <c r="AS34" s="977">
        <v>52046</v>
      </c>
      <c r="AT34" s="978" t="s">
        <v>83</v>
      </c>
    </row>
    <row r="35" spans="1:46" ht="10.15" customHeight="1">
      <c r="A35" s="515" t="s">
        <v>242</v>
      </c>
      <c r="B35" s="702"/>
      <c r="C35" s="702"/>
      <c r="D35" s="738">
        <f>'10.03.22'!E30</f>
        <v>4398.5</v>
      </c>
      <c r="E35" s="738"/>
      <c r="F35" s="738"/>
      <c r="G35" s="738"/>
      <c r="H35" s="738"/>
      <c r="I35" s="738"/>
      <c r="J35" s="738"/>
      <c r="K35" s="589">
        <f>'10.10.22'!E27</f>
        <v>4313</v>
      </c>
      <c r="L35" s="589"/>
      <c r="M35" s="589"/>
      <c r="N35" s="589">
        <f>'10.13.22'!E27</f>
        <v>4474.5</v>
      </c>
      <c r="O35" s="589"/>
      <c r="P35" s="589"/>
      <c r="Q35" s="589"/>
      <c r="R35" s="640">
        <f>'10.17.22'!E28</f>
        <v>4370</v>
      </c>
      <c r="S35" s="640"/>
      <c r="T35" s="640"/>
      <c r="U35" s="640">
        <f>'10.20.22'!E28</f>
        <v>4142</v>
      </c>
      <c r="V35" s="640"/>
      <c r="W35" s="640"/>
      <c r="X35" s="640"/>
      <c r="Y35" s="702">
        <f>'10.24.22'!E28</f>
        <v>4626.5</v>
      </c>
      <c r="Z35" s="702">
        <f>'10.25.22'!E28</f>
        <v>4351</v>
      </c>
      <c r="AA35" s="702"/>
      <c r="AB35" s="702">
        <f>'10.27.22'!E28</f>
        <v>3534</v>
      </c>
      <c r="AC35" s="702"/>
      <c r="AD35" s="702"/>
      <c r="AE35" s="702"/>
      <c r="AF35" s="252">
        <f>'10.31.22'!E27</f>
        <v>4322.5</v>
      </c>
      <c r="AG35" s="189">
        <f t="shared" ref="AG35:AG60" si="4">SUM(B35:AF35)</f>
        <v>38532</v>
      </c>
      <c r="AH35" s="961">
        <f>100000-AG35+350000+350000</f>
        <v>761468</v>
      </c>
      <c r="AI35" s="988" t="str">
        <f t="shared" ref="AI35:AI57" si="5">A35</f>
        <v>Paradise Cookies &amp; Ice Cream</v>
      </c>
      <c r="AK35" s="234">
        <f t="shared" si="3"/>
        <v>38532</v>
      </c>
      <c r="AO35" s="234">
        <v>122348</v>
      </c>
      <c r="AP35" s="234"/>
      <c r="AQ35" s="979">
        <v>27</v>
      </c>
      <c r="AR35" s="981">
        <f t="shared" si="2"/>
        <v>5326.8205128205127</v>
      </c>
      <c r="AS35" s="977">
        <v>51936.5</v>
      </c>
      <c r="AT35" s="978" t="s">
        <v>188</v>
      </c>
    </row>
    <row r="36" spans="1:46" ht="10.15" customHeight="1">
      <c r="A36" s="195" t="s">
        <v>246</v>
      </c>
      <c r="B36" s="702">
        <f>'10.01.22'!E17+'10.01.22'!E27</f>
        <v>3695.5</v>
      </c>
      <c r="C36" s="702">
        <f>'10.02.22'!E31</f>
        <v>579.5</v>
      </c>
      <c r="D36" s="738">
        <f>'10.03.22'!E18</f>
        <v>3192</v>
      </c>
      <c r="E36" s="738"/>
      <c r="F36" s="738">
        <f>'10.05.22'!E17+'10.05.22'!E27</f>
        <v>5215.5</v>
      </c>
      <c r="G36" s="738">
        <f>'10.06.22'!E17+'10.06.22'!E27</f>
        <v>4085</v>
      </c>
      <c r="H36" s="738"/>
      <c r="I36" s="738">
        <f>'10.08.22'!E27</f>
        <v>1491.5</v>
      </c>
      <c r="J36" s="738"/>
      <c r="K36" s="589"/>
      <c r="L36" s="589">
        <f>'10.11.22'!E18</f>
        <v>3249</v>
      </c>
      <c r="M36" s="589"/>
      <c r="N36" s="589">
        <f>'10.13.22'!E28</f>
        <v>1539</v>
      </c>
      <c r="O36" s="589"/>
      <c r="P36" s="589">
        <f>'10.15.22'!E29</f>
        <v>1453.5</v>
      </c>
      <c r="Q36" s="589">
        <f>'10.16.22'!E21+'10.16.22'!E31</f>
        <v>5092</v>
      </c>
      <c r="R36" s="640"/>
      <c r="S36" s="640">
        <f>'10.18.22'!E27</f>
        <v>2052</v>
      </c>
      <c r="T36" s="640"/>
      <c r="U36" s="640"/>
      <c r="V36" s="640">
        <f>'10.21.22'!E30</f>
        <v>1349</v>
      </c>
      <c r="W36" s="640">
        <f>'10.22.22'!E31</f>
        <v>1634</v>
      </c>
      <c r="X36" s="640"/>
      <c r="Y36" s="702"/>
      <c r="Z36" s="702"/>
      <c r="AA36" s="702">
        <f>'10.26.22'!E17</f>
        <v>4094.5</v>
      </c>
      <c r="AB36" s="702"/>
      <c r="AC36" s="702">
        <f>'10.28.22'!E28</f>
        <v>1757.5</v>
      </c>
      <c r="AD36" s="702">
        <f>'10.29.22'!E18+'10.29.22'!E28</f>
        <v>4123</v>
      </c>
      <c r="AE36" s="702">
        <f>'10.30.22'!E21+'10.30.22'!E31</f>
        <v>4636</v>
      </c>
      <c r="AF36" s="252"/>
      <c r="AG36" s="189">
        <f t="shared" si="4"/>
        <v>49238.5</v>
      </c>
      <c r="AH36" s="961">
        <f>100000-AG36+350000</f>
        <v>400761.5</v>
      </c>
      <c r="AI36" s="194" t="str">
        <f t="shared" si="5"/>
        <v>Perro 1-10 Tacos</v>
      </c>
      <c r="AK36" s="234">
        <f t="shared" si="3"/>
        <v>49238.5</v>
      </c>
      <c r="AO36" s="234">
        <v>197247.5</v>
      </c>
      <c r="AP36" s="234"/>
      <c r="AQ36" s="979">
        <v>28</v>
      </c>
      <c r="AR36" s="981">
        <f t="shared" si="2"/>
        <v>5196.6153846153848</v>
      </c>
      <c r="AS36" s="977">
        <v>50667</v>
      </c>
      <c r="AT36" s="978" t="s">
        <v>159</v>
      </c>
    </row>
    <row r="37" spans="1:46" ht="10.15" customHeight="1">
      <c r="A37" s="195" t="s">
        <v>66</v>
      </c>
      <c r="B37" s="702"/>
      <c r="C37" s="702"/>
      <c r="D37" s="252"/>
      <c r="E37" s="252"/>
      <c r="F37" s="252"/>
      <c r="G37" s="252"/>
      <c r="H37" s="252"/>
      <c r="I37" s="252"/>
      <c r="J37" s="252"/>
      <c r="K37" s="589"/>
      <c r="L37" s="589"/>
      <c r="M37" s="589"/>
      <c r="N37" s="589"/>
      <c r="O37" s="589"/>
      <c r="P37" s="589">
        <f>'10.15.22'!E28</f>
        <v>2090</v>
      </c>
      <c r="Q37" s="589"/>
      <c r="R37" s="640">
        <f>'10.17.22'!E10</f>
        <v>2935.5</v>
      </c>
      <c r="S37" s="640">
        <f>'10.18.22'!E7</f>
        <v>2954.5</v>
      </c>
      <c r="T37" s="640">
        <f>'10.19.22'!E30</f>
        <v>2061.5</v>
      </c>
      <c r="U37" s="640"/>
      <c r="V37" s="640"/>
      <c r="W37" s="640"/>
      <c r="X37" s="640"/>
      <c r="Y37" s="702">
        <f>'10.24.22'!E7</f>
        <v>3648</v>
      </c>
      <c r="Z37" s="702">
        <f>'10.25.22'!E19</f>
        <v>3885.5</v>
      </c>
      <c r="AA37" s="702">
        <f>'10.26.22'!E31</f>
        <v>2299</v>
      </c>
      <c r="AB37" s="702"/>
      <c r="AC37" s="702"/>
      <c r="AD37" s="702"/>
      <c r="AE37" s="702"/>
      <c r="AF37" s="252"/>
      <c r="AG37" s="189">
        <f t="shared" si="4"/>
        <v>19874</v>
      </c>
      <c r="AH37" s="961">
        <f>100000-AG37+350000</f>
        <v>430126</v>
      </c>
      <c r="AI37" s="194" t="str">
        <f t="shared" si="5"/>
        <v>PhillyJay's Steaks</v>
      </c>
      <c r="AK37" s="234">
        <f t="shared" si="3"/>
        <v>19874</v>
      </c>
      <c r="AO37" s="234">
        <v>192935</v>
      </c>
      <c r="AP37" s="234"/>
      <c r="AQ37" s="979">
        <v>29</v>
      </c>
      <c r="AR37" s="981">
        <f t="shared" si="2"/>
        <v>4492.7692307692305</v>
      </c>
      <c r="AS37" s="977">
        <v>43804.5</v>
      </c>
      <c r="AT37" s="978" t="s">
        <v>258</v>
      </c>
    </row>
    <row r="38" spans="1:46" ht="10.15" customHeight="1">
      <c r="A38" s="196" t="s">
        <v>65</v>
      </c>
      <c r="B38" s="702"/>
      <c r="C38" s="702"/>
      <c r="D38" s="738">
        <f>'10.03.22'!E31</f>
        <v>1501</v>
      </c>
      <c r="E38" s="738">
        <f>'10.04.22'!E30</f>
        <v>1662.5</v>
      </c>
      <c r="F38" s="738"/>
      <c r="G38" s="738">
        <f>'10.06.22'!E9</f>
        <v>3496</v>
      </c>
      <c r="H38" s="738"/>
      <c r="I38" s="738">
        <f>'10.08.22'!E11</f>
        <v>1795.5</v>
      </c>
      <c r="J38" s="738"/>
      <c r="K38" s="589">
        <f>'10.10.22'!E11</f>
        <v>2612.5</v>
      </c>
      <c r="L38" s="589">
        <f>'10.11.22'!E31</f>
        <v>1700.5</v>
      </c>
      <c r="M38" s="589">
        <f>'10.12.22'!E8</f>
        <v>4180</v>
      </c>
      <c r="N38" s="589"/>
      <c r="O38" s="589"/>
      <c r="P38" s="589"/>
      <c r="Q38" s="589"/>
      <c r="R38" s="640"/>
      <c r="S38" s="640">
        <f>'10.18.22'!E21</f>
        <v>3562.5</v>
      </c>
      <c r="T38" s="640">
        <f>'10.19.22'!E9</f>
        <v>3268</v>
      </c>
      <c r="U38" s="640"/>
      <c r="V38" s="640"/>
      <c r="W38" s="640"/>
      <c r="X38" s="640"/>
      <c r="Y38" s="702"/>
      <c r="Z38" s="702">
        <f>'10.25.22'!E10+'10.25.22'!E20</f>
        <v>6574</v>
      </c>
      <c r="AA38" s="702"/>
      <c r="AB38" s="702">
        <f>'10.27.22'!E30</f>
        <v>1396.5</v>
      </c>
      <c r="AC38" s="702">
        <f>'10.28.22'!E9+'10.28.22'!E19</f>
        <v>6574</v>
      </c>
      <c r="AD38" s="702"/>
      <c r="AE38" s="702"/>
      <c r="AF38" s="252"/>
      <c r="AG38" s="189">
        <f t="shared" si="4"/>
        <v>38323</v>
      </c>
      <c r="AH38" s="961">
        <f>449000-AG38+350000</f>
        <v>760677</v>
      </c>
      <c r="AI38" s="194" t="str">
        <f t="shared" si="5"/>
        <v>Pinch of Flavor</v>
      </c>
      <c r="AK38" s="234">
        <f t="shared" si="3"/>
        <v>38323</v>
      </c>
      <c r="AO38" s="234">
        <v>6760</v>
      </c>
      <c r="AP38" s="234"/>
      <c r="AQ38" s="979">
        <v>30</v>
      </c>
      <c r="AR38" s="981">
        <f t="shared" si="2"/>
        <v>4330.666666666667</v>
      </c>
      <c r="AS38" s="977">
        <v>42224</v>
      </c>
      <c r="AT38" s="978" t="s">
        <v>205</v>
      </c>
    </row>
    <row r="39" spans="1:46" ht="10.15" customHeight="1">
      <c r="A39" s="195" t="s">
        <v>82</v>
      </c>
      <c r="B39" s="702"/>
      <c r="C39" s="702">
        <f>'10.02.22'!E10</f>
        <v>2869</v>
      </c>
      <c r="D39" s="738">
        <f>'10.03.22'!E20</f>
        <v>2926</v>
      </c>
      <c r="E39" s="738"/>
      <c r="F39" s="738">
        <f>'10.05.22'!E30</f>
        <v>2489</v>
      </c>
      <c r="G39" s="738"/>
      <c r="H39" s="738">
        <f>'10.07.22'!E10</f>
        <v>2080.5</v>
      </c>
      <c r="I39" s="738"/>
      <c r="J39" s="738"/>
      <c r="K39" s="589">
        <f>'10.10.22'!E9</f>
        <v>2489</v>
      </c>
      <c r="L39" s="589">
        <f>'10.11.22'!E30</f>
        <v>1767</v>
      </c>
      <c r="M39" s="589">
        <f>'10.12.22'!E29</f>
        <v>2156.5</v>
      </c>
      <c r="N39" s="589"/>
      <c r="O39" s="589">
        <f>'10.14.22'!E10</f>
        <v>2745.5</v>
      </c>
      <c r="P39" s="589"/>
      <c r="Q39" s="589"/>
      <c r="R39" s="640"/>
      <c r="S39" s="640"/>
      <c r="T39" s="640"/>
      <c r="U39" s="640">
        <f>'10.20.22'!E30</f>
        <v>2118.5</v>
      </c>
      <c r="V39" s="640">
        <f>'10.21.22'!E17 + '10.21.22'!E28</f>
        <v>4199</v>
      </c>
      <c r="W39" s="640"/>
      <c r="X39" s="640">
        <f>'10.23.22'!E21 + '10.23.22'!E31</f>
        <v>2973.5</v>
      </c>
      <c r="Y39" s="702"/>
      <c r="Z39" s="702">
        <f>'10.25.22'!E30</f>
        <v>2251.5</v>
      </c>
      <c r="AA39" s="702"/>
      <c r="AB39" s="702">
        <f>'10.27.22'!E8</f>
        <v>3163.5</v>
      </c>
      <c r="AC39" s="702"/>
      <c r="AD39" s="702"/>
      <c r="AE39" s="702"/>
      <c r="AF39" s="252">
        <f>'10.31.22'!E28</f>
        <v>2318</v>
      </c>
      <c r="AG39" s="189">
        <f t="shared" si="4"/>
        <v>36546.5</v>
      </c>
      <c r="AH39" s="961">
        <f>100000-AG39+350000</f>
        <v>413453.5</v>
      </c>
      <c r="AI39" s="194" t="str">
        <f t="shared" si="5"/>
        <v>Poutine Brothers</v>
      </c>
      <c r="AK39" s="234">
        <f t="shared" si="3"/>
        <v>36546.5</v>
      </c>
      <c r="AO39" s="782">
        <v>127767.5</v>
      </c>
      <c r="AP39" s="234"/>
      <c r="AQ39" s="979">
        <v>31</v>
      </c>
      <c r="AR39" s="981">
        <f t="shared" si="2"/>
        <v>4291.8461538461543</v>
      </c>
      <c r="AS39" s="977">
        <v>41845.5</v>
      </c>
      <c r="AT39" s="978" t="s">
        <v>239</v>
      </c>
    </row>
    <row r="40" spans="1:46" ht="10.15" customHeight="1">
      <c r="A40" s="195" t="s">
        <v>329</v>
      </c>
      <c r="B40" s="702">
        <f>'10.01.22'!E7</f>
        <v>3724</v>
      </c>
      <c r="C40" s="702">
        <f>'10.02.22'!E9</f>
        <v>3515</v>
      </c>
      <c r="D40" s="738">
        <f>'10.03.22'!E9</f>
        <v>2479.5</v>
      </c>
      <c r="E40" s="738"/>
      <c r="F40" s="738">
        <f>'10.05.22'!E7</f>
        <v>3933</v>
      </c>
      <c r="G40" s="738"/>
      <c r="H40" s="738"/>
      <c r="I40" s="738">
        <f>'10.08.22'!E17</f>
        <v>3382</v>
      </c>
      <c r="J40" s="738">
        <f>'10.09.22'!E9</f>
        <v>4237</v>
      </c>
      <c r="K40" s="589"/>
      <c r="L40" s="589"/>
      <c r="M40" s="589"/>
      <c r="N40" s="589">
        <f>'10.13.22'!E7</f>
        <v>4142</v>
      </c>
      <c r="O40" s="589"/>
      <c r="P40" s="589">
        <f>'10.15.22'!E7</f>
        <v>3895</v>
      </c>
      <c r="Q40" s="589">
        <f>'10.16.22'!E10</f>
        <v>4693</v>
      </c>
      <c r="R40" s="640"/>
      <c r="S40" s="640"/>
      <c r="T40" s="640"/>
      <c r="U40" s="640"/>
      <c r="V40" s="640">
        <f>'10.21.22'!E11</f>
        <v>4170.5</v>
      </c>
      <c r="W40" s="640">
        <f>'10.22.22'!E7 + '10.22.22'!E17</f>
        <v>6574</v>
      </c>
      <c r="X40" s="640">
        <f>'10.23.22'!E7</f>
        <v>3781</v>
      </c>
      <c r="Y40" s="702"/>
      <c r="Z40" s="702"/>
      <c r="AA40" s="702"/>
      <c r="AB40" s="702"/>
      <c r="AC40" s="702">
        <f>'10.28.22'!E8</f>
        <v>4360.5</v>
      </c>
      <c r="AD40" s="702">
        <f>'10.29.22'!E10</f>
        <v>4816.5</v>
      </c>
      <c r="AE40" s="702">
        <f>'10.30.22'!E9</f>
        <v>4968.5</v>
      </c>
      <c r="AF40" s="252">
        <f>'10.31.22'!E8</f>
        <v>4636</v>
      </c>
      <c r="AG40" s="189">
        <f t="shared" si="4"/>
        <v>67307.5</v>
      </c>
      <c r="AH40" s="189">
        <v>99000</v>
      </c>
      <c r="AI40" s="194" t="str">
        <f t="shared" si="5"/>
        <v>Salpicon</v>
      </c>
      <c r="AK40" s="234">
        <f t="shared" si="3"/>
        <v>67307.5</v>
      </c>
      <c r="AO40" s="782"/>
      <c r="AP40" s="234"/>
      <c r="AQ40" s="979"/>
      <c r="AR40" s="981"/>
      <c r="AS40" s="977"/>
      <c r="AT40" s="978"/>
    </row>
    <row r="41" spans="1:46" ht="10.15" customHeight="1">
      <c r="A41" s="195" t="s">
        <v>83</v>
      </c>
      <c r="B41" s="702"/>
      <c r="C41" s="702">
        <f>'10.02.22'!E8</f>
        <v>2223</v>
      </c>
      <c r="D41" s="738">
        <f>'10.03.22'!E7</f>
        <v>2432</v>
      </c>
      <c r="E41" s="738"/>
      <c r="F41" s="738"/>
      <c r="G41" s="738">
        <f>'10.06.22'!E7</f>
        <v>2584</v>
      </c>
      <c r="H41" s="738">
        <f>'10.07.22'!E17+'10.07.22'!E27</f>
        <v>3667</v>
      </c>
      <c r="I41" s="738">
        <f>'10.08.22'!E9</f>
        <v>2042.5</v>
      </c>
      <c r="J41" s="738">
        <f>'10.09.22'!E18</f>
        <v>2679</v>
      </c>
      <c r="K41" s="589"/>
      <c r="L41" s="589"/>
      <c r="M41" s="589"/>
      <c r="N41" s="589">
        <f>'10.13.22'!E8</f>
        <v>2983</v>
      </c>
      <c r="O41" s="589"/>
      <c r="P41" s="589">
        <f>'10.15.22'!E17</f>
        <v>2869</v>
      </c>
      <c r="Q41" s="589"/>
      <c r="R41" s="640">
        <f>'10.17.22'!E20</f>
        <v>2831</v>
      </c>
      <c r="S41" s="640"/>
      <c r="T41" s="640"/>
      <c r="U41" s="640"/>
      <c r="V41" s="640">
        <f>'10.21.22'!E8</f>
        <v>2574.5</v>
      </c>
      <c r="W41" s="640"/>
      <c r="X41" s="640"/>
      <c r="Y41" s="702"/>
      <c r="Z41" s="702"/>
      <c r="AA41" s="702"/>
      <c r="AB41" s="702"/>
      <c r="AC41" s="702">
        <f>'10.28.22'!E10</f>
        <v>2194.5</v>
      </c>
      <c r="AD41" s="702">
        <f>'10.29.22'!E9</f>
        <v>2327.5</v>
      </c>
      <c r="AE41" s="702"/>
      <c r="AF41" s="252">
        <f>'10.31.22'!E7</f>
        <v>2375</v>
      </c>
      <c r="AG41" s="189">
        <f t="shared" si="4"/>
        <v>33782</v>
      </c>
      <c r="AH41" s="961">
        <f>100000-AG41</f>
        <v>66218</v>
      </c>
      <c r="AI41" s="194" t="str">
        <f t="shared" si="5"/>
        <v>Salvage Tacos</v>
      </c>
      <c r="AK41" s="234">
        <f t="shared" si="3"/>
        <v>33782</v>
      </c>
      <c r="AO41" s="782">
        <v>111263</v>
      </c>
      <c r="AP41" s="234"/>
      <c r="AQ41" s="979">
        <v>32</v>
      </c>
      <c r="AR41" s="981">
        <f t="shared" si="2"/>
        <v>3904.5128205128203</v>
      </c>
      <c r="AS41" s="977">
        <v>38069</v>
      </c>
      <c r="AT41" s="978" t="s">
        <v>238</v>
      </c>
    </row>
    <row r="42" spans="1:46" ht="10.15" customHeight="1">
      <c r="A42" s="195" t="s">
        <v>332</v>
      </c>
      <c r="B42" s="252"/>
      <c r="C42" s="252"/>
      <c r="D42" s="738">
        <f>'10.03.22'!E8</f>
        <v>1748</v>
      </c>
      <c r="E42" s="738"/>
      <c r="F42" s="738">
        <f>'10.05.22'!E9+'10.05.22'!E19</f>
        <v>6146.5</v>
      </c>
      <c r="G42" s="738"/>
      <c r="H42" s="738">
        <f>'10.07.22'!E8</f>
        <v>4123</v>
      </c>
      <c r="I42" s="738"/>
      <c r="J42" s="738"/>
      <c r="K42" s="589">
        <f>'10.10.22'!E19</f>
        <v>4750</v>
      </c>
      <c r="L42" s="589"/>
      <c r="M42" s="589">
        <f>'10.12.22'!E9+'10.12.22'!E19</f>
        <v>8844.5</v>
      </c>
      <c r="N42" s="589"/>
      <c r="O42" s="589">
        <f>'10.14.22'!E8</f>
        <v>5025.5</v>
      </c>
      <c r="P42" s="589"/>
      <c r="Q42" s="589"/>
      <c r="R42" s="640">
        <f>'10.17.22'!E11</f>
        <v>3714.5</v>
      </c>
      <c r="S42" s="640"/>
      <c r="T42" s="640"/>
      <c r="U42" s="640"/>
      <c r="V42" s="640">
        <f>'10.21.22'!E9</f>
        <v>5073</v>
      </c>
      <c r="W42" s="640"/>
      <c r="X42" s="640"/>
      <c r="Y42" s="702">
        <f>'10.24.22'!E21</f>
        <v>4275</v>
      </c>
      <c r="Z42" s="702"/>
      <c r="AA42" s="702">
        <f>'10.26.22'!E11</f>
        <v>4446</v>
      </c>
      <c r="AB42" s="702"/>
      <c r="AC42" s="702"/>
      <c r="AD42" s="702">
        <f>'10.29.22'!E19</f>
        <v>5149</v>
      </c>
      <c r="AE42" s="702"/>
      <c r="AF42" s="252"/>
      <c r="AG42" s="189">
        <f t="shared" si="4"/>
        <v>53295</v>
      </c>
      <c r="AH42" s="189">
        <v>99000</v>
      </c>
      <c r="AI42" s="194" t="str">
        <f t="shared" si="5"/>
        <v>Smile Hot Dog</v>
      </c>
      <c r="AK42" s="234">
        <f t="shared" si="3"/>
        <v>53295</v>
      </c>
      <c r="AO42" s="782"/>
      <c r="AP42" s="234"/>
      <c r="AQ42" s="979"/>
      <c r="AR42" s="981"/>
      <c r="AS42" s="977"/>
      <c r="AT42" s="978"/>
    </row>
    <row r="43" spans="1:46" ht="10.15" customHeight="1">
      <c r="A43" s="195" t="s">
        <v>159</v>
      </c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  <c r="AA43" s="252"/>
      <c r="AB43" s="252"/>
      <c r="AC43" s="252"/>
      <c r="AD43" s="252"/>
      <c r="AE43" s="252"/>
      <c r="AF43" s="252"/>
      <c r="AG43" s="189">
        <f t="shared" si="4"/>
        <v>0</v>
      </c>
      <c r="AH43" s="961">
        <f>100000-AG43</f>
        <v>100000</v>
      </c>
      <c r="AI43" s="194" t="str">
        <f t="shared" si="5"/>
        <v>Something Good LA</v>
      </c>
      <c r="AK43" s="234">
        <f t="shared" si="3"/>
        <v>0</v>
      </c>
      <c r="AO43" s="234">
        <v>341055.5</v>
      </c>
      <c r="AP43" s="234"/>
      <c r="AQ43" s="979">
        <v>33</v>
      </c>
      <c r="AR43" s="981">
        <f t="shared" si="2"/>
        <v>3708.8717948717949</v>
      </c>
      <c r="AS43" s="977">
        <v>36161.5</v>
      </c>
      <c r="AT43" s="978" t="s">
        <v>12</v>
      </c>
    </row>
    <row r="44" spans="1:46" ht="10.15" customHeight="1">
      <c r="A44" s="195" t="s">
        <v>145</v>
      </c>
      <c r="B44" s="702">
        <f>'10.01.22'!E19</f>
        <v>3040</v>
      </c>
      <c r="C44" s="702">
        <f>'10.02.22'!E7</f>
        <v>2337</v>
      </c>
      <c r="D44" s="738"/>
      <c r="E44" s="738"/>
      <c r="F44" s="738"/>
      <c r="G44" s="738">
        <f>'10.06.22'!E18</f>
        <v>3971</v>
      </c>
      <c r="H44" s="738"/>
      <c r="I44" s="738">
        <f>'10.08.22'!E19+'10.08.22'!E29</f>
        <v>4683.5</v>
      </c>
      <c r="J44" s="738"/>
      <c r="K44" s="589"/>
      <c r="L44" s="589">
        <f>'10.11.22'!E7+'10.11.22'!E17</f>
        <v>7600</v>
      </c>
      <c r="M44" s="589">
        <f>'10.12.22'!E17</f>
        <v>3971</v>
      </c>
      <c r="N44" s="589"/>
      <c r="O44" s="589">
        <f>'10.14.22'!E21</f>
        <v>1890.5</v>
      </c>
      <c r="P44" s="589"/>
      <c r="Q44" s="589"/>
      <c r="R44" s="640"/>
      <c r="S44" s="640">
        <f>'10.18.22'!E10+'10.18.22'!E20</f>
        <v>6868.5</v>
      </c>
      <c r="T44" s="640"/>
      <c r="U44" s="640">
        <f>'10.20.22'!E9</f>
        <v>2451</v>
      </c>
      <c r="V44" s="640">
        <f>'10.21.22'!E18</f>
        <v>2945</v>
      </c>
      <c r="W44" s="640">
        <f>'10.22.22'!E10</f>
        <v>3068.5</v>
      </c>
      <c r="X44" s="640"/>
      <c r="Y44" s="702"/>
      <c r="Z44" s="702">
        <f>'10.25.22'!E17</f>
        <v>4294</v>
      </c>
      <c r="AA44" s="702">
        <f>'10.26.22'!E19</f>
        <v>3125.5</v>
      </c>
      <c r="AB44" s="702"/>
      <c r="AC44" s="702"/>
      <c r="AD44" s="702">
        <f>'10.29.22'!E8</f>
        <v>3705</v>
      </c>
      <c r="AE44" s="702">
        <f>'10.30.22'!E8+'10.30.22'!E18</f>
        <v>8797</v>
      </c>
      <c r="AF44" s="252"/>
      <c r="AG44" s="189">
        <f t="shared" si="4"/>
        <v>62747.5</v>
      </c>
      <c r="AH44" s="961">
        <f>100000-AG44+449000</f>
        <v>486252.5</v>
      </c>
      <c r="AI44" s="194" t="str">
        <f t="shared" si="5"/>
        <v>Stop Bye Café</v>
      </c>
      <c r="AK44" s="234">
        <f t="shared" si="3"/>
        <v>62747.5</v>
      </c>
      <c r="AO44" s="234">
        <v>162662.5</v>
      </c>
      <c r="AP44" s="234"/>
      <c r="AQ44" s="979">
        <v>34</v>
      </c>
      <c r="AR44" s="981">
        <f t="shared" si="2"/>
        <v>3556.7692307692309</v>
      </c>
      <c r="AS44" s="977">
        <v>34678.5</v>
      </c>
      <c r="AT44" s="978" t="s">
        <v>234</v>
      </c>
    </row>
    <row r="45" spans="1:46" ht="10.15" customHeight="1">
      <c r="A45" s="195" t="s">
        <v>84</v>
      </c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189">
        <f t="shared" si="4"/>
        <v>0</v>
      </c>
      <c r="AH45" s="961">
        <f>100000-AG45+350000</f>
        <v>450000</v>
      </c>
      <c r="AI45" s="194" t="str">
        <f t="shared" si="5"/>
        <v>Stout Burgers</v>
      </c>
      <c r="AK45" s="234">
        <f t="shared" si="3"/>
        <v>0</v>
      </c>
      <c r="AO45" s="234">
        <v>52046</v>
      </c>
      <c r="AP45" s="234"/>
      <c r="AQ45" s="979">
        <v>35</v>
      </c>
      <c r="AR45" s="981">
        <f t="shared" si="2"/>
        <v>3334.9230769230771</v>
      </c>
      <c r="AS45" s="977">
        <v>32515.5</v>
      </c>
      <c r="AT45" s="978" t="s">
        <v>245</v>
      </c>
    </row>
    <row r="46" spans="1:46" ht="10.15" customHeight="1">
      <c r="A46" s="195" t="s">
        <v>333</v>
      </c>
      <c r="B46" s="702"/>
      <c r="C46" s="702"/>
      <c r="D46" s="738"/>
      <c r="E46" s="738"/>
      <c r="F46" s="738"/>
      <c r="G46" s="738">
        <f>'10.06.22'!E28</f>
        <v>1814.5</v>
      </c>
      <c r="H46" s="738"/>
      <c r="I46" s="738">
        <f>'10.08.22'!E7</f>
        <v>2156.5</v>
      </c>
      <c r="J46" s="738"/>
      <c r="K46" s="252"/>
      <c r="L46" s="252"/>
      <c r="M46" s="252"/>
      <c r="N46" s="252"/>
      <c r="O46" s="252"/>
      <c r="P46" s="252"/>
      <c r="Q46" s="252"/>
      <c r="R46" s="640"/>
      <c r="S46" s="640"/>
      <c r="T46" s="640"/>
      <c r="U46" s="640"/>
      <c r="V46" s="640"/>
      <c r="W46" s="640"/>
      <c r="X46" s="640">
        <f>'10.23.22'!E9</f>
        <v>2194.5</v>
      </c>
      <c r="Y46" s="702"/>
      <c r="Z46" s="702"/>
      <c r="AA46" s="702"/>
      <c r="AB46" s="702"/>
      <c r="AC46" s="702"/>
      <c r="AD46" s="702">
        <f>'10.29.22'!E7</f>
        <v>2318</v>
      </c>
      <c r="AE46" s="702"/>
      <c r="AF46" s="252"/>
      <c r="AG46" s="189">
        <f t="shared" si="4"/>
        <v>8483.5</v>
      </c>
      <c r="AH46" s="189">
        <v>99000</v>
      </c>
      <c r="AI46" s="194" t="str">
        <f t="shared" si="5"/>
        <v>Sweets on Wheels</v>
      </c>
      <c r="AK46" s="234">
        <f t="shared" si="3"/>
        <v>8483.5</v>
      </c>
      <c r="AO46" s="234">
        <v>52046</v>
      </c>
      <c r="AP46" s="234"/>
      <c r="AQ46" s="979"/>
      <c r="AR46" s="981"/>
      <c r="AS46" s="977"/>
      <c r="AT46" s="978"/>
    </row>
    <row r="47" spans="1:46" ht="10.15" customHeight="1">
      <c r="A47" s="195" t="s">
        <v>58</v>
      </c>
      <c r="B47" s="252"/>
      <c r="C47" s="252"/>
      <c r="D47" s="252"/>
      <c r="E47" s="252"/>
      <c r="F47" s="252"/>
      <c r="G47" s="252"/>
      <c r="H47" s="252"/>
      <c r="I47" s="252"/>
      <c r="J47" s="252"/>
      <c r="K47" s="252"/>
      <c r="L47" s="252"/>
      <c r="M47" s="252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  <c r="AA47" s="252"/>
      <c r="AB47" s="252"/>
      <c r="AC47" s="252"/>
      <c r="AD47" s="252"/>
      <c r="AE47" s="252"/>
      <c r="AF47" s="252"/>
      <c r="AG47" s="189">
        <f t="shared" si="4"/>
        <v>0</v>
      </c>
      <c r="AH47" s="961">
        <f>100000-AG47</f>
        <v>100000</v>
      </c>
      <c r="AI47" s="194" t="str">
        <f t="shared" si="5"/>
        <v>Taste Collective Burger</v>
      </c>
      <c r="AK47" s="234">
        <f t="shared" si="3"/>
        <v>0</v>
      </c>
      <c r="AO47" s="234">
        <v>50667</v>
      </c>
      <c r="AP47" s="234"/>
      <c r="AQ47" s="979">
        <v>36</v>
      </c>
      <c r="AR47" s="981">
        <f t="shared" si="2"/>
        <v>3001.5384615384614</v>
      </c>
      <c r="AS47" s="977">
        <v>29265</v>
      </c>
      <c r="AT47" s="978" t="s">
        <v>69</v>
      </c>
    </row>
    <row r="48" spans="1:46" ht="10.15" customHeight="1">
      <c r="A48" s="195" t="s">
        <v>728</v>
      </c>
      <c r="B48" s="252"/>
      <c r="C48" s="252"/>
      <c r="D48" s="252"/>
      <c r="E48" s="252"/>
      <c r="F48" s="252"/>
      <c r="G48" s="252"/>
      <c r="H48" s="252"/>
      <c r="I48" s="252"/>
      <c r="J48" s="252"/>
      <c r="K48" s="252"/>
      <c r="L48" s="252"/>
      <c r="M48" s="252"/>
      <c r="N48" s="252"/>
      <c r="O48" s="252"/>
      <c r="P48" s="252"/>
      <c r="Q48" s="252"/>
      <c r="R48" s="640"/>
      <c r="S48" s="640"/>
      <c r="T48" s="640">
        <f>'10.19.22'!E7</f>
        <v>3154</v>
      </c>
      <c r="U48" s="640"/>
      <c r="V48" s="640"/>
      <c r="W48" s="640"/>
      <c r="X48" s="640"/>
      <c r="Y48" s="252"/>
      <c r="Z48" s="252"/>
      <c r="AA48" s="252"/>
      <c r="AB48" s="252"/>
      <c r="AC48" s="252"/>
      <c r="AD48" s="252"/>
      <c r="AE48" s="252"/>
      <c r="AF48" s="252"/>
      <c r="AG48" s="189">
        <f t="shared" si="4"/>
        <v>3154</v>
      </c>
      <c r="AH48" s="961">
        <f>100000-AG48</f>
        <v>96846</v>
      </c>
      <c r="AI48" s="194" t="str">
        <f t="shared" si="5"/>
        <v>Thai Mex Cocina</v>
      </c>
      <c r="AK48" s="234">
        <f t="shared" si="3"/>
        <v>3154</v>
      </c>
      <c r="AO48" s="234">
        <v>50667</v>
      </c>
      <c r="AP48" s="234"/>
      <c r="AQ48" s="979"/>
      <c r="AR48" s="981"/>
      <c r="AS48" s="977"/>
      <c r="AT48" s="978"/>
    </row>
    <row r="49" spans="1:54" ht="10.15" customHeight="1">
      <c r="A49" s="195" t="s">
        <v>45</v>
      </c>
      <c r="B49" s="702"/>
      <c r="C49" s="702"/>
      <c r="D49" s="738"/>
      <c r="E49" s="738">
        <f>'10.04.22'!E29</f>
        <v>1881</v>
      </c>
      <c r="F49" s="738"/>
      <c r="G49" s="738"/>
      <c r="H49" s="738"/>
      <c r="I49" s="738"/>
      <c r="J49" s="738"/>
      <c r="K49" s="589"/>
      <c r="L49" s="589"/>
      <c r="M49" s="589">
        <f>'10.12.22'!E20+'10.12.22'!E30</f>
        <v>5453</v>
      </c>
      <c r="N49" s="589"/>
      <c r="O49" s="589">
        <f>'10.14.22'!E7</f>
        <v>3420</v>
      </c>
      <c r="P49" s="589"/>
      <c r="Q49" s="589"/>
      <c r="R49" s="640">
        <f>'10.17.22'!E8+'10.17.22'!E18</f>
        <v>6811.5</v>
      </c>
      <c r="S49" s="640"/>
      <c r="T49" s="640"/>
      <c r="U49" s="640"/>
      <c r="V49" s="640"/>
      <c r="W49" s="640"/>
      <c r="X49" s="640"/>
      <c r="Y49" s="702"/>
      <c r="Z49" s="702">
        <f>'10.25.22'!E7+'10.25.22'!E18</f>
        <v>6897</v>
      </c>
      <c r="AA49" s="702"/>
      <c r="AB49" s="702"/>
      <c r="AC49" s="702"/>
      <c r="AD49" s="702"/>
      <c r="AE49" s="702"/>
      <c r="AF49" s="252"/>
      <c r="AG49" s="189">
        <f t="shared" si="4"/>
        <v>24462.5</v>
      </c>
      <c r="AH49" s="961">
        <f>100000-AG49+350000</f>
        <v>425537.5</v>
      </c>
      <c r="AI49" s="194" t="str">
        <f t="shared" si="5"/>
        <v>Tokyo Style</v>
      </c>
      <c r="AK49" s="234">
        <f t="shared" si="3"/>
        <v>24462.5</v>
      </c>
      <c r="AO49" s="234">
        <v>168025.5</v>
      </c>
      <c r="AP49" s="234"/>
      <c r="AQ49" s="979">
        <v>37</v>
      </c>
      <c r="AR49" s="981">
        <f t="shared" si="2"/>
        <v>2870.4615384615386</v>
      </c>
      <c r="AS49" s="977">
        <v>27987</v>
      </c>
      <c r="AT49" s="978" t="s">
        <v>194</v>
      </c>
    </row>
    <row r="50" spans="1:54" ht="10.15" customHeight="1">
      <c r="A50" s="195" t="s">
        <v>172</v>
      </c>
      <c r="B50" s="252"/>
      <c r="C50" s="252"/>
      <c r="D50" s="252"/>
      <c r="E50" s="252"/>
      <c r="F50" s="252"/>
      <c r="G50" s="252"/>
      <c r="H50" s="252"/>
      <c r="I50" s="252"/>
      <c r="J50" s="252"/>
      <c r="K50" s="252"/>
      <c r="L50" s="252"/>
      <c r="M50" s="252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  <c r="AA50" s="252"/>
      <c r="AB50" s="252"/>
      <c r="AC50" s="252"/>
      <c r="AD50" s="252"/>
      <c r="AE50" s="252"/>
      <c r="AF50" s="252"/>
      <c r="AG50" s="189">
        <f t="shared" si="4"/>
        <v>0</v>
      </c>
      <c r="AH50" s="961">
        <f>100000-AG50</f>
        <v>100000</v>
      </c>
      <c r="AI50" s="194" t="str">
        <f t="shared" si="5"/>
        <v>Trapiyaki</v>
      </c>
      <c r="AK50" s="234">
        <f t="shared" si="3"/>
        <v>0</v>
      </c>
      <c r="AO50" s="234">
        <v>21920</v>
      </c>
      <c r="AP50" s="234"/>
      <c r="AQ50" s="979">
        <v>38</v>
      </c>
      <c r="AR50" s="981">
        <f t="shared" si="2"/>
        <v>2433.8461538461538</v>
      </c>
      <c r="AS50" s="977">
        <v>23730</v>
      </c>
      <c r="AT50" s="978" t="s">
        <v>186</v>
      </c>
    </row>
    <row r="51" spans="1:54" ht="10.15" customHeight="1">
      <c r="A51" s="195" t="s">
        <v>144</v>
      </c>
      <c r="B51" s="252"/>
      <c r="C51" s="252"/>
      <c r="D51" s="738"/>
      <c r="E51" s="738">
        <f>'10.04.22'!E20</f>
        <v>2403.5</v>
      </c>
      <c r="F51" s="738">
        <f>'10.05.22'!E20</f>
        <v>2441.5</v>
      </c>
      <c r="G51" s="738">
        <f>'10.06.22'!E21</f>
        <v>1273</v>
      </c>
      <c r="H51" s="738">
        <f>'10.07.22'!E11</f>
        <v>1472.5</v>
      </c>
      <c r="I51" s="738"/>
      <c r="J51" s="738"/>
      <c r="K51" s="589"/>
      <c r="L51" s="589"/>
      <c r="M51" s="589">
        <f>'10.12.22'!E7+'10.12.22'!E18</f>
        <v>5320</v>
      </c>
      <c r="N51" s="589"/>
      <c r="O51" s="589"/>
      <c r="P51" s="589"/>
      <c r="Q51" s="589"/>
      <c r="R51" s="640"/>
      <c r="S51" s="640"/>
      <c r="T51" s="640"/>
      <c r="U51" s="640">
        <f>'10.20.22'!E29</f>
        <v>4132.5</v>
      </c>
      <c r="V51" s="640">
        <f>'10.21.22'!E7</f>
        <v>2251.5</v>
      </c>
      <c r="W51" s="640"/>
      <c r="X51" s="640"/>
      <c r="Y51" s="252"/>
      <c r="Z51" s="252"/>
      <c r="AA51" s="252"/>
      <c r="AB51" s="252"/>
      <c r="AC51" s="252"/>
      <c r="AD51" s="252"/>
      <c r="AE51" s="252"/>
      <c r="AF51" s="252"/>
      <c r="AG51" s="189">
        <f t="shared" si="4"/>
        <v>19294.5</v>
      </c>
      <c r="AH51" s="961">
        <f>100000-AG51</f>
        <v>80705.5</v>
      </c>
      <c r="AI51" s="194" t="str">
        <f t="shared" si="5"/>
        <v>Uncle Al's BBQ</v>
      </c>
      <c r="AK51" s="234">
        <f t="shared" si="3"/>
        <v>19294.5</v>
      </c>
      <c r="AO51" s="234">
        <v>5830</v>
      </c>
      <c r="AP51" s="234"/>
      <c r="AQ51" s="979">
        <v>39</v>
      </c>
      <c r="AR51" s="981">
        <f t="shared" si="2"/>
        <v>2248.2051282051284</v>
      </c>
      <c r="AS51" s="977">
        <v>21920</v>
      </c>
      <c r="AT51" s="978" t="s">
        <v>84</v>
      </c>
    </row>
    <row r="52" spans="1:54" ht="10.15" customHeight="1">
      <c r="A52" s="195" t="s">
        <v>240</v>
      </c>
      <c r="B52" s="252"/>
      <c r="C52" s="252"/>
      <c r="D52" s="252"/>
      <c r="E52" s="252"/>
      <c r="F52" s="252"/>
      <c r="G52" s="252"/>
      <c r="H52" s="252"/>
      <c r="I52" s="252"/>
      <c r="J52" s="252"/>
      <c r="K52" s="252"/>
      <c r="L52" s="252"/>
      <c r="M52" s="252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  <c r="AA52" s="252"/>
      <c r="AB52" s="252"/>
      <c r="AC52" s="252"/>
      <c r="AD52" s="252"/>
      <c r="AE52" s="252"/>
      <c r="AF52" s="252"/>
      <c r="AG52" s="189">
        <f t="shared" si="4"/>
        <v>0</v>
      </c>
      <c r="AH52" s="961">
        <f>100000-AG52</f>
        <v>100000</v>
      </c>
      <c r="AI52" s="194" t="str">
        <f t="shared" si="5"/>
        <v>Veggie Bomb</v>
      </c>
      <c r="AK52" s="234">
        <f t="shared" si="3"/>
        <v>0</v>
      </c>
      <c r="AO52" s="234">
        <v>228015.5</v>
      </c>
      <c r="AP52" s="234"/>
      <c r="AQ52" s="979">
        <v>40</v>
      </c>
      <c r="AR52" s="981">
        <f t="shared" si="2"/>
        <v>1915.0769230769231</v>
      </c>
      <c r="AS52" s="977">
        <v>18672</v>
      </c>
      <c r="AT52" s="978" t="s">
        <v>68</v>
      </c>
    </row>
    <row r="53" spans="1:54" ht="10.15" customHeight="1">
      <c r="A53" s="195" t="s">
        <v>258</v>
      </c>
      <c r="B53" s="252"/>
      <c r="C53" s="252"/>
      <c r="D53" s="252"/>
      <c r="E53" s="252"/>
      <c r="F53" s="252"/>
      <c r="G53" s="252"/>
      <c r="H53" s="252"/>
      <c r="I53" s="252"/>
      <c r="J53" s="252"/>
      <c r="K53" s="589"/>
      <c r="L53" s="589"/>
      <c r="M53" s="589"/>
      <c r="N53" s="589"/>
      <c r="O53" s="589"/>
      <c r="P53" s="589">
        <f>'10.15.22'!E19</f>
        <v>2128</v>
      </c>
      <c r="Q53" s="589"/>
      <c r="R53" s="252"/>
      <c r="S53" s="252"/>
      <c r="T53" s="252"/>
      <c r="U53" s="252"/>
      <c r="V53" s="252"/>
      <c r="W53" s="252"/>
      <c r="X53" s="252"/>
      <c r="Y53" s="252"/>
      <c r="Z53" s="252"/>
      <c r="AA53" s="252"/>
      <c r="AB53" s="252"/>
      <c r="AC53" s="252"/>
      <c r="AD53" s="252"/>
      <c r="AE53" s="252"/>
      <c r="AF53" s="252"/>
      <c r="AG53" s="189">
        <f t="shared" si="4"/>
        <v>2128</v>
      </c>
      <c r="AH53" s="961">
        <f>100000-AG53</f>
        <v>97872</v>
      </c>
      <c r="AI53" s="194" t="str">
        <f t="shared" si="5"/>
        <v>Venice Gelato</v>
      </c>
      <c r="AK53" s="234">
        <f t="shared" si="3"/>
        <v>2128</v>
      </c>
      <c r="AO53" s="234">
        <v>75970</v>
      </c>
      <c r="AP53" s="234"/>
      <c r="AQ53" s="979">
        <v>41</v>
      </c>
      <c r="AR53" s="981">
        <f t="shared" si="2"/>
        <v>1189.7435897435898</v>
      </c>
      <c r="AS53" s="977">
        <v>11600</v>
      </c>
      <c r="AT53" s="978" t="s">
        <v>129</v>
      </c>
    </row>
    <row r="54" spans="1:54" ht="10.15" customHeight="1">
      <c r="A54" s="195" t="s">
        <v>70</v>
      </c>
      <c r="B54" s="702"/>
      <c r="C54" s="702"/>
      <c r="D54" s="738"/>
      <c r="E54" s="738"/>
      <c r="F54" s="738"/>
      <c r="G54" s="738">
        <f>'10.06.22'!E11</f>
        <v>3648</v>
      </c>
      <c r="H54" s="738">
        <f>'10.07.22'!E31</f>
        <v>3078</v>
      </c>
      <c r="I54" s="738">
        <f>'10.08.22'!E10+'10.08.22'!E20</f>
        <v>6374.5</v>
      </c>
      <c r="J54" s="738"/>
      <c r="K54" s="589">
        <f>'10.10.22'!E28</f>
        <v>3382</v>
      </c>
      <c r="L54" s="589">
        <f>'10.11.22'!E21</f>
        <v>3448.5</v>
      </c>
      <c r="M54" s="589">
        <f>'10.12.22'!E31</f>
        <v>3268</v>
      </c>
      <c r="N54" s="589"/>
      <c r="O54" s="589"/>
      <c r="P54" s="589">
        <f>'10.15.22'!E11</f>
        <v>2422.5</v>
      </c>
      <c r="Q54" s="589">
        <f>'10.16.22'!E27</f>
        <v>3049.5</v>
      </c>
      <c r="R54" s="640">
        <f>'10.17.22'!E30</f>
        <v>3591</v>
      </c>
      <c r="S54" s="640"/>
      <c r="T54" s="640"/>
      <c r="U54" s="640"/>
      <c r="V54" s="640"/>
      <c r="W54" s="640">
        <f>'10.22.22'!E29</f>
        <v>3638.5</v>
      </c>
      <c r="X54" s="640">
        <f>'10.23.22'!E11</f>
        <v>2356</v>
      </c>
      <c r="Y54" s="702"/>
      <c r="Z54" s="702">
        <f>'10.25.22'!E8</f>
        <v>4237</v>
      </c>
      <c r="AA54" s="702">
        <f>'10.26.22'!E28</f>
        <v>3315.5</v>
      </c>
      <c r="AB54" s="702">
        <f>'10.27.22'!E17</f>
        <v>4674</v>
      </c>
      <c r="AC54" s="702"/>
      <c r="AD54" s="702"/>
      <c r="AE54" s="702"/>
      <c r="AF54" s="252"/>
      <c r="AG54" s="189">
        <f t="shared" si="4"/>
        <v>50483</v>
      </c>
      <c r="AH54" s="358">
        <f>449000-AG54+350000+350000</f>
        <v>1098517</v>
      </c>
      <c r="AI54" s="194" t="str">
        <f t="shared" si="5"/>
        <v>Wafl</v>
      </c>
      <c r="AK54" s="234">
        <f t="shared" si="3"/>
        <v>50483</v>
      </c>
      <c r="AO54" s="234">
        <v>71377</v>
      </c>
      <c r="AP54" s="234"/>
      <c r="AQ54" s="979">
        <v>42</v>
      </c>
      <c r="AR54" s="981">
        <f t="shared" si="2"/>
        <v>820.51282051282055</v>
      </c>
      <c r="AS54" s="977">
        <v>8000</v>
      </c>
      <c r="AT54" s="978" t="s">
        <v>80</v>
      </c>
    </row>
    <row r="55" spans="1:54" ht="10.15" customHeight="1">
      <c r="A55" s="195" t="s">
        <v>181</v>
      </c>
      <c r="B55" s="252"/>
      <c r="C55" s="252"/>
      <c r="D55" s="252"/>
      <c r="E55" s="252"/>
      <c r="F55" s="252"/>
      <c r="G55" s="252"/>
      <c r="H55" s="252"/>
      <c r="I55" s="252"/>
      <c r="J55" s="252"/>
      <c r="K55" s="252"/>
      <c r="L55" s="252"/>
      <c r="M55" s="252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  <c r="AA55" s="252"/>
      <c r="AB55" s="252"/>
      <c r="AC55" s="252"/>
      <c r="AD55" s="252"/>
      <c r="AE55" s="252"/>
      <c r="AF55" s="252"/>
      <c r="AG55" s="189">
        <f t="shared" si="4"/>
        <v>0</v>
      </c>
      <c r="AH55" s="358">
        <f t="shared" ref="AH55:AH60" si="6">100000-AG55</f>
        <v>100000</v>
      </c>
      <c r="AI55" s="194" t="str">
        <f t="shared" si="5"/>
        <v>White Rabbit</v>
      </c>
      <c r="AK55" s="234">
        <f t="shared" si="3"/>
        <v>0</v>
      </c>
      <c r="AO55" s="234">
        <v>3570</v>
      </c>
      <c r="AP55" s="234"/>
      <c r="AQ55" s="979">
        <v>43</v>
      </c>
      <c r="AR55" s="981">
        <f t="shared" si="2"/>
        <v>783.58974358974353</v>
      </c>
      <c r="AS55" s="977">
        <v>7640</v>
      </c>
      <c r="AT55" s="978" t="s">
        <v>181</v>
      </c>
    </row>
    <row r="56" spans="1:54" ht="10.15" customHeight="1">
      <c r="A56" s="515" t="s">
        <v>205</v>
      </c>
      <c r="B56" s="702"/>
      <c r="C56" s="702"/>
      <c r="D56" s="738"/>
      <c r="E56" s="738">
        <f>'10.04.22'!E9+'10.04.22'!E19</f>
        <v>3562.5</v>
      </c>
      <c r="F56" s="738"/>
      <c r="G56" s="738">
        <f>'10.06.22'!E31</f>
        <v>636.5</v>
      </c>
      <c r="H56" s="738"/>
      <c r="I56" s="738"/>
      <c r="J56" s="738"/>
      <c r="K56" s="589"/>
      <c r="L56" s="589"/>
      <c r="M56" s="589"/>
      <c r="N56" s="589">
        <f>'10.13.22'!E20</f>
        <v>2071</v>
      </c>
      <c r="O56" s="589">
        <f>'10.14.22'!E11</f>
        <v>1805</v>
      </c>
      <c r="P56" s="589"/>
      <c r="Q56" s="589"/>
      <c r="R56" s="640"/>
      <c r="S56" s="640">
        <f>'10.18.22'!E30</f>
        <v>826.5</v>
      </c>
      <c r="T56" s="640"/>
      <c r="U56" s="640"/>
      <c r="V56" s="640"/>
      <c r="W56" s="640"/>
      <c r="X56" s="640"/>
      <c r="Y56" s="702"/>
      <c r="Z56" s="702"/>
      <c r="AA56" s="702"/>
      <c r="AB56" s="702">
        <f>'10.27.22'!E7</f>
        <v>2242</v>
      </c>
      <c r="AC56" s="702"/>
      <c r="AD56" s="702"/>
      <c r="AE56" s="702"/>
      <c r="AF56" s="252"/>
      <c r="AG56" s="189">
        <f t="shared" si="4"/>
        <v>11143.5</v>
      </c>
      <c r="AH56" s="522">
        <f t="shared" si="6"/>
        <v>88856.5</v>
      </c>
      <c r="AI56" s="194" t="str">
        <f t="shared" si="5"/>
        <v>Yalla</v>
      </c>
      <c r="AK56" s="234">
        <f t="shared" si="3"/>
        <v>11143.5</v>
      </c>
      <c r="AO56" s="234">
        <v>43804.5</v>
      </c>
      <c r="AP56" s="234"/>
      <c r="AQ56" s="979">
        <v>44</v>
      </c>
      <c r="AR56" s="981">
        <f t="shared" si="2"/>
        <v>693.33333333333337</v>
      </c>
      <c r="AS56" s="977">
        <v>6760</v>
      </c>
      <c r="AT56" s="978" t="s">
        <v>81</v>
      </c>
    </row>
    <row r="57" spans="1:54" ht="10.15" customHeight="1">
      <c r="A57" s="195" t="s">
        <v>244</v>
      </c>
      <c r="B57" s="702"/>
      <c r="C57" s="702"/>
      <c r="D57" s="738"/>
      <c r="E57" s="738"/>
      <c r="F57" s="738"/>
      <c r="G57" s="738"/>
      <c r="H57" s="738">
        <f>'10.07.22'!E19+'10.07.22'!E29</f>
        <v>4883</v>
      </c>
      <c r="I57" s="738"/>
      <c r="J57" s="738"/>
      <c r="K57" s="589">
        <f>'10.10.22'!E7</f>
        <v>4816.5</v>
      </c>
      <c r="L57" s="589">
        <f>'10.11.22'!E20+'10.11.22'!E29</f>
        <v>6469.5</v>
      </c>
      <c r="M57" s="589"/>
      <c r="N57" s="589">
        <f>'10.13.22'!E9+'10.13.22'!E19</f>
        <v>8246</v>
      </c>
      <c r="O57" s="589"/>
      <c r="P57" s="589"/>
      <c r="Q57" s="589"/>
      <c r="R57" s="640"/>
      <c r="S57" s="640">
        <f>'10.18.22'!E8</f>
        <v>5158.5</v>
      </c>
      <c r="T57" s="640"/>
      <c r="U57" s="640">
        <f>'10.20.22'!E8 + '10.20.22'!E18</f>
        <v>8531</v>
      </c>
      <c r="V57" s="640"/>
      <c r="W57" s="640"/>
      <c r="X57" s="640"/>
      <c r="Y57" s="702"/>
      <c r="Z57" s="702">
        <f>'10.25.22'!E11</f>
        <v>4208.5</v>
      </c>
      <c r="AA57" s="702"/>
      <c r="AB57" s="702">
        <f>'10.27.22'!E9</f>
        <v>4199</v>
      </c>
      <c r="AC57" s="702"/>
      <c r="AD57" s="702"/>
      <c r="AE57" s="702"/>
      <c r="AF57" s="252"/>
      <c r="AG57" s="189">
        <f t="shared" si="4"/>
        <v>46512</v>
      </c>
      <c r="AH57" s="358">
        <f t="shared" si="6"/>
        <v>53488</v>
      </c>
      <c r="AI57" s="194" t="str">
        <f t="shared" si="5"/>
        <v>Yuna's Bob</v>
      </c>
      <c r="AK57" s="234">
        <f t="shared" si="3"/>
        <v>46512</v>
      </c>
      <c r="AO57" s="234">
        <v>499011.5</v>
      </c>
      <c r="AP57" s="234"/>
      <c r="AQ57" s="979">
        <v>45</v>
      </c>
      <c r="AR57" s="981">
        <f t="shared" si="2"/>
        <v>597.9487179487179</v>
      </c>
      <c r="AS57" s="977">
        <v>5830</v>
      </c>
      <c r="AT57" s="978" t="s">
        <v>58</v>
      </c>
    </row>
    <row r="58" spans="1:54" ht="10.15" customHeight="1">
      <c r="A58" s="195"/>
      <c r="B58" s="252"/>
      <c r="C58" s="252"/>
      <c r="D58" s="252"/>
      <c r="E58" s="252"/>
      <c r="F58" s="252"/>
      <c r="G58" s="252"/>
      <c r="H58" s="252"/>
      <c r="I58" s="252"/>
      <c r="J58" s="252"/>
      <c r="K58" s="252"/>
      <c r="L58" s="252"/>
      <c r="M58" s="252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  <c r="AA58" s="252"/>
      <c r="AB58" s="252"/>
      <c r="AC58" s="252"/>
      <c r="AD58" s="252"/>
      <c r="AE58" s="252"/>
      <c r="AF58" s="252"/>
      <c r="AG58" s="189">
        <f t="shared" si="4"/>
        <v>0</v>
      </c>
      <c r="AH58" s="961">
        <f t="shared" si="6"/>
        <v>100000</v>
      </c>
      <c r="AI58" s="195"/>
      <c r="AK58" s="234">
        <f t="shared" si="3"/>
        <v>0</v>
      </c>
      <c r="AO58" s="234">
        <v>7640</v>
      </c>
      <c r="AP58" s="234"/>
      <c r="AQ58" s="979">
        <v>46</v>
      </c>
      <c r="AR58" s="981">
        <f t="shared" si="2"/>
        <v>366.15384615384613</v>
      </c>
      <c r="AS58" s="977">
        <v>3570</v>
      </c>
      <c r="AT58" s="978" t="s">
        <v>240</v>
      </c>
    </row>
    <row r="59" spans="1:54" ht="10.15" customHeight="1">
      <c r="A59" s="195"/>
      <c r="B59" s="252"/>
      <c r="C59" s="252"/>
      <c r="D59" s="252"/>
      <c r="E59" s="252"/>
      <c r="F59" s="252"/>
      <c r="G59" s="252"/>
      <c r="H59" s="252"/>
      <c r="I59" s="252"/>
      <c r="J59" s="252"/>
      <c r="K59" s="252"/>
      <c r="L59" s="252"/>
      <c r="M59" s="252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  <c r="AA59" s="252"/>
      <c r="AB59" s="252"/>
      <c r="AC59" s="252"/>
      <c r="AD59" s="252"/>
      <c r="AE59" s="252"/>
      <c r="AF59" s="252"/>
      <c r="AG59" s="189">
        <f t="shared" si="4"/>
        <v>0</v>
      </c>
      <c r="AH59" s="961">
        <f t="shared" si="6"/>
        <v>100000</v>
      </c>
      <c r="AI59" s="195"/>
      <c r="AK59" s="234">
        <f t="shared" si="3"/>
        <v>0</v>
      </c>
      <c r="AO59" s="234">
        <v>64586.5</v>
      </c>
      <c r="AP59" s="234"/>
      <c r="AQ59" s="979">
        <v>47</v>
      </c>
      <c r="AR59" s="981">
        <f t="shared" si="2"/>
        <v>284.5128205128205</v>
      </c>
      <c r="AS59" s="977">
        <v>2774</v>
      </c>
      <c r="AT59" s="978" t="s">
        <v>265</v>
      </c>
    </row>
    <row r="60" spans="1:54" s="521" customFormat="1" ht="10.15" customHeight="1">
      <c r="A60" s="195"/>
      <c r="B60" s="252"/>
      <c r="C60" s="252"/>
      <c r="D60" s="252"/>
      <c r="E60" s="252"/>
      <c r="F60" s="252"/>
      <c r="G60" s="252"/>
      <c r="H60" s="252"/>
      <c r="I60" s="252"/>
      <c r="J60" s="252"/>
      <c r="K60" s="252"/>
      <c r="L60" s="252"/>
      <c r="M60" s="252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  <c r="AA60" s="252"/>
      <c r="AB60" s="252"/>
      <c r="AC60" s="252"/>
      <c r="AD60" s="252"/>
      <c r="AE60" s="252"/>
      <c r="AF60" s="252"/>
      <c r="AG60" s="189">
        <f t="shared" si="4"/>
        <v>0</v>
      </c>
      <c r="AH60" s="961">
        <f t="shared" si="6"/>
        <v>100000</v>
      </c>
      <c r="AI60" s="195"/>
      <c r="AJ60" s="934"/>
      <c r="AK60" s="234">
        <f t="shared" si="3"/>
        <v>0</v>
      </c>
      <c r="AL60" s="934"/>
      <c r="AM60" s="934"/>
      <c r="AN60" s="934"/>
      <c r="AO60" s="234">
        <v>42224</v>
      </c>
      <c r="AP60" s="234"/>
      <c r="AQ60" s="979">
        <v>48</v>
      </c>
      <c r="AR60" s="981">
        <f t="shared" si="2"/>
        <v>51.282051282051285</v>
      </c>
      <c r="AS60" s="977">
        <v>500</v>
      </c>
      <c r="AT60" s="978" t="s">
        <v>79</v>
      </c>
    </row>
    <row r="61" spans="1:54" ht="13.9" customHeight="1" thickBot="1">
      <c r="A61" s="46" t="s">
        <v>24</v>
      </c>
      <c r="B61" s="530">
        <f t="shared" ref="B61:R61" si="7">SUM(B3:B60)</f>
        <v>33715.5</v>
      </c>
      <c r="C61" s="530">
        <f t="shared" si="7"/>
        <v>34893.5</v>
      </c>
      <c r="D61" s="530">
        <f t="shared" si="7"/>
        <v>41420</v>
      </c>
      <c r="E61" s="530">
        <f t="shared" si="7"/>
        <v>44678.5</v>
      </c>
      <c r="F61" s="530">
        <f t="shared" si="7"/>
        <v>41733.5</v>
      </c>
      <c r="G61" s="530">
        <f t="shared" si="7"/>
        <v>40479.5</v>
      </c>
      <c r="H61" s="530">
        <f t="shared" si="7"/>
        <v>36043</v>
      </c>
      <c r="I61" s="530">
        <f t="shared" si="7"/>
        <v>41496</v>
      </c>
      <c r="J61" s="530">
        <f t="shared" si="7"/>
        <v>44412.5</v>
      </c>
      <c r="K61" s="530">
        <f t="shared" si="7"/>
        <v>46559.5</v>
      </c>
      <c r="L61" s="530">
        <f t="shared" si="7"/>
        <v>45096.5</v>
      </c>
      <c r="M61" s="530">
        <f t="shared" si="7"/>
        <v>49979.5</v>
      </c>
      <c r="N61" s="530">
        <f t="shared" si="7"/>
        <v>42389</v>
      </c>
      <c r="O61" s="530">
        <f t="shared" si="7"/>
        <v>37677</v>
      </c>
      <c r="P61" s="530">
        <f t="shared" si="7"/>
        <v>42902</v>
      </c>
      <c r="Q61" s="530">
        <f t="shared" si="7"/>
        <v>52544.5</v>
      </c>
      <c r="R61" s="530">
        <f t="shared" si="7"/>
        <v>44669</v>
      </c>
      <c r="S61" s="530">
        <f t="shared" ref="S61:AF61" si="8">SUM(S3:S60)</f>
        <v>45742.5</v>
      </c>
      <c r="T61" s="530">
        <f t="shared" si="8"/>
        <v>42275</v>
      </c>
      <c r="U61" s="530">
        <f t="shared" si="8"/>
        <v>50511.5</v>
      </c>
      <c r="V61" s="530">
        <f t="shared" si="8"/>
        <v>39102</v>
      </c>
      <c r="W61" s="530">
        <f t="shared" si="8"/>
        <v>46369.5</v>
      </c>
      <c r="X61" s="530">
        <f t="shared" si="8"/>
        <v>48108</v>
      </c>
      <c r="Y61" s="530">
        <f t="shared" si="8"/>
        <v>39700.5</v>
      </c>
      <c r="Z61" s="530">
        <f t="shared" si="8"/>
        <v>54074</v>
      </c>
      <c r="AA61" s="530">
        <f t="shared" si="8"/>
        <v>46350.5</v>
      </c>
      <c r="AB61" s="530">
        <f t="shared" si="8"/>
        <v>48773</v>
      </c>
      <c r="AC61" s="530">
        <f t="shared" si="8"/>
        <v>38209</v>
      </c>
      <c r="AD61" s="530">
        <f t="shared" si="8"/>
        <v>50350</v>
      </c>
      <c r="AE61" s="530">
        <f t="shared" si="8"/>
        <v>46901.5</v>
      </c>
      <c r="AF61" s="530">
        <f t="shared" si="8"/>
        <v>46455</v>
      </c>
      <c r="AG61" s="55">
        <f>SUM(AG3:AG60)</f>
        <v>1363611</v>
      </c>
      <c r="AH61" s="55">
        <f>SUM(AH3:AH60)</f>
        <v>14563306.5</v>
      </c>
      <c r="AO61" s="234">
        <f>SUM(AO3:AO60)</f>
        <v>5235114.5</v>
      </c>
      <c r="AP61" s="234"/>
      <c r="AQ61" s="980"/>
      <c r="AR61" s="981">
        <f>SUM(AR3:AR60)</f>
        <v>526400.15384615399</v>
      </c>
      <c r="AS61" s="977">
        <f>SUM(AS3:AS60)</f>
        <v>5132401.5</v>
      </c>
      <c r="AT61" s="937"/>
    </row>
    <row r="62" spans="1:54" ht="12" customHeight="1" thickTop="1">
      <c r="A62" s="198" t="s">
        <v>85</v>
      </c>
      <c r="B62" s="241">
        <f>'10.01.22'!E38</f>
        <v>33715.5</v>
      </c>
      <c r="C62" s="241">
        <f>'10.02.22'!E38</f>
        <v>34893.5</v>
      </c>
      <c r="D62" s="241">
        <f>'10.03.22'!E38</f>
        <v>41420</v>
      </c>
      <c r="E62" s="241">
        <f>'10.04.22'!E38</f>
        <v>44678.5</v>
      </c>
      <c r="F62" s="241">
        <f>'10.05.22'!E38</f>
        <v>41733.5</v>
      </c>
      <c r="G62" s="241">
        <f>'10.06.22'!E38</f>
        <v>40479.5</v>
      </c>
      <c r="H62" s="241">
        <f>'10.07.22'!E38</f>
        <v>36043</v>
      </c>
      <c r="I62" s="241">
        <f>'10.08.22'!E38</f>
        <v>41496</v>
      </c>
      <c r="J62" s="241">
        <f>'10.09.22'!E38</f>
        <v>44412.5</v>
      </c>
      <c r="K62" s="241">
        <f>'10.10.22'!E38</f>
        <v>46559.5</v>
      </c>
      <c r="L62" s="241">
        <f>'10.11.22'!E38</f>
        <v>45096.5</v>
      </c>
      <c r="M62" s="241">
        <f>'10.12.22'!E38</f>
        <v>49979.5</v>
      </c>
      <c r="N62" s="241">
        <f>'10.13.22'!E38</f>
        <v>42389</v>
      </c>
      <c r="O62" s="241">
        <f>'10.14.22'!E38</f>
        <v>37677</v>
      </c>
      <c r="P62" s="241">
        <f>'10.15.22'!E38</f>
        <v>42902</v>
      </c>
      <c r="Q62" s="241">
        <f>'10.16.22'!E38</f>
        <v>52544.5</v>
      </c>
      <c r="R62" s="241">
        <f>'10.17.22'!E38</f>
        <v>44669</v>
      </c>
      <c r="S62" s="241">
        <f>'10.18.22'!E38</f>
        <v>45742.5</v>
      </c>
      <c r="T62" s="241">
        <f>'10.19.22'!E38</f>
        <v>42275</v>
      </c>
      <c r="U62" s="241">
        <f>'10.20.22'!E38</f>
        <v>50511.5</v>
      </c>
      <c r="V62" s="241">
        <f>'10.21.22'!E38</f>
        <v>39102</v>
      </c>
      <c r="W62" s="241">
        <f>'10.22.22'!E38</f>
        <v>46369.5</v>
      </c>
      <c r="X62" s="241">
        <f>'10.23.22'!E38</f>
        <v>48108</v>
      </c>
      <c r="Y62" s="241">
        <f>'10.24.22'!E38</f>
        <v>39700.5</v>
      </c>
      <c r="Z62" s="241">
        <f>'10.25.22'!E38</f>
        <v>54074</v>
      </c>
      <c r="AA62" s="241">
        <f>'10.26.22'!E38</f>
        <v>46350.5</v>
      </c>
      <c r="AB62" s="241">
        <f>'10.27.22'!E38</f>
        <v>48773</v>
      </c>
      <c r="AC62" s="241">
        <f>'10.28.22'!E38</f>
        <v>38209</v>
      </c>
      <c r="AD62" s="241">
        <f>'10.29.22'!E38</f>
        <v>50350</v>
      </c>
      <c r="AE62" s="241">
        <f>'10.30.22'!E38</f>
        <v>46901.5</v>
      </c>
      <c r="AF62" s="241">
        <f>'10.31.22'!E38</f>
        <v>46455</v>
      </c>
      <c r="AG62" s="197"/>
      <c r="AH62" s="57"/>
      <c r="AI62" s="521"/>
      <c r="AJ62" s="521"/>
      <c r="AK62" s="521"/>
      <c r="AL62" s="521"/>
      <c r="AM62" s="521"/>
      <c r="AN62" s="521"/>
    </row>
    <row r="63" spans="1:54" ht="12" customHeight="1">
      <c r="A63" s="198" t="s">
        <v>86</v>
      </c>
      <c r="B63" s="242">
        <f t="shared" ref="B63:AF63" si="9">B61-B62</f>
        <v>0</v>
      </c>
      <c r="C63" s="242">
        <f t="shared" si="9"/>
        <v>0</v>
      </c>
      <c r="D63" s="242">
        <f t="shared" si="9"/>
        <v>0</v>
      </c>
      <c r="E63" s="242">
        <f t="shared" si="9"/>
        <v>0</v>
      </c>
      <c r="F63" s="242">
        <f t="shared" si="9"/>
        <v>0</v>
      </c>
      <c r="G63" s="242">
        <f t="shared" si="9"/>
        <v>0</v>
      </c>
      <c r="H63" s="242">
        <f t="shared" si="9"/>
        <v>0</v>
      </c>
      <c r="I63" s="242">
        <f t="shared" si="9"/>
        <v>0</v>
      </c>
      <c r="J63" s="242">
        <f t="shared" si="9"/>
        <v>0</v>
      </c>
      <c r="K63" s="242">
        <f t="shared" si="9"/>
        <v>0</v>
      </c>
      <c r="L63" s="242">
        <f t="shared" si="9"/>
        <v>0</v>
      </c>
      <c r="M63" s="242">
        <f t="shared" si="9"/>
        <v>0</v>
      </c>
      <c r="N63" s="242">
        <f t="shared" si="9"/>
        <v>0</v>
      </c>
      <c r="O63" s="242">
        <f t="shared" si="9"/>
        <v>0</v>
      </c>
      <c r="P63" s="242">
        <f t="shared" si="9"/>
        <v>0</v>
      </c>
      <c r="Q63" s="242">
        <f t="shared" si="9"/>
        <v>0</v>
      </c>
      <c r="R63" s="242">
        <f t="shared" si="9"/>
        <v>0</v>
      </c>
      <c r="S63" s="242">
        <f t="shared" si="9"/>
        <v>0</v>
      </c>
      <c r="T63" s="242">
        <f t="shared" si="9"/>
        <v>0</v>
      </c>
      <c r="U63" s="242">
        <f t="shared" si="9"/>
        <v>0</v>
      </c>
      <c r="V63" s="242">
        <f t="shared" si="9"/>
        <v>0</v>
      </c>
      <c r="W63" s="242">
        <f t="shared" si="9"/>
        <v>0</v>
      </c>
      <c r="X63" s="242">
        <f t="shared" si="9"/>
        <v>0</v>
      </c>
      <c r="Y63" s="242">
        <f t="shared" si="9"/>
        <v>0</v>
      </c>
      <c r="Z63" s="242">
        <f t="shared" si="9"/>
        <v>0</v>
      </c>
      <c r="AA63" s="242">
        <f t="shared" si="9"/>
        <v>0</v>
      </c>
      <c r="AB63" s="242">
        <f t="shared" si="9"/>
        <v>0</v>
      </c>
      <c r="AC63" s="242">
        <f t="shared" si="9"/>
        <v>0</v>
      </c>
      <c r="AD63" s="242">
        <f t="shared" si="9"/>
        <v>0</v>
      </c>
      <c r="AE63" s="242">
        <f t="shared" si="9"/>
        <v>0</v>
      </c>
      <c r="AF63" s="242">
        <f t="shared" si="9"/>
        <v>0</v>
      </c>
      <c r="AG63" s="233">
        <f>AG61/9.5</f>
        <v>143538</v>
      </c>
      <c r="AH63" s="199"/>
      <c r="AJ63" s="316"/>
      <c r="AK63" s="316"/>
      <c r="AL63" s="316"/>
      <c r="AM63" s="316"/>
      <c r="AN63" s="316"/>
      <c r="AO63" s="199"/>
      <c r="AP63" s="199"/>
      <c r="AQ63" s="199"/>
      <c r="AR63" s="198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</row>
    <row r="64" spans="1:54">
      <c r="M64" s="974" t="s">
        <v>755</v>
      </c>
    </row>
    <row r="65" spans="1:40">
      <c r="AG65" s="234"/>
      <c r="AI65" s="199"/>
      <c r="AJ65" s="199"/>
      <c r="AK65" s="199"/>
      <c r="AL65" s="199"/>
      <c r="AM65" s="199"/>
      <c r="AN65" s="199"/>
    </row>
    <row r="67" spans="1:40">
      <c r="A67" s="188"/>
    </row>
    <row r="68" spans="1:40">
      <c r="A68" s="188"/>
    </row>
  </sheetData>
  <mergeCells count="3">
    <mergeCell ref="A1:A2"/>
    <mergeCell ref="AG1:AG2"/>
    <mergeCell ref="AH1:AH2"/>
  </mergeCells>
  <conditionalFormatting sqref="AH25:AH27 AH35 AH38 AH57 AH50:AH52 AH32 AH60 AH6:AH8 AH11 AH41 AH13:AH15 AH43:AH45 AH19:AH21">
    <cfRule type="cellIs" dxfId="204" priority="90" operator="lessThan">
      <formula>20000</formula>
    </cfRule>
    <cfRule type="cellIs" dxfId="203" priority="91" operator="lessThan">
      <formula>25000</formula>
    </cfRule>
    <cfRule type="cellIs" dxfId="202" priority="92" operator="lessThan">
      <formula>50000</formula>
    </cfRule>
  </conditionalFormatting>
  <conditionalFormatting sqref="AH22">
    <cfRule type="cellIs" dxfId="201" priority="87" operator="lessThan">
      <formula>20000</formula>
    </cfRule>
    <cfRule type="cellIs" dxfId="200" priority="88" operator="lessThan">
      <formula>25000</formula>
    </cfRule>
    <cfRule type="cellIs" dxfId="199" priority="89" operator="lessThan">
      <formula>50000</formula>
    </cfRule>
  </conditionalFormatting>
  <conditionalFormatting sqref="AH33">
    <cfRule type="cellIs" dxfId="198" priority="84" operator="lessThan">
      <formula>20000</formula>
    </cfRule>
    <cfRule type="cellIs" dxfId="197" priority="85" operator="lessThan">
      <formula>25000</formula>
    </cfRule>
    <cfRule type="cellIs" dxfId="196" priority="86" operator="lessThan">
      <formula>50000</formula>
    </cfRule>
  </conditionalFormatting>
  <conditionalFormatting sqref="AH36">
    <cfRule type="cellIs" dxfId="195" priority="81" operator="lessThan">
      <formula>20000</formula>
    </cfRule>
    <cfRule type="cellIs" dxfId="194" priority="82" operator="lessThan">
      <formula>25000</formula>
    </cfRule>
    <cfRule type="cellIs" dxfId="193" priority="83" operator="lessThan">
      <formula>50000</formula>
    </cfRule>
  </conditionalFormatting>
  <conditionalFormatting sqref="AH49">
    <cfRule type="cellIs" dxfId="192" priority="78" operator="lessThan">
      <formula>20000</formula>
    </cfRule>
    <cfRule type="cellIs" dxfId="191" priority="79" operator="lessThan">
      <formula>25000</formula>
    </cfRule>
    <cfRule type="cellIs" dxfId="190" priority="80" operator="lessThan">
      <formula>50000</formula>
    </cfRule>
  </conditionalFormatting>
  <conditionalFormatting sqref="AH54">
    <cfRule type="cellIs" dxfId="189" priority="75" operator="lessThan">
      <formula>20000</formula>
    </cfRule>
    <cfRule type="cellIs" dxfId="188" priority="76" operator="lessThan">
      <formula>25000</formula>
    </cfRule>
    <cfRule type="cellIs" dxfId="187" priority="77" operator="lessThan">
      <formula>50000</formula>
    </cfRule>
  </conditionalFormatting>
  <conditionalFormatting sqref="AH47">
    <cfRule type="cellIs" dxfId="186" priority="72" operator="lessThan">
      <formula>20000</formula>
    </cfRule>
    <cfRule type="cellIs" dxfId="185" priority="73" operator="lessThan">
      <formula>25000</formula>
    </cfRule>
    <cfRule type="cellIs" dxfId="184" priority="74" operator="lessThan">
      <formula>50000</formula>
    </cfRule>
  </conditionalFormatting>
  <conditionalFormatting sqref="AH5">
    <cfRule type="cellIs" dxfId="183" priority="69" operator="lessThan">
      <formula>20000</formula>
    </cfRule>
    <cfRule type="cellIs" dxfId="182" priority="70" operator="lessThan">
      <formula>25000</formula>
    </cfRule>
    <cfRule type="cellIs" dxfId="181" priority="71" operator="lessThan">
      <formula>50000</formula>
    </cfRule>
  </conditionalFormatting>
  <conditionalFormatting sqref="AH53">
    <cfRule type="cellIs" dxfId="180" priority="66" operator="lessThan">
      <formula>20000</formula>
    </cfRule>
    <cfRule type="cellIs" dxfId="179" priority="67" operator="lessThan">
      <formula>25000</formula>
    </cfRule>
    <cfRule type="cellIs" dxfId="178" priority="68" operator="lessThan">
      <formula>50000</formula>
    </cfRule>
  </conditionalFormatting>
  <conditionalFormatting sqref="AH34">
    <cfRule type="cellIs" dxfId="177" priority="63" operator="lessThan">
      <formula>20000</formula>
    </cfRule>
    <cfRule type="cellIs" dxfId="176" priority="64" operator="lessThan">
      <formula>25000</formula>
    </cfRule>
    <cfRule type="cellIs" dxfId="175" priority="65" operator="lessThan">
      <formula>50000</formula>
    </cfRule>
  </conditionalFormatting>
  <conditionalFormatting sqref="AH3:AH4">
    <cfRule type="cellIs" dxfId="174" priority="60" operator="lessThan">
      <formula>20000</formula>
    </cfRule>
    <cfRule type="cellIs" dxfId="173" priority="61" operator="lessThan">
      <formula>25000</formula>
    </cfRule>
    <cfRule type="cellIs" dxfId="172" priority="62" operator="lessThan">
      <formula>50000</formula>
    </cfRule>
  </conditionalFormatting>
  <conditionalFormatting sqref="AH16">
    <cfRule type="cellIs" dxfId="171" priority="57" operator="lessThan">
      <formula>20000</formula>
    </cfRule>
    <cfRule type="cellIs" dxfId="170" priority="58" operator="lessThan">
      <formula>25000</formula>
    </cfRule>
    <cfRule type="cellIs" dxfId="169" priority="59" operator="lessThan">
      <formula>50000</formula>
    </cfRule>
  </conditionalFormatting>
  <conditionalFormatting sqref="AH28:AH29">
    <cfRule type="cellIs" dxfId="168" priority="54" operator="lessThan">
      <formula>20000</formula>
    </cfRule>
    <cfRule type="cellIs" dxfId="167" priority="55" operator="lessThan">
      <formula>25000</formula>
    </cfRule>
    <cfRule type="cellIs" dxfId="166" priority="56" operator="lessThan">
      <formula>50000</formula>
    </cfRule>
  </conditionalFormatting>
  <conditionalFormatting sqref="AH58:AH59">
    <cfRule type="cellIs" dxfId="165" priority="51" operator="lessThan">
      <formula>20000</formula>
    </cfRule>
    <cfRule type="cellIs" dxfId="164" priority="52" operator="lessThan">
      <formula>25000</formula>
    </cfRule>
    <cfRule type="cellIs" dxfId="163" priority="53" operator="lessThan">
      <formula>50000</formula>
    </cfRule>
  </conditionalFormatting>
  <conditionalFormatting sqref="AH23">
    <cfRule type="cellIs" dxfId="162" priority="48" operator="lessThan">
      <formula>20000</formula>
    </cfRule>
    <cfRule type="cellIs" dxfId="161" priority="49" operator="lessThan">
      <formula>25000</formula>
    </cfRule>
    <cfRule type="cellIs" dxfId="160" priority="50" operator="lessThan">
      <formula>50000</formula>
    </cfRule>
  </conditionalFormatting>
  <conditionalFormatting sqref="AH10">
    <cfRule type="cellIs" dxfId="159" priority="45" operator="lessThan">
      <formula>20000</formula>
    </cfRule>
    <cfRule type="cellIs" dxfId="158" priority="46" operator="lessThan">
      <formula>25000</formula>
    </cfRule>
    <cfRule type="cellIs" dxfId="157" priority="47" operator="lessThan">
      <formula>50000</formula>
    </cfRule>
  </conditionalFormatting>
  <conditionalFormatting sqref="AH55:AH56">
    <cfRule type="cellIs" dxfId="156" priority="42" operator="lessThan">
      <formula>20000</formula>
    </cfRule>
    <cfRule type="cellIs" dxfId="155" priority="43" operator="lessThan">
      <formula>25000</formula>
    </cfRule>
    <cfRule type="cellIs" dxfId="154" priority="44" operator="lessThan">
      <formula>50000</formula>
    </cfRule>
  </conditionalFormatting>
  <conditionalFormatting sqref="AH37">
    <cfRule type="cellIs" dxfId="153" priority="39" operator="lessThan">
      <formula>20000</formula>
    </cfRule>
    <cfRule type="cellIs" dxfId="152" priority="40" operator="lessThan">
      <formula>25000</formula>
    </cfRule>
    <cfRule type="cellIs" dxfId="151" priority="41" operator="lessThan">
      <formula>50000</formula>
    </cfRule>
  </conditionalFormatting>
  <conditionalFormatting sqref="AH17">
    <cfRule type="cellIs" dxfId="150" priority="36" operator="lessThan">
      <formula>20000</formula>
    </cfRule>
    <cfRule type="cellIs" dxfId="149" priority="37" operator="lessThan">
      <formula>25000</formula>
    </cfRule>
    <cfRule type="cellIs" dxfId="148" priority="38" operator="lessThan">
      <formula>50000</formula>
    </cfRule>
  </conditionalFormatting>
  <conditionalFormatting sqref="AH39">
    <cfRule type="cellIs" dxfId="147" priority="33" operator="lessThan">
      <formula>20000</formula>
    </cfRule>
    <cfRule type="cellIs" dxfId="146" priority="34" operator="lessThan">
      <formula>25000</formula>
    </cfRule>
    <cfRule type="cellIs" dxfId="145" priority="35" operator="lessThan">
      <formula>50000</formula>
    </cfRule>
  </conditionalFormatting>
  <conditionalFormatting sqref="AH12">
    <cfRule type="cellIs" dxfId="144" priority="30" operator="lessThan">
      <formula>20000</formula>
    </cfRule>
    <cfRule type="cellIs" dxfId="143" priority="31" operator="lessThan">
      <formula>25000</formula>
    </cfRule>
    <cfRule type="cellIs" dxfId="142" priority="32" operator="lessThan">
      <formula>50000</formula>
    </cfRule>
  </conditionalFormatting>
  <conditionalFormatting sqref="B63:AF63">
    <cfRule type="cellIs" dxfId="141" priority="28" operator="lessThan">
      <formula>0</formula>
    </cfRule>
    <cfRule type="cellIs" dxfId="140" priority="29" operator="greaterThan">
      <formula>0</formula>
    </cfRule>
  </conditionalFormatting>
  <conditionalFormatting sqref="AH30">
    <cfRule type="cellIs" dxfId="139" priority="25" operator="lessThan">
      <formula>20000</formula>
    </cfRule>
    <cfRule type="cellIs" dxfId="138" priority="26" operator="lessThan">
      <formula>25000</formula>
    </cfRule>
    <cfRule type="cellIs" dxfId="137" priority="27" operator="lessThan">
      <formula>50000</formula>
    </cfRule>
  </conditionalFormatting>
  <conditionalFormatting sqref="AH9">
    <cfRule type="cellIs" dxfId="136" priority="22" operator="lessThan">
      <formula>20000</formula>
    </cfRule>
    <cfRule type="cellIs" dxfId="135" priority="23" operator="lessThan">
      <formula>25000</formula>
    </cfRule>
    <cfRule type="cellIs" dxfId="134" priority="24" operator="lessThan">
      <formula>50000</formula>
    </cfRule>
  </conditionalFormatting>
  <conditionalFormatting sqref="AH18">
    <cfRule type="cellIs" dxfId="133" priority="19" operator="lessThan">
      <formula>20000</formula>
    </cfRule>
    <cfRule type="cellIs" dxfId="132" priority="20" operator="lessThan">
      <formula>25000</formula>
    </cfRule>
    <cfRule type="cellIs" dxfId="131" priority="21" operator="lessThan">
      <formula>50000</formula>
    </cfRule>
  </conditionalFormatting>
  <conditionalFormatting sqref="AH24">
    <cfRule type="cellIs" dxfId="130" priority="16" operator="lessThan">
      <formula>20000</formula>
    </cfRule>
    <cfRule type="cellIs" dxfId="129" priority="17" operator="lessThan">
      <formula>25000</formula>
    </cfRule>
    <cfRule type="cellIs" dxfId="128" priority="18" operator="lessThan">
      <formula>50000</formula>
    </cfRule>
  </conditionalFormatting>
  <conditionalFormatting sqref="AH31">
    <cfRule type="cellIs" dxfId="127" priority="13" operator="lessThan">
      <formula>20000</formula>
    </cfRule>
    <cfRule type="cellIs" dxfId="126" priority="14" operator="lessThan">
      <formula>25000</formula>
    </cfRule>
    <cfRule type="cellIs" dxfId="125" priority="15" operator="lessThan">
      <formula>50000</formula>
    </cfRule>
  </conditionalFormatting>
  <conditionalFormatting sqref="AH40">
    <cfRule type="cellIs" dxfId="124" priority="10" operator="lessThan">
      <formula>20000</formula>
    </cfRule>
    <cfRule type="cellIs" dxfId="123" priority="11" operator="lessThan">
      <formula>25000</formula>
    </cfRule>
    <cfRule type="cellIs" dxfId="122" priority="12" operator="lessThan">
      <formula>50000</formula>
    </cfRule>
  </conditionalFormatting>
  <conditionalFormatting sqref="AH42">
    <cfRule type="cellIs" dxfId="121" priority="7" operator="lessThan">
      <formula>20000</formula>
    </cfRule>
    <cfRule type="cellIs" dxfId="120" priority="8" operator="lessThan">
      <formula>25000</formula>
    </cfRule>
    <cfRule type="cellIs" dxfId="119" priority="9" operator="lessThan">
      <formula>50000</formula>
    </cfRule>
  </conditionalFormatting>
  <conditionalFormatting sqref="AH46">
    <cfRule type="cellIs" dxfId="118" priority="4" operator="lessThan">
      <formula>20000</formula>
    </cfRule>
    <cfRule type="cellIs" dxfId="117" priority="5" operator="lessThan">
      <formula>25000</formula>
    </cfRule>
    <cfRule type="cellIs" dxfId="116" priority="6" operator="lessThan">
      <formula>50000</formula>
    </cfRule>
  </conditionalFormatting>
  <conditionalFormatting sqref="AH48">
    <cfRule type="cellIs" dxfId="115" priority="1" operator="lessThan">
      <formula>20000</formula>
    </cfRule>
    <cfRule type="cellIs" dxfId="114" priority="2" operator="lessThan">
      <formula>25000</formula>
    </cfRule>
    <cfRule type="cellIs" dxfId="113" priority="3" operator="lessThan">
      <formula>50000</formula>
    </cfRule>
  </conditionalFormatting>
  <pageMargins left="0.7" right="0.7" top="0.75" bottom="0.75" header="0.3" footer="0.3"/>
  <pageSetup scale="130" orientation="portrait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DEBCF-FD64-4853-852C-D5F666A5DD38}">
  <sheetPr codeName="Sheet359"/>
  <dimension ref="A1:AH67"/>
  <sheetViews>
    <sheetView workbookViewId="0">
      <selection sqref="A1:A2"/>
    </sheetView>
  </sheetViews>
  <sheetFormatPr defaultColWidth="8.85546875" defaultRowHeight="15"/>
  <cols>
    <col min="1" max="1" width="21.85546875" style="974" bestFit="1" customWidth="1"/>
    <col min="2" max="4" width="8.28515625" style="974" customWidth="1"/>
    <col min="5" max="5" width="8.7109375" style="974" customWidth="1"/>
    <col min="6" max="6" width="8.42578125" style="974" customWidth="1"/>
    <col min="7" max="8" width="8.28515625" style="974" customWidth="1"/>
    <col min="9" max="11" width="8.5703125" style="974" customWidth="1"/>
    <col min="12" max="12" width="8.42578125" style="974" customWidth="1"/>
    <col min="13" max="13" width="8.5703125" style="974" customWidth="1"/>
    <col min="14" max="16" width="8.28515625" style="974" customWidth="1"/>
    <col min="17" max="17" width="12.28515625" style="934" customWidth="1"/>
    <col min="18" max="18" width="18" style="934" customWidth="1"/>
    <col min="19" max="19" width="18.28515625" style="934" customWidth="1"/>
    <col min="20" max="20" width="5.85546875" style="934" customWidth="1"/>
    <col min="21" max="21" width="12.42578125" style="934" customWidth="1"/>
    <col min="22" max="22" width="6.5703125" style="934" customWidth="1"/>
    <col min="23" max="23" width="3.42578125" style="934" customWidth="1"/>
    <col min="24" max="24" width="8.28515625" style="974" customWidth="1"/>
    <col min="25" max="25" width="10.7109375" style="934" customWidth="1"/>
    <col min="26" max="26" width="21.28515625" style="934" bestFit="1" customWidth="1"/>
    <col min="27" max="16384" width="8.85546875" style="934"/>
  </cols>
  <sheetData>
    <row r="1" spans="1:26">
      <c r="A1" s="1251" t="s">
        <v>77</v>
      </c>
      <c r="B1" s="250" t="s">
        <v>91</v>
      </c>
      <c r="C1" s="250" t="s">
        <v>92</v>
      </c>
      <c r="D1" s="250" t="s">
        <v>93</v>
      </c>
      <c r="E1" s="250" t="s">
        <v>87</v>
      </c>
      <c r="F1" s="250" t="s">
        <v>88</v>
      </c>
      <c r="G1" s="250" t="s">
        <v>89</v>
      </c>
      <c r="H1" s="250" t="s">
        <v>90</v>
      </c>
      <c r="I1" s="250" t="s">
        <v>91</v>
      </c>
      <c r="J1" s="250" t="s">
        <v>92</v>
      </c>
      <c r="K1" s="250" t="s">
        <v>93</v>
      </c>
      <c r="L1" s="250" t="s">
        <v>87</v>
      </c>
      <c r="M1" s="250" t="s">
        <v>88</v>
      </c>
      <c r="N1" s="250" t="s">
        <v>89</v>
      </c>
      <c r="O1" s="250" t="s">
        <v>90</v>
      </c>
      <c r="P1" s="250" t="s">
        <v>91</v>
      </c>
      <c r="Q1" s="1253" t="s">
        <v>31</v>
      </c>
      <c r="R1" s="1282" t="s">
        <v>190</v>
      </c>
      <c r="U1" s="974" t="s">
        <v>222</v>
      </c>
    </row>
    <row r="2" spans="1:26" ht="15.75" thickBot="1">
      <c r="A2" s="1280"/>
      <c r="B2" s="251">
        <v>44820</v>
      </c>
      <c r="C2" s="251">
        <v>44821</v>
      </c>
      <c r="D2" s="251">
        <v>44822</v>
      </c>
      <c r="E2" s="251">
        <v>44823</v>
      </c>
      <c r="F2" s="251">
        <v>44824</v>
      </c>
      <c r="G2" s="251">
        <v>44825</v>
      </c>
      <c r="H2" s="251">
        <v>44826</v>
      </c>
      <c r="I2" s="251">
        <v>44827</v>
      </c>
      <c r="J2" s="251">
        <v>44828</v>
      </c>
      <c r="K2" s="251">
        <v>44829</v>
      </c>
      <c r="L2" s="251">
        <v>44830</v>
      </c>
      <c r="M2" s="251">
        <v>44831</v>
      </c>
      <c r="N2" s="251">
        <v>44832</v>
      </c>
      <c r="O2" s="251">
        <v>44833</v>
      </c>
      <c r="P2" s="251">
        <v>44834</v>
      </c>
      <c r="Q2" s="1281"/>
      <c r="R2" s="1283"/>
      <c r="T2" s="974"/>
      <c r="U2" s="974" t="s">
        <v>132</v>
      </c>
      <c r="V2" s="974"/>
      <c r="W2" s="937"/>
      <c r="X2" s="756" t="s">
        <v>316</v>
      </c>
      <c r="Y2" s="937" t="s">
        <v>326</v>
      </c>
      <c r="Z2" s="937"/>
    </row>
    <row r="3" spans="1:26" ht="10.15" customHeight="1">
      <c r="A3" s="194" t="s">
        <v>185</v>
      </c>
      <c r="B3" s="591"/>
      <c r="C3" s="591"/>
      <c r="D3" s="591">
        <f>'9.18.22'!E10+'9.18.22'!E24:E24</f>
        <v>9956</v>
      </c>
      <c r="E3" s="638"/>
      <c r="F3" s="638"/>
      <c r="G3" s="638"/>
      <c r="H3" s="638"/>
      <c r="I3" s="638"/>
      <c r="J3" s="638">
        <f>'9.24.22'!E9</f>
        <v>7191.5</v>
      </c>
      <c r="K3" s="638"/>
      <c r="L3" s="512"/>
      <c r="M3" s="512">
        <f>'9.27.22'!E9+'9.27.22'!E19</f>
        <v>13594.5</v>
      </c>
      <c r="N3" s="512"/>
      <c r="O3" s="512"/>
      <c r="P3" s="512">
        <f>'9.30.22'!E17</f>
        <v>7343.5</v>
      </c>
      <c r="Q3" s="189">
        <f t="shared" ref="Q3:Q34" si="0">SUM(B3:P3)</f>
        <v>38085.5</v>
      </c>
      <c r="R3" s="189">
        <f>449000-Q3+350000</f>
        <v>760914.5</v>
      </c>
      <c r="S3" s="194" t="str">
        <f t="shared" ref="S3:S34" si="1">A3</f>
        <v>8E8 Thai Street Food</v>
      </c>
      <c r="U3" s="234">
        <v>415532</v>
      </c>
      <c r="V3" s="234"/>
      <c r="W3" s="979">
        <v>1</v>
      </c>
      <c r="X3" s="981">
        <f t="shared" ref="X3:X59" si="2">Y3/9.75</f>
        <v>51180.666666666664</v>
      </c>
      <c r="Y3" s="977">
        <v>499011.5</v>
      </c>
      <c r="Z3" s="978" t="s">
        <v>70</v>
      </c>
    </row>
    <row r="4" spans="1:26" ht="10.15" customHeight="1">
      <c r="A4" s="194" t="s">
        <v>330</v>
      </c>
      <c r="B4" s="591"/>
      <c r="C4" s="591">
        <f>'9.17.22'!E15</f>
        <v>1216</v>
      </c>
      <c r="D4" s="591"/>
      <c r="E4" s="638"/>
      <c r="F4" s="638"/>
      <c r="G4" s="638"/>
      <c r="H4" s="638"/>
      <c r="I4" s="638"/>
      <c r="J4" s="638"/>
      <c r="K4" s="638">
        <f>'9.25.22'!E18</f>
        <v>3486.5</v>
      </c>
      <c r="L4" s="512"/>
      <c r="M4" s="512"/>
      <c r="N4" s="512"/>
      <c r="O4" s="512"/>
      <c r="P4" s="512"/>
      <c r="Q4" s="189">
        <f t="shared" si="0"/>
        <v>4702.5</v>
      </c>
      <c r="R4" s="189">
        <v>99000</v>
      </c>
      <c r="S4" s="194" t="str">
        <f t="shared" si="1"/>
        <v>Aloha Friday</v>
      </c>
      <c r="U4" s="234"/>
      <c r="V4" s="234"/>
      <c r="W4" s="979"/>
      <c r="X4" s="981"/>
      <c r="Y4" s="977"/>
      <c r="Z4" s="978"/>
    </row>
    <row r="5" spans="1:26" ht="10.15" customHeight="1">
      <c r="A5" s="194" t="s">
        <v>164</v>
      </c>
      <c r="B5" s="452"/>
      <c r="C5" s="452"/>
      <c r="D5" s="452"/>
      <c r="E5" s="639"/>
      <c r="F5" s="639"/>
      <c r="G5" s="639"/>
      <c r="H5" s="639"/>
      <c r="I5" s="638"/>
      <c r="J5" s="639"/>
      <c r="K5" s="638">
        <f>'9.25.22'!E16 + '9.25.22'!E26</f>
        <v>5842.5</v>
      </c>
      <c r="L5" s="452"/>
      <c r="M5" s="452"/>
      <c r="N5" s="452"/>
      <c r="O5" s="452"/>
      <c r="P5" s="512"/>
      <c r="Q5" s="189">
        <f t="shared" si="0"/>
        <v>5842.5</v>
      </c>
      <c r="R5" s="189">
        <f>449000-Q5</f>
        <v>443157.5</v>
      </c>
      <c r="S5" s="194" t="str">
        <f t="shared" si="1"/>
        <v>Austyn's Burgers</v>
      </c>
      <c r="U5" s="234">
        <v>270375.5</v>
      </c>
      <c r="V5" s="234"/>
      <c r="W5" s="979">
        <v>2</v>
      </c>
      <c r="X5" s="981">
        <f t="shared" si="2"/>
        <v>42618.666666666664</v>
      </c>
      <c r="Y5" s="977">
        <v>415532</v>
      </c>
      <c r="Z5" s="978" t="s">
        <v>185</v>
      </c>
    </row>
    <row r="6" spans="1:26" ht="10.15" customHeight="1">
      <c r="A6" s="195" t="s">
        <v>51</v>
      </c>
      <c r="B6" s="589">
        <f>'9.16.22'!E26</f>
        <v>532</v>
      </c>
      <c r="C6" s="589"/>
      <c r="D6" s="589"/>
      <c r="E6" s="640">
        <f>'9.19.22'!E16</f>
        <v>3125.5</v>
      </c>
      <c r="F6" s="640"/>
      <c r="G6" s="640">
        <f>'9.21.22'!E19</f>
        <v>3201.5</v>
      </c>
      <c r="H6" s="640"/>
      <c r="I6" s="640"/>
      <c r="J6" s="640"/>
      <c r="K6" s="640"/>
      <c r="L6" s="252">
        <f>'9.26.22'!E20</f>
        <v>2869</v>
      </c>
      <c r="M6" s="252"/>
      <c r="N6" s="252">
        <f>'9.28.22'!E20+'9.28.22'!E30</f>
        <v>5120.5</v>
      </c>
      <c r="O6" s="252"/>
      <c r="P6" s="252"/>
      <c r="Q6" s="189">
        <f t="shared" si="0"/>
        <v>14848.5</v>
      </c>
      <c r="R6" s="961">
        <f>100000-Q6+350000</f>
        <v>435151.5</v>
      </c>
      <c r="S6" s="194" t="str">
        <f t="shared" si="1"/>
        <v>Baby's Burgers</v>
      </c>
      <c r="U6" s="234">
        <v>128995</v>
      </c>
      <c r="V6" s="234"/>
      <c r="W6" s="979">
        <v>3</v>
      </c>
      <c r="X6" s="981">
        <f t="shared" si="2"/>
        <v>37149.794871794875</v>
      </c>
      <c r="Y6" s="977">
        <v>362210.5</v>
      </c>
      <c r="Z6" s="978" t="s">
        <v>53</v>
      </c>
    </row>
    <row r="7" spans="1:26" ht="10.15" customHeight="1">
      <c r="A7" s="195" t="s">
        <v>62</v>
      </c>
      <c r="B7" s="589">
        <f>'9.16.22'!E8</f>
        <v>1235</v>
      </c>
      <c r="C7" s="589"/>
      <c r="D7" s="589"/>
      <c r="E7" s="640"/>
      <c r="F7" s="640"/>
      <c r="G7" s="640"/>
      <c r="H7" s="640">
        <f>'9.22.22'!E10</f>
        <v>1957</v>
      </c>
      <c r="I7" s="640">
        <f>'9.23.22'!E7</f>
        <v>1871.5</v>
      </c>
      <c r="J7" s="640"/>
      <c r="K7" s="640">
        <f>'9.25.22'!E7</f>
        <v>2375</v>
      </c>
      <c r="L7" s="252"/>
      <c r="M7" s="252"/>
      <c r="N7" s="252">
        <f>'9.28.22'!E7</f>
        <v>2384.5</v>
      </c>
      <c r="O7" s="252"/>
      <c r="P7" s="252"/>
      <c r="Q7" s="189">
        <f t="shared" si="0"/>
        <v>9823</v>
      </c>
      <c r="R7" s="961">
        <f>100000-Q7</f>
        <v>90177</v>
      </c>
      <c r="S7" s="194" t="str">
        <f t="shared" si="1"/>
        <v>Belly's Sliders Wings</v>
      </c>
      <c r="U7" s="234">
        <v>67842.5</v>
      </c>
      <c r="V7" s="234"/>
      <c r="W7" s="979">
        <v>4</v>
      </c>
      <c r="X7" s="981">
        <f t="shared" si="2"/>
        <v>34980.051282051281</v>
      </c>
      <c r="Y7" s="977">
        <v>341055.5</v>
      </c>
      <c r="Z7" s="978" t="s">
        <v>65</v>
      </c>
    </row>
    <row r="8" spans="1:26" ht="10.15" customHeight="1">
      <c r="A8" s="195" t="s">
        <v>12</v>
      </c>
      <c r="B8" s="252"/>
      <c r="C8" s="252"/>
      <c r="D8" s="252"/>
      <c r="E8" s="640"/>
      <c r="F8" s="640"/>
      <c r="G8" s="640"/>
      <c r="H8" s="640"/>
      <c r="I8" s="640">
        <f>'9.23.22'!E27</f>
        <v>950</v>
      </c>
      <c r="J8" s="640"/>
      <c r="K8" s="640"/>
      <c r="L8" s="252"/>
      <c r="M8" s="252"/>
      <c r="N8" s="252"/>
      <c r="O8" s="252"/>
      <c r="P8" s="252"/>
      <c r="Q8" s="189">
        <f t="shared" si="0"/>
        <v>950</v>
      </c>
      <c r="R8" s="961">
        <f>100000-Q8</f>
        <v>99050</v>
      </c>
      <c r="S8" s="194" t="str">
        <f t="shared" si="1"/>
        <v>Bison Burger</v>
      </c>
      <c r="U8" s="234">
        <v>36161.5</v>
      </c>
      <c r="V8" s="234"/>
      <c r="W8" s="979">
        <v>5</v>
      </c>
      <c r="X8" s="981">
        <f t="shared" si="2"/>
        <v>30042.153846153848</v>
      </c>
      <c r="Y8" s="977">
        <v>292911</v>
      </c>
      <c r="Z8" s="978" t="s">
        <v>235</v>
      </c>
    </row>
    <row r="9" spans="1:26" ht="10.15" customHeight="1">
      <c r="A9" s="195" t="s">
        <v>331</v>
      </c>
      <c r="B9" s="252"/>
      <c r="C9" s="252"/>
      <c r="D9" s="252"/>
      <c r="E9" s="252"/>
      <c r="F9" s="252"/>
      <c r="G9" s="252"/>
      <c r="H9" s="252"/>
      <c r="I9" s="252"/>
      <c r="J9" s="252"/>
      <c r="K9" s="252"/>
      <c r="L9" s="252"/>
      <c r="M9" s="252">
        <f>'9.27.22'!E28</f>
        <v>3106.5</v>
      </c>
      <c r="N9" s="252"/>
      <c r="O9" s="252"/>
      <c r="P9" s="252"/>
      <c r="Q9" s="189">
        <f t="shared" si="0"/>
        <v>3106.5</v>
      </c>
      <c r="R9" s="189">
        <v>99000</v>
      </c>
      <c r="S9" s="194" t="str">
        <f t="shared" si="1"/>
        <v>Bittie Bitez</v>
      </c>
      <c r="U9" s="234"/>
      <c r="V9" s="234"/>
      <c r="W9" s="979"/>
      <c r="X9" s="981"/>
      <c r="Y9" s="977"/>
      <c r="Z9" s="978"/>
    </row>
    <row r="10" spans="1:26" ht="10.15" customHeight="1">
      <c r="A10" s="195" t="s">
        <v>239</v>
      </c>
      <c r="B10" s="252"/>
      <c r="C10" s="252"/>
      <c r="D10" s="252"/>
      <c r="E10" s="640"/>
      <c r="F10" s="640"/>
      <c r="G10" s="640"/>
      <c r="H10" s="640"/>
      <c r="I10" s="640"/>
      <c r="J10" s="640"/>
      <c r="K10" s="640">
        <f>'9.25.22'!E9 + '9.25.22'!E19</f>
        <v>5519.5</v>
      </c>
      <c r="L10" s="252">
        <f>'9.26.22'!E8</f>
        <v>1710</v>
      </c>
      <c r="M10" s="252">
        <f>'9.27.22'!E21</f>
        <v>1244.5</v>
      </c>
      <c r="N10" s="252"/>
      <c r="O10" s="252"/>
      <c r="P10" s="252">
        <f>'9.30.22'!E18</f>
        <v>2232.5</v>
      </c>
      <c r="Q10" s="189">
        <f t="shared" si="0"/>
        <v>10706.5</v>
      </c>
      <c r="R10" s="961">
        <f>100000-Q10</f>
        <v>89293.5</v>
      </c>
      <c r="S10" s="194" t="str">
        <f t="shared" si="1"/>
        <v>Bollywood Kitchen</v>
      </c>
      <c r="U10" s="234">
        <v>41845.5</v>
      </c>
      <c r="V10" s="234"/>
      <c r="W10" s="979">
        <v>6</v>
      </c>
      <c r="X10" s="981">
        <f t="shared" si="2"/>
        <v>27730.820512820512</v>
      </c>
      <c r="Y10" s="977">
        <v>270375.5</v>
      </c>
      <c r="Z10" s="978" t="s">
        <v>164</v>
      </c>
    </row>
    <row r="11" spans="1:26" ht="10.15" customHeight="1">
      <c r="A11" s="195" t="s">
        <v>68</v>
      </c>
      <c r="B11" s="589">
        <f>'9.16.22'!E22</f>
        <v>1273</v>
      </c>
      <c r="C11" s="589"/>
      <c r="D11" s="589"/>
      <c r="E11" s="640"/>
      <c r="F11" s="640"/>
      <c r="G11" s="640">
        <f>'9.21.22'!E9</f>
        <v>1881</v>
      </c>
      <c r="H11" s="640">
        <f>'9.22.22'!E20</f>
        <v>1719.5</v>
      </c>
      <c r="I11" s="640"/>
      <c r="J11" s="640"/>
      <c r="K11" s="640"/>
      <c r="L11" s="252"/>
      <c r="M11" s="252"/>
      <c r="N11" s="252">
        <f>'9.28.22'!E11</f>
        <v>1729</v>
      </c>
      <c r="O11" s="252">
        <f>'9.29.22'!E18</f>
        <v>1985.5</v>
      </c>
      <c r="P11" s="252"/>
      <c r="Q11" s="189">
        <f t="shared" si="0"/>
        <v>8588</v>
      </c>
      <c r="R11" s="961">
        <f>100000-Q11</f>
        <v>91412</v>
      </c>
      <c r="S11" s="194" t="str">
        <f t="shared" si="1"/>
        <v>Bunz Gourmet Burgers</v>
      </c>
      <c r="U11" s="234">
        <v>18672</v>
      </c>
      <c r="V11" s="234"/>
      <c r="W11" s="979">
        <v>7</v>
      </c>
      <c r="X11" s="981">
        <f t="shared" si="2"/>
        <v>23386.205128205129</v>
      </c>
      <c r="Y11" s="977">
        <v>228015.5</v>
      </c>
      <c r="Z11" s="978" t="s">
        <v>45</v>
      </c>
    </row>
    <row r="12" spans="1:26" ht="10.15" customHeight="1">
      <c r="A12" s="195" t="s">
        <v>245</v>
      </c>
      <c r="B12" s="589">
        <f>'9.16.22'!E28</f>
        <v>332.5</v>
      </c>
      <c r="C12" s="589">
        <f>'9.17.22'!E10</f>
        <v>408.5</v>
      </c>
      <c r="D12" s="589"/>
      <c r="E12" s="640"/>
      <c r="F12" s="640">
        <f>'9.20.22'!E8+'9.20.22'!E17</f>
        <v>4313</v>
      </c>
      <c r="G12" s="640"/>
      <c r="H12" s="640"/>
      <c r="I12" s="640"/>
      <c r="J12" s="640"/>
      <c r="K12" s="640"/>
      <c r="L12" s="252">
        <f>'9.26.22'!E10</f>
        <v>2308.5</v>
      </c>
      <c r="M12" s="252"/>
      <c r="N12" s="252"/>
      <c r="O12" s="252"/>
      <c r="P12" s="252">
        <f>'9.30.22'!E21+'9.30.22'!E31</f>
        <v>1681.5</v>
      </c>
      <c r="Q12" s="189">
        <f t="shared" si="0"/>
        <v>9044</v>
      </c>
      <c r="R12" s="961">
        <f>100000-Q12</f>
        <v>90956</v>
      </c>
      <c r="S12" s="194" t="str">
        <f t="shared" si="1"/>
        <v>Café Vietnam</v>
      </c>
      <c r="U12" s="234">
        <v>32515.5</v>
      </c>
      <c r="V12" s="234"/>
      <c r="W12" s="979">
        <v>8</v>
      </c>
      <c r="X12" s="981">
        <f t="shared" si="2"/>
        <v>20230.51282051282</v>
      </c>
      <c r="Y12" s="977">
        <v>197247.5</v>
      </c>
      <c r="Z12" s="978" t="s">
        <v>143</v>
      </c>
    </row>
    <row r="13" spans="1:26" ht="10.15" customHeight="1">
      <c r="A13" s="195" t="s">
        <v>254</v>
      </c>
      <c r="B13" s="589">
        <f>'9.16.22'!E12</f>
        <v>1206.5</v>
      </c>
      <c r="C13" s="589"/>
      <c r="D13" s="589">
        <f>'9.18.22'!E9+'9.18.22'!E23</f>
        <v>2242</v>
      </c>
      <c r="E13" s="640"/>
      <c r="F13" s="640"/>
      <c r="G13" s="640"/>
      <c r="H13" s="640">
        <f>'9.22.22'!E9</f>
        <v>1919</v>
      </c>
      <c r="I13" s="640">
        <f>'9.23.22'!E8</f>
        <v>2878.5</v>
      </c>
      <c r="J13" s="640">
        <f>'9.24.22'!E7</f>
        <v>2242</v>
      </c>
      <c r="K13" s="640">
        <f>'9.25.22'!E8</f>
        <v>3467.5</v>
      </c>
      <c r="L13" s="252">
        <f>'9.26.22'!E11</f>
        <v>2356</v>
      </c>
      <c r="M13" s="252"/>
      <c r="N13" s="252"/>
      <c r="O13" s="252"/>
      <c r="P13" s="252"/>
      <c r="Q13" s="189">
        <f t="shared" si="0"/>
        <v>16311.5</v>
      </c>
      <c r="R13" s="961">
        <f>100000-Q13+350000</f>
        <v>433688.5</v>
      </c>
      <c r="S13" s="194" t="str">
        <f t="shared" si="1"/>
        <v>Cartel Taco Truck</v>
      </c>
      <c r="U13" s="234">
        <v>126406.5</v>
      </c>
      <c r="V13" s="234"/>
      <c r="W13" s="979">
        <v>9</v>
      </c>
      <c r="X13" s="981">
        <f t="shared" si="2"/>
        <v>19788.205128205129</v>
      </c>
      <c r="Y13" s="977">
        <v>192935</v>
      </c>
      <c r="Z13" s="978" t="s">
        <v>242</v>
      </c>
    </row>
    <row r="14" spans="1:26" ht="10.15" customHeight="1">
      <c r="A14" s="195" t="s">
        <v>49</v>
      </c>
      <c r="B14" s="589">
        <f>'9.16.22'!E7</f>
        <v>2137.5</v>
      </c>
      <c r="C14" s="589"/>
      <c r="D14" s="589"/>
      <c r="E14" s="640">
        <f>'9.19.22'!E9</f>
        <v>2536.5</v>
      </c>
      <c r="F14" s="640">
        <f>'9.20.22'!E18</f>
        <v>2707.5</v>
      </c>
      <c r="G14" s="640"/>
      <c r="H14" s="640">
        <f>'9.22.22'!E31</f>
        <v>1681.5</v>
      </c>
      <c r="I14" s="640">
        <f>'9.23.22'!E10</f>
        <v>2565</v>
      </c>
      <c r="J14" s="640">
        <f>'9.24.22'!E21+'9.24.22'!E31</f>
        <v>2622</v>
      </c>
      <c r="K14" s="640"/>
      <c r="L14" s="252">
        <f>'9.26.22'!E17</f>
        <v>2612.5</v>
      </c>
      <c r="M14" s="252">
        <f>'9.27.22'!E27</f>
        <v>1349</v>
      </c>
      <c r="N14" s="252"/>
      <c r="O14" s="252"/>
      <c r="P14" s="252"/>
      <c r="Q14" s="189">
        <f t="shared" si="0"/>
        <v>18211.5</v>
      </c>
      <c r="R14" s="961">
        <f>100000-Q14</f>
        <v>81788.5</v>
      </c>
      <c r="S14" s="194" t="str">
        <f t="shared" si="1"/>
        <v>Cerda Vega Tacos</v>
      </c>
      <c r="U14" s="782">
        <v>103495</v>
      </c>
      <c r="V14" s="234"/>
      <c r="W14" s="979">
        <v>10</v>
      </c>
      <c r="X14" s="981">
        <f t="shared" si="2"/>
        <v>19293.897435897437</v>
      </c>
      <c r="Y14" s="977">
        <v>188115.5</v>
      </c>
      <c r="Z14" s="978" t="s">
        <v>63</v>
      </c>
    </row>
    <row r="15" spans="1:26" ht="10.15" customHeight="1">
      <c r="A15" s="195" t="s">
        <v>235</v>
      </c>
      <c r="B15" s="589">
        <f>'9.16.22'!E21</f>
        <v>693.5</v>
      </c>
      <c r="C15" s="589">
        <f>'9.17.22'!E8+'9.17.22'!E22</f>
        <v>1501</v>
      </c>
      <c r="D15" s="589">
        <f>'9.18.22'!E22</f>
        <v>1691</v>
      </c>
      <c r="E15" s="640"/>
      <c r="F15" s="640">
        <f>'9.20.22'!E16</f>
        <v>2812</v>
      </c>
      <c r="G15" s="640">
        <f>'9.21.22'!E18</f>
        <v>3401</v>
      </c>
      <c r="H15" s="640"/>
      <c r="I15" s="640"/>
      <c r="J15" s="640">
        <f>'9.24.22'!E28</f>
        <v>3420</v>
      </c>
      <c r="K15" s="640"/>
      <c r="L15" s="252">
        <f>'9.26.22'!E28</f>
        <v>4199</v>
      </c>
      <c r="M15" s="252"/>
      <c r="N15" s="252"/>
      <c r="O15" s="252"/>
      <c r="P15" s="252">
        <f>'9.30.22'!E28</f>
        <v>3961.5</v>
      </c>
      <c r="Q15" s="189">
        <f t="shared" si="0"/>
        <v>21679</v>
      </c>
      <c r="R15" s="961">
        <f>100000-Q15+350000</f>
        <v>428321</v>
      </c>
      <c r="S15" s="194" t="str">
        <f t="shared" si="1"/>
        <v>Creamy Boys</v>
      </c>
      <c r="U15" s="234">
        <v>292911</v>
      </c>
      <c r="V15" s="234"/>
      <c r="W15" s="979">
        <v>11</v>
      </c>
      <c r="X15" s="981">
        <f t="shared" si="2"/>
        <v>17233.384615384617</v>
      </c>
      <c r="Y15" s="977">
        <v>168025.5</v>
      </c>
      <c r="Z15" s="978" t="s">
        <v>145</v>
      </c>
    </row>
    <row r="16" spans="1:26" ht="10.15" customHeight="1">
      <c r="A16" s="195" t="s">
        <v>188</v>
      </c>
      <c r="B16" s="252"/>
      <c r="C16" s="252"/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52"/>
      <c r="O16" s="252"/>
      <c r="P16" s="252"/>
      <c r="Q16" s="189">
        <f t="shared" si="0"/>
        <v>0</v>
      </c>
      <c r="R16" s="961">
        <f>100000-Q16</f>
        <v>100000</v>
      </c>
      <c r="S16" s="194" t="str">
        <f t="shared" si="1"/>
        <v>Deli Doctor</v>
      </c>
      <c r="U16" s="234">
        <v>51936.5</v>
      </c>
      <c r="V16" s="234"/>
      <c r="W16" s="979">
        <v>12</v>
      </c>
      <c r="X16" s="981">
        <f t="shared" si="2"/>
        <v>16683.333333333332</v>
      </c>
      <c r="Y16" s="977">
        <v>162662.5</v>
      </c>
      <c r="Z16" s="978" t="s">
        <v>82</v>
      </c>
    </row>
    <row r="17" spans="1:26" ht="10.15" customHeight="1">
      <c r="A17" s="195" t="s">
        <v>243</v>
      </c>
      <c r="B17" s="589">
        <f>'9.16.22'!E27</f>
        <v>1871.5</v>
      </c>
      <c r="C17" s="589"/>
      <c r="D17" s="589">
        <f>'9.18.22'!E12+'9.18.22'!E26</f>
        <v>6707</v>
      </c>
      <c r="E17" s="640"/>
      <c r="F17" s="640"/>
      <c r="G17" s="640"/>
      <c r="H17" s="640"/>
      <c r="I17" s="640">
        <f>'9.23.22'!E19+'9.23.22'!E29</f>
        <v>6792.5</v>
      </c>
      <c r="J17" s="640"/>
      <c r="K17" s="640"/>
      <c r="L17" s="252"/>
      <c r="M17" s="252">
        <f>'9.27.22'!E31</f>
        <v>2736</v>
      </c>
      <c r="N17" s="252">
        <f>'9.28.22'!E27</f>
        <v>3553</v>
      </c>
      <c r="O17" s="252">
        <f>'9.29.22'!E17+'9.29.22'!E27</f>
        <v>7666.5</v>
      </c>
      <c r="P17" s="252"/>
      <c r="Q17" s="189">
        <f t="shared" si="0"/>
        <v>29326.5</v>
      </c>
      <c r="R17" s="961">
        <f>100000-Q17</f>
        <v>70673.5</v>
      </c>
      <c r="S17" s="194" t="str">
        <f t="shared" si="1"/>
        <v>Dina's Dumpling</v>
      </c>
      <c r="U17" s="234">
        <v>70634</v>
      </c>
      <c r="V17" s="234"/>
      <c r="W17" s="979">
        <v>13</v>
      </c>
      <c r="X17" s="981">
        <f t="shared" si="2"/>
        <v>13230.25641025641</v>
      </c>
      <c r="Y17" s="977">
        <v>128995</v>
      </c>
      <c r="Z17" s="978" t="s">
        <v>51</v>
      </c>
    </row>
    <row r="18" spans="1:26" ht="10.15" customHeight="1">
      <c r="A18" s="195" t="s">
        <v>334</v>
      </c>
      <c r="B18" s="252"/>
      <c r="C18" s="252"/>
      <c r="D18" s="252"/>
      <c r="E18" s="640"/>
      <c r="F18" s="640"/>
      <c r="G18" s="640"/>
      <c r="H18" s="640">
        <f>'9.22.22'!E11</f>
        <v>1026</v>
      </c>
      <c r="I18" s="640"/>
      <c r="J18" s="640"/>
      <c r="K18" s="640"/>
      <c r="L18" s="252"/>
      <c r="M18" s="252"/>
      <c r="N18" s="252"/>
      <c r="O18" s="252">
        <f>'9.29.22'!E30</f>
        <v>2660</v>
      </c>
      <c r="P18" s="252"/>
      <c r="Q18" s="189">
        <f t="shared" si="0"/>
        <v>3686</v>
      </c>
      <c r="R18" s="189">
        <v>99000</v>
      </c>
      <c r="S18" s="194" t="str">
        <f t="shared" si="1"/>
        <v>Dulce Europa</v>
      </c>
      <c r="U18" s="234"/>
      <c r="V18" s="234"/>
      <c r="W18" s="979"/>
      <c r="X18" s="981"/>
      <c r="Y18" s="977"/>
      <c r="Z18" s="978"/>
    </row>
    <row r="19" spans="1:26" ht="10.15" customHeight="1">
      <c r="A19" s="195" t="s">
        <v>63</v>
      </c>
      <c r="B19" s="252"/>
      <c r="C19" s="252"/>
      <c r="D19" s="252"/>
      <c r="E19" s="252"/>
      <c r="F19" s="252"/>
      <c r="G19" s="252"/>
      <c r="H19" s="252"/>
      <c r="I19" s="252"/>
      <c r="J19" s="252"/>
      <c r="K19" s="252"/>
      <c r="L19" s="252">
        <f>'9.26.22'!E31+'9.26.22'!E21</f>
        <v>3277.5</v>
      </c>
      <c r="M19" s="252">
        <f>'9.27.22'!E7</f>
        <v>2080.5</v>
      </c>
      <c r="N19" s="252">
        <f>'9.28.22'!E17</f>
        <v>2812</v>
      </c>
      <c r="O19" s="252"/>
      <c r="P19" s="252">
        <f>'9.30.22'!E9</f>
        <v>2498.5</v>
      </c>
      <c r="Q19" s="189">
        <f t="shared" si="0"/>
        <v>10668.5</v>
      </c>
      <c r="R19" s="961">
        <f>449000-Q19+350000</f>
        <v>788331.5</v>
      </c>
      <c r="S19" s="194" t="str">
        <f t="shared" si="1"/>
        <v>Flamin Hot Chicken</v>
      </c>
      <c r="U19" s="234">
        <v>188115.5</v>
      </c>
      <c r="V19" s="234"/>
      <c r="W19" s="979">
        <v>14</v>
      </c>
      <c r="X19" s="981">
        <f t="shared" si="2"/>
        <v>13104.358974358975</v>
      </c>
      <c r="Y19" s="977">
        <v>127767.5</v>
      </c>
      <c r="Z19" s="978" t="s">
        <v>246</v>
      </c>
    </row>
    <row r="20" spans="1:26" ht="10.15" customHeight="1">
      <c r="A20" s="195" t="s">
        <v>78</v>
      </c>
      <c r="B20" s="589"/>
      <c r="C20" s="589">
        <f>'9.17.22'!E28</f>
        <v>608</v>
      </c>
      <c r="D20" s="589"/>
      <c r="E20" s="640"/>
      <c r="F20" s="640"/>
      <c r="G20" s="640"/>
      <c r="H20" s="640"/>
      <c r="I20" s="640">
        <f>'9.23.22'!E9</f>
        <v>1985.5</v>
      </c>
      <c r="J20" s="640">
        <f>'9.24.22'!E20</f>
        <v>2099.5</v>
      </c>
      <c r="K20" s="640"/>
      <c r="L20" s="252">
        <f>'9.26.22'!E18</f>
        <v>2213.5</v>
      </c>
      <c r="M20" s="252"/>
      <c r="N20" s="252"/>
      <c r="O20" s="252"/>
      <c r="P20" s="252">
        <f>'9.30.22'!E8</f>
        <v>2926</v>
      </c>
      <c r="Q20" s="189">
        <f t="shared" si="0"/>
        <v>9832.5</v>
      </c>
      <c r="R20" s="961">
        <f>100000-Q20</f>
        <v>90167.5</v>
      </c>
      <c r="S20" s="194" t="str">
        <f t="shared" si="1"/>
        <v>Flaming Grain</v>
      </c>
      <c r="U20" s="234">
        <v>55223</v>
      </c>
      <c r="V20" s="234"/>
      <c r="W20" s="979">
        <v>15</v>
      </c>
      <c r="X20" s="981">
        <f t="shared" si="2"/>
        <v>12964.76923076923</v>
      </c>
      <c r="Y20" s="977">
        <v>126406.5</v>
      </c>
      <c r="Z20" s="978" t="s">
        <v>43</v>
      </c>
    </row>
    <row r="21" spans="1:26" ht="10.15" customHeight="1">
      <c r="A21" s="195" t="s">
        <v>696</v>
      </c>
      <c r="B21" s="589"/>
      <c r="C21" s="589"/>
      <c r="D21" s="589"/>
      <c r="E21" s="640"/>
      <c r="F21" s="640"/>
      <c r="G21" s="640"/>
      <c r="H21" s="640"/>
      <c r="I21" s="640"/>
      <c r="J21" s="640"/>
      <c r="K21" s="640"/>
      <c r="L21" s="252"/>
      <c r="M21" s="252"/>
      <c r="N21" s="252"/>
      <c r="O21" s="252"/>
      <c r="P21" s="252"/>
      <c r="Q21" s="189">
        <f t="shared" si="0"/>
        <v>0</v>
      </c>
      <c r="R21" s="961">
        <f>100000-Q21</f>
        <v>100000</v>
      </c>
      <c r="S21" s="194" t="str">
        <f t="shared" si="1"/>
        <v>Go Fusion</v>
      </c>
      <c r="U21" s="234"/>
      <c r="V21" s="234"/>
      <c r="W21" s="979"/>
      <c r="X21" s="981"/>
      <c r="Y21" s="977"/>
      <c r="Z21" s="978"/>
    </row>
    <row r="22" spans="1:26" ht="10.15" customHeight="1">
      <c r="A22" s="195" t="s">
        <v>129</v>
      </c>
      <c r="B22" s="252"/>
      <c r="C22" s="252"/>
      <c r="D22" s="252"/>
      <c r="E22" s="252"/>
      <c r="F22" s="252"/>
      <c r="G22" s="252"/>
      <c r="H22" s="252"/>
      <c r="I22" s="252"/>
      <c r="J22" s="252"/>
      <c r="K22" s="252"/>
      <c r="L22" s="252"/>
      <c r="M22" s="252"/>
      <c r="N22" s="252"/>
      <c r="O22" s="252"/>
      <c r="P22" s="252"/>
      <c r="Q22" s="189">
        <f t="shared" si="0"/>
        <v>0</v>
      </c>
      <c r="R22" s="961">
        <f>100000-Q22</f>
        <v>100000</v>
      </c>
      <c r="S22" s="194" t="str">
        <f t="shared" si="1"/>
        <v>Good East and Vibes</v>
      </c>
      <c r="U22" s="234">
        <v>11600</v>
      </c>
      <c r="V22" s="234"/>
      <c r="W22" s="979">
        <v>16</v>
      </c>
      <c r="X22" s="981">
        <f t="shared" si="2"/>
        <v>12548.51282051282</v>
      </c>
      <c r="Y22" s="977">
        <v>122348</v>
      </c>
      <c r="Z22" s="978" t="s">
        <v>44</v>
      </c>
    </row>
    <row r="23" spans="1:26" ht="10.15" customHeight="1">
      <c r="A23" s="195" t="s">
        <v>238</v>
      </c>
      <c r="B23" s="589">
        <f>'9.16.22'!E29</f>
        <v>294.5</v>
      </c>
      <c r="C23" s="589"/>
      <c r="D23" s="589"/>
      <c r="E23" s="640">
        <f>'9.19.22'!E18</f>
        <v>2574.5</v>
      </c>
      <c r="F23" s="640"/>
      <c r="G23" s="640"/>
      <c r="H23" s="640">
        <f>'9.22.22'!E29</f>
        <v>1235</v>
      </c>
      <c r="I23" s="640"/>
      <c r="J23" s="640"/>
      <c r="K23" s="640"/>
      <c r="L23" s="252"/>
      <c r="M23" s="252"/>
      <c r="N23" s="252"/>
      <c r="O23" s="252"/>
      <c r="P23" s="252">
        <f>'9.30.22'!E19+'9.30.22'!E29</f>
        <v>3106.5</v>
      </c>
      <c r="Q23" s="189">
        <f t="shared" si="0"/>
        <v>7210.5</v>
      </c>
      <c r="R23" s="961">
        <f>100000-Q23</f>
        <v>92789.5</v>
      </c>
      <c r="S23" s="194" t="str">
        <f t="shared" si="1"/>
        <v>Habibi Shack</v>
      </c>
      <c r="U23" s="234">
        <v>38069</v>
      </c>
      <c r="V23" s="234"/>
      <c r="W23" s="979">
        <v>17</v>
      </c>
      <c r="X23" s="981">
        <f t="shared" si="2"/>
        <v>11411.589743589744</v>
      </c>
      <c r="Y23" s="977">
        <v>111263</v>
      </c>
      <c r="Z23" s="978" t="s">
        <v>66</v>
      </c>
    </row>
    <row r="24" spans="1:26" ht="10.15" customHeight="1">
      <c r="A24" s="195" t="s">
        <v>328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189">
        <f t="shared" si="0"/>
        <v>0</v>
      </c>
      <c r="R24" s="189">
        <v>99000</v>
      </c>
      <c r="S24" s="194" t="str">
        <f t="shared" si="1"/>
        <v>Heritage LA</v>
      </c>
      <c r="U24" s="234"/>
      <c r="V24" s="234"/>
      <c r="W24" s="979"/>
      <c r="X24" s="981"/>
      <c r="Y24" s="977"/>
      <c r="Z24" s="978"/>
    </row>
    <row r="25" spans="1:26" ht="10.15" customHeight="1">
      <c r="A25" s="195" t="s">
        <v>53</v>
      </c>
      <c r="B25" s="589">
        <f>'9.16.22'!E11+'9.16.22'!E25</f>
        <v>864.5</v>
      </c>
      <c r="C25" s="589"/>
      <c r="D25" s="589"/>
      <c r="E25" s="640">
        <f>'9.19.22'!E10+'9.19.22'!E19</f>
        <v>4854.5</v>
      </c>
      <c r="F25" s="640"/>
      <c r="G25" s="640">
        <f>'9.21.22'!E10+'9.21.22'!E20</f>
        <v>5396</v>
      </c>
      <c r="H25" s="640"/>
      <c r="I25" s="640"/>
      <c r="J25" s="640"/>
      <c r="K25" s="640"/>
      <c r="L25" s="252">
        <f>'9.26.22'!E19+'9.26.22'!E9</f>
        <v>4712</v>
      </c>
      <c r="M25" s="252"/>
      <c r="N25" s="252">
        <f>'9.28.22'!E9+'9.28.22'!E19</f>
        <v>4417.5</v>
      </c>
      <c r="O25" s="252"/>
      <c r="P25" s="252"/>
      <c r="Q25" s="189">
        <f t="shared" si="0"/>
        <v>20244.5</v>
      </c>
      <c r="R25" s="358">
        <f>350000-Q25+700000</f>
        <v>1029755.5</v>
      </c>
      <c r="S25" s="194" t="str">
        <f t="shared" si="1"/>
        <v>Kogi</v>
      </c>
      <c r="U25" s="234">
        <v>500</v>
      </c>
      <c r="V25" s="234"/>
      <c r="W25" s="979">
        <v>18</v>
      </c>
      <c r="X25" s="981">
        <f t="shared" si="2"/>
        <v>10614.871794871795</v>
      </c>
      <c r="Y25" s="977">
        <v>103495</v>
      </c>
      <c r="Z25" s="978" t="s">
        <v>49</v>
      </c>
    </row>
    <row r="26" spans="1:26" ht="10.15" customHeight="1">
      <c r="A26" s="515" t="s">
        <v>267</v>
      </c>
      <c r="B26" s="252"/>
      <c r="C26" s="252"/>
      <c r="D26" s="252"/>
      <c r="E26" s="252"/>
      <c r="F26" s="252"/>
      <c r="G26" s="252"/>
      <c r="H26" s="252"/>
      <c r="I26" s="252"/>
      <c r="J26" s="252"/>
      <c r="K26" s="252"/>
      <c r="L26" s="252"/>
      <c r="M26" s="252"/>
      <c r="N26" s="252"/>
      <c r="O26" s="252"/>
      <c r="P26" s="252"/>
      <c r="Q26" s="189">
        <f t="shared" si="0"/>
        <v>0</v>
      </c>
      <c r="R26" s="961">
        <f>100000-Q26</f>
        <v>100000</v>
      </c>
      <c r="S26" s="988" t="str">
        <f t="shared" si="1"/>
        <v>Love Greek Cuisine/Kalamaki Greek LA</v>
      </c>
      <c r="U26" s="234">
        <v>362210.5</v>
      </c>
      <c r="V26" s="234"/>
      <c r="W26" s="979">
        <v>19</v>
      </c>
      <c r="X26" s="981">
        <f t="shared" si="2"/>
        <v>9866.6666666666661</v>
      </c>
      <c r="Y26" s="977">
        <v>96200</v>
      </c>
      <c r="Z26" s="978" t="s">
        <v>76</v>
      </c>
    </row>
    <row r="27" spans="1:26" ht="10.15" customHeight="1">
      <c r="A27" s="195" t="s">
        <v>234</v>
      </c>
      <c r="B27" s="252"/>
      <c r="C27" s="252"/>
      <c r="D27" s="252"/>
      <c r="E27" s="252"/>
      <c r="F27" s="252"/>
      <c r="G27" s="252"/>
      <c r="H27" s="252"/>
      <c r="I27" s="252"/>
      <c r="J27" s="252"/>
      <c r="K27" s="252"/>
      <c r="L27" s="252"/>
      <c r="M27" s="252"/>
      <c r="N27" s="252"/>
      <c r="O27" s="252"/>
      <c r="P27" s="252"/>
      <c r="Q27" s="189">
        <f t="shared" si="0"/>
        <v>0</v>
      </c>
      <c r="R27" s="961">
        <f>100000-Q27</f>
        <v>100000</v>
      </c>
      <c r="S27" s="194" t="str">
        <f t="shared" si="1"/>
        <v>Manna From Heaven</v>
      </c>
      <c r="U27" s="234">
        <v>8000</v>
      </c>
      <c r="V27" s="234"/>
      <c r="W27" s="979">
        <v>20</v>
      </c>
      <c r="X27" s="981">
        <f t="shared" si="2"/>
        <v>7791.7948717948721</v>
      </c>
      <c r="Y27" s="977">
        <v>75970</v>
      </c>
      <c r="Z27" s="978" t="s">
        <v>172</v>
      </c>
    </row>
    <row r="28" spans="1:26" ht="9.6" customHeight="1">
      <c r="A28" s="195" t="s">
        <v>265</v>
      </c>
      <c r="B28" s="252"/>
      <c r="C28" s="252"/>
      <c r="D28" s="252"/>
      <c r="E28" s="252"/>
      <c r="F28" s="252"/>
      <c r="G28" s="252"/>
      <c r="H28" s="252"/>
      <c r="I28" s="252"/>
      <c r="J28" s="252"/>
      <c r="K28" s="252"/>
      <c r="L28" s="252"/>
      <c r="M28" s="252"/>
      <c r="N28" s="252"/>
      <c r="O28" s="252"/>
      <c r="P28" s="252"/>
      <c r="Q28" s="189">
        <f t="shared" si="0"/>
        <v>0</v>
      </c>
      <c r="R28" s="961">
        <f>100000-Q28</f>
        <v>100000</v>
      </c>
      <c r="S28" s="194" t="str">
        <f t="shared" si="1"/>
        <v>Messi Burgers</v>
      </c>
      <c r="U28" s="234">
        <v>27987</v>
      </c>
      <c r="V28" s="234"/>
      <c r="W28" s="979">
        <v>21</v>
      </c>
      <c r="X28" s="981">
        <f t="shared" si="2"/>
        <v>7320.7179487179483</v>
      </c>
      <c r="Y28" s="977">
        <v>71377</v>
      </c>
      <c r="Z28" s="978" t="s">
        <v>144</v>
      </c>
    </row>
    <row r="29" spans="1:26" ht="9.6" customHeight="1">
      <c r="A29" s="195" t="s">
        <v>69</v>
      </c>
      <c r="B29" s="252"/>
      <c r="C29" s="252"/>
      <c r="D29" s="252"/>
      <c r="E29" s="252"/>
      <c r="F29" s="252"/>
      <c r="G29" s="252"/>
      <c r="H29" s="252"/>
      <c r="I29" s="252"/>
      <c r="J29" s="252"/>
      <c r="K29" s="252"/>
      <c r="L29" s="252"/>
      <c r="M29" s="252"/>
      <c r="N29" s="252"/>
      <c r="O29" s="252"/>
      <c r="P29" s="252"/>
      <c r="Q29" s="189">
        <f t="shared" si="0"/>
        <v>0</v>
      </c>
      <c r="R29" s="961">
        <f>100000-Q29</f>
        <v>100000</v>
      </c>
      <c r="S29" s="194" t="str">
        <f t="shared" si="1"/>
        <v>Mikhuna</v>
      </c>
      <c r="U29" s="234">
        <v>34678.5</v>
      </c>
      <c r="V29" s="234"/>
      <c r="W29" s="979">
        <v>22</v>
      </c>
      <c r="X29" s="981">
        <f t="shared" si="2"/>
        <v>7244.5128205128203</v>
      </c>
      <c r="Y29" s="977">
        <v>70634</v>
      </c>
      <c r="Z29" s="978" t="s">
        <v>243</v>
      </c>
    </row>
    <row r="30" spans="1:26" ht="9.6" customHeight="1">
      <c r="A30" s="195" t="s">
        <v>76</v>
      </c>
      <c r="B30" s="252"/>
      <c r="C30" s="252"/>
      <c r="D30" s="252"/>
      <c r="E30" s="252"/>
      <c r="F30" s="252"/>
      <c r="G30" s="252"/>
      <c r="H30" s="252"/>
      <c r="I30" s="252"/>
      <c r="J30" s="252"/>
      <c r="K30" s="252"/>
      <c r="L30" s="252"/>
      <c r="M30" s="252"/>
      <c r="N30" s="252"/>
      <c r="O30" s="252"/>
      <c r="P30" s="252"/>
      <c r="Q30" s="189">
        <f t="shared" si="0"/>
        <v>0</v>
      </c>
      <c r="R30" s="961">
        <f>449000-Q30+350000</f>
        <v>799000</v>
      </c>
      <c r="S30" s="194" t="str">
        <f t="shared" si="1"/>
        <v>ML Eats Burger</v>
      </c>
      <c r="U30" s="234">
        <v>2774</v>
      </c>
      <c r="V30" s="234"/>
      <c r="W30" s="979">
        <v>23</v>
      </c>
      <c r="X30" s="981">
        <f t="shared" si="2"/>
        <v>6958.2051282051279</v>
      </c>
      <c r="Y30" s="977">
        <v>67842.5</v>
      </c>
      <c r="Z30" s="978" t="s">
        <v>62</v>
      </c>
    </row>
    <row r="31" spans="1:26" ht="9.6" customHeight="1">
      <c r="A31" s="195" t="s">
        <v>335</v>
      </c>
      <c r="B31" s="252"/>
      <c r="C31" s="252"/>
      <c r="D31" s="252"/>
      <c r="E31" s="252"/>
      <c r="F31" s="252"/>
      <c r="G31" s="252"/>
      <c r="H31" s="252"/>
      <c r="I31" s="252"/>
      <c r="J31" s="252"/>
      <c r="K31" s="252"/>
      <c r="L31" s="252"/>
      <c r="M31" s="252"/>
      <c r="N31" s="252"/>
      <c r="O31" s="252"/>
      <c r="P31" s="252"/>
      <c r="Q31" s="189">
        <f t="shared" si="0"/>
        <v>0</v>
      </c>
      <c r="R31" s="189">
        <v>99000</v>
      </c>
      <c r="S31" s="194" t="str">
        <f t="shared" si="1"/>
        <v>Mumu's</v>
      </c>
      <c r="U31" s="234"/>
      <c r="V31" s="234"/>
      <c r="W31" s="979"/>
      <c r="X31" s="981"/>
      <c r="Y31" s="977"/>
      <c r="Z31" s="978"/>
    </row>
    <row r="32" spans="1:26" ht="10.15" customHeight="1">
      <c r="A32" s="195" t="s">
        <v>186</v>
      </c>
      <c r="B32" s="252"/>
      <c r="C32" s="252"/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189">
        <f t="shared" si="0"/>
        <v>0</v>
      </c>
      <c r="R32" s="961">
        <f>100000-Q32</f>
        <v>100000</v>
      </c>
      <c r="S32" s="194" t="str">
        <f t="shared" si="1"/>
        <v>Ohana Hibachi</v>
      </c>
      <c r="U32" s="234">
        <v>29265</v>
      </c>
      <c r="V32" s="234"/>
      <c r="W32" s="979">
        <v>24</v>
      </c>
      <c r="X32" s="981">
        <f t="shared" si="2"/>
        <v>6624.2564102564102</v>
      </c>
      <c r="Y32" s="977">
        <v>64586.5</v>
      </c>
      <c r="Z32" s="978" t="s">
        <v>244</v>
      </c>
    </row>
    <row r="33" spans="1:26" ht="10.15" customHeight="1">
      <c r="A33" s="195" t="s">
        <v>44</v>
      </c>
      <c r="B33" s="252"/>
      <c r="C33" s="252"/>
      <c r="D33" s="589">
        <f>'9.18.22'!E14+'9.18.22'!E28</f>
        <v>1662.5</v>
      </c>
      <c r="E33" s="640"/>
      <c r="F33" s="640"/>
      <c r="G33" s="640"/>
      <c r="H33" s="640"/>
      <c r="I33" s="640">
        <f>'9.23.22'!E18</f>
        <v>1729</v>
      </c>
      <c r="J33" s="640"/>
      <c r="K33" s="640">
        <f>'9.25.22'!E17</f>
        <v>2536.5</v>
      </c>
      <c r="L33" s="252">
        <f>'9.26.22'!E29</f>
        <v>1254</v>
      </c>
      <c r="M33" s="252">
        <f>'9.27.22'!E17</f>
        <v>2460.5</v>
      </c>
      <c r="N33" s="252"/>
      <c r="O33" s="252"/>
      <c r="P33" s="252"/>
      <c r="Q33" s="189">
        <f t="shared" si="0"/>
        <v>9642.5</v>
      </c>
      <c r="R33" s="961">
        <f>100000-Q33</f>
        <v>90357.5</v>
      </c>
      <c r="S33" s="194" t="str">
        <f t="shared" si="1"/>
        <v>Original Herbivore</v>
      </c>
      <c r="U33" s="234">
        <v>96200</v>
      </c>
      <c r="V33" s="234"/>
      <c r="W33" s="979">
        <v>25</v>
      </c>
      <c r="X33" s="981">
        <f t="shared" si="2"/>
        <v>5663.8974358974356</v>
      </c>
      <c r="Y33" s="977">
        <v>55223</v>
      </c>
      <c r="Z33" s="978" t="s">
        <v>78</v>
      </c>
    </row>
    <row r="34" spans="1:26" ht="10.15" customHeight="1">
      <c r="A34" s="195" t="s">
        <v>143</v>
      </c>
      <c r="B34" s="589">
        <f>'9.16.22'!E9+'9.16.22'!E23</f>
        <v>551</v>
      </c>
      <c r="C34" s="589"/>
      <c r="D34" s="589">
        <f>'9.18.22'!E15+'9.18.22'!E29</f>
        <v>3049.5</v>
      </c>
      <c r="E34" s="640"/>
      <c r="F34" s="640">
        <f>'9.20.22'!E19</f>
        <v>2964</v>
      </c>
      <c r="G34" s="640"/>
      <c r="H34" s="640"/>
      <c r="I34" s="640"/>
      <c r="J34" s="640">
        <f>'9.24.22'!E11</f>
        <v>1824</v>
      </c>
      <c r="K34" s="640"/>
      <c r="L34" s="252">
        <f>'9.26.22'!E30</f>
        <v>1539</v>
      </c>
      <c r="M34" s="252"/>
      <c r="N34" s="252"/>
      <c r="O34" s="252"/>
      <c r="P34" s="252">
        <f>'9.30.22'!E7</f>
        <v>3524.5</v>
      </c>
      <c r="Q34" s="189">
        <f t="shared" si="0"/>
        <v>13452</v>
      </c>
      <c r="R34" s="961">
        <f>100000-Q34+350000+350000</f>
        <v>786548</v>
      </c>
      <c r="S34" s="194" t="str">
        <f t="shared" si="1"/>
        <v>Pacifico Charbroiled</v>
      </c>
      <c r="U34" s="234">
        <v>23730</v>
      </c>
      <c r="V34" s="234"/>
      <c r="W34" s="979">
        <v>26</v>
      </c>
      <c r="X34" s="981">
        <f t="shared" si="2"/>
        <v>5338.0512820512822</v>
      </c>
      <c r="Y34" s="977">
        <v>52046</v>
      </c>
      <c r="Z34" s="978" t="s">
        <v>83</v>
      </c>
    </row>
    <row r="35" spans="1:26" ht="10.15" customHeight="1">
      <c r="A35" s="515" t="s">
        <v>242</v>
      </c>
      <c r="B35" s="252"/>
      <c r="C35" s="252"/>
      <c r="D35" s="252"/>
      <c r="E35" s="640">
        <f>'9.19.22'!E17</f>
        <v>1672</v>
      </c>
      <c r="F35" s="640"/>
      <c r="G35" s="640"/>
      <c r="H35" s="640"/>
      <c r="I35" s="640">
        <f>'9.23.22'!E28</f>
        <v>2707.5</v>
      </c>
      <c r="J35" s="640"/>
      <c r="K35" s="640"/>
      <c r="L35" s="252"/>
      <c r="M35" s="252"/>
      <c r="N35" s="252">
        <f>'9.28.22'!E28</f>
        <v>3733.5</v>
      </c>
      <c r="O35" s="252">
        <f>'9.29.22'!E28</f>
        <v>2831</v>
      </c>
      <c r="P35" s="252"/>
      <c r="Q35" s="189">
        <f t="shared" ref="Q35:Q59" si="3">SUM(B35:P35)</f>
        <v>10944</v>
      </c>
      <c r="R35" s="961">
        <f>100000-Q35+350000+350000</f>
        <v>789056</v>
      </c>
      <c r="S35" s="988" t="str">
        <f t="shared" ref="S35:S56" si="4">A35</f>
        <v>Paradise Cookies &amp; Ice Cream</v>
      </c>
      <c r="U35" s="234">
        <v>122348</v>
      </c>
      <c r="V35" s="234"/>
      <c r="W35" s="979">
        <v>27</v>
      </c>
      <c r="X35" s="981">
        <f t="shared" si="2"/>
        <v>5326.8205128205127</v>
      </c>
      <c r="Y35" s="977">
        <v>51936.5</v>
      </c>
      <c r="Z35" s="978" t="s">
        <v>188</v>
      </c>
    </row>
    <row r="36" spans="1:26" ht="10.15" customHeight="1">
      <c r="A36" s="195" t="s">
        <v>246</v>
      </c>
      <c r="B36" s="589"/>
      <c r="C36" s="589">
        <f>'9.17.22'!E7+'9.17.22'!E21</f>
        <v>4731</v>
      </c>
      <c r="D36" s="589">
        <f>'9.18.22'!E7+'9.18.22'!E21</f>
        <v>5130</v>
      </c>
      <c r="E36" s="640"/>
      <c r="F36" s="640"/>
      <c r="G36" s="640"/>
      <c r="H36" s="640">
        <f>'9.22.22'!E30</f>
        <v>1377.5</v>
      </c>
      <c r="I36" s="640">
        <f>'9.23.22'!E21+'9.23.22'!E31</f>
        <v>2574.5</v>
      </c>
      <c r="J36" s="640">
        <f>'9.24.22'!E17+'9.24.22'!E27</f>
        <v>2764.5</v>
      </c>
      <c r="K36" s="640">
        <f>'9.25.22'!E29</f>
        <v>921.5</v>
      </c>
      <c r="L36" s="252">
        <f>'9.26.22'!E27</f>
        <v>864.5</v>
      </c>
      <c r="M36" s="252">
        <f>'9.27.22'!E29</f>
        <v>1368</v>
      </c>
      <c r="N36" s="252"/>
      <c r="O36" s="252">
        <f>'9.29.22'!E11</f>
        <v>2118.5</v>
      </c>
      <c r="P36" s="252">
        <f>'9.30.22'!E27</f>
        <v>1206.5</v>
      </c>
      <c r="Q36" s="189">
        <f t="shared" si="3"/>
        <v>23056.5</v>
      </c>
      <c r="R36" s="961">
        <f>100000-Q36+350000</f>
        <v>426943.5</v>
      </c>
      <c r="S36" s="194" t="str">
        <f t="shared" si="4"/>
        <v>Perro 1-10 Tacos</v>
      </c>
      <c r="U36" s="234">
        <v>197247.5</v>
      </c>
      <c r="V36" s="234"/>
      <c r="W36" s="979">
        <v>28</v>
      </c>
      <c r="X36" s="981">
        <f t="shared" si="2"/>
        <v>5196.6153846153848</v>
      </c>
      <c r="Y36" s="977">
        <v>50667</v>
      </c>
      <c r="Z36" s="978" t="s">
        <v>159</v>
      </c>
    </row>
    <row r="37" spans="1:26" ht="10.15" customHeight="1">
      <c r="A37" s="195" t="s">
        <v>66</v>
      </c>
      <c r="B37" s="589"/>
      <c r="C37" s="589">
        <f>'9.17.22'!E11+'9.17.22'!E25</f>
        <v>1586.5</v>
      </c>
      <c r="D37" s="589"/>
      <c r="E37" s="640"/>
      <c r="F37" s="640"/>
      <c r="G37" s="640">
        <f>'9.21.22'!E17</f>
        <v>2384.5</v>
      </c>
      <c r="H37" s="640"/>
      <c r="I37" s="640">
        <f>'9.23.22'!E20+'9.23.22'!E30</f>
        <v>3097</v>
      </c>
      <c r="J37" s="640"/>
      <c r="K37" s="640"/>
      <c r="L37" s="252"/>
      <c r="M37" s="252"/>
      <c r="N37" s="252">
        <f>'9.28.22'!E8</f>
        <v>2593.5</v>
      </c>
      <c r="O37" s="252">
        <f>'9.29.22'!E19+'9.29.22'!E29</f>
        <v>4484</v>
      </c>
      <c r="P37" s="252">
        <f>'9.30.22'!E30</f>
        <v>1168.5</v>
      </c>
      <c r="Q37" s="189">
        <f t="shared" si="3"/>
        <v>15314</v>
      </c>
      <c r="R37" s="961">
        <f>100000-Q37+350000</f>
        <v>434686</v>
      </c>
      <c r="S37" s="194" t="str">
        <f t="shared" si="4"/>
        <v>PhillyJay's Steaks</v>
      </c>
      <c r="U37" s="234">
        <v>192935</v>
      </c>
      <c r="V37" s="234"/>
      <c r="W37" s="979">
        <v>29</v>
      </c>
      <c r="X37" s="981">
        <f t="shared" si="2"/>
        <v>4492.7692307692305</v>
      </c>
      <c r="Y37" s="977">
        <v>43804.5</v>
      </c>
      <c r="Z37" s="978" t="s">
        <v>258</v>
      </c>
    </row>
    <row r="38" spans="1:26" ht="10.15" customHeight="1">
      <c r="A38" s="196" t="s">
        <v>65</v>
      </c>
      <c r="B38" s="589">
        <f>'9.16.22'!E14</f>
        <v>522.5</v>
      </c>
      <c r="C38" s="589">
        <f>'9.17.22'!E13+'9.17.22'!E27</f>
        <v>2736</v>
      </c>
      <c r="D38" s="589"/>
      <c r="E38" s="640"/>
      <c r="F38" s="640"/>
      <c r="G38" s="640">
        <f>'9.21.22'!E7</f>
        <v>3591</v>
      </c>
      <c r="H38" s="640"/>
      <c r="I38" s="640"/>
      <c r="J38" s="640">
        <f>'9.24.22'!E30</f>
        <v>1216</v>
      </c>
      <c r="K38" s="640"/>
      <c r="L38" s="252"/>
      <c r="M38" s="252">
        <f>'9.27.22'!E20+'9.27.22'!E30</f>
        <v>4142</v>
      </c>
      <c r="N38" s="252">
        <f>'9.28.22'!E21+'9.28.22'!E31</f>
        <v>4037.5</v>
      </c>
      <c r="O38" s="252">
        <f>'9.29.22'!E31</f>
        <v>1282.5</v>
      </c>
      <c r="P38" s="252"/>
      <c r="Q38" s="189">
        <f t="shared" si="3"/>
        <v>17527.5</v>
      </c>
      <c r="R38" s="961">
        <f>449000-Q38+350000</f>
        <v>781472.5</v>
      </c>
      <c r="S38" s="194" t="str">
        <f t="shared" si="4"/>
        <v>Pinch of Flavor</v>
      </c>
      <c r="U38" s="234">
        <v>6760</v>
      </c>
      <c r="V38" s="234"/>
      <c r="W38" s="979">
        <v>30</v>
      </c>
      <c r="X38" s="981">
        <f t="shared" si="2"/>
        <v>4330.666666666667</v>
      </c>
      <c r="Y38" s="977">
        <v>42224</v>
      </c>
      <c r="Z38" s="978" t="s">
        <v>205</v>
      </c>
    </row>
    <row r="39" spans="1:26" ht="10.15" customHeight="1">
      <c r="A39" s="195" t="s">
        <v>82</v>
      </c>
      <c r="B39" s="589">
        <f>'9.16.22'!E10+'9.16.22'!E24</f>
        <v>342</v>
      </c>
      <c r="C39" s="589"/>
      <c r="D39" s="589">
        <f>'9.18.22'!E13+'9.18.22'!E27</f>
        <v>2536.5</v>
      </c>
      <c r="E39" s="640">
        <f>'9.19.22'!E8</f>
        <v>2726.5</v>
      </c>
      <c r="F39" s="640"/>
      <c r="G39" s="640">
        <f>'9.21.22'!E8</f>
        <v>2783.5</v>
      </c>
      <c r="H39" s="640"/>
      <c r="I39" s="640"/>
      <c r="J39" s="640"/>
      <c r="K39" s="640">
        <f>'9.25.22'!E28</f>
        <v>1387</v>
      </c>
      <c r="L39" s="252"/>
      <c r="M39" s="252">
        <f>'9.27.22'!E10</f>
        <v>1415.5</v>
      </c>
      <c r="N39" s="252"/>
      <c r="O39" s="252">
        <f>'9.29.22'!E7</f>
        <v>2479.5</v>
      </c>
      <c r="P39" s="252"/>
      <c r="Q39" s="189">
        <f t="shared" si="3"/>
        <v>13670.5</v>
      </c>
      <c r="R39" s="961">
        <f>100000-Q39+350000</f>
        <v>436329.5</v>
      </c>
      <c r="S39" s="194" t="str">
        <f t="shared" si="4"/>
        <v>Poutine Brothers</v>
      </c>
      <c r="U39" s="782">
        <v>127767.5</v>
      </c>
      <c r="V39" s="234"/>
      <c r="W39" s="979">
        <v>31</v>
      </c>
      <c r="X39" s="981">
        <f t="shared" si="2"/>
        <v>4291.8461538461543</v>
      </c>
      <c r="Y39" s="977">
        <v>41845.5</v>
      </c>
      <c r="Z39" s="978" t="s">
        <v>239</v>
      </c>
    </row>
    <row r="40" spans="1:26" ht="10.15" customHeight="1">
      <c r="A40" s="195" t="s">
        <v>329</v>
      </c>
      <c r="B40" s="589"/>
      <c r="C40" s="589">
        <f>'9.17.22'!E12+'9.17.22'!E26</f>
        <v>750.5</v>
      </c>
      <c r="D40" s="589">
        <f>'9.18.22'!E11+'9.18.22'!E25</f>
        <v>1434.5</v>
      </c>
      <c r="E40" s="640"/>
      <c r="F40" s="640"/>
      <c r="G40" s="640"/>
      <c r="H40" s="640"/>
      <c r="I40" s="640">
        <f>'9.23.22'!E11</f>
        <v>2517.5</v>
      </c>
      <c r="J40" s="640">
        <f>'9.24.22'!E10</f>
        <v>3334.5</v>
      </c>
      <c r="K40" s="640">
        <f>'9.25.22'!E10</f>
        <v>3591</v>
      </c>
      <c r="L40" s="252"/>
      <c r="M40" s="252">
        <f>'9.27.22'!E11</f>
        <v>2584</v>
      </c>
      <c r="N40" s="252"/>
      <c r="O40" s="252"/>
      <c r="P40" s="252"/>
      <c r="Q40" s="189">
        <f t="shared" si="3"/>
        <v>14212</v>
      </c>
      <c r="R40" s="189">
        <v>99000</v>
      </c>
      <c r="S40" s="194" t="str">
        <f t="shared" si="4"/>
        <v>Salpicon</v>
      </c>
      <c r="U40" s="782"/>
      <c r="V40" s="234"/>
      <c r="W40" s="979"/>
      <c r="X40" s="981"/>
      <c r="Y40" s="977"/>
      <c r="Z40" s="978"/>
    </row>
    <row r="41" spans="1:26" ht="10.15" customHeight="1">
      <c r="A41" s="195" t="s">
        <v>83</v>
      </c>
      <c r="B41" s="589">
        <f>'9.16.22'!E15</f>
        <v>598.5</v>
      </c>
      <c r="C41" s="589">
        <f>'9.17.22'!E24</f>
        <v>798</v>
      </c>
      <c r="D41" s="589">
        <f>'9.18.22'!E8</f>
        <v>2166</v>
      </c>
      <c r="E41" s="640"/>
      <c r="F41" s="640"/>
      <c r="G41" s="640"/>
      <c r="H41" s="640">
        <f>'9.22.22'!E21</f>
        <v>1795.5</v>
      </c>
      <c r="I41" s="640"/>
      <c r="J41" s="640">
        <f>'9.24.22'!E29+'9.24.22'!E19</f>
        <v>3068.5</v>
      </c>
      <c r="K41" s="640"/>
      <c r="L41" s="252"/>
      <c r="M41" s="252"/>
      <c r="N41" s="252"/>
      <c r="O41" s="252"/>
      <c r="P41" s="252"/>
      <c r="Q41" s="189">
        <f t="shared" si="3"/>
        <v>8426.5</v>
      </c>
      <c r="R41" s="961">
        <f>100000-Q41</f>
        <v>91573.5</v>
      </c>
      <c r="S41" s="194" t="str">
        <f t="shared" si="4"/>
        <v>Salvage Tacos</v>
      </c>
      <c r="U41" s="782">
        <v>111263</v>
      </c>
      <c r="V41" s="234"/>
      <c r="W41" s="979">
        <v>32</v>
      </c>
      <c r="X41" s="981">
        <f t="shared" si="2"/>
        <v>3904.5128205128203</v>
      </c>
      <c r="Y41" s="977">
        <v>38069</v>
      </c>
      <c r="Z41" s="978" t="s">
        <v>238</v>
      </c>
    </row>
    <row r="42" spans="1:26" ht="10.15" customHeight="1">
      <c r="A42" s="195" t="s">
        <v>332</v>
      </c>
      <c r="B42" s="252"/>
      <c r="C42" s="252"/>
      <c r="D42" s="252"/>
      <c r="E42" s="252"/>
      <c r="F42" s="252"/>
      <c r="G42" s="252"/>
      <c r="H42" s="252"/>
      <c r="I42" s="252"/>
      <c r="J42" s="252"/>
      <c r="K42" s="252"/>
      <c r="L42" s="252"/>
      <c r="M42" s="252"/>
      <c r="N42" s="252"/>
      <c r="O42" s="252"/>
      <c r="P42" s="252"/>
      <c r="Q42" s="189">
        <f t="shared" si="3"/>
        <v>0</v>
      </c>
      <c r="R42" s="189">
        <v>99000</v>
      </c>
      <c r="S42" s="194" t="str">
        <f t="shared" si="4"/>
        <v>Smile Hot Dog</v>
      </c>
      <c r="U42" s="782"/>
      <c r="V42" s="234"/>
      <c r="W42" s="979"/>
      <c r="X42" s="981"/>
      <c r="Y42" s="977"/>
      <c r="Z42" s="978"/>
    </row>
    <row r="43" spans="1:26" ht="10.15" customHeight="1">
      <c r="A43" s="195" t="s">
        <v>159</v>
      </c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189">
        <f t="shared" si="3"/>
        <v>0</v>
      </c>
      <c r="R43" s="961">
        <f>100000-Q43</f>
        <v>100000</v>
      </c>
      <c r="S43" s="194" t="str">
        <f t="shared" si="4"/>
        <v>Something Good LA</v>
      </c>
      <c r="U43" s="234">
        <v>341055.5</v>
      </c>
      <c r="V43" s="234"/>
      <c r="W43" s="979">
        <v>33</v>
      </c>
      <c r="X43" s="981">
        <f t="shared" si="2"/>
        <v>3708.8717948717949</v>
      </c>
      <c r="Y43" s="977">
        <v>36161.5</v>
      </c>
      <c r="Z43" s="978" t="s">
        <v>12</v>
      </c>
    </row>
    <row r="44" spans="1:26" ht="10.15" customHeight="1">
      <c r="A44" s="195" t="s">
        <v>145</v>
      </c>
      <c r="B44" s="589"/>
      <c r="C44" s="589">
        <f>'9.17.22'!E9+'9.17.22'!E23</f>
        <v>1339.5</v>
      </c>
      <c r="D44" s="589"/>
      <c r="E44" s="640"/>
      <c r="F44" s="640">
        <f>'9.20.22'!E9</f>
        <v>2736</v>
      </c>
      <c r="G44" s="640"/>
      <c r="H44" s="640">
        <f>'9.22.22'!E19</f>
        <v>2527</v>
      </c>
      <c r="I44" s="640"/>
      <c r="J44" s="640"/>
      <c r="K44" s="640"/>
      <c r="L44" s="252"/>
      <c r="M44" s="252"/>
      <c r="N44" s="252">
        <f>'9.28.22'!E18</f>
        <v>3923.5</v>
      </c>
      <c r="O44" s="252">
        <f>'9.29.22'!E10</f>
        <v>2603</v>
      </c>
      <c r="P44" s="252">
        <f>'9.30.22'!E11</f>
        <v>2774</v>
      </c>
      <c r="Q44" s="189">
        <f t="shared" si="3"/>
        <v>15903</v>
      </c>
      <c r="R44" s="961">
        <f>100000-Q44+449000</f>
        <v>533097</v>
      </c>
      <c r="S44" s="194" t="str">
        <f t="shared" si="4"/>
        <v>Stop Bye Café</v>
      </c>
      <c r="U44" s="234">
        <v>162662.5</v>
      </c>
      <c r="V44" s="234"/>
      <c r="W44" s="979">
        <v>34</v>
      </c>
      <c r="X44" s="981">
        <f t="shared" si="2"/>
        <v>3556.7692307692309</v>
      </c>
      <c r="Y44" s="977">
        <v>34678.5</v>
      </c>
      <c r="Z44" s="978" t="s">
        <v>234</v>
      </c>
    </row>
    <row r="45" spans="1:26" ht="10.15" customHeight="1">
      <c r="A45" s="195" t="s">
        <v>84</v>
      </c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189">
        <f t="shared" si="3"/>
        <v>0</v>
      </c>
      <c r="R45" s="961">
        <f>100000-Q45+350000</f>
        <v>450000</v>
      </c>
      <c r="S45" s="194" t="str">
        <f t="shared" si="4"/>
        <v>Stout Burgers</v>
      </c>
      <c r="U45" s="234">
        <v>52046</v>
      </c>
      <c r="V45" s="234"/>
      <c r="W45" s="979">
        <v>35</v>
      </c>
      <c r="X45" s="981">
        <f t="shared" si="2"/>
        <v>3334.9230769230771</v>
      </c>
      <c r="Y45" s="977">
        <v>32515.5</v>
      </c>
      <c r="Z45" s="978" t="s">
        <v>245</v>
      </c>
    </row>
    <row r="46" spans="1:26" ht="10.15" customHeight="1">
      <c r="A46" s="195" t="s">
        <v>333</v>
      </c>
      <c r="B46" s="252"/>
      <c r="C46" s="252"/>
      <c r="D46" s="252"/>
      <c r="E46" s="252"/>
      <c r="F46" s="252"/>
      <c r="G46" s="252"/>
      <c r="H46" s="252"/>
      <c r="I46" s="252"/>
      <c r="J46" s="252"/>
      <c r="K46" s="252"/>
      <c r="L46" s="252"/>
      <c r="M46" s="252"/>
      <c r="N46" s="252"/>
      <c r="O46" s="252">
        <f>'9.29.22'!E21</f>
        <v>1938</v>
      </c>
      <c r="P46" s="252"/>
      <c r="Q46" s="189">
        <f t="shared" si="3"/>
        <v>1938</v>
      </c>
      <c r="R46" s="189">
        <v>99000</v>
      </c>
      <c r="S46" s="194" t="str">
        <f t="shared" si="4"/>
        <v>Sweets on Wheels</v>
      </c>
      <c r="U46" s="234"/>
      <c r="V46" s="234"/>
      <c r="W46" s="979"/>
      <c r="X46" s="981"/>
      <c r="Y46" s="977"/>
      <c r="Z46" s="978"/>
    </row>
    <row r="47" spans="1:26" ht="10.15" customHeight="1">
      <c r="A47" s="195" t="s">
        <v>58</v>
      </c>
      <c r="B47" s="252"/>
      <c r="C47" s="252"/>
      <c r="D47" s="252"/>
      <c r="E47" s="252"/>
      <c r="F47" s="252"/>
      <c r="G47" s="252"/>
      <c r="H47" s="252"/>
      <c r="I47" s="252"/>
      <c r="J47" s="252"/>
      <c r="K47" s="252"/>
      <c r="L47" s="252"/>
      <c r="M47" s="252"/>
      <c r="N47" s="252"/>
      <c r="O47" s="252"/>
      <c r="P47" s="252"/>
      <c r="Q47" s="189">
        <f t="shared" si="3"/>
        <v>0</v>
      </c>
      <c r="R47" s="961">
        <f>100000-Q47</f>
        <v>100000</v>
      </c>
      <c r="S47" s="194" t="str">
        <f t="shared" si="4"/>
        <v>Taste Collective Burger</v>
      </c>
      <c r="U47" s="234">
        <v>50667</v>
      </c>
      <c r="V47" s="234"/>
      <c r="W47" s="979">
        <v>36</v>
      </c>
      <c r="X47" s="981">
        <f t="shared" si="2"/>
        <v>3001.5384615384614</v>
      </c>
      <c r="Y47" s="977">
        <v>29265</v>
      </c>
      <c r="Z47" s="978" t="s">
        <v>69</v>
      </c>
    </row>
    <row r="48" spans="1:26" ht="10.15" customHeight="1">
      <c r="A48" s="195" t="s">
        <v>45</v>
      </c>
      <c r="B48" s="252"/>
      <c r="C48" s="252"/>
      <c r="D48" s="252"/>
      <c r="E48" s="640">
        <f>'9.19.22'!E7</f>
        <v>2869</v>
      </c>
      <c r="F48" s="640"/>
      <c r="G48" s="640"/>
      <c r="H48" s="640"/>
      <c r="I48" s="640">
        <f>'9.23.22'!E17</f>
        <v>2641</v>
      </c>
      <c r="J48" s="640"/>
      <c r="K48" s="640"/>
      <c r="L48" s="252"/>
      <c r="M48" s="252">
        <f>'9.27.22'!E8+'9.27.22'!E18</f>
        <v>5415</v>
      </c>
      <c r="N48" s="252"/>
      <c r="O48" s="252">
        <f>'9.29.22'!E20</f>
        <v>2736</v>
      </c>
      <c r="P48" s="252"/>
      <c r="Q48" s="189">
        <f t="shared" si="3"/>
        <v>13661</v>
      </c>
      <c r="R48" s="961">
        <f>100000-Q48+350000</f>
        <v>436339</v>
      </c>
      <c r="S48" s="194" t="str">
        <f t="shared" si="4"/>
        <v>Tokyo Style</v>
      </c>
      <c r="U48" s="234">
        <v>168025.5</v>
      </c>
      <c r="V48" s="234"/>
      <c r="W48" s="979">
        <v>37</v>
      </c>
      <c r="X48" s="981">
        <f t="shared" si="2"/>
        <v>2870.4615384615386</v>
      </c>
      <c r="Y48" s="977">
        <v>27987</v>
      </c>
      <c r="Z48" s="978" t="s">
        <v>194</v>
      </c>
    </row>
    <row r="49" spans="1:34" ht="10.15" customHeight="1">
      <c r="A49" s="195" t="s">
        <v>172</v>
      </c>
      <c r="B49" s="252"/>
      <c r="C49" s="252"/>
      <c r="D49" s="252"/>
      <c r="E49" s="252"/>
      <c r="F49" s="252"/>
      <c r="G49" s="252"/>
      <c r="H49" s="252"/>
      <c r="I49" s="252"/>
      <c r="J49" s="252"/>
      <c r="K49" s="252"/>
      <c r="L49" s="252"/>
      <c r="M49" s="252"/>
      <c r="N49" s="252"/>
      <c r="O49" s="252"/>
      <c r="P49" s="252"/>
      <c r="Q49" s="189">
        <f t="shared" si="3"/>
        <v>0</v>
      </c>
      <c r="R49" s="961">
        <f>100000-Q49</f>
        <v>100000</v>
      </c>
      <c r="S49" s="194" t="str">
        <f t="shared" si="4"/>
        <v>Trapiyaki</v>
      </c>
      <c r="U49" s="234">
        <v>21920</v>
      </c>
      <c r="V49" s="234"/>
      <c r="W49" s="979">
        <v>38</v>
      </c>
      <c r="X49" s="981">
        <f t="shared" si="2"/>
        <v>2433.8461538461538</v>
      </c>
      <c r="Y49" s="977">
        <v>23730</v>
      </c>
      <c r="Z49" s="978" t="s">
        <v>186</v>
      </c>
    </row>
    <row r="50" spans="1:34" ht="10.15" customHeight="1">
      <c r="A50" s="195" t="s">
        <v>144</v>
      </c>
      <c r="B50" s="252"/>
      <c r="C50" s="252"/>
      <c r="D50" s="252"/>
      <c r="E50" s="640"/>
      <c r="F50" s="640"/>
      <c r="G50" s="640"/>
      <c r="H50" s="640">
        <f>'9.22.22'!E7+'9.22.22'!E17</f>
        <v>3458</v>
      </c>
      <c r="I50" s="640"/>
      <c r="J50" s="640"/>
      <c r="K50" s="640"/>
      <c r="L50" s="252"/>
      <c r="M50" s="252"/>
      <c r="N50" s="252"/>
      <c r="O50" s="252"/>
      <c r="P50" s="252"/>
      <c r="Q50" s="189">
        <f t="shared" si="3"/>
        <v>3458</v>
      </c>
      <c r="R50" s="961">
        <f>100000-Q50</f>
        <v>96542</v>
      </c>
      <c r="S50" s="194" t="str">
        <f t="shared" si="4"/>
        <v>Uncle Al's BBQ</v>
      </c>
      <c r="U50" s="234">
        <v>5830</v>
      </c>
      <c r="V50" s="234"/>
      <c r="W50" s="979">
        <v>39</v>
      </c>
      <c r="X50" s="981">
        <f t="shared" si="2"/>
        <v>2248.2051282051284</v>
      </c>
      <c r="Y50" s="977">
        <v>21920</v>
      </c>
      <c r="Z50" s="978" t="s">
        <v>84</v>
      </c>
    </row>
    <row r="51" spans="1:34" ht="10.15" customHeight="1">
      <c r="A51" s="195" t="s">
        <v>240</v>
      </c>
      <c r="B51" s="252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189">
        <f t="shared" si="3"/>
        <v>0</v>
      </c>
      <c r="R51" s="961">
        <f>100000-Q51</f>
        <v>100000</v>
      </c>
      <c r="S51" s="194" t="str">
        <f t="shared" si="4"/>
        <v>Veggie Bomb</v>
      </c>
      <c r="U51" s="234">
        <v>228015.5</v>
      </c>
      <c r="V51" s="234"/>
      <c r="W51" s="979">
        <v>40</v>
      </c>
      <c r="X51" s="981">
        <f t="shared" si="2"/>
        <v>1915.0769230769231</v>
      </c>
      <c r="Y51" s="977">
        <v>18672</v>
      </c>
      <c r="Z51" s="978" t="s">
        <v>68</v>
      </c>
    </row>
    <row r="52" spans="1:34" ht="10.15" customHeight="1">
      <c r="A52" s="195" t="s">
        <v>258</v>
      </c>
      <c r="B52" s="589">
        <f>'9.16.22'!E13</f>
        <v>275.5</v>
      </c>
      <c r="C52" s="589"/>
      <c r="D52" s="589"/>
      <c r="E52" s="640"/>
      <c r="F52" s="640"/>
      <c r="G52" s="640"/>
      <c r="H52" s="640">
        <f>'9.22.22'!E28</f>
        <v>2166</v>
      </c>
      <c r="I52" s="640"/>
      <c r="J52" s="640"/>
      <c r="K52" s="640">
        <f>'9.25.22'!E27</f>
        <v>1957</v>
      </c>
      <c r="L52" s="252"/>
      <c r="M52" s="252"/>
      <c r="N52" s="252"/>
      <c r="O52" s="252"/>
      <c r="P52" s="252"/>
      <c r="Q52" s="189">
        <f t="shared" si="3"/>
        <v>4398.5</v>
      </c>
      <c r="R52" s="961">
        <f>100000-Q52</f>
        <v>95601.5</v>
      </c>
      <c r="S52" s="194" t="str">
        <f t="shared" si="4"/>
        <v>Venice Gelato</v>
      </c>
      <c r="U52" s="234">
        <v>75970</v>
      </c>
      <c r="V52" s="234"/>
      <c r="W52" s="979">
        <v>41</v>
      </c>
      <c r="X52" s="981">
        <f t="shared" si="2"/>
        <v>1189.7435897435898</v>
      </c>
      <c r="Y52" s="977">
        <v>11600</v>
      </c>
      <c r="Z52" s="978" t="s">
        <v>129</v>
      </c>
    </row>
    <row r="53" spans="1:34" ht="10.15" customHeight="1">
      <c r="A53" s="195" t="s">
        <v>70</v>
      </c>
      <c r="B53" s="589"/>
      <c r="C53" s="589">
        <f>'9.17.22'!E14+'9.17.22'!E29</f>
        <v>1558</v>
      </c>
      <c r="D53" s="589"/>
      <c r="E53" s="640"/>
      <c r="F53" s="640"/>
      <c r="G53" s="640">
        <f>'9.21.22'!E11+'9.21.22'!E21</f>
        <v>5130</v>
      </c>
      <c r="H53" s="640">
        <f>'9.22.22'!E27</f>
        <v>2631.5</v>
      </c>
      <c r="I53" s="640"/>
      <c r="J53" s="640">
        <f>'9.24.22'!E8+'9.24.22'!E18</f>
        <v>6868.5</v>
      </c>
      <c r="K53" s="640">
        <f>'9.25.22'!E20+'9.25.22'!E30</f>
        <v>4636</v>
      </c>
      <c r="L53" s="252"/>
      <c r="M53" s="252"/>
      <c r="N53" s="252">
        <f>'9.28.22'!E10</f>
        <v>2584</v>
      </c>
      <c r="O53" s="252">
        <f>'9.29.22'!E9</f>
        <v>2679</v>
      </c>
      <c r="P53" s="252"/>
      <c r="Q53" s="189">
        <f t="shared" si="3"/>
        <v>26087</v>
      </c>
      <c r="R53" s="358">
        <f>449000-Q53+350000+350000</f>
        <v>1122913</v>
      </c>
      <c r="S53" s="194" t="str">
        <f t="shared" si="4"/>
        <v>Wafl</v>
      </c>
      <c r="U53" s="234">
        <v>71377</v>
      </c>
      <c r="V53" s="234"/>
      <c r="W53" s="979">
        <v>42</v>
      </c>
      <c r="X53" s="981">
        <f t="shared" si="2"/>
        <v>820.51282051282055</v>
      </c>
      <c r="Y53" s="977">
        <v>8000</v>
      </c>
      <c r="Z53" s="978" t="s">
        <v>80</v>
      </c>
    </row>
    <row r="54" spans="1:34" ht="10.15" customHeight="1">
      <c r="A54" s="195" t="s">
        <v>181</v>
      </c>
      <c r="B54" s="252"/>
      <c r="C54" s="252"/>
      <c r="D54" s="252"/>
      <c r="E54" s="252"/>
      <c r="F54" s="252"/>
      <c r="G54" s="252"/>
      <c r="H54" s="252"/>
      <c r="I54" s="252"/>
      <c r="J54" s="252"/>
      <c r="K54" s="252"/>
      <c r="L54" s="252"/>
      <c r="M54" s="252"/>
      <c r="N54" s="252"/>
      <c r="O54" s="252"/>
      <c r="P54" s="252"/>
      <c r="Q54" s="189">
        <f t="shared" si="3"/>
        <v>0</v>
      </c>
      <c r="R54" s="358">
        <f t="shared" ref="R54:R59" si="5">100000-Q54</f>
        <v>100000</v>
      </c>
      <c r="S54" s="194" t="str">
        <f t="shared" si="4"/>
        <v>White Rabbit</v>
      </c>
      <c r="U54" s="234">
        <v>3570</v>
      </c>
      <c r="V54" s="234"/>
      <c r="W54" s="979">
        <v>43</v>
      </c>
      <c r="X54" s="981">
        <f t="shared" si="2"/>
        <v>783.58974358974353</v>
      </c>
      <c r="Y54" s="977">
        <v>7640</v>
      </c>
      <c r="Z54" s="978" t="s">
        <v>181</v>
      </c>
    </row>
    <row r="55" spans="1:34" ht="10.15" customHeight="1">
      <c r="A55" s="515" t="s">
        <v>205</v>
      </c>
      <c r="B55" s="252"/>
      <c r="C55" s="252"/>
      <c r="D55" s="252"/>
      <c r="E55" s="640"/>
      <c r="F55" s="640">
        <f>'9.20.22'!E10</f>
        <v>978.5</v>
      </c>
      <c r="G55" s="640"/>
      <c r="H55" s="640"/>
      <c r="I55" s="640"/>
      <c r="J55" s="640"/>
      <c r="K55" s="640"/>
      <c r="L55" s="252"/>
      <c r="M55" s="252"/>
      <c r="N55" s="252">
        <f>'9.28.22'!E29</f>
        <v>1045</v>
      </c>
      <c r="O55" s="252"/>
      <c r="P55" s="252">
        <f>'9.30.22'!E10+'9.30.22'!E20</f>
        <v>2964</v>
      </c>
      <c r="Q55" s="189">
        <f t="shared" si="3"/>
        <v>4987.5</v>
      </c>
      <c r="R55" s="522">
        <f t="shared" si="5"/>
        <v>95012.5</v>
      </c>
      <c r="S55" s="194" t="str">
        <f t="shared" si="4"/>
        <v>Yalla</v>
      </c>
      <c r="U55" s="234">
        <v>43804.5</v>
      </c>
      <c r="V55" s="234"/>
      <c r="W55" s="979">
        <v>44</v>
      </c>
      <c r="X55" s="981">
        <f t="shared" si="2"/>
        <v>693.33333333333337</v>
      </c>
      <c r="Y55" s="977">
        <v>6760</v>
      </c>
      <c r="Z55" s="978" t="s">
        <v>81</v>
      </c>
    </row>
    <row r="56" spans="1:34" ht="10.15" customHeight="1">
      <c r="A56" s="195" t="s">
        <v>244</v>
      </c>
      <c r="B56" s="252"/>
      <c r="C56" s="252"/>
      <c r="D56" s="252"/>
      <c r="E56" s="640"/>
      <c r="F56" s="640">
        <f>'9.20.22'!E7</f>
        <v>4579</v>
      </c>
      <c r="G56" s="640"/>
      <c r="H56" s="640">
        <f>'9.22.22'!E8+'9.22.22'!E18</f>
        <v>7210.5</v>
      </c>
      <c r="I56" s="640"/>
      <c r="J56" s="640"/>
      <c r="K56" s="640"/>
      <c r="L56" s="252">
        <f>'9.26.22'!E7</f>
        <v>4398.5</v>
      </c>
      <c r="M56" s="252"/>
      <c r="N56" s="252"/>
      <c r="O56" s="252">
        <f>'9.29.22'!E8</f>
        <v>4313</v>
      </c>
      <c r="P56" s="252"/>
      <c r="Q56" s="189">
        <f t="shared" si="3"/>
        <v>20501</v>
      </c>
      <c r="R56" s="358">
        <f t="shared" si="5"/>
        <v>79499</v>
      </c>
      <c r="S56" s="194" t="str">
        <f t="shared" si="4"/>
        <v>Yuna's Bob</v>
      </c>
      <c r="U56" s="234">
        <v>499011.5</v>
      </c>
      <c r="V56" s="234"/>
      <c r="W56" s="979">
        <v>45</v>
      </c>
      <c r="X56" s="981">
        <f t="shared" si="2"/>
        <v>597.9487179487179</v>
      </c>
      <c r="Y56" s="977">
        <v>5830</v>
      </c>
      <c r="Z56" s="978" t="s">
        <v>58</v>
      </c>
    </row>
    <row r="57" spans="1:34" ht="10.15" customHeight="1">
      <c r="A57" s="195"/>
      <c r="B57" s="252"/>
      <c r="C57" s="252"/>
      <c r="D57" s="252"/>
      <c r="E57" s="252"/>
      <c r="F57" s="252"/>
      <c r="G57" s="252"/>
      <c r="H57" s="252"/>
      <c r="I57" s="252"/>
      <c r="J57" s="252"/>
      <c r="K57" s="252"/>
      <c r="L57" s="252"/>
      <c r="M57" s="252"/>
      <c r="N57" s="252"/>
      <c r="O57" s="252"/>
      <c r="P57" s="252"/>
      <c r="Q57" s="189">
        <f t="shared" si="3"/>
        <v>0</v>
      </c>
      <c r="R57" s="961">
        <f t="shared" si="5"/>
        <v>100000</v>
      </c>
      <c r="S57" s="195"/>
      <c r="U57" s="234">
        <v>7640</v>
      </c>
      <c r="V57" s="234"/>
      <c r="W57" s="979">
        <v>46</v>
      </c>
      <c r="X57" s="981">
        <f t="shared" si="2"/>
        <v>366.15384615384613</v>
      </c>
      <c r="Y57" s="977">
        <v>3570</v>
      </c>
      <c r="Z57" s="978" t="s">
        <v>240</v>
      </c>
    </row>
    <row r="58" spans="1:34" ht="10.15" customHeight="1">
      <c r="A58" s="195"/>
      <c r="B58" s="252"/>
      <c r="C58" s="252"/>
      <c r="D58" s="252"/>
      <c r="E58" s="252"/>
      <c r="F58" s="252"/>
      <c r="G58" s="252"/>
      <c r="H58" s="252"/>
      <c r="I58" s="252"/>
      <c r="J58" s="252"/>
      <c r="K58" s="252"/>
      <c r="L58" s="252"/>
      <c r="M58" s="252"/>
      <c r="N58" s="252"/>
      <c r="O58" s="252"/>
      <c r="P58" s="252"/>
      <c r="Q58" s="189">
        <f t="shared" si="3"/>
        <v>0</v>
      </c>
      <c r="R58" s="961">
        <f t="shared" si="5"/>
        <v>100000</v>
      </c>
      <c r="S58" s="195"/>
      <c r="U58" s="234">
        <v>64586.5</v>
      </c>
      <c r="V58" s="234"/>
      <c r="W58" s="979">
        <v>47</v>
      </c>
      <c r="X58" s="981">
        <f t="shared" si="2"/>
        <v>284.5128205128205</v>
      </c>
      <c r="Y58" s="977">
        <v>2774</v>
      </c>
      <c r="Z58" s="978" t="s">
        <v>265</v>
      </c>
    </row>
    <row r="59" spans="1:34" s="521" customFormat="1" ht="10.15" customHeight="1">
      <c r="A59" s="195"/>
      <c r="B59" s="252"/>
      <c r="C59" s="252"/>
      <c r="D59" s="252"/>
      <c r="E59" s="252"/>
      <c r="F59" s="252"/>
      <c r="G59" s="252"/>
      <c r="H59" s="252"/>
      <c r="I59" s="252"/>
      <c r="J59" s="252"/>
      <c r="K59" s="252"/>
      <c r="L59" s="252"/>
      <c r="M59" s="252"/>
      <c r="N59" s="252"/>
      <c r="O59" s="252"/>
      <c r="P59" s="252"/>
      <c r="Q59" s="189">
        <f t="shared" si="3"/>
        <v>0</v>
      </c>
      <c r="R59" s="961">
        <f t="shared" si="5"/>
        <v>100000</v>
      </c>
      <c r="S59" s="195"/>
      <c r="T59" s="934"/>
      <c r="U59" s="234">
        <v>42224</v>
      </c>
      <c r="V59" s="234"/>
      <c r="W59" s="979">
        <v>48</v>
      </c>
      <c r="X59" s="981">
        <f t="shared" si="2"/>
        <v>51.282051282051285</v>
      </c>
      <c r="Y59" s="977">
        <v>500</v>
      </c>
      <c r="Z59" s="978" t="s">
        <v>79</v>
      </c>
    </row>
    <row r="60" spans="1:34" ht="13.9" customHeight="1" thickBot="1">
      <c r="A60" s="46" t="s">
        <v>24</v>
      </c>
      <c r="B60" s="530">
        <f t="shared" ref="B60:P60" si="6">SUM(B3:B59)</f>
        <v>12730</v>
      </c>
      <c r="C60" s="530">
        <f t="shared" si="6"/>
        <v>17233</v>
      </c>
      <c r="D60" s="530">
        <f t="shared" si="6"/>
        <v>36575</v>
      </c>
      <c r="E60" s="530">
        <f t="shared" si="6"/>
        <v>20358.5</v>
      </c>
      <c r="F60" s="530">
        <f t="shared" si="6"/>
        <v>21090</v>
      </c>
      <c r="G60" s="530">
        <f t="shared" si="6"/>
        <v>27768.5</v>
      </c>
      <c r="H60" s="530">
        <f t="shared" si="6"/>
        <v>30704</v>
      </c>
      <c r="I60" s="530">
        <f t="shared" si="6"/>
        <v>32309.5</v>
      </c>
      <c r="J60" s="530">
        <f t="shared" si="6"/>
        <v>36651</v>
      </c>
      <c r="K60" s="530">
        <f t="shared" si="6"/>
        <v>35720</v>
      </c>
      <c r="L60" s="530">
        <f t="shared" si="6"/>
        <v>34314</v>
      </c>
      <c r="M60" s="530">
        <f t="shared" si="6"/>
        <v>41496</v>
      </c>
      <c r="N60" s="530">
        <f t="shared" si="6"/>
        <v>37933.5</v>
      </c>
      <c r="O60" s="530">
        <f t="shared" si="6"/>
        <v>39776.5</v>
      </c>
      <c r="P60" s="530">
        <f t="shared" si="6"/>
        <v>35387.5</v>
      </c>
      <c r="Q60" s="55">
        <f>SUM(Q3:Q59)</f>
        <v>460047</v>
      </c>
      <c r="R60" s="55">
        <f>SUM(R3:R59)</f>
        <v>15052598</v>
      </c>
      <c r="U60" s="234">
        <f>SUM(U3:U59)</f>
        <v>5132401.5</v>
      </c>
      <c r="V60" s="234"/>
      <c r="W60" s="980"/>
      <c r="X60" s="981">
        <f>SUM(X3:X59)</f>
        <v>526400.15384615399</v>
      </c>
      <c r="Y60" s="977">
        <f>SUM(Y3:Y59)</f>
        <v>5132401.5</v>
      </c>
      <c r="Z60" s="937"/>
    </row>
    <row r="61" spans="1:34" ht="12" customHeight="1" thickTop="1">
      <c r="A61" s="198" t="s">
        <v>85</v>
      </c>
      <c r="B61" s="241">
        <v>12730</v>
      </c>
      <c r="C61" s="241">
        <v>17233</v>
      </c>
      <c r="D61" s="241">
        <f>'9.18.22'!E45</f>
        <v>36575</v>
      </c>
      <c r="E61" s="241">
        <f>'9.19.22'!E35</f>
        <v>20358.5</v>
      </c>
      <c r="F61" s="241">
        <v>21090</v>
      </c>
      <c r="G61" s="241">
        <f>'9.21.22'!E37</f>
        <v>27768.5</v>
      </c>
      <c r="H61" s="241">
        <f>'9.22.22'!E38</f>
        <v>30704</v>
      </c>
      <c r="I61" s="241">
        <f>'9.23.22'!E38</f>
        <v>32309.5</v>
      </c>
      <c r="J61" s="241">
        <f>'9.24.22'!E38</f>
        <v>36651</v>
      </c>
      <c r="K61" s="241">
        <f>'9.25.22'!E37</f>
        <v>35720</v>
      </c>
      <c r="L61" s="241">
        <f>'9.26.22'!E38</f>
        <v>34314</v>
      </c>
      <c r="M61" s="241">
        <f>'9.27.22'!E38</f>
        <v>41496</v>
      </c>
      <c r="N61" s="241">
        <f>'9.28.22'!E38</f>
        <v>37933.5</v>
      </c>
      <c r="O61" s="241">
        <f>'9.29.22'!E38</f>
        <v>39776.5</v>
      </c>
      <c r="P61" s="241">
        <f>'9.30.22'!E38</f>
        <v>35387.5</v>
      </c>
      <c r="Q61" s="197"/>
      <c r="R61" s="57"/>
      <c r="S61" s="521"/>
      <c r="T61" s="521"/>
    </row>
    <row r="62" spans="1:34" ht="12" customHeight="1">
      <c r="A62" s="198" t="s">
        <v>86</v>
      </c>
      <c r="B62" s="242">
        <f t="shared" ref="B62:P62" si="7">B60-B61</f>
        <v>0</v>
      </c>
      <c r="C62" s="242">
        <f t="shared" si="7"/>
        <v>0</v>
      </c>
      <c r="D62" s="242">
        <f t="shared" si="7"/>
        <v>0</v>
      </c>
      <c r="E62" s="242">
        <f t="shared" si="7"/>
        <v>0</v>
      </c>
      <c r="F62" s="242">
        <f t="shared" si="7"/>
        <v>0</v>
      </c>
      <c r="G62" s="242">
        <f t="shared" si="7"/>
        <v>0</v>
      </c>
      <c r="H62" s="242">
        <f t="shared" si="7"/>
        <v>0</v>
      </c>
      <c r="I62" s="242">
        <f t="shared" si="7"/>
        <v>0</v>
      </c>
      <c r="J62" s="242">
        <f t="shared" si="7"/>
        <v>0</v>
      </c>
      <c r="K62" s="242">
        <f t="shared" si="7"/>
        <v>0</v>
      </c>
      <c r="L62" s="242">
        <f t="shared" si="7"/>
        <v>0</v>
      </c>
      <c r="M62" s="242">
        <f t="shared" si="7"/>
        <v>0</v>
      </c>
      <c r="N62" s="242">
        <f t="shared" si="7"/>
        <v>0</v>
      </c>
      <c r="O62" s="242">
        <f t="shared" si="7"/>
        <v>0</v>
      </c>
      <c r="P62" s="242">
        <f t="shared" si="7"/>
        <v>0</v>
      </c>
      <c r="Q62" s="233"/>
      <c r="R62" s="199"/>
      <c r="T62" s="316"/>
      <c r="U62" s="199"/>
      <c r="V62" s="199"/>
      <c r="W62" s="199"/>
      <c r="X62" s="198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</row>
    <row r="63" spans="1:34">
      <c r="C63" s="108"/>
      <c r="D63" s="108" t="s">
        <v>703</v>
      </c>
      <c r="E63" s="108"/>
      <c r="I63" s="108"/>
      <c r="J63" s="108"/>
      <c r="K63" s="108" t="s">
        <v>699</v>
      </c>
      <c r="L63" s="108"/>
      <c r="M63" s="108"/>
    </row>
    <row r="64" spans="1:34">
      <c r="C64" s="108"/>
      <c r="D64" s="108" t="s">
        <v>704</v>
      </c>
      <c r="E64" s="108"/>
      <c r="I64" s="108"/>
      <c r="J64" s="108"/>
      <c r="K64" s="108" t="s">
        <v>700</v>
      </c>
      <c r="L64" s="108"/>
      <c r="M64" s="108"/>
      <c r="Q64" s="234"/>
      <c r="S64" s="199"/>
      <c r="T64" s="199"/>
    </row>
    <row r="66" spans="1:1">
      <c r="A66" s="188"/>
    </row>
    <row r="67" spans="1:1">
      <c r="A67" s="188"/>
    </row>
  </sheetData>
  <mergeCells count="3">
    <mergeCell ref="A1:A2"/>
    <mergeCell ref="Q1:Q2"/>
    <mergeCell ref="R1:R2"/>
  </mergeCells>
  <conditionalFormatting sqref="R25:R27 R35 R38 R56 R49:R51 R32 R59 R6:R8 R11 R41 R13:R15 R43:R45 R19:R21">
    <cfRule type="cellIs" dxfId="112" priority="87" operator="lessThan">
      <formula>20000</formula>
    </cfRule>
    <cfRule type="cellIs" dxfId="111" priority="88" operator="lessThan">
      <formula>25000</formula>
    </cfRule>
    <cfRule type="cellIs" dxfId="110" priority="89" operator="lessThan">
      <formula>50000</formula>
    </cfRule>
  </conditionalFormatting>
  <conditionalFormatting sqref="R22">
    <cfRule type="cellIs" dxfId="109" priority="84" operator="lessThan">
      <formula>20000</formula>
    </cfRule>
    <cfRule type="cellIs" dxfId="108" priority="85" operator="lessThan">
      <formula>25000</formula>
    </cfRule>
    <cfRule type="cellIs" dxfId="107" priority="86" operator="lessThan">
      <formula>50000</formula>
    </cfRule>
  </conditionalFormatting>
  <conditionalFormatting sqref="R33">
    <cfRule type="cellIs" dxfId="106" priority="81" operator="lessThan">
      <formula>20000</formula>
    </cfRule>
    <cfRule type="cellIs" dxfId="105" priority="82" operator="lessThan">
      <formula>25000</formula>
    </cfRule>
    <cfRule type="cellIs" dxfId="104" priority="83" operator="lessThan">
      <formula>50000</formula>
    </cfRule>
  </conditionalFormatting>
  <conditionalFormatting sqref="R36">
    <cfRule type="cellIs" dxfId="103" priority="78" operator="lessThan">
      <formula>20000</formula>
    </cfRule>
    <cfRule type="cellIs" dxfId="102" priority="79" operator="lessThan">
      <formula>25000</formula>
    </cfRule>
    <cfRule type="cellIs" dxfId="101" priority="80" operator="lessThan">
      <formula>50000</formula>
    </cfRule>
  </conditionalFormatting>
  <conditionalFormatting sqref="R48">
    <cfRule type="cellIs" dxfId="100" priority="75" operator="lessThan">
      <formula>20000</formula>
    </cfRule>
    <cfRule type="cellIs" dxfId="99" priority="76" operator="lessThan">
      <formula>25000</formula>
    </cfRule>
    <cfRule type="cellIs" dxfId="98" priority="77" operator="lessThan">
      <formula>50000</formula>
    </cfRule>
  </conditionalFormatting>
  <conditionalFormatting sqref="R53">
    <cfRule type="cellIs" dxfId="97" priority="72" operator="lessThan">
      <formula>20000</formula>
    </cfRule>
    <cfRule type="cellIs" dxfId="96" priority="73" operator="lessThan">
      <formula>25000</formula>
    </cfRule>
    <cfRule type="cellIs" dxfId="95" priority="74" operator="lessThan">
      <formula>50000</formula>
    </cfRule>
  </conditionalFormatting>
  <conditionalFormatting sqref="R47">
    <cfRule type="cellIs" dxfId="94" priority="69" operator="lessThan">
      <formula>20000</formula>
    </cfRule>
    <cfRule type="cellIs" dxfId="93" priority="70" operator="lessThan">
      <formula>25000</formula>
    </cfRule>
    <cfRule type="cellIs" dxfId="92" priority="71" operator="lessThan">
      <formula>50000</formula>
    </cfRule>
  </conditionalFormatting>
  <conditionalFormatting sqref="R5">
    <cfRule type="cellIs" dxfId="91" priority="66" operator="lessThan">
      <formula>20000</formula>
    </cfRule>
    <cfRule type="cellIs" dxfId="90" priority="67" operator="lessThan">
      <formula>25000</formula>
    </cfRule>
    <cfRule type="cellIs" dxfId="89" priority="68" operator="lessThan">
      <formula>50000</formula>
    </cfRule>
  </conditionalFormatting>
  <conditionalFormatting sqref="R52">
    <cfRule type="cellIs" dxfId="88" priority="63" operator="lessThan">
      <formula>20000</formula>
    </cfRule>
    <cfRule type="cellIs" dxfId="87" priority="64" operator="lessThan">
      <formula>25000</formula>
    </cfRule>
    <cfRule type="cellIs" dxfId="86" priority="65" operator="lessThan">
      <formula>50000</formula>
    </cfRule>
  </conditionalFormatting>
  <conditionalFormatting sqref="R34">
    <cfRule type="cellIs" dxfId="85" priority="60" operator="lessThan">
      <formula>20000</formula>
    </cfRule>
    <cfRule type="cellIs" dxfId="84" priority="61" operator="lessThan">
      <formula>25000</formula>
    </cfRule>
    <cfRule type="cellIs" dxfId="83" priority="62" operator="lessThan">
      <formula>50000</formula>
    </cfRule>
  </conditionalFormatting>
  <conditionalFormatting sqref="R3:R4">
    <cfRule type="cellIs" dxfId="82" priority="57" operator="lessThan">
      <formula>20000</formula>
    </cfRule>
    <cfRule type="cellIs" dxfId="81" priority="58" operator="lessThan">
      <formula>25000</formula>
    </cfRule>
    <cfRule type="cellIs" dxfId="80" priority="59" operator="lessThan">
      <formula>50000</formula>
    </cfRule>
  </conditionalFormatting>
  <conditionalFormatting sqref="R16">
    <cfRule type="cellIs" dxfId="79" priority="54" operator="lessThan">
      <formula>20000</formula>
    </cfRule>
    <cfRule type="cellIs" dxfId="78" priority="55" operator="lessThan">
      <formula>25000</formula>
    </cfRule>
    <cfRule type="cellIs" dxfId="77" priority="56" operator="lessThan">
      <formula>50000</formula>
    </cfRule>
  </conditionalFormatting>
  <conditionalFormatting sqref="R28:R29">
    <cfRule type="cellIs" dxfId="76" priority="51" operator="lessThan">
      <formula>20000</formula>
    </cfRule>
    <cfRule type="cellIs" dxfId="75" priority="52" operator="lessThan">
      <formula>25000</formula>
    </cfRule>
    <cfRule type="cellIs" dxfId="74" priority="53" operator="lessThan">
      <formula>50000</formula>
    </cfRule>
  </conditionalFormatting>
  <conditionalFormatting sqref="R57:R58">
    <cfRule type="cellIs" dxfId="73" priority="48" operator="lessThan">
      <formula>20000</formula>
    </cfRule>
    <cfRule type="cellIs" dxfId="72" priority="49" operator="lessThan">
      <formula>25000</formula>
    </cfRule>
    <cfRule type="cellIs" dxfId="71" priority="50" operator="lessThan">
      <formula>50000</formula>
    </cfRule>
  </conditionalFormatting>
  <conditionalFormatting sqref="R23">
    <cfRule type="cellIs" dxfId="70" priority="45" operator="lessThan">
      <formula>20000</formula>
    </cfRule>
    <cfRule type="cellIs" dxfId="69" priority="46" operator="lessThan">
      <formula>25000</formula>
    </cfRule>
    <cfRule type="cellIs" dxfId="68" priority="47" operator="lessThan">
      <formula>50000</formula>
    </cfRule>
  </conditionalFormatting>
  <conditionalFormatting sqref="R10">
    <cfRule type="cellIs" dxfId="67" priority="42" operator="lessThan">
      <formula>20000</formula>
    </cfRule>
    <cfRule type="cellIs" dxfId="66" priority="43" operator="lessThan">
      <formula>25000</formula>
    </cfRule>
    <cfRule type="cellIs" dxfId="65" priority="44" operator="lessThan">
      <formula>50000</formula>
    </cfRule>
  </conditionalFormatting>
  <conditionalFormatting sqref="R54:R55">
    <cfRule type="cellIs" dxfId="64" priority="39" operator="lessThan">
      <formula>20000</formula>
    </cfRule>
    <cfRule type="cellIs" dxfId="63" priority="40" operator="lessThan">
      <formula>25000</formula>
    </cfRule>
    <cfRule type="cellIs" dxfId="62" priority="41" operator="lessThan">
      <formula>50000</formula>
    </cfRule>
  </conditionalFormatting>
  <conditionalFormatting sqref="R37">
    <cfRule type="cellIs" dxfId="61" priority="36" operator="lessThan">
      <formula>20000</formula>
    </cfRule>
    <cfRule type="cellIs" dxfId="60" priority="37" operator="lessThan">
      <formula>25000</formula>
    </cfRule>
    <cfRule type="cellIs" dxfId="59" priority="38" operator="lessThan">
      <formula>50000</formula>
    </cfRule>
  </conditionalFormatting>
  <conditionalFormatting sqref="R17">
    <cfRule type="cellIs" dxfId="58" priority="33" operator="lessThan">
      <formula>20000</formula>
    </cfRule>
    <cfRule type="cellIs" dxfId="57" priority="34" operator="lessThan">
      <formula>25000</formula>
    </cfRule>
    <cfRule type="cellIs" dxfId="56" priority="35" operator="lessThan">
      <formula>50000</formula>
    </cfRule>
  </conditionalFormatting>
  <conditionalFormatting sqref="R39">
    <cfRule type="cellIs" dxfId="55" priority="30" operator="lessThan">
      <formula>20000</formula>
    </cfRule>
    <cfRule type="cellIs" dxfId="54" priority="31" operator="lessThan">
      <formula>25000</formula>
    </cfRule>
    <cfRule type="cellIs" dxfId="53" priority="32" operator="lessThan">
      <formula>50000</formula>
    </cfRule>
  </conditionalFormatting>
  <conditionalFormatting sqref="R12">
    <cfRule type="cellIs" dxfId="52" priority="27" operator="lessThan">
      <formula>20000</formula>
    </cfRule>
    <cfRule type="cellIs" dxfId="51" priority="28" operator="lessThan">
      <formula>25000</formula>
    </cfRule>
    <cfRule type="cellIs" dxfId="50" priority="29" operator="lessThan">
      <formula>50000</formula>
    </cfRule>
  </conditionalFormatting>
  <conditionalFormatting sqref="B62:P62">
    <cfRule type="cellIs" dxfId="49" priority="25" operator="lessThan">
      <formula>0</formula>
    </cfRule>
    <cfRule type="cellIs" dxfId="48" priority="26" operator="greaterThan">
      <formula>0</formula>
    </cfRule>
  </conditionalFormatting>
  <conditionalFormatting sqref="R30">
    <cfRule type="cellIs" dxfId="47" priority="22" operator="lessThan">
      <formula>20000</formula>
    </cfRule>
    <cfRule type="cellIs" dxfId="46" priority="23" operator="lessThan">
      <formula>25000</formula>
    </cfRule>
    <cfRule type="cellIs" dxfId="45" priority="24" operator="lessThan">
      <formula>50000</formula>
    </cfRule>
  </conditionalFormatting>
  <conditionalFormatting sqref="R9">
    <cfRule type="cellIs" dxfId="44" priority="19" operator="lessThan">
      <formula>20000</formula>
    </cfRule>
    <cfRule type="cellIs" dxfId="43" priority="20" operator="lessThan">
      <formula>25000</formula>
    </cfRule>
    <cfRule type="cellIs" dxfId="42" priority="21" operator="lessThan">
      <formula>50000</formula>
    </cfRule>
  </conditionalFormatting>
  <conditionalFormatting sqref="R18">
    <cfRule type="cellIs" dxfId="41" priority="16" operator="lessThan">
      <formula>20000</formula>
    </cfRule>
    <cfRule type="cellIs" dxfId="40" priority="17" operator="lessThan">
      <formula>25000</formula>
    </cfRule>
    <cfRule type="cellIs" dxfId="39" priority="18" operator="lessThan">
      <formula>50000</formula>
    </cfRule>
  </conditionalFormatting>
  <conditionalFormatting sqref="R24">
    <cfRule type="cellIs" dxfId="38" priority="13" operator="lessThan">
      <formula>20000</formula>
    </cfRule>
    <cfRule type="cellIs" dxfId="37" priority="14" operator="lessThan">
      <formula>25000</formula>
    </cfRule>
    <cfRule type="cellIs" dxfId="36" priority="15" operator="lessThan">
      <formula>50000</formula>
    </cfRule>
  </conditionalFormatting>
  <conditionalFormatting sqref="R31">
    <cfRule type="cellIs" dxfId="35" priority="10" operator="lessThan">
      <formula>20000</formula>
    </cfRule>
    <cfRule type="cellIs" dxfId="34" priority="11" operator="lessThan">
      <formula>25000</formula>
    </cfRule>
    <cfRule type="cellIs" dxfId="33" priority="12" operator="lessThan">
      <formula>50000</formula>
    </cfRule>
  </conditionalFormatting>
  <conditionalFormatting sqref="R40">
    <cfRule type="cellIs" dxfId="32" priority="7" operator="lessThan">
      <formula>20000</formula>
    </cfRule>
    <cfRule type="cellIs" dxfId="31" priority="8" operator="lessThan">
      <formula>25000</formula>
    </cfRule>
    <cfRule type="cellIs" dxfId="30" priority="9" operator="lessThan">
      <formula>50000</formula>
    </cfRule>
  </conditionalFormatting>
  <conditionalFormatting sqref="R42">
    <cfRule type="cellIs" dxfId="29" priority="4" operator="lessThan">
      <formula>20000</formula>
    </cfRule>
    <cfRule type="cellIs" dxfId="28" priority="5" operator="lessThan">
      <formula>25000</formula>
    </cfRule>
    <cfRule type="cellIs" dxfId="27" priority="6" operator="lessThan">
      <formula>50000</formula>
    </cfRule>
  </conditionalFormatting>
  <conditionalFormatting sqref="R46">
    <cfRule type="cellIs" dxfId="26" priority="1" operator="lessThan">
      <formula>20000</formula>
    </cfRule>
    <cfRule type="cellIs" dxfId="25" priority="2" operator="lessThan">
      <formula>25000</formula>
    </cfRule>
    <cfRule type="cellIs" dxfId="24" priority="3" operator="lessThan">
      <formula>50000</formula>
    </cfRule>
  </conditionalFormatting>
  <pageMargins left="0.7" right="0.7" top="0.75" bottom="0.75" header="0.3" footer="0.3"/>
  <pageSetup scale="130" orientation="portrait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8265-9B0A-425F-BE46-B80843D2EB96}">
  <sheetPr codeName="Sheet155"/>
  <dimension ref="A1:L12"/>
  <sheetViews>
    <sheetView workbookViewId="0"/>
  </sheetViews>
  <sheetFormatPr defaultRowHeight="15"/>
  <cols>
    <col min="1" max="1" width="18.140625" customWidth="1"/>
    <col min="2" max="2" width="9.140625" style="326" customWidth="1"/>
    <col min="3" max="3" width="11.42578125" style="474" customWidth="1"/>
    <col min="4" max="5" width="11.42578125" customWidth="1"/>
    <col min="6" max="12" width="11.5703125" customWidth="1"/>
  </cols>
  <sheetData>
    <row r="1" spans="1:12" ht="18" customHeight="1">
      <c r="A1" t="s">
        <v>223</v>
      </c>
      <c r="B1" s="350" t="s">
        <v>221</v>
      </c>
      <c r="C1" s="394" t="s">
        <v>210</v>
      </c>
      <c r="D1" s="395" t="s">
        <v>211</v>
      </c>
      <c r="E1" s="394" t="s">
        <v>212</v>
      </c>
      <c r="F1" s="395" t="s">
        <v>213</v>
      </c>
      <c r="G1" s="394" t="s">
        <v>247</v>
      </c>
      <c r="H1" s="395" t="s">
        <v>248</v>
      </c>
      <c r="I1" s="394" t="s">
        <v>225</v>
      </c>
      <c r="J1" s="395" t="s">
        <v>206</v>
      </c>
      <c r="K1" s="394" t="s">
        <v>207</v>
      </c>
      <c r="L1" s="395" t="s">
        <v>208</v>
      </c>
    </row>
    <row r="2" spans="1:12" s="326" customFormat="1" ht="16.899999999999999" customHeight="1">
      <c r="A2" s="327" t="s">
        <v>222</v>
      </c>
      <c r="B2" s="362"/>
      <c r="C2" s="505">
        <f>59629+9230</f>
        <v>68859</v>
      </c>
      <c r="D2" s="396">
        <v>0</v>
      </c>
      <c r="E2" s="393">
        <v>0</v>
      </c>
      <c r="F2" s="396">
        <v>0</v>
      </c>
      <c r="G2" s="393">
        <f>'Meal Ticket Totals'!F25</f>
        <v>0</v>
      </c>
      <c r="H2" s="396">
        <f>'Meal Ticket Totals'!F26</f>
        <v>0</v>
      </c>
      <c r="I2" s="393">
        <v>26883</v>
      </c>
      <c r="J2" s="396">
        <v>83261</v>
      </c>
      <c r="K2" s="393">
        <v>99865</v>
      </c>
      <c r="L2" s="396">
        <v>45037</v>
      </c>
    </row>
    <row r="3" spans="1:12" ht="21" customHeight="1">
      <c r="A3" s="392" t="s">
        <v>214</v>
      </c>
      <c r="B3" s="390">
        <v>0.2903</v>
      </c>
      <c r="C3" s="504">
        <f>C2*$B$3</f>
        <v>19989.7677</v>
      </c>
      <c r="D3" s="397">
        <f>D2*$B$3</f>
        <v>0</v>
      </c>
      <c r="E3" s="391">
        <f t="shared" ref="E3:L3" si="0">E2*$B$3</f>
        <v>0</v>
      </c>
      <c r="F3" s="397">
        <f t="shared" si="0"/>
        <v>0</v>
      </c>
      <c r="G3" s="391">
        <f t="shared" si="0"/>
        <v>0</v>
      </c>
      <c r="H3" s="397">
        <f t="shared" si="0"/>
        <v>0</v>
      </c>
      <c r="I3" s="391">
        <f t="shared" si="0"/>
        <v>7804.1349</v>
      </c>
      <c r="J3" s="397">
        <f t="shared" si="0"/>
        <v>24170.668300000001</v>
      </c>
      <c r="K3" s="391">
        <f t="shared" si="0"/>
        <v>28990.809499999999</v>
      </c>
      <c r="L3" s="397">
        <f t="shared" si="0"/>
        <v>13074.241099999999</v>
      </c>
    </row>
    <row r="4" spans="1:12" ht="21" customHeight="1">
      <c r="A4" s="392" t="s">
        <v>216</v>
      </c>
      <c r="B4" s="390">
        <v>0.1086</v>
      </c>
      <c r="C4" s="504">
        <f>C2*$B$4</f>
        <v>7478.0874000000003</v>
      </c>
      <c r="D4" s="397">
        <f>D2*$B$4</f>
        <v>0</v>
      </c>
      <c r="E4" s="391">
        <f t="shared" ref="E4:L4" si="1">E2*$B$4</f>
        <v>0</v>
      </c>
      <c r="F4" s="397">
        <f t="shared" si="1"/>
        <v>0</v>
      </c>
      <c r="G4" s="391">
        <f t="shared" si="1"/>
        <v>0</v>
      </c>
      <c r="H4" s="397">
        <f t="shared" si="1"/>
        <v>0</v>
      </c>
      <c r="I4" s="391">
        <f t="shared" si="1"/>
        <v>2919.4938000000002</v>
      </c>
      <c r="J4" s="397">
        <f t="shared" si="1"/>
        <v>9042.1445999999996</v>
      </c>
      <c r="K4" s="391">
        <f t="shared" si="1"/>
        <v>10845.339</v>
      </c>
      <c r="L4" s="397">
        <f t="shared" si="1"/>
        <v>4891.0182000000004</v>
      </c>
    </row>
    <row r="5" spans="1:12" ht="21" customHeight="1">
      <c r="A5" s="392" t="s">
        <v>215</v>
      </c>
      <c r="B5" s="390">
        <v>0.1552</v>
      </c>
      <c r="C5" s="504">
        <f>C2*$B$5</f>
        <v>10686.916800000001</v>
      </c>
      <c r="D5" s="397">
        <f>D2*$B$5</f>
        <v>0</v>
      </c>
      <c r="E5" s="391">
        <f t="shared" ref="E5:L5" si="2">E2*$B$5</f>
        <v>0</v>
      </c>
      <c r="F5" s="397">
        <f t="shared" si="2"/>
        <v>0</v>
      </c>
      <c r="G5" s="391">
        <f t="shared" si="2"/>
        <v>0</v>
      </c>
      <c r="H5" s="397">
        <f t="shared" si="2"/>
        <v>0</v>
      </c>
      <c r="I5" s="391">
        <f t="shared" si="2"/>
        <v>4172.2416000000003</v>
      </c>
      <c r="J5" s="397">
        <f t="shared" si="2"/>
        <v>12922.1072</v>
      </c>
      <c r="K5" s="391">
        <f t="shared" si="2"/>
        <v>15499.048000000001</v>
      </c>
      <c r="L5" s="397">
        <f t="shared" si="2"/>
        <v>6989.7424000000001</v>
      </c>
    </row>
    <row r="6" spans="1:12" ht="21" customHeight="1">
      <c r="A6" s="392" t="s">
        <v>217</v>
      </c>
      <c r="B6" s="390">
        <v>1.44E-2</v>
      </c>
      <c r="C6" s="504">
        <f>C2*$B$6</f>
        <v>991.56959999999992</v>
      </c>
      <c r="D6" s="397">
        <f>D2*$B$6</f>
        <v>0</v>
      </c>
      <c r="E6" s="391">
        <f t="shared" ref="E6:L6" si="3">E2*$B$6</f>
        <v>0</v>
      </c>
      <c r="F6" s="397">
        <f t="shared" si="3"/>
        <v>0</v>
      </c>
      <c r="G6" s="391">
        <f t="shared" si="3"/>
        <v>0</v>
      </c>
      <c r="H6" s="397">
        <f t="shared" si="3"/>
        <v>0</v>
      </c>
      <c r="I6" s="391">
        <f t="shared" si="3"/>
        <v>387.11520000000002</v>
      </c>
      <c r="J6" s="397">
        <f t="shared" si="3"/>
        <v>1198.9584</v>
      </c>
      <c r="K6" s="391">
        <f t="shared" si="3"/>
        <v>1438.056</v>
      </c>
      <c r="L6" s="397">
        <f t="shared" si="3"/>
        <v>648.53279999999995</v>
      </c>
    </row>
    <row r="7" spans="1:12" ht="21" customHeight="1">
      <c r="A7" s="392" t="s">
        <v>112</v>
      </c>
      <c r="B7" s="390">
        <v>0.16070000000000001</v>
      </c>
      <c r="C7" s="504">
        <f>C2*$B$7</f>
        <v>11065.641300000001</v>
      </c>
      <c r="D7" s="397">
        <f>D2*$B$7</f>
        <v>0</v>
      </c>
      <c r="E7" s="391">
        <f t="shared" ref="E7:L7" si="4">E2*$B$7</f>
        <v>0</v>
      </c>
      <c r="F7" s="397">
        <f t="shared" si="4"/>
        <v>0</v>
      </c>
      <c r="G7" s="391">
        <f t="shared" si="4"/>
        <v>0</v>
      </c>
      <c r="H7" s="397">
        <f t="shared" si="4"/>
        <v>0</v>
      </c>
      <c r="I7" s="391">
        <f t="shared" si="4"/>
        <v>4320.0981000000002</v>
      </c>
      <c r="J7" s="397">
        <f t="shared" si="4"/>
        <v>13380.0427</v>
      </c>
      <c r="K7" s="391">
        <f t="shared" si="4"/>
        <v>16048.3055</v>
      </c>
      <c r="L7" s="397">
        <f t="shared" si="4"/>
        <v>7237.4459000000006</v>
      </c>
    </row>
    <row r="8" spans="1:12" ht="21" customHeight="1">
      <c r="A8" s="392" t="s">
        <v>218</v>
      </c>
      <c r="B8" s="390">
        <v>0.26019999999999999</v>
      </c>
      <c r="C8" s="504">
        <f>C2*$B$8</f>
        <v>17917.111799999999</v>
      </c>
      <c r="D8" s="397">
        <f>D2*$B$8</f>
        <v>0</v>
      </c>
      <c r="E8" s="391">
        <f t="shared" ref="E8:L8" si="5">E2*$B$8</f>
        <v>0</v>
      </c>
      <c r="F8" s="397">
        <f t="shared" si="5"/>
        <v>0</v>
      </c>
      <c r="G8" s="391">
        <f t="shared" si="5"/>
        <v>0</v>
      </c>
      <c r="H8" s="397">
        <f t="shared" si="5"/>
        <v>0</v>
      </c>
      <c r="I8" s="391">
        <f t="shared" si="5"/>
        <v>6994.9565999999995</v>
      </c>
      <c r="J8" s="397">
        <f t="shared" si="5"/>
        <v>21664.512199999997</v>
      </c>
      <c r="K8" s="391">
        <f t="shared" si="5"/>
        <v>25984.873</v>
      </c>
      <c r="L8" s="397">
        <f t="shared" si="5"/>
        <v>11718.627399999999</v>
      </c>
    </row>
    <row r="9" spans="1:12" ht="21" customHeight="1">
      <c r="A9" s="392" t="s">
        <v>219</v>
      </c>
      <c r="B9" s="390">
        <v>1.1999999999999999E-3</v>
      </c>
      <c r="C9" s="504">
        <f>C2*$B$9</f>
        <v>82.630799999999994</v>
      </c>
      <c r="D9" s="397">
        <f>D2*$B$9</f>
        <v>0</v>
      </c>
      <c r="E9" s="391">
        <f t="shared" ref="E9:L9" si="6">E2*$B$9</f>
        <v>0</v>
      </c>
      <c r="F9" s="397">
        <f t="shared" si="6"/>
        <v>0</v>
      </c>
      <c r="G9" s="391">
        <f t="shared" si="6"/>
        <v>0</v>
      </c>
      <c r="H9" s="397">
        <f t="shared" si="6"/>
        <v>0</v>
      </c>
      <c r="I9" s="391">
        <f t="shared" si="6"/>
        <v>32.259599999999999</v>
      </c>
      <c r="J9" s="397">
        <f t="shared" si="6"/>
        <v>99.913199999999989</v>
      </c>
      <c r="K9" s="391">
        <f t="shared" si="6"/>
        <v>119.83799999999999</v>
      </c>
      <c r="L9" s="397">
        <f t="shared" si="6"/>
        <v>54.044399999999996</v>
      </c>
    </row>
    <row r="10" spans="1:12" ht="21" customHeight="1">
      <c r="A10" s="392" t="s">
        <v>220</v>
      </c>
      <c r="B10" s="390">
        <v>9.4000000000000004E-3</v>
      </c>
      <c r="C10" s="504">
        <f>C2*$B$10</f>
        <v>647.27460000000008</v>
      </c>
      <c r="D10" s="397">
        <f>D2*$B$10</f>
        <v>0</v>
      </c>
      <c r="E10" s="391">
        <f t="shared" ref="E10:L10" si="7">E2*$B$10</f>
        <v>0</v>
      </c>
      <c r="F10" s="397">
        <f t="shared" si="7"/>
        <v>0</v>
      </c>
      <c r="G10" s="391">
        <f t="shared" si="7"/>
        <v>0</v>
      </c>
      <c r="H10" s="397">
        <f t="shared" si="7"/>
        <v>0</v>
      </c>
      <c r="I10" s="391">
        <f t="shared" si="7"/>
        <v>252.70020000000002</v>
      </c>
      <c r="J10" s="397">
        <f t="shared" si="7"/>
        <v>782.65340000000003</v>
      </c>
      <c r="K10" s="391">
        <f t="shared" si="7"/>
        <v>938.73099999999999</v>
      </c>
      <c r="L10" s="397">
        <f t="shared" si="7"/>
        <v>423.34780000000001</v>
      </c>
    </row>
    <row r="11" spans="1:12" ht="15.6" customHeight="1" thickBot="1">
      <c r="B11" s="388">
        <f>SUM(B3:B10)</f>
        <v>1</v>
      </c>
      <c r="C11" s="389">
        <f>SUM(C3:C10)</f>
        <v>68859.000000000015</v>
      </c>
      <c r="D11" s="398">
        <f>SUM(D3:D10)</f>
        <v>0</v>
      </c>
      <c r="E11" s="389">
        <f t="shared" ref="E11:L11" si="8">SUM(E3:E10)</f>
        <v>0</v>
      </c>
      <c r="F11" s="398">
        <f t="shared" si="8"/>
        <v>0</v>
      </c>
      <c r="G11" s="389">
        <f t="shared" si="8"/>
        <v>0</v>
      </c>
      <c r="H11" s="398">
        <f t="shared" si="8"/>
        <v>0</v>
      </c>
      <c r="I11" s="389">
        <f t="shared" si="8"/>
        <v>26883.000000000004</v>
      </c>
      <c r="J11" s="398">
        <f t="shared" si="8"/>
        <v>83261</v>
      </c>
      <c r="K11" s="389">
        <f t="shared" si="8"/>
        <v>99864.999999999985</v>
      </c>
      <c r="L11" s="398">
        <f t="shared" si="8"/>
        <v>45037</v>
      </c>
    </row>
    <row r="12" spans="1:12" ht="15.75" thickTop="1"/>
  </sheetData>
  <pageMargins left="0.7" right="0.7" top="0.75" bottom="0.75" header="0.3" footer="0.3"/>
  <pageSetup orientation="portrait" horizontalDpi="4294967295" verticalDpi="4294967295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90754-9A17-485D-AC58-E215BEDA3A02}">
  <sheetPr codeName="Sheet360"/>
  <dimension ref="A1:Q40"/>
  <sheetViews>
    <sheetView workbookViewId="0">
      <selection activeCell="I15" sqref="I15"/>
    </sheetView>
  </sheetViews>
  <sheetFormatPr defaultColWidth="8.85546875" defaultRowHeight="15"/>
  <cols>
    <col min="1" max="3" width="9.28515625" style="934" customWidth="1"/>
    <col min="4" max="4" width="11.42578125" style="934" customWidth="1"/>
    <col min="5" max="5" width="11" style="934" customWidth="1"/>
    <col min="6" max="6" width="12.140625" style="934" customWidth="1"/>
    <col min="7" max="8" width="11.42578125" style="934" customWidth="1"/>
    <col min="9" max="9" width="14.28515625" style="934" customWidth="1"/>
    <col min="10" max="10" width="3.28515625" style="934" customWidth="1"/>
    <col min="11" max="11" width="12.28515625" style="934" bestFit="1" customWidth="1"/>
    <col min="12" max="12" width="13.28515625" style="934" customWidth="1"/>
    <col min="13" max="13" width="12.28515625" style="934" bestFit="1" customWidth="1"/>
    <col min="14" max="14" width="12.5703125" style="934" customWidth="1"/>
    <col min="15" max="15" width="11.7109375" style="934" customWidth="1"/>
    <col min="16" max="16" width="10.85546875" style="934" hidden="1" customWidth="1"/>
    <col min="17" max="16384" width="8.85546875" style="934"/>
  </cols>
  <sheetData>
    <row r="1" spans="1:16" ht="41.45" customHeight="1">
      <c r="A1" s="410" t="s">
        <v>794</v>
      </c>
      <c r="B1" s="409" t="s">
        <v>792</v>
      </c>
      <c r="C1" s="409" t="s">
        <v>793</v>
      </c>
      <c r="D1" s="417" t="s">
        <v>268</v>
      </c>
      <c r="E1" s="417" t="s">
        <v>241</v>
      </c>
      <c r="F1" s="410" t="s">
        <v>228</v>
      </c>
      <c r="G1" s="410" t="s">
        <v>191</v>
      </c>
      <c r="H1" s="410" t="s">
        <v>862</v>
      </c>
      <c r="I1" s="417" t="s">
        <v>759</v>
      </c>
      <c r="J1" s="974"/>
      <c r="K1" s="417" t="s">
        <v>663</v>
      </c>
      <c r="L1" s="410" t="s">
        <v>237</v>
      </c>
      <c r="M1" s="417" t="s">
        <v>286</v>
      </c>
      <c r="N1" s="410" t="s">
        <v>31</v>
      </c>
      <c r="O1" s="410" t="s">
        <v>226</v>
      </c>
      <c r="P1" s="578" t="s">
        <v>269</v>
      </c>
    </row>
    <row r="2" spans="1:16">
      <c r="A2" s="403" t="s">
        <v>225</v>
      </c>
      <c r="B2" s="404">
        <f>K2/9.5</f>
        <v>48426</v>
      </c>
      <c r="C2" s="404">
        <f>9487+73</f>
        <v>9560</v>
      </c>
      <c r="D2" s="404">
        <f>999+1162</f>
        <v>2161</v>
      </c>
      <c r="E2" s="404">
        <v>12061</v>
      </c>
      <c r="F2" s="404">
        <f>SUM(B2:E2)</f>
        <v>72208</v>
      </c>
      <c r="G2" s="404">
        <f>'Blackboard Daily Counts'!C15</f>
        <v>64294</v>
      </c>
      <c r="H2" s="404"/>
      <c r="I2" s="425">
        <f>-SUM((F2-E2)-(G2))</f>
        <v>4147</v>
      </c>
      <c r="K2" s="954">
        <f>'UCLA Master Vendor Sep 2022'!Q60</f>
        <v>460047</v>
      </c>
      <c r="L2" s="954">
        <f>C2*9</f>
        <v>86040</v>
      </c>
      <c r="M2" s="954">
        <f>E2*10</f>
        <v>120610</v>
      </c>
      <c r="N2" s="954">
        <f t="shared" ref="N2:N7" si="0">SUM(K2:M2)</f>
        <v>666697</v>
      </c>
      <c r="O2" s="405">
        <f>N2/(B2+C2+E2)</f>
        <v>9.5178522991705563</v>
      </c>
      <c r="P2" s="405">
        <f t="shared" ref="P2:P7" si="1">N2/(F2)</f>
        <v>9.2330074230002221</v>
      </c>
    </row>
    <row r="3" spans="1:16">
      <c r="A3" s="403" t="s">
        <v>206</v>
      </c>
      <c r="B3" s="404">
        <v>143538</v>
      </c>
      <c r="C3" s="404">
        <f>50940</f>
        <v>50940</v>
      </c>
      <c r="D3" s="404">
        <f>2734+4079</f>
        <v>6813</v>
      </c>
      <c r="E3" s="404">
        <v>28083</v>
      </c>
      <c r="F3" s="404">
        <f>SUM(B3:E3)</f>
        <v>229374</v>
      </c>
      <c r="G3" s="404">
        <f>'Blackboard Daily Counts'!C46</f>
        <v>201261</v>
      </c>
      <c r="H3" s="404"/>
      <c r="I3" s="425">
        <f t="shared" ref="I3:I6" si="2">-SUM((F3-E3)-(G3))</f>
        <v>-30</v>
      </c>
      <c r="K3" s="954">
        <f>B3*9.5</f>
        <v>1363611</v>
      </c>
      <c r="L3" s="954">
        <f t="shared" ref="L3:L11" si="3">C3*9</f>
        <v>458460</v>
      </c>
      <c r="M3" s="954">
        <f t="shared" ref="M3:M11" si="4">E3*10</f>
        <v>280830</v>
      </c>
      <c r="N3" s="954">
        <f t="shared" si="0"/>
        <v>2102901</v>
      </c>
      <c r="O3" s="405">
        <f t="shared" ref="O3:O11" si="5">N3/(B3+C3+E3)</f>
        <v>9.4486500330246539</v>
      </c>
      <c r="P3" s="405">
        <f t="shared" si="1"/>
        <v>9.1680007324282613</v>
      </c>
    </row>
    <row r="4" spans="1:16">
      <c r="A4" s="403" t="s">
        <v>207</v>
      </c>
      <c r="B4" s="404">
        <f>K4/9.5</f>
        <v>121479</v>
      </c>
      <c r="C4" s="404">
        <v>52837</v>
      </c>
      <c r="D4" s="404">
        <v>7186</v>
      </c>
      <c r="E4" s="404">
        <v>34529</v>
      </c>
      <c r="F4" s="404">
        <f t="shared" ref="F4:F7" si="6">SUM(B4:E4)</f>
        <v>216031</v>
      </c>
      <c r="G4" s="404">
        <v>176716</v>
      </c>
      <c r="H4" s="404"/>
      <c r="I4" s="425">
        <f t="shared" si="2"/>
        <v>-4786</v>
      </c>
      <c r="K4" s="954">
        <f>'UCLA Master Vendor Nov 2022'!AF61</f>
        <v>1154050.5</v>
      </c>
      <c r="L4" s="954">
        <f t="shared" si="3"/>
        <v>475533</v>
      </c>
      <c r="M4" s="954">
        <f t="shared" si="4"/>
        <v>345290</v>
      </c>
      <c r="N4" s="954">
        <f t="shared" si="0"/>
        <v>1974873.5</v>
      </c>
      <c r="O4" s="405">
        <f t="shared" si="5"/>
        <v>9.4561684502860981</v>
      </c>
      <c r="P4" s="405">
        <f t="shared" si="1"/>
        <v>9.1416208784850319</v>
      </c>
    </row>
    <row r="5" spans="1:16">
      <c r="A5" s="403" t="s">
        <v>208</v>
      </c>
      <c r="B5" s="404">
        <f t="shared" ref="B5:B11" si="7">K5/9.5</f>
        <v>42896</v>
      </c>
      <c r="C5" s="404">
        <v>18208</v>
      </c>
      <c r="D5" s="404">
        <v>4378</v>
      </c>
      <c r="E5" s="404">
        <v>5520</v>
      </c>
      <c r="F5" s="404">
        <f t="shared" si="6"/>
        <v>71002</v>
      </c>
      <c r="G5" s="404">
        <v>65530</v>
      </c>
      <c r="H5" s="404"/>
      <c r="I5" s="425">
        <f t="shared" si="2"/>
        <v>48</v>
      </c>
      <c r="K5" s="954">
        <f>'UCLA Master Vendor Dec 2022'!FA62</f>
        <v>407512</v>
      </c>
      <c r="L5" s="954">
        <f t="shared" si="3"/>
        <v>163872</v>
      </c>
      <c r="M5" s="954">
        <f t="shared" si="4"/>
        <v>55200</v>
      </c>
      <c r="N5" s="954">
        <f t="shared" si="0"/>
        <v>626584</v>
      </c>
      <c r="O5" s="405">
        <f t="shared" si="5"/>
        <v>9.4047790585975015</v>
      </c>
      <c r="P5" s="405">
        <f t="shared" si="1"/>
        <v>8.824878172445846</v>
      </c>
    </row>
    <row r="6" spans="1:16">
      <c r="A6" s="403" t="s">
        <v>209</v>
      </c>
      <c r="B6" s="404">
        <f t="shared" si="7"/>
        <v>79269.473684210519</v>
      </c>
      <c r="C6" s="404">
        <v>57585</v>
      </c>
      <c r="D6" s="404">
        <v>6826</v>
      </c>
      <c r="E6" s="404">
        <f>6476+600+8080+800+9254+800</f>
        <v>26010</v>
      </c>
      <c r="F6" s="404">
        <f t="shared" si="6"/>
        <v>169690.4736842105</v>
      </c>
      <c r="G6" s="404">
        <f>'Blackboard Daily Counts'!C138</f>
        <v>145441</v>
      </c>
      <c r="H6" s="404"/>
      <c r="I6" s="425">
        <f t="shared" si="2"/>
        <v>1760.5263157894951</v>
      </c>
      <c r="K6" s="954">
        <f>'UCLA Master Vendor Jan 2023'!Z64</f>
        <v>753060</v>
      </c>
      <c r="L6" s="954">
        <f t="shared" si="3"/>
        <v>518265</v>
      </c>
      <c r="M6" s="954">
        <f t="shared" si="4"/>
        <v>260100</v>
      </c>
      <c r="N6" s="954">
        <f t="shared" si="0"/>
        <v>1531425</v>
      </c>
      <c r="O6" s="405">
        <f t="shared" si="5"/>
        <v>9.4030635740080957</v>
      </c>
      <c r="P6" s="405">
        <f t="shared" si="1"/>
        <v>9.0248142205669222</v>
      </c>
    </row>
    <row r="7" spans="1:16">
      <c r="A7" s="403" t="s">
        <v>287</v>
      </c>
      <c r="B7" s="404">
        <f t="shared" si="7"/>
        <v>106230.84210526316</v>
      </c>
      <c r="C7" s="404">
        <v>73335</v>
      </c>
      <c r="D7" s="404">
        <v>8781</v>
      </c>
      <c r="E7" s="404">
        <f>8277+760+6446+700+8919+800+8256+800</f>
        <v>34958</v>
      </c>
      <c r="F7" s="404">
        <f t="shared" si="6"/>
        <v>223304.84210526315</v>
      </c>
      <c r="G7" s="404">
        <v>183358</v>
      </c>
      <c r="H7" s="404">
        <v>60</v>
      </c>
      <c r="I7" s="425">
        <f>-SUM((F7-E7)-(G7))+H7</f>
        <v>-4928.8421052631456</v>
      </c>
      <c r="K7" s="954">
        <v>1009193</v>
      </c>
      <c r="L7" s="954">
        <f t="shared" si="3"/>
        <v>660015</v>
      </c>
      <c r="M7" s="954">
        <f t="shared" si="4"/>
        <v>349580</v>
      </c>
      <c r="N7" s="954">
        <f t="shared" si="0"/>
        <v>2018788</v>
      </c>
      <c r="O7" s="405">
        <f t="shared" si="5"/>
        <v>9.4105530657492871</v>
      </c>
      <c r="P7" s="405">
        <f t="shared" si="1"/>
        <v>9.0405025747196657</v>
      </c>
    </row>
    <row r="8" spans="1:16">
      <c r="A8" s="403" t="s">
        <v>210</v>
      </c>
      <c r="B8" s="404">
        <f t="shared" si="7"/>
        <v>107681.47368421052</v>
      </c>
      <c r="C8" s="404">
        <v>66758</v>
      </c>
      <c r="D8" s="404">
        <v>9365</v>
      </c>
      <c r="E8" s="404">
        <f>5376+800+9703+800+10124+800+4364+800</f>
        <v>32767</v>
      </c>
      <c r="F8" s="404">
        <f>SUM(B8:E8)</f>
        <v>216571.4736842105</v>
      </c>
      <c r="G8" s="404">
        <v>180770</v>
      </c>
      <c r="H8" s="404">
        <v>262</v>
      </c>
      <c r="I8" s="425">
        <f t="shared" ref="I8:I11" si="8">-SUM((F8-E8)-(G8))+H8</f>
        <v>-2772.4736842105049</v>
      </c>
      <c r="K8" s="954">
        <v>1022974</v>
      </c>
      <c r="L8" s="954">
        <f t="shared" si="3"/>
        <v>600822</v>
      </c>
      <c r="M8" s="954">
        <f t="shared" si="4"/>
        <v>327670</v>
      </c>
      <c r="N8" s="954">
        <f>SUM(K8:M8)</f>
        <v>1951466</v>
      </c>
      <c r="O8" s="405">
        <f t="shared" si="5"/>
        <v>9.4179779487686197</v>
      </c>
      <c r="P8" s="405">
        <f>N8/(F8)</f>
        <v>9.010725035955069</v>
      </c>
    </row>
    <row r="9" spans="1:16">
      <c r="A9" s="403" t="s">
        <v>211</v>
      </c>
      <c r="B9" s="404">
        <f t="shared" si="7"/>
        <v>97359.368421052626</v>
      </c>
      <c r="C9" s="404">
        <f>82621</f>
        <v>82621</v>
      </c>
      <c r="D9" s="404">
        <v>9673</v>
      </c>
      <c r="E9" s="404">
        <f>760+8340+10087+800+8096+800+800+9759</f>
        <v>39442</v>
      </c>
      <c r="F9" s="404">
        <f>SUM(B9:E9)</f>
        <v>229095.36842105264</v>
      </c>
      <c r="G9" s="404">
        <v>192175</v>
      </c>
      <c r="H9" s="404">
        <v>9</v>
      </c>
      <c r="I9" s="425">
        <f t="shared" si="8"/>
        <v>2530.6315789473592</v>
      </c>
      <c r="K9" s="954">
        <v>924914</v>
      </c>
      <c r="L9" s="954">
        <f t="shared" si="3"/>
        <v>743589</v>
      </c>
      <c r="M9" s="954">
        <f t="shared" si="4"/>
        <v>394420</v>
      </c>
      <c r="N9" s="954">
        <f t="shared" ref="N9:N11" si="9">SUM(K9:M9)</f>
        <v>2062923</v>
      </c>
      <c r="O9" s="405">
        <f t="shared" si="5"/>
        <v>9.4016075701153135</v>
      </c>
      <c r="P9" s="405">
        <f t="shared" ref="P9:P11" si="10">N9/(F9)</f>
        <v>9.0046473406156746</v>
      </c>
    </row>
    <row r="10" spans="1:16">
      <c r="A10" s="403" t="s">
        <v>212</v>
      </c>
      <c r="B10" s="404">
        <f t="shared" si="7"/>
        <v>83789.105263157893</v>
      </c>
      <c r="C10" s="404">
        <v>101344</v>
      </c>
      <c r="D10" s="404">
        <v>11079</v>
      </c>
      <c r="E10" s="404">
        <f>4795+4820+800+4418+4418+800+8688+800+9005+787+9222+766</f>
        <v>49319</v>
      </c>
      <c r="F10" s="404">
        <f>SUM(B10:E10)</f>
        <v>245531.10526315789</v>
      </c>
      <c r="G10" s="404">
        <f>'Blackboard Daily Counts'!C258</f>
        <v>199673</v>
      </c>
      <c r="H10" s="404">
        <v>6</v>
      </c>
      <c r="I10" s="425">
        <f t="shared" si="8"/>
        <v>3466.8947368421068</v>
      </c>
      <c r="K10" s="954">
        <f>'UCLA Master Vendor May 2023'!AG64</f>
        <v>795996.5</v>
      </c>
      <c r="L10" s="954">
        <f t="shared" si="3"/>
        <v>912096</v>
      </c>
      <c r="M10" s="954">
        <f t="shared" si="4"/>
        <v>493190</v>
      </c>
      <c r="N10" s="954">
        <f t="shared" si="9"/>
        <v>2201282.5</v>
      </c>
      <c r="O10" s="405">
        <f t="shared" si="5"/>
        <v>9.3890498339914554</v>
      </c>
      <c r="P10" s="405">
        <f t="shared" si="10"/>
        <v>8.9653915647090265</v>
      </c>
    </row>
    <row r="11" spans="1:16">
      <c r="A11" s="403" t="s">
        <v>213</v>
      </c>
      <c r="B11" s="404">
        <f t="shared" si="7"/>
        <v>0</v>
      </c>
      <c r="C11" s="404"/>
      <c r="D11" s="404"/>
      <c r="E11" s="404"/>
      <c r="F11" s="404">
        <f>SUM(B11:E11)</f>
        <v>0</v>
      </c>
      <c r="G11" s="404"/>
      <c r="H11" s="404"/>
      <c r="I11" s="425">
        <f t="shared" si="8"/>
        <v>0</v>
      </c>
      <c r="K11" s="954"/>
      <c r="L11" s="954">
        <f t="shared" si="3"/>
        <v>0</v>
      </c>
      <c r="M11" s="954">
        <f t="shared" si="4"/>
        <v>0</v>
      </c>
      <c r="N11" s="954">
        <f t="shared" si="9"/>
        <v>0</v>
      </c>
      <c r="O11" s="405" t="e">
        <f t="shared" si="5"/>
        <v>#DIV/0!</v>
      </c>
      <c r="P11" s="405" t="e">
        <f t="shared" si="10"/>
        <v>#DIV/0!</v>
      </c>
    </row>
    <row r="12" spans="1:16" ht="15.75" thickBot="1">
      <c r="A12" s="406" t="s">
        <v>132</v>
      </c>
      <c r="B12" s="407">
        <f t="shared" ref="B12:I12" si="11">SUM(B2:B11)</f>
        <v>830669.26315789472</v>
      </c>
      <c r="C12" s="407">
        <f t="shared" si="11"/>
        <v>513188</v>
      </c>
      <c r="D12" s="407">
        <f t="shared" si="11"/>
        <v>66262</v>
      </c>
      <c r="E12" s="407">
        <f t="shared" si="11"/>
        <v>262689</v>
      </c>
      <c r="F12" s="407">
        <f t="shared" si="11"/>
        <v>1672808.2631578948</v>
      </c>
      <c r="G12" s="407">
        <f t="shared" si="11"/>
        <v>1409218</v>
      </c>
      <c r="H12" s="407">
        <f t="shared" si="11"/>
        <v>337</v>
      </c>
      <c r="I12" s="407">
        <f t="shared" si="11"/>
        <v>-564.26315789468936</v>
      </c>
      <c r="K12" s="408">
        <f>SUM(K2:K11)</f>
        <v>7891358</v>
      </c>
      <c r="L12" s="408">
        <f>SUM(L2:L11)</f>
        <v>4618692</v>
      </c>
      <c r="M12" s="408">
        <f>SUM(M2:M11)</f>
        <v>2626890</v>
      </c>
      <c r="N12" s="408">
        <f>SUM(N2:N11)</f>
        <v>15136940</v>
      </c>
      <c r="O12" s="418">
        <f>SUM(O2:O10)/9</f>
        <v>9.4277446481901777</v>
      </c>
      <c r="P12" s="418" t="e">
        <f>SUM(P2:P11)/2</f>
        <v>#DIV/0!</v>
      </c>
    </row>
    <row r="13" spans="1:16" ht="15.75" thickTop="1">
      <c r="A13" s="402"/>
    </row>
    <row r="14" spans="1:16">
      <c r="A14" s="934" t="s">
        <v>230</v>
      </c>
      <c r="K14" s="426"/>
      <c r="M14" s="234"/>
    </row>
    <row r="15" spans="1:16" ht="31.15" customHeight="1">
      <c r="A15" s="937" t="s">
        <v>327</v>
      </c>
      <c r="B15" s="410" t="s">
        <v>224</v>
      </c>
      <c r="C15" s="410" t="s">
        <v>227</v>
      </c>
      <c r="D15" s="410" t="s">
        <v>232</v>
      </c>
      <c r="E15" s="410" t="s">
        <v>231</v>
      </c>
      <c r="F15" s="410" t="s">
        <v>228</v>
      </c>
      <c r="M15" s="234"/>
      <c r="N15" s="760"/>
    </row>
    <row r="16" spans="1:16">
      <c r="A16" s="937" t="s">
        <v>225</v>
      </c>
      <c r="B16" s="1058">
        <f t="shared" ref="B16:C19" si="12">B2</f>
        <v>48426</v>
      </c>
      <c r="C16" s="1058">
        <f t="shared" si="12"/>
        <v>9560</v>
      </c>
      <c r="D16" s="410">
        <v>14</v>
      </c>
      <c r="E16" s="1058">
        <f t="shared" ref="E16:E25" si="13">E2</f>
        <v>12061</v>
      </c>
      <c r="F16" s="1235">
        <f>SUM(B16:E16)</f>
        <v>70061</v>
      </c>
      <c r="G16" s="934" t="s">
        <v>765</v>
      </c>
      <c r="K16" s="934">
        <f>120000*3.5</f>
        <v>420000</v>
      </c>
      <c r="L16" s="934">
        <f>75000*3.5</f>
        <v>262500</v>
      </c>
      <c r="M16" s="234"/>
      <c r="N16" s="760"/>
    </row>
    <row r="17" spans="1:17">
      <c r="A17" s="937" t="s">
        <v>206</v>
      </c>
      <c r="B17" s="1058">
        <f t="shared" si="12"/>
        <v>143538</v>
      </c>
      <c r="C17" s="1058">
        <f t="shared" si="12"/>
        <v>50940</v>
      </c>
      <c r="D17" s="410">
        <v>126</v>
      </c>
      <c r="E17" s="1058">
        <f t="shared" si="13"/>
        <v>28083</v>
      </c>
      <c r="F17" s="1235">
        <f t="shared" ref="F17:F25" si="14">SUM(B17:E17)</f>
        <v>222687</v>
      </c>
      <c r="G17" s="934" t="s">
        <v>764</v>
      </c>
      <c r="M17" s="234"/>
      <c r="N17" s="760"/>
    </row>
    <row r="18" spans="1:17">
      <c r="A18" s="937" t="s">
        <v>207</v>
      </c>
      <c r="B18" s="1058">
        <f t="shared" si="12"/>
        <v>121479</v>
      </c>
      <c r="C18" s="1058">
        <f t="shared" si="12"/>
        <v>52837</v>
      </c>
      <c r="D18" s="410">
        <v>193</v>
      </c>
      <c r="E18" s="1058">
        <f t="shared" si="13"/>
        <v>34529</v>
      </c>
      <c r="F18" s="1235">
        <f t="shared" si="14"/>
        <v>209038</v>
      </c>
      <c r="G18" s="934" t="s">
        <v>795</v>
      </c>
    </row>
    <row r="19" spans="1:17">
      <c r="A19" s="937" t="s">
        <v>208</v>
      </c>
      <c r="B19" s="1061">
        <f t="shared" si="12"/>
        <v>42896</v>
      </c>
      <c r="C19" s="1061">
        <f t="shared" si="12"/>
        <v>18208</v>
      </c>
      <c r="D19" s="756">
        <v>100</v>
      </c>
      <c r="E19" s="1058">
        <f t="shared" si="13"/>
        <v>5520</v>
      </c>
      <c r="F19" s="1235">
        <f t="shared" si="14"/>
        <v>66724</v>
      </c>
      <c r="G19" s="1057" t="s">
        <v>824</v>
      </c>
      <c r="H19" s="1057"/>
    </row>
    <row r="20" spans="1:17">
      <c r="A20" s="937" t="s">
        <v>209</v>
      </c>
      <c r="B20" s="1061">
        <f t="shared" ref="B20:C22" si="15">B6</f>
        <v>79269.473684210519</v>
      </c>
      <c r="C20" s="1061">
        <f t="shared" si="15"/>
        <v>57585</v>
      </c>
      <c r="D20" s="756">
        <v>50</v>
      </c>
      <c r="E20" s="1058">
        <f t="shared" si="13"/>
        <v>26010</v>
      </c>
      <c r="F20" s="1235">
        <f t="shared" si="14"/>
        <v>162914.4736842105</v>
      </c>
      <c r="G20" s="1057" t="s">
        <v>833</v>
      </c>
      <c r="H20" s="1057"/>
    </row>
    <row r="21" spans="1:17">
      <c r="A21" s="937" t="s">
        <v>287</v>
      </c>
      <c r="B21" s="1061">
        <f t="shared" si="15"/>
        <v>106230.84210526316</v>
      </c>
      <c r="C21" s="1061">
        <f t="shared" si="15"/>
        <v>73335</v>
      </c>
      <c r="D21" s="756">
        <v>96</v>
      </c>
      <c r="E21" s="1058">
        <f t="shared" si="13"/>
        <v>34958</v>
      </c>
      <c r="F21" s="1235">
        <f t="shared" si="14"/>
        <v>214619.84210526315</v>
      </c>
      <c r="G21" s="1057" t="s">
        <v>857</v>
      </c>
      <c r="H21" s="1057"/>
    </row>
    <row r="22" spans="1:17">
      <c r="A22" s="937" t="s">
        <v>210</v>
      </c>
      <c r="B22" s="1061">
        <f t="shared" si="15"/>
        <v>107681.47368421052</v>
      </c>
      <c r="C22" s="1061">
        <f t="shared" si="15"/>
        <v>66758</v>
      </c>
      <c r="D22" s="756">
        <v>296</v>
      </c>
      <c r="E22" s="1058">
        <f t="shared" si="13"/>
        <v>32767</v>
      </c>
      <c r="F22" s="1235">
        <f t="shared" si="14"/>
        <v>207502.4736842105</v>
      </c>
      <c r="G22" s="1057" t="s">
        <v>884</v>
      </c>
    </row>
    <row r="23" spans="1:17">
      <c r="A23" s="937" t="s">
        <v>211</v>
      </c>
      <c r="B23" s="1061">
        <f>B9</f>
        <v>97359.368421052626</v>
      </c>
      <c r="C23" s="1061">
        <f>C9</f>
        <v>82621</v>
      </c>
      <c r="D23" s="756">
        <v>226</v>
      </c>
      <c r="E23" s="1058">
        <f t="shared" si="13"/>
        <v>39442</v>
      </c>
      <c r="F23" s="1235">
        <f t="shared" si="14"/>
        <v>219648.36842105264</v>
      </c>
      <c r="G23" s="1057" t="s">
        <v>909</v>
      </c>
      <c r="L23" s="426"/>
      <c r="P23" s="502"/>
    </row>
    <row r="24" spans="1:17">
      <c r="A24" s="937" t="s">
        <v>212</v>
      </c>
      <c r="B24" s="1061">
        <f>B10</f>
        <v>83789.105263157893</v>
      </c>
      <c r="C24" s="1061">
        <f>C10</f>
        <v>101344</v>
      </c>
      <c r="D24" s="756">
        <v>458</v>
      </c>
      <c r="E24" s="1058">
        <f t="shared" si="13"/>
        <v>49319</v>
      </c>
      <c r="F24" s="1235">
        <f t="shared" si="14"/>
        <v>234910.10526315789</v>
      </c>
      <c r="G24" s="1057" t="s">
        <v>956</v>
      </c>
      <c r="P24" s="502"/>
    </row>
    <row r="25" spans="1:17">
      <c r="A25" s="986" t="s">
        <v>213</v>
      </c>
      <c r="B25" s="1061"/>
      <c r="C25" s="1061"/>
      <c r="D25" s="756"/>
      <c r="E25" s="1058">
        <f t="shared" si="13"/>
        <v>0</v>
      </c>
      <c r="F25" s="1235">
        <f t="shared" si="14"/>
        <v>0</v>
      </c>
    </row>
    <row r="26" spans="1:17" ht="15.75" thickBot="1">
      <c r="A26" s="524" t="s">
        <v>132</v>
      </c>
      <c r="B26" s="407">
        <f>SUM(B18:B25)</f>
        <v>638705.2631578946</v>
      </c>
      <c r="C26" s="407">
        <f>SUM(C18:C25)</f>
        <v>452688</v>
      </c>
      <c r="D26" s="407">
        <f>SUM(D18:D25)</f>
        <v>1419</v>
      </c>
      <c r="E26" s="407">
        <f>SUM(E18:E25)</f>
        <v>222545</v>
      </c>
      <c r="F26" s="407">
        <f>SUM(F16:F25)</f>
        <v>1608105.2631578948</v>
      </c>
    </row>
    <row r="28" spans="1:17" ht="30">
      <c r="A28" s="756" t="s">
        <v>222</v>
      </c>
      <c r="B28" s="417" t="s">
        <v>224</v>
      </c>
      <c r="C28" s="409" t="s">
        <v>227</v>
      </c>
      <c r="D28" s="417" t="s">
        <v>285</v>
      </c>
      <c r="E28" s="764" t="s">
        <v>231</v>
      </c>
      <c r="F28" s="410" t="s">
        <v>228</v>
      </c>
      <c r="G28" s="410" t="s">
        <v>191</v>
      </c>
      <c r="H28" s="410"/>
      <c r="I28" s="410" t="s">
        <v>229</v>
      </c>
      <c r="J28" s="974"/>
      <c r="K28" s="578" t="s">
        <v>289</v>
      </c>
      <c r="L28" s="410" t="s">
        <v>237</v>
      </c>
      <c r="M28" s="417" t="s">
        <v>286</v>
      </c>
      <c r="N28" s="410" t="s">
        <v>31</v>
      </c>
      <c r="O28" s="409" t="s">
        <v>291</v>
      </c>
      <c r="P28" s="578" t="s">
        <v>292</v>
      </c>
      <c r="Q28" s="937"/>
    </row>
    <row r="29" spans="1:17">
      <c r="A29" s="403" t="s">
        <v>225</v>
      </c>
      <c r="B29" s="404">
        <v>24616</v>
      </c>
      <c r="C29" s="404">
        <v>2267</v>
      </c>
      <c r="D29" s="404">
        <v>583</v>
      </c>
      <c r="E29" s="404">
        <v>0</v>
      </c>
      <c r="F29" s="404">
        <f>B29+C29+D29+E29</f>
        <v>27466</v>
      </c>
      <c r="G29" s="404">
        <f>27239+E29</f>
        <v>27239</v>
      </c>
      <c r="H29" s="404"/>
      <c r="I29" s="425">
        <f>G29-F29</f>
        <v>-227</v>
      </c>
      <c r="K29" s="954">
        <f>B29*10</f>
        <v>246160</v>
      </c>
      <c r="L29" s="954">
        <v>20403</v>
      </c>
      <c r="M29" s="954">
        <v>0</v>
      </c>
      <c r="N29" s="954">
        <f t="shared" ref="N29:N38" si="16">K29+L29+M29</f>
        <v>266563</v>
      </c>
      <c r="O29" s="405">
        <f>N29/(F29-D29)</f>
        <v>9.9156716140311723</v>
      </c>
      <c r="P29" s="759"/>
      <c r="Q29" s="761" t="s">
        <v>290</v>
      </c>
    </row>
    <row r="30" spans="1:17">
      <c r="A30" s="403" t="s">
        <v>206</v>
      </c>
      <c r="B30" s="404">
        <v>60951</v>
      </c>
      <c r="C30" s="404">
        <v>15330</v>
      </c>
      <c r="D30" s="404">
        <v>2231</v>
      </c>
      <c r="E30" s="404">
        <v>6980</v>
      </c>
      <c r="F30" s="404">
        <f t="shared" ref="F30:F38" si="17">B30+C30+D30+E30</f>
        <v>85492</v>
      </c>
      <c r="G30" s="404">
        <f>79589+E30</f>
        <v>86569</v>
      </c>
      <c r="H30" s="404"/>
      <c r="I30" s="425">
        <f t="shared" ref="I30:I38" si="18">G30-F30</f>
        <v>1077</v>
      </c>
      <c r="K30" s="954">
        <v>609510</v>
      </c>
      <c r="L30" s="954">
        <v>137970</v>
      </c>
      <c r="M30" s="954">
        <f>E30*10</f>
        <v>69800</v>
      </c>
      <c r="N30" s="954">
        <f t="shared" si="16"/>
        <v>817280</v>
      </c>
      <c r="O30" s="405">
        <f t="shared" ref="O30:O35" si="19">N30/(F30-D30)</f>
        <v>9.8158801839997114</v>
      </c>
      <c r="P30" s="759"/>
      <c r="Q30" s="761" t="s">
        <v>290</v>
      </c>
    </row>
    <row r="31" spans="1:17">
      <c r="A31" s="403" t="s">
        <v>207</v>
      </c>
      <c r="B31" s="404">
        <v>69661</v>
      </c>
      <c r="C31" s="404">
        <v>19347</v>
      </c>
      <c r="D31" s="404">
        <v>2389</v>
      </c>
      <c r="E31" s="404">
        <v>10498</v>
      </c>
      <c r="F31" s="404">
        <f t="shared" si="17"/>
        <v>101895</v>
      </c>
      <c r="G31" s="404">
        <f>93850+E31</f>
        <v>104348</v>
      </c>
      <c r="H31" s="404"/>
      <c r="I31" s="425">
        <f t="shared" si="18"/>
        <v>2453</v>
      </c>
      <c r="K31" s="954">
        <v>696610</v>
      </c>
      <c r="L31" s="954">
        <v>174123</v>
      </c>
      <c r="M31" s="954">
        <f>E31*10</f>
        <v>104980</v>
      </c>
      <c r="N31" s="954">
        <f t="shared" si="16"/>
        <v>975713</v>
      </c>
      <c r="O31" s="405">
        <f t="shared" si="19"/>
        <v>9.8055695133961773</v>
      </c>
      <c r="P31" s="759"/>
      <c r="Q31" s="761" t="s">
        <v>290</v>
      </c>
    </row>
    <row r="32" spans="1:17">
      <c r="A32" s="403" t="s">
        <v>208</v>
      </c>
      <c r="B32" s="404">
        <v>29992</v>
      </c>
      <c r="C32" s="404">
        <v>12424</v>
      </c>
      <c r="D32" s="404">
        <v>1956</v>
      </c>
      <c r="E32" s="404">
        <v>0</v>
      </c>
      <c r="F32" s="404">
        <f t="shared" si="17"/>
        <v>44372</v>
      </c>
      <c r="G32" s="404">
        <f>48426+E32</f>
        <v>48426</v>
      </c>
      <c r="H32" s="404"/>
      <c r="I32" s="425">
        <f t="shared" si="18"/>
        <v>4054</v>
      </c>
      <c r="K32" s="954">
        <v>299920</v>
      </c>
      <c r="L32" s="954">
        <v>111816</v>
      </c>
      <c r="M32" s="954">
        <v>0</v>
      </c>
      <c r="N32" s="954">
        <f t="shared" si="16"/>
        <v>411736</v>
      </c>
      <c r="O32" s="405">
        <f t="shared" si="19"/>
        <v>9.7070916635231992</v>
      </c>
      <c r="P32" s="759"/>
      <c r="Q32" s="761" t="s">
        <v>290</v>
      </c>
    </row>
    <row r="33" spans="1:17">
      <c r="A33" s="403" t="s">
        <v>209</v>
      </c>
      <c r="B33" s="404">
        <v>30199</v>
      </c>
      <c r="C33" s="404">
        <v>5619</v>
      </c>
      <c r="D33" s="404">
        <v>210</v>
      </c>
      <c r="E33" s="404">
        <v>8534</v>
      </c>
      <c r="F33" s="404">
        <f t="shared" si="17"/>
        <v>44562</v>
      </c>
      <c r="G33" s="404">
        <f>37772+E33</f>
        <v>46306</v>
      </c>
      <c r="H33" s="404"/>
      <c r="I33" s="425">
        <f t="shared" si="18"/>
        <v>1744</v>
      </c>
      <c r="K33" s="954">
        <v>301990</v>
      </c>
      <c r="L33" s="954">
        <v>50571</v>
      </c>
      <c r="M33" s="954">
        <f>E33*10</f>
        <v>85340</v>
      </c>
      <c r="N33" s="954">
        <f t="shared" si="16"/>
        <v>437901</v>
      </c>
      <c r="O33" s="405">
        <f t="shared" si="19"/>
        <v>9.8733089826839819</v>
      </c>
      <c r="P33" s="759"/>
      <c r="Q33" s="761" t="s">
        <v>290</v>
      </c>
    </row>
    <row r="34" spans="1:17">
      <c r="A34" s="403" t="s">
        <v>287</v>
      </c>
      <c r="B34" s="404">
        <v>77737</v>
      </c>
      <c r="C34" s="404">
        <v>29712</v>
      </c>
      <c r="D34" s="404">
        <v>555</v>
      </c>
      <c r="E34" s="404">
        <v>15057</v>
      </c>
      <c r="F34" s="404">
        <f t="shared" si="17"/>
        <v>123061</v>
      </c>
      <c r="G34" s="404">
        <f>109014+E34</f>
        <v>124071</v>
      </c>
      <c r="H34" s="404"/>
      <c r="I34" s="425">
        <f t="shared" si="18"/>
        <v>1010</v>
      </c>
      <c r="K34" s="954">
        <v>777370</v>
      </c>
      <c r="L34" s="954">
        <v>267408</v>
      </c>
      <c r="M34" s="954">
        <v>150570</v>
      </c>
      <c r="N34" s="954">
        <f t="shared" si="16"/>
        <v>1195348</v>
      </c>
      <c r="O34" s="405">
        <f t="shared" si="19"/>
        <v>9.7574649404927101</v>
      </c>
      <c r="P34" s="759"/>
      <c r="Q34" s="761" t="s">
        <v>290</v>
      </c>
    </row>
    <row r="35" spans="1:17">
      <c r="A35" s="403" t="s">
        <v>210</v>
      </c>
      <c r="B35" s="404">
        <v>68859</v>
      </c>
      <c r="C35" s="404">
        <v>40085</v>
      </c>
      <c r="D35" s="404">
        <v>790</v>
      </c>
      <c r="E35" s="404">
        <v>17430</v>
      </c>
      <c r="F35" s="404">
        <f t="shared" si="17"/>
        <v>127164</v>
      </c>
      <c r="G35" s="404">
        <f>112436+E35</f>
        <v>129866</v>
      </c>
      <c r="H35" s="404"/>
      <c r="I35" s="425">
        <f t="shared" si="18"/>
        <v>2702</v>
      </c>
      <c r="K35" s="954">
        <v>683976</v>
      </c>
      <c r="L35" s="954">
        <v>360765</v>
      </c>
      <c r="M35" s="954">
        <v>174300</v>
      </c>
      <c r="N35" s="954">
        <f t="shared" si="16"/>
        <v>1219041</v>
      </c>
      <c r="O35" s="405">
        <f t="shared" si="19"/>
        <v>9.6462959152990333</v>
      </c>
      <c r="P35" s="405">
        <v>9.2200000000000006</v>
      </c>
      <c r="Q35" s="763" t="s">
        <v>293</v>
      </c>
    </row>
    <row r="36" spans="1:17">
      <c r="A36" s="403" t="s">
        <v>211</v>
      </c>
      <c r="B36" s="404">
        <v>72670</v>
      </c>
      <c r="C36" s="404">
        <v>79862</v>
      </c>
      <c r="D36" s="404">
        <v>1887</v>
      </c>
      <c r="E36" s="404">
        <v>19616</v>
      </c>
      <c r="F36" s="404">
        <f t="shared" si="17"/>
        <v>174035</v>
      </c>
      <c r="G36" s="404">
        <f>155480+E36</f>
        <v>175096</v>
      </c>
      <c r="H36" s="404"/>
      <c r="I36" s="425">
        <f t="shared" si="18"/>
        <v>1061</v>
      </c>
      <c r="K36" s="954">
        <v>690365</v>
      </c>
      <c r="L36" s="954">
        <v>718758</v>
      </c>
      <c r="M36" s="954">
        <v>196160</v>
      </c>
      <c r="N36" s="954">
        <f t="shared" si="16"/>
        <v>1605283</v>
      </c>
      <c r="O36" s="759"/>
      <c r="P36" s="405">
        <f>N36/(F36-D36)</f>
        <v>9.3250168459697473</v>
      </c>
      <c r="Q36" s="761" t="s">
        <v>288</v>
      </c>
    </row>
    <row r="37" spans="1:17">
      <c r="A37" s="403" t="s">
        <v>212</v>
      </c>
      <c r="B37" s="404">
        <v>60037</v>
      </c>
      <c r="C37" s="404">
        <v>76553</v>
      </c>
      <c r="D37" s="404">
        <v>2281</v>
      </c>
      <c r="E37" s="404">
        <f>M37/10</f>
        <v>18747</v>
      </c>
      <c r="F37" s="404">
        <f t="shared" si="17"/>
        <v>157618</v>
      </c>
      <c r="G37" s="404">
        <f>149142+E37</f>
        <v>167889</v>
      </c>
      <c r="H37" s="404"/>
      <c r="I37" s="425">
        <f t="shared" si="18"/>
        <v>10271</v>
      </c>
      <c r="K37" s="954">
        <v>570352</v>
      </c>
      <c r="L37" s="954">
        <v>688977</v>
      </c>
      <c r="M37" s="954">
        <v>187470</v>
      </c>
      <c r="N37" s="954">
        <f t="shared" si="16"/>
        <v>1446799</v>
      </c>
      <c r="O37" s="759"/>
      <c r="P37" s="405">
        <f>N37/(F37-D37)</f>
        <v>9.3139367954833681</v>
      </c>
      <c r="Q37" s="761" t="s">
        <v>288</v>
      </c>
    </row>
    <row r="38" spans="1:17">
      <c r="A38" s="403" t="s">
        <v>213</v>
      </c>
      <c r="B38" s="404">
        <v>21097</v>
      </c>
      <c r="C38" s="404">
        <v>23835</v>
      </c>
      <c r="D38" s="404">
        <v>1383</v>
      </c>
      <c r="E38" s="404">
        <v>5986</v>
      </c>
      <c r="F38" s="404">
        <f t="shared" si="17"/>
        <v>52301</v>
      </c>
      <c r="G38" s="404">
        <v>51177</v>
      </c>
      <c r="H38" s="404"/>
      <c r="I38" s="425">
        <f t="shared" si="18"/>
        <v>-1124</v>
      </c>
      <c r="K38" s="954">
        <v>200422</v>
      </c>
      <c r="L38" s="954">
        <v>214515</v>
      </c>
      <c r="M38" s="954">
        <v>59860</v>
      </c>
      <c r="N38" s="954">
        <f t="shared" si="16"/>
        <v>474797</v>
      </c>
      <c r="O38" s="759"/>
      <c r="P38" s="405">
        <f>N38/(F38-D38)</f>
        <v>9.3247378137397376</v>
      </c>
      <c r="Q38" s="761" t="s">
        <v>288</v>
      </c>
    </row>
    <row r="39" spans="1:17" ht="15.75" thickBot="1">
      <c r="A39" s="406" t="s">
        <v>132</v>
      </c>
      <c r="B39" s="407">
        <f>SUM(B29:B38)</f>
        <v>515819</v>
      </c>
      <c r="C39" s="407">
        <f t="shared" ref="C39:I39" si="20">SUM(C29:C38)</f>
        <v>305034</v>
      </c>
      <c r="D39" s="407">
        <f t="shared" si="20"/>
        <v>14265</v>
      </c>
      <c r="E39" s="407">
        <f t="shared" si="20"/>
        <v>102848</v>
      </c>
      <c r="F39" s="407">
        <f t="shared" si="20"/>
        <v>937966</v>
      </c>
      <c r="G39" s="407">
        <f t="shared" si="20"/>
        <v>960987</v>
      </c>
      <c r="H39" s="407"/>
      <c r="I39" s="407">
        <f t="shared" si="20"/>
        <v>23021</v>
      </c>
      <c r="K39" s="408">
        <f>SUM(K29:K38)</f>
        <v>5076675</v>
      </c>
      <c r="L39" s="408">
        <f t="shared" ref="L39:N39" si="21">SUM(L29:L38)</f>
        <v>2745306</v>
      </c>
      <c r="M39" s="408">
        <f t="shared" si="21"/>
        <v>1028480</v>
      </c>
      <c r="N39" s="408">
        <f t="shared" si="21"/>
        <v>8850461</v>
      </c>
      <c r="O39" s="418">
        <f>SUM(O29:O36)/7</f>
        <v>9.7887546876322826</v>
      </c>
      <c r="P39" s="886">
        <f>SUM(P35:P38)/4</f>
        <v>9.2959228637982143</v>
      </c>
    </row>
    <row r="40" spans="1:17" ht="15.75" thickTop="1"/>
  </sheetData>
  <pageMargins left="0.7" right="0.7" top="0.75" bottom="0.75" header="0.3" footer="0.3"/>
  <pageSetup paperSize="17" scale="115" fitToWidth="0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86446-7501-49D0-B9B4-59B2C3A5D92B}">
  <sheetPr codeName="Sheet156"/>
  <dimension ref="A1:O35"/>
  <sheetViews>
    <sheetView workbookViewId="0"/>
  </sheetViews>
  <sheetFormatPr defaultRowHeight="15"/>
  <cols>
    <col min="1" max="3" width="9.28515625" customWidth="1"/>
    <col min="4" max="4" width="11.42578125" customWidth="1"/>
    <col min="5" max="5" width="11" style="510" customWidth="1"/>
    <col min="6" max="6" width="12.140625" customWidth="1"/>
    <col min="7" max="7" width="10.140625" style="326" customWidth="1"/>
    <col min="8" max="8" width="10.85546875" style="326" customWidth="1"/>
    <col min="9" max="9" width="3.28515625" customWidth="1"/>
    <col min="10" max="10" width="11.7109375" customWidth="1"/>
    <col min="11" max="12" width="11.7109375" style="326" customWidth="1"/>
    <col min="13" max="13" width="12.5703125" style="326" customWidth="1"/>
    <col min="14" max="14" width="11.7109375" customWidth="1"/>
    <col min="15" max="15" width="10.85546875" customWidth="1"/>
  </cols>
  <sheetData>
    <row r="1" spans="1:15" ht="32.450000000000003" customHeight="1">
      <c r="A1" s="350">
        <v>2022</v>
      </c>
      <c r="B1" s="409" t="s">
        <v>224</v>
      </c>
      <c r="C1" s="409" t="s">
        <v>227</v>
      </c>
      <c r="D1" s="417" t="s">
        <v>241</v>
      </c>
      <c r="E1" s="417" t="s">
        <v>268</v>
      </c>
      <c r="F1" s="410" t="s">
        <v>228</v>
      </c>
      <c r="G1" s="410" t="s">
        <v>191</v>
      </c>
      <c r="H1" s="410" t="s">
        <v>229</v>
      </c>
      <c r="I1" s="327"/>
      <c r="J1" s="578" t="s">
        <v>294</v>
      </c>
      <c r="K1" s="410" t="s">
        <v>237</v>
      </c>
      <c r="L1" s="417" t="s">
        <v>286</v>
      </c>
      <c r="M1" s="410" t="s">
        <v>31</v>
      </c>
      <c r="N1" s="410" t="s">
        <v>226</v>
      </c>
      <c r="O1" s="578" t="s">
        <v>269</v>
      </c>
    </row>
    <row r="2" spans="1:15">
      <c r="A2" s="403" t="s">
        <v>249</v>
      </c>
      <c r="B2" s="404">
        <v>59629</v>
      </c>
      <c r="C2" s="526"/>
      <c r="D2" s="526"/>
      <c r="E2" s="526"/>
      <c r="F2" s="404">
        <f>SUM(B2:E2)</f>
        <v>59629</v>
      </c>
      <c r="G2" s="404">
        <v>89276</v>
      </c>
      <c r="H2" s="425">
        <f>G2-F2</f>
        <v>29647</v>
      </c>
      <c r="J2" s="363">
        <f>B2*10</f>
        <v>596290</v>
      </c>
      <c r="K2" s="527"/>
      <c r="L2" s="527"/>
      <c r="M2" s="363">
        <f>SUM(J2:L2)</f>
        <v>596290</v>
      </c>
      <c r="N2" s="405">
        <v>0</v>
      </c>
      <c r="O2" s="405">
        <v>0</v>
      </c>
    </row>
    <row r="3" spans="1:15" s="516" customFormat="1">
      <c r="A3" s="403" t="s">
        <v>210</v>
      </c>
      <c r="B3" s="404">
        <f>'UCLA Master Vendor March 2022'!BQ50/9.5</f>
        <v>9230.0526315789466</v>
      </c>
      <c r="C3" s="404">
        <v>40085</v>
      </c>
      <c r="D3" s="404">
        <f>3204+3679+6106+4441</f>
        <v>17430</v>
      </c>
      <c r="E3" s="404">
        <v>790</v>
      </c>
      <c r="F3" s="404">
        <f>SUM(B3:E3)</f>
        <v>67535.052631578947</v>
      </c>
      <c r="G3" s="404">
        <f>21596+D3</f>
        <v>39026</v>
      </c>
      <c r="H3" s="425">
        <f>G3-F3</f>
        <v>-28509.052631578947</v>
      </c>
      <c r="J3" s="519">
        <f>B3*9.5</f>
        <v>87685.5</v>
      </c>
      <c r="K3" s="519">
        <f>C3*9</f>
        <v>360765</v>
      </c>
      <c r="L3" s="519">
        <f>D3*10</f>
        <v>174300</v>
      </c>
      <c r="M3" s="519">
        <f>SUM(J3:L3)</f>
        <v>622750.5</v>
      </c>
      <c r="N3" s="405">
        <f>SUM(M2+M3)/(F2+F3)</f>
        <v>9.586360884013482</v>
      </c>
      <c r="O3" s="405">
        <f>M3/(F3)</f>
        <v>9.2211448090114612</v>
      </c>
    </row>
    <row r="4" spans="1:15">
      <c r="A4" s="403" t="s">
        <v>211</v>
      </c>
      <c r="B4" s="404">
        <f>J4/9.5</f>
        <v>72670</v>
      </c>
      <c r="C4" s="404">
        <f>K4/9</f>
        <v>79862</v>
      </c>
      <c r="D4" s="404">
        <f>3710+4754+4824+6328</f>
        <v>19616</v>
      </c>
      <c r="E4" s="404">
        <v>1887</v>
      </c>
      <c r="F4" s="404">
        <f>SUM(B4:E4)</f>
        <v>174035</v>
      </c>
      <c r="G4" s="404">
        <f>155480+D4</f>
        <v>175096</v>
      </c>
      <c r="H4" s="425">
        <f t="shared" ref="H4:H13" si="0">G4-F4</f>
        <v>1061</v>
      </c>
      <c r="J4" s="363">
        <f>'UCLA Master Vendor April 2022'!BX51</f>
        <v>690365</v>
      </c>
      <c r="K4" s="363">
        <v>718758</v>
      </c>
      <c r="L4" s="363">
        <f>37100+47540+48240+63280</f>
        <v>196160</v>
      </c>
      <c r="M4" s="678">
        <f>SUM(J4:L4)</f>
        <v>1605283</v>
      </c>
      <c r="N4" s="759"/>
      <c r="O4" s="405">
        <f>M4/(F4)</f>
        <v>9.2239089838250923</v>
      </c>
    </row>
    <row r="5" spans="1:15">
      <c r="A5" s="403" t="s">
        <v>212</v>
      </c>
      <c r="B5" s="404">
        <f>J5/9.5</f>
        <v>60037</v>
      </c>
      <c r="C5" s="404">
        <f>K5/9</f>
        <v>76553</v>
      </c>
      <c r="D5" s="404">
        <f>L5/10</f>
        <v>18747</v>
      </c>
      <c r="E5" s="404">
        <v>2281</v>
      </c>
      <c r="F5" s="404">
        <f>SUM(B5:E5)</f>
        <v>157618</v>
      </c>
      <c r="G5" s="404">
        <f>149142+D5</f>
        <v>167889</v>
      </c>
      <c r="H5" s="425">
        <f t="shared" si="0"/>
        <v>10271</v>
      </c>
      <c r="J5" s="363">
        <f>'UCLA Master Vendor May 2022'!AN51</f>
        <v>570351.5</v>
      </c>
      <c r="K5" s="363">
        <v>688977</v>
      </c>
      <c r="L5" s="363">
        <f>39200+54180+42970+51120</f>
        <v>187470</v>
      </c>
      <c r="M5" s="849">
        <f t="shared" ref="M5:M6" si="1">SUM(J5:L5)</f>
        <v>1446798.5</v>
      </c>
      <c r="N5" s="759"/>
      <c r="O5" s="405">
        <f>M5/(F5)</f>
        <v>9.1791451483967563</v>
      </c>
    </row>
    <row r="6" spans="1:15" s="516" customFormat="1">
      <c r="A6" s="403" t="s">
        <v>213</v>
      </c>
      <c r="B6" s="404">
        <f>J6/9.5</f>
        <v>21097.052631578947</v>
      </c>
      <c r="C6" s="404">
        <v>23835</v>
      </c>
      <c r="D6" s="404">
        <f>2388+3598</f>
        <v>5986</v>
      </c>
      <c r="E6" s="404">
        <v>1383</v>
      </c>
      <c r="F6" s="404">
        <f>SUM(B6:E6)</f>
        <v>52301.052631578947</v>
      </c>
      <c r="G6" s="404">
        <f>7531+6723+5935+2137+3017+5825+5767+4961+2094+1201+D6</f>
        <v>51177</v>
      </c>
      <c r="H6" s="425">
        <f t="shared" si="0"/>
        <v>-1124.0526315789466</v>
      </c>
      <c r="J6" s="519">
        <v>200422</v>
      </c>
      <c r="K6" s="519">
        <f>C6*9</f>
        <v>214515</v>
      </c>
      <c r="L6" s="519">
        <f>23880+35980</f>
        <v>59860</v>
      </c>
      <c r="M6" s="849">
        <f t="shared" si="1"/>
        <v>474797</v>
      </c>
      <c r="N6" s="759"/>
      <c r="O6" s="405">
        <f>M6/(F6)</f>
        <v>9.0781538059010582</v>
      </c>
    </row>
    <row r="7" spans="1:15" s="516" customFormat="1" hidden="1">
      <c r="A7" s="403" t="s">
        <v>247</v>
      </c>
      <c r="B7" s="404"/>
      <c r="C7" s="404"/>
      <c r="D7" s="404"/>
      <c r="E7" s="404"/>
      <c r="F7" s="404">
        <f t="shared" ref="F7:F13" si="2">SUM(B7:E7)-E7</f>
        <v>0</v>
      </c>
      <c r="G7" s="404"/>
      <c r="H7" s="425">
        <f t="shared" si="0"/>
        <v>0</v>
      </c>
      <c r="J7" s="519"/>
      <c r="K7" s="519"/>
      <c r="L7" s="519"/>
      <c r="M7" s="519"/>
      <c r="N7" s="405"/>
      <c r="O7" s="405"/>
    </row>
    <row r="8" spans="1:15" s="516" customFormat="1" hidden="1">
      <c r="A8" s="403" t="s">
        <v>248</v>
      </c>
      <c r="B8" s="404"/>
      <c r="C8" s="404"/>
      <c r="D8" s="404"/>
      <c r="E8" s="404"/>
      <c r="F8" s="404">
        <f t="shared" si="2"/>
        <v>0</v>
      </c>
      <c r="G8" s="404"/>
      <c r="H8" s="425">
        <f t="shared" si="0"/>
        <v>0</v>
      </c>
      <c r="J8" s="519"/>
      <c r="K8" s="519"/>
      <c r="L8" s="519"/>
      <c r="M8" s="519"/>
      <c r="N8" s="405"/>
      <c r="O8" s="405"/>
    </row>
    <row r="9" spans="1:15" s="516" customFormat="1" hidden="1">
      <c r="A9" s="403" t="s">
        <v>225</v>
      </c>
      <c r="B9" s="404"/>
      <c r="C9" s="404"/>
      <c r="D9" s="404"/>
      <c r="E9" s="404"/>
      <c r="F9" s="404">
        <f t="shared" si="2"/>
        <v>0</v>
      </c>
      <c r="G9" s="404"/>
      <c r="H9" s="425">
        <f t="shared" si="0"/>
        <v>0</v>
      </c>
      <c r="J9" s="519"/>
      <c r="K9" s="519"/>
      <c r="L9" s="519"/>
      <c r="M9" s="519"/>
      <c r="N9" s="405"/>
      <c r="O9" s="405"/>
    </row>
    <row r="10" spans="1:15" s="516" customFormat="1" hidden="1">
      <c r="A10" s="403" t="s">
        <v>206</v>
      </c>
      <c r="B10" s="404"/>
      <c r="C10" s="404"/>
      <c r="D10" s="404"/>
      <c r="E10" s="404"/>
      <c r="F10" s="404">
        <f t="shared" si="2"/>
        <v>0</v>
      </c>
      <c r="G10" s="404"/>
      <c r="H10" s="425">
        <f t="shared" si="0"/>
        <v>0</v>
      </c>
      <c r="J10" s="519"/>
      <c r="K10" s="519"/>
      <c r="L10" s="519"/>
      <c r="M10" s="519"/>
      <c r="N10" s="405"/>
      <c r="O10" s="405"/>
    </row>
    <row r="11" spans="1:15" s="516" customFormat="1" hidden="1">
      <c r="A11" s="403" t="s">
        <v>207</v>
      </c>
      <c r="B11" s="404"/>
      <c r="C11" s="404"/>
      <c r="D11" s="404"/>
      <c r="E11" s="404"/>
      <c r="F11" s="404">
        <f t="shared" si="2"/>
        <v>0</v>
      </c>
      <c r="G11" s="404"/>
      <c r="H11" s="425">
        <f t="shared" si="0"/>
        <v>0</v>
      </c>
      <c r="J11" s="519"/>
      <c r="K11" s="519"/>
      <c r="L11" s="519"/>
      <c r="M11" s="519"/>
      <c r="N11" s="405"/>
      <c r="O11" s="405"/>
    </row>
    <row r="12" spans="1:15" s="516" customFormat="1" hidden="1">
      <c r="A12" s="403" t="s">
        <v>208</v>
      </c>
      <c r="B12" s="404"/>
      <c r="C12" s="404"/>
      <c r="D12" s="404"/>
      <c r="E12" s="404"/>
      <c r="F12" s="404">
        <f t="shared" si="2"/>
        <v>0</v>
      </c>
      <c r="G12" s="404"/>
      <c r="H12" s="425">
        <f t="shared" si="0"/>
        <v>0</v>
      </c>
      <c r="J12" s="519"/>
      <c r="K12" s="519"/>
      <c r="L12" s="519"/>
      <c r="M12" s="519"/>
      <c r="N12" s="405"/>
      <c r="O12" s="405"/>
    </row>
    <row r="13" spans="1:15" hidden="1">
      <c r="A13" s="403" t="s">
        <v>209</v>
      </c>
      <c r="B13" s="404"/>
      <c r="C13" s="404"/>
      <c r="D13" s="404"/>
      <c r="E13" s="404"/>
      <c r="F13" s="404">
        <f t="shared" si="2"/>
        <v>0</v>
      </c>
      <c r="G13" s="404"/>
      <c r="H13" s="425">
        <f t="shared" si="0"/>
        <v>0</v>
      </c>
      <c r="J13" s="363"/>
      <c r="K13" s="363"/>
      <c r="L13" s="363"/>
      <c r="M13" s="363"/>
      <c r="N13" s="405"/>
      <c r="O13" s="405"/>
    </row>
    <row r="14" spans="1:15" ht="15.75" thickBot="1">
      <c r="A14" s="406" t="s">
        <v>132</v>
      </c>
      <c r="B14" s="407">
        <f t="shared" ref="B14:H14" si="3">SUM(B2:B13)</f>
        <v>222663.10526315786</v>
      </c>
      <c r="C14" s="407">
        <f t="shared" si="3"/>
        <v>220335</v>
      </c>
      <c r="D14" s="407">
        <f t="shared" si="3"/>
        <v>61779</v>
      </c>
      <c r="E14" s="407">
        <f t="shared" si="3"/>
        <v>6341</v>
      </c>
      <c r="F14" s="407">
        <f t="shared" si="3"/>
        <v>511118.10526315786</v>
      </c>
      <c r="G14" s="407">
        <f t="shared" si="3"/>
        <v>522464</v>
      </c>
      <c r="H14" s="407">
        <f t="shared" si="3"/>
        <v>11345.894736842107</v>
      </c>
      <c r="J14" s="408">
        <f>SUM(J2:J13)</f>
        <v>2145114</v>
      </c>
      <c r="K14" s="408">
        <f>SUM(K2:K13)</f>
        <v>1983015</v>
      </c>
      <c r="L14" s="408">
        <f>SUM(L2:L13)</f>
        <v>617790</v>
      </c>
      <c r="M14" s="408">
        <f>SUM(M2:M13)</f>
        <v>4745919</v>
      </c>
      <c r="N14" s="418">
        <f>SUM(N2:N13)/1</f>
        <v>9.586360884013482</v>
      </c>
      <c r="O14" s="418">
        <f>SUM(O2:O13)/2</f>
        <v>18.351176373567185</v>
      </c>
    </row>
    <row r="15" spans="1:15" ht="15.75" thickTop="1">
      <c r="A15" s="402"/>
    </row>
    <row r="16" spans="1:15">
      <c r="A16" t="s">
        <v>230</v>
      </c>
      <c r="L16" s="234"/>
    </row>
    <row r="17" spans="1:15" ht="31.15" customHeight="1">
      <c r="A17" s="518" t="s">
        <v>222</v>
      </c>
      <c r="B17" s="410" t="s">
        <v>224</v>
      </c>
      <c r="C17" s="410" t="s">
        <v>227</v>
      </c>
      <c r="D17" s="410" t="s">
        <v>232</v>
      </c>
      <c r="E17" s="410" t="s">
        <v>231</v>
      </c>
      <c r="F17" s="410" t="s">
        <v>228</v>
      </c>
      <c r="H17"/>
      <c r="J17" s="326"/>
      <c r="L17" s="234"/>
      <c r="M17" s="760"/>
    </row>
    <row r="18" spans="1:15" s="934" customFormat="1">
      <c r="A18" s="937" t="s">
        <v>209</v>
      </c>
      <c r="B18" s="410">
        <v>30199</v>
      </c>
      <c r="C18" s="410">
        <v>5619</v>
      </c>
      <c r="D18" s="410">
        <v>0</v>
      </c>
      <c r="E18" s="410">
        <v>8534</v>
      </c>
      <c r="F18" s="410">
        <f>SUM(B18:E18)</f>
        <v>44352</v>
      </c>
      <c r="L18" s="234"/>
      <c r="M18" s="760"/>
    </row>
    <row r="19" spans="1:15" s="934" customFormat="1">
      <c r="A19" s="937" t="s">
        <v>287</v>
      </c>
      <c r="B19" s="410">
        <v>77737</v>
      </c>
      <c r="C19" s="410">
        <v>29712</v>
      </c>
      <c r="D19" s="410">
        <v>0</v>
      </c>
      <c r="E19" s="410">
        <v>15057</v>
      </c>
      <c r="F19" s="410">
        <f>SUM(B19:E19)</f>
        <v>122506</v>
      </c>
      <c r="L19" s="234"/>
      <c r="M19" s="760"/>
    </row>
    <row r="20" spans="1:15">
      <c r="A20" s="518" t="s">
        <v>249</v>
      </c>
      <c r="B20" s="525">
        <f>B2</f>
        <v>59629</v>
      </c>
      <c r="C20" s="526"/>
      <c r="D20" s="526"/>
      <c r="E20" s="526"/>
      <c r="F20" s="518">
        <f t="shared" ref="F20:F30" si="4">SUM(B20:E20)</f>
        <v>59629</v>
      </c>
      <c r="G20" s="516" t="s">
        <v>255</v>
      </c>
      <c r="H20"/>
      <c r="J20" s="326"/>
      <c r="M20"/>
    </row>
    <row r="21" spans="1:15" s="516" customFormat="1">
      <c r="A21" s="518" t="s">
        <v>210</v>
      </c>
      <c r="B21" s="525">
        <f>B3</f>
        <v>9230.0526315789466</v>
      </c>
      <c r="C21" s="525">
        <f>C3</f>
        <v>40085</v>
      </c>
      <c r="D21" s="518">
        <v>625</v>
      </c>
      <c r="E21" s="525">
        <f>D3</f>
        <v>17430</v>
      </c>
      <c r="F21" s="544">
        <f>SUM(B21:E21)+38+F20</f>
        <v>127037.05263157895</v>
      </c>
    </row>
    <row r="22" spans="1:15">
      <c r="A22" s="518" t="s">
        <v>211</v>
      </c>
      <c r="B22" s="525">
        <f>B4</f>
        <v>72670</v>
      </c>
      <c r="C22" s="525">
        <f>C4</f>
        <v>79862</v>
      </c>
      <c r="D22" s="518">
        <v>365</v>
      </c>
      <c r="E22" s="525">
        <f>D4</f>
        <v>19616</v>
      </c>
      <c r="F22" s="518">
        <f t="shared" si="4"/>
        <v>172513</v>
      </c>
      <c r="G22" s="426"/>
      <c r="H22"/>
      <c r="J22" s="326"/>
      <c r="M22"/>
    </row>
    <row r="23" spans="1:15">
      <c r="A23" s="518" t="s">
        <v>212</v>
      </c>
      <c r="B23" s="525">
        <f>B5</f>
        <v>60037</v>
      </c>
      <c r="C23" s="525">
        <f>C5</f>
        <v>76553</v>
      </c>
      <c r="D23" s="518">
        <v>460</v>
      </c>
      <c r="E23" s="525">
        <f>D5</f>
        <v>18747</v>
      </c>
      <c r="F23" s="544">
        <f t="shared" si="4"/>
        <v>155797</v>
      </c>
      <c r="H23"/>
      <c r="I23" s="440"/>
      <c r="J23" s="326"/>
      <c r="M23"/>
    </row>
    <row r="24" spans="1:15">
      <c r="A24" s="518" t="s">
        <v>213</v>
      </c>
      <c r="B24" s="525">
        <f>B6</f>
        <v>21097.052631578947</v>
      </c>
      <c r="C24" s="525">
        <f>C6</f>
        <v>23835</v>
      </c>
      <c r="D24" s="518">
        <v>235</v>
      </c>
      <c r="E24" s="525">
        <f>D6</f>
        <v>5986</v>
      </c>
      <c r="F24" s="544">
        <f t="shared" si="4"/>
        <v>51153.052631578947</v>
      </c>
      <c r="H24"/>
      <c r="J24" s="326"/>
      <c r="M24"/>
    </row>
    <row r="25" spans="1:15">
      <c r="A25" s="518" t="s">
        <v>247</v>
      </c>
      <c r="B25" s="525"/>
      <c r="C25" s="525"/>
      <c r="D25" s="518"/>
      <c r="E25" s="518"/>
      <c r="F25" s="518">
        <f t="shared" si="4"/>
        <v>0</v>
      </c>
      <c r="H25"/>
      <c r="J25" s="326"/>
      <c r="K25" s="426"/>
      <c r="M25"/>
      <c r="O25" s="502"/>
    </row>
    <row r="26" spans="1:15">
      <c r="A26" s="518" t="s">
        <v>248</v>
      </c>
      <c r="B26" s="525"/>
      <c r="C26" s="525"/>
      <c r="D26" s="518"/>
      <c r="E26" s="518"/>
      <c r="F26" s="518">
        <f t="shared" si="4"/>
        <v>0</v>
      </c>
      <c r="H26"/>
      <c r="J26" s="326"/>
      <c r="M26"/>
      <c r="O26" s="502"/>
    </row>
    <row r="27" spans="1:15">
      <c r="A27" s="518" t="s">
        <v>225</v>
      </c>
      <c r="B27" s="525">
        <v>24616</v>
      </c>
      <c r="C27" s="525">
        <v>2267</v>
      </c>
      <c r="D27" s="518">
        <v>0</v>
      </c>
      <c r="E27" s="518">
        <v>0</v>
      </c>
      <c r="F27" s="518">
        <f t="shared" si="4"/>
        <v>26883</v>
      </c>
      <c r="H27"/>
      <c r="J27" s="326"/>
      <c r="M27"/>
    </row>
    <row r="28" spans="1:15">
      <c r="A28" s="518" t="s">
        <v>206</v>
      </c>
      <c r="B28" s="525">
        <v>60951</v>
      </c>
      <c r="C28" s="525">
        <v>15330</v>
      </c>
      <c r="D28" s="518">
        <v>0</v>
      </c>
      <c r="E28" s="518">
        <v>6980</v>
      </c>
      <c r="F28" s="518">
        <f t="shared" si="4"/>
        <v>83261</v>
      </c>
      <c r="H28"/>
      <c r="J28" s="326"/>
      <c r="M28"/>
    </row>
    <row r="29" spans="1:15">
      <c r="A29" s="518" t="s">
        <v>207</v>
      </c>
      <c r="B29" s="525">
        <v>69661</v>
      </c>
      <c r="C29" s="525">
        <v>19347</v>
      </c>
      <c r="D29" s="518">
        <v>359</v>
      </c>
      <c r="E29" s="518">
        <v>10498</v>
      </c>
      <c r="F29" s="518">
        <f t="shared" si="4"/>
        <v>99865</v>
      </c>
      <c r="H29"/>
      <c r="J29" s="326"/>
      <c r="M29"/>
    </row>
    <row r="30" spans="1:15">
      <c r="A30" s="518" t="s">
        <v>208</v>
      </c>
      <c r="B30" s="525">
        <v>29992</v>
      </c>
      <c r="C30" s="525">
        <v>12424</v>
      </c>
      <c r="D30" s="518">
        <v>687</v>
      </c>
      <c r="E30" s="518">
        <v>0</v>
      </c>
      <c r="F30" s="518">
        <f t="shared" si="4"/>
        <v>43103</v>
      </c>
      <c r="H30"/>
      <c r="J30" s="326"/>
      <c r="M30"/>
    </row>
    <row r="31" spans="1:15" ht="15.75" thickBot="1">
      <c r="A31" s="524" t="s">
        <v>132</v>
      </c>
      <c r="B31" s="524">
        <f>SUM(B20:B30)</f>
        <v>407883.10526315786</v>
      </c>
      <c r="C31" s="524">
        <f t="shared" ref="C31:D31" si="5">SUM(C20:C30)</f>
        <v>269703</v>
      </c>
      <c r="D31" s="524">
        <f t="shared" si="5"/>
        <v>2731</v>
      </c>
      <c r="E31" s="524">
        <f>SUM(E20:E30)</f>
        <v>79257</v>
      </c>
      <c r="F31" s="983">
        <f>SUM(F18:F30)</f>
        <v>986099.10526315786</v>
      </c>
      <c r="H31"/>
      <c r="J31" s="326"/>
      <c r="M31"/>
    </row>
    <row r="32" spans="1:15" ht="15.75" thickTop="1">
      <c r="F32">
        <v>-51153</v>
      </c>
    </row>
    <row r="33" spans="6:6">
      <c r="F33" s="502">
        <f>SUM(F31:F32)</f>
        <v>934946.10526315786</v>
      </c>
    </row>
    <row r="34" spans="6:6">
      <c r="F34">
        <v>-877473</v>
      </c>
    </row>
    <row r="35" spans="6:6">
      <c r="F35" s="502">
        <f>SUM(F33:F34)</f>
        <v>57473.105263157864</v>
      </c>
    </row>
  </sheetData>
  <pageMargins left="0.25" right="0.25" top="0.75" bottom="0.75" header="0.3" footer="0.3"/>
  <pageSetup paperSize="17" scale="130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87F03-9ADE-4699-85B0-F6D297A200E5}">
  <sheetPr codeName="Sheet361"/>
  <dimension ref="A1:O37"/>
  <sheetViews>
    <sheetView workbookViewId="0">
      <selection activeCell="H12" sqref="H12"/>
    </sheetView>
  </sheetViews>
  <sheetFormatPr defaultColWidth="8.85546875" defaultRowHeight="15"/>
  <cols>
    <col min="1" max="3" width="9.28515625" style="934" customWidth="1"/>
    <col min="4" max="4" width="11.42578125" style="934" customWidth="1"/>
    <col min="5" max="5" width="11" style="934" customWidth="1"/>
    <col min="6" max="6" width="12.140625" style="934" customWidth="1"/>
    <col min="7" max="8" width="11.42578125" style="934" customWidth="1"/>
    <col min="9" max="9" width="14.28515625" style="934" customWidth="1"/>
    <col min="10" max="10" width="3.28515625" style="934" customWidth="1"/>
    <col min="11" max="11" width="12.28515625" style="934" bestFit="1" customWidth="1"/>
    <col min="12" max="12" width="13.28515625" style="934" customWidth="1"/>
    <col min="13" max="13" width="12.28515625" style="934" bestFit="1" customWidth="1"/>
    <col min="14" max="14" width="12.5703125" style="934" customWidth="1"/>
    <col min="15" max="15" width="11.7109375" style="934" customWidth="1"/>
    <col min="16" max="16384" width="8.85546875" style="934"/>
  </cols>
  <sheetData>
    <row r="1" spans="1:15" ht="41.45" customHeight="1">
      <c r="A1" s="410" t="s">
        <v>794</v>
      </c>
      <c r="B1" s="409" t="s">
        <v>792</v>
      </c>
      <c r="C1" s="409" t="s">
        <v>793</v>
      </c>
      <c r="D1" s="417" t="s">
        <v>268</v>
      </c>
      <c r="E1" s="417" t="s">
        <v>241</v>
      </c>
      <c r="F1" s="410" t="s">
        <v>228</v>
      </c>
      <c r="G1" s="410" t="s">
        <v>191</v>
      </c>
      <c r="H1" s="410" t="s">
        <v>862</v>
      </c>
      <c r="I1" s="417" t="s">
        <v>759</v>
      </c>
      <c r="J1" s="974"/>
      <c r="K1" s="417" t="s">
        <v>663</v>
      </c>
      <c r="L1" s="410" t="s">
        <v>237</v>
      </c>
      <c r="M1" s="417" t="s">
        <v>286</v>
      </c>
      <c r="N1" s="410" t="s">
        <v>31</v>
      </c>
      <c r="O1" s="410" t="s">
        <v>226</v>
      </c>
    </row>
    <row r="2" spans="1:15">
      <c r="A2" s="403" t="s">
        <v>225</v>
      </c>
      <c r="B2" s="404">
        <f>K2/9.5</f>
        <v>48426</v>
      </c>
      <c r="C2" s="404">
        <f>9487+73</f>
        <v>9560</v>
      </c>
      <c r="D2" s="404">
        <f>999+1162</f>
        <v>2161</v>
      </c>
      <c r="E2" s="404">
        <v>12061</v>
      </c>
      <c r="F2" s="404">
        <f>SUM(B2:E2)</f>
        <v>72208</v>
      </c>
      <c r="G2" s="404">
        <f>'Blackboard Daily Counts'!C15</f>
        <v>64294</v>
      </c>
      <c r="H2" s="404"/>
      <c r="I2" s="425">
        <f>-SUM((F2-E2)-(G2))</f>
        <v>4147</v>
      </c>
      <c r="K2" s="954">
        <f>'UCLA Master Vendor Sep 2022'!Q60</f>
        <v>460047</v>
      </c>
      <c r="L2" s="954">
        <f>C2*9</f>
        <v>86040</v>
      </c>
      <c r="M2" s="954">
        <f>E2*10</f>
        <v>120610</v>
      </c>
      <c r="N2" s="954">
        <f t="shared" ref="N2:N7" si="0">SUM(K2:M2)</f>
        <v>666697</v>
      </c>
      <c r="O2" s="405">
        <f>N2/(B2+C2+E2)</f>
        <v>9.5178522991705563</v>
      </c>
    </row>
    <row r="3" spans="1:15">
      <c r="A3" s="403" t="s">
        <v>206</v>
      </c>
      <c r="B3" s="404">
        <v>143538</v>
      </c>
      <c r="C3" s="404">
        <f>50940</f>
        <v>50940</v>
      </c>
      <c r="D3" s="404">
        <f>2734+4079</f>
        <v>6813</v>
      </c>
      <c r="E3" s="404">
        <v>28083</v>
      </c>
      <c r="F3" s="404">
        <f>SUM(B3:E3)</f>
        <v>229374</v>
      </c>
      <c r="G3" s="404">
        <f>'Blackboard Daily Counts'!C46</f>
        <v>201261</v>
      </c>
      <c r="H3" s="404"/>
      <c r="I3" s="425">
        <f t="shared" ref="I3:I6" si="1">-SUM((F3-E3)-(G3))</f>
        <v>-30</v>
      </c>
      <c r="K3" s="954">
        <f>B3*9.5</f>
        <v>1363611</v>
      </c>
      <c r="L3" s="954">
        <f t="shared" ref="L3:L11" si="2">C3*9</f>
        <v>458460</v>
      </c>
      <c r="M3" s="954">
        <f t="shared" ref="M3:M11" si="3">E3*10</f>
        <v>280830</v>
      </c>
      <c r="N3" s="954">
        <f t="shared" si="0"/>
        <v>2102901</v>
      </c>
      <c r="O3" s="405">
        <f t="shared" ref="O3:O11" si="4">N3/(B3+C3+E3)</f>
        <v>9.4486500330246539</v>
      </c>
    </row>
    <row r="4" spans="1:15">
      <c r="A4" s="403" t="s">
        <v>207</v>
      </c>
      <c r="B4" s="404">
        <f>K4/9.5</f>
        <v>121479</v>
      </c>
      <c r="C4" s="404">
        <v>52837</v>
      </c>
      <c r="D4" s="404">
        <v>7186</v>
      </c>
      <c r="E4" s="404">
        <v>34529</v>
      </c>
      <c r="F4" s="404">
        <f t="shared" ref="F4:F7" si="5">SUM(B4:E4)</f>
        <v>216031</v>
      </c>
      <c r="G4" s="404">
        <v>176716</v>
      </c>
      <c r="H4" s="404"/>
      <c r="I4" s="425">
        <f t="shared" si="1"/>
        <v>-4786</v>
      </c>
      <c r="K4" s="954">
        <f>'UCLA Master Vendor Nov 2022'!AF61</f>
        <v>1154050.5</v>
      </c>
      <c r="L4" s="954">
        <f t="shared" si="2"/>
        <v>475533</v>
      </c>
      <c r="M4" s="954">
        <f t="shared" si="3"/>
        <v>345290</v>
      </c>
      <c r="N4" s="954">
        <f t="shared" si="0"/>
        <v>1974873.5</v>
      </c>
      <c r="O4" s="405">
        <f t="shared" si="4"/>
        <v>9.4561684502860981</v>
      </c>
    </row>
    <row r="5" spans="1:15">
      <c r="A5" s="403" t="s">
        <v>208</v>
      </c>
      <c r="B5" s="404">
        <f t="shared" ref="B5:B11" si="6">K5/9.5</f>
        <v>42896</v>
      </c>
      <c r="C5" s="404">
        <v>18208</v>
      </c>
      <c r="D5" s="404">
        <v>4378</v>
      </c>
      <c r="E5" s="404">
        <v>5520</v>
      </c>
      <c r="F5" s="404">
        <f t="shared" si="5"/>
        <v>71002</v>
      </c>
      <c r="G5" s="404">
        <v>65530</v>
      </c>
      <c r="H5" s="404"/>
      <c r="I5" s="425">
        <f t="shared" si="1"/>
        <v>48</v>
      </c>
      <c r="K5" s="954">
        <f>'UCLA Master Vendor Dec 2022'!FA62</f>
        <v>407512</v>
      </c>
      <c r="L5" s="954">
        <f t="shared" si="2"/>
        <v>163872</v>
      </c>
      <c r="M5" s="954">
        <f t="shared" si="3"/>
        <v>55200</v>
      </c>
      <c r="N5" s="954">
        <f t="shared" si="0"/>
        <v>626584</v>
      </c>
      <c r="O5" s="405">
        <f t="shared" si="4"/>
        <v>9.4047790585975015</v>
      </c>
    </row>
    <row r="6" spans="1:15">
      <c r="A6" s="403" t="s">
        <v>209</v>
      </c>
      <c r="B6" s="404">
        <f t="shared" si="6"/>
        <v>79269.473684210519</v>
      </c>
      <c r="C6" s="404">
        <v>57585</v>
      </c>
      <c r="D6" s="404">
        <v>6826</v>
      </c>
      <c r="E6" s="404">
        <f>6476+600+8080+800+9254+800</f>
        <v>26010</v>
      </c>
      <c r="F6" s="404">
        <f t="shared" si="5"/>
        <v>169690.4736842105</v>
      </c>
      <c r="G6" s="404">
        <f>'Blackboard Daily Counts'!C138</f>
        <v>145441</v>
      </c>
      <c r="H6" s="404"/>
      <c r="I6" s="425">
        <f t="shared" si="1"/>
        <v>1760.5263157894951</v>
      </c>
      <c r="K6" s="954">
        <f>'UCLA Master Vendor Jan 2023'!Z64</f>
        <v>753060</v>
      </c>
      <c r="L6" s="954">
        <f t="shared" si="2"/>
        <v>518265</v>
      </c>
      <c r="M6" s="954">
        <f t="shared" si="3"/>
        <v>260100</v>
      </c>
      <c r="N6" s="954">
        <f t="shared" si="0"/>
        <v>1531425</v>
      </c>
      <c r="O6" s="405">
        <f t="shared" si="4"/>
        <v>9.4030635740080957</v>
      </c>
    </row>
    <row r="7" spans="1:15">
      <c r="A7" s="403" t="s">
        <v>287</v>
      </c>
      <c r="B7" s="404">
        <f t="shared" si="6"/>
        <v>106230.84210526316</v>
      </c>
      <c r="C7" s="404">
        <v>73335</v>
      </c>
      <c r="D7" s="404">
        <v>8781</v>
      </c>
      <c r="E7" s="404">
        <f>8277+760+6446+700+8919+800+8256+800</f>
        <v>34958</v>
      </c>
      <c r="F7" s="404">
        <f t="shared" si="5"/>
        <v>223304.84210526315</v>
      </c>
      <c r="G7" s="404">
        <v>183358</v>
      </c>
      <c r="H7" s="404">
        <v>60</v>
      </c>
      <c r="I7" s="425">
        <f>-SUM((F7-E7)-(G7))+H7</f>
        <v>-4928.8421052631456</v>
      </c>
      <c r="K7" s="954">
        <v>1009193</v>
      </c>
      <c r="L7" s="954">
        <f t="shared" si="2"/>
        <v>660015</v>
      </c>
      <c r="M7" s="954">
        <f t="shared" si="3"/>
        <v>349580</v>
      </c>
      <c r="N7" s="954">
        <f t="shared" si="0"/>
        <v>2018788</v>
      </c>
      <c r="O7" s="405">
        <f t="shared" si="4"/>
        <v>9.4105530657492871</v>
      </c>
    </row>
    <row r="8" spans="1:15">
      <c r="A8" s="403" t="s">
        <v>210</v>
      </c>
      <c r="B8" s="404">
        <f t="shared" si="6"/>
        <v>107681.47368421052</v>
      </c>
      <c r="C8" s="404">
        <v>66758</v>
      </c>
      <c r="D8" s="404">
        <v>9365</v>
      </c>
      <c r="E8" s="404">
        <f>5376+800+9703+800+10124+800+4364+800</f>
        <v>32767</v>
      </c>
      <c r="F8" s="404">
        <f>SUM(B8:E8)</f>
        <v>216571.4736842105</v>
      </c>
      <c r="G8" s="404">
        <v>180770</v>
      </c>
      <c r="H8" s="404">
        <v>262</v>
      </c>
      <c r="I8" s="425">
        <f t="shared" ref="I8:I11" si="7">-SUM((F8-E8)-(G8))+H8</f>
        <v>-2772.4736842105049</v>
      </c>
      <c r="K8" s="954">
        <v>1022974</v>
      </c>
      <c r="L8" s="954">
        <f t="shared" si="2"/>
        <v>600822</v>
      </c>
      <c r="M8" s="954">
        <f t="shared" si="3"/>
        <v>327670</v>
      </c>
      <c r="N8" s="954">
        <f>SUM(K8:M8)</f>
        <v>1951466</v>
      </c>
      <c r="O8" s="405">
        <f t="shared" si="4"/>
        <v>9.4179779487686197</v>
      </c>
    </row>
    <row r="9" spans="1:15">
      <c r="A9" s="403" t="s">
        <v>211</v>
      </c>
      <c r="B9" s="404">
        <f t="shared" si="6"/>
        <v>0</v>
      </c>
      <c r="C9" s="404"/>
      <c r="D9" s="404"/>
      <c r="E9" s="404"/>
      <c r="F9" s="404">
        <f>SUM(B9:E9)</f>
        <v>0</v>
      </c>
      <c r="G9" s="404"/>
      <c r="H9" s="404"/>
      <c r="I9" s="425">
        <f t="shared" si="7"/>
        <v>0</v>
      </c>
      <c r="K9" s="954"/>
      <c r="L9" s="954">
        <f t="shared" si="2"/>
        <v>0</v>
      </c>
      <c r="M9" s="954">
        <f t="shared" si="3"/>
        <v>0</v>
      </c>
      <c r="N9" s="954">
        <f t="shared" ref="N9:N11" si="8">SUM(K9:M9)</f>
        <v>0</v>
      </c>
      <c r="O9" s="405" t="e">
        <f t="shared" si="4"/>
        <v>#DIV/0!</v>
      </c>
    </row>
    <row r="10" spans="1:15">
      <c r="A10" s="403" t="s">
        <v>212</v>
      </c>
      <c r="B10" s="404">
        <f t="shared" si="6"/>
        <v>0</v>
      </c>
      <c r="C10" s="404"/>
      <c r="D10" s="404"/>
      <c r="E10" s="404"/>
      <c r="F10" s="404">
        <f>SUM(B10:E10)</f>
        <v>0</v>
      </c>
      <c r="G10" s="404"/>
      <c r="H10" s="404"/>
      <c r="I10" s="425">
        <f t="shared" si="7"/>
        <v>0</v>
      </c>
      <c r="K10" s="954"/>
      <c r="L10" s="954">
        <f t="shared" si="2"/>
        <v>0</v>
      </c>
      <c r="M10" s="954">
        <f t="shared" si="3"/>
        <v>0</v>
      </c>
      <c r="N10" s="954">
        <f t="shared" si="8"/>
        <v>0</v>
      </c>
      <c r="O10" s="405" t="e">
        <f t="shared" si="4"/>
        <v>#DIV/0!</v>
      </c>
    </row>
    <row r="11" spans="1:15">
      <c r="A11" s="403" t="s">
        <v>213</v>
      </c>
      <c r="B11" s="404">
        <f t="shared" si="6"/>
        <v>0</v>
      </c>
      <c r="C11" s="404"/>
      <c r="D11" s="404"/>
      <c r="E11" s="404"/>
      <c r="F11" s="404">
        <f>SUM(B11:E11)</f>
        <v>0</v>
      </c>
      <c r="G11" s="404"/>
      <c r="H11" s="404"/>
      <c r="I11" s="425">
        <f t="shared" si="7"/>
        <v>0</v>
      </c>
      <c r="K11" s="954"/>
      <c r="L11" s="954">
        <f t="shared" si="2"/>
        <v>0</v>
      </c>
      <c r="M11" s="954">
        <f t="shared" si="3"/>
        <v>0</v>
      </c>
      <c r="N11" s="954">
        <f t="shared" si="8"/>
        <v>0</v>
      </c>
      <c r="O11" s="405" t="e">
        <f t="shared" si="4"/>
        <v>#DIV/0!</v>
      </c>
    </row>
    <row r="12" spans="1:15" ht="15.75" thickBot="1">
      <c r="A12" s="406" t="s">
        <v>132</v>
      </c>
      <c r="B12" s="407">
        <f t="shared" ref="B12:I12" si="9">SUM(B2:B11)</f>
        <v>649520.78947368427</v>
      </c>
      <c r="C12" s="407">
        <f t="shared" si="9"/>
        <v>329223</v>
      </c>
      <c r="D12" s="407">
        <f t="shared" si="9"/>
        <v>45510</v>
      </c>
      <c r="E12" s="407">
        <f t="shared" si="9"/>
        <v>173928</v>
      </c>
      <c r="F12" s="407">
        <f t="shared" si="9"/>
        <v>1198181.7894736843</v>
      </c>
      <c r="G12" s="407">
        <f t="shared" si="9"/>
        <v>1017370</v>
      </c>
      <c r="H12" s="407">
        <f t="shared" si="9"/>
        <v>322</v>
      </c>
      <c r="I12" s="407">
        <f t="shared" si="9"/>
        <v>-6561.7894736841554</v>
      </c>
      <c r="K12" s="408">
        <f>SUM(K2:K11)</f>
        <v>6170447.5</v>
      </c>
      <c r="L12" s="408">
        <f>SUM(L2:L11)</f>
        <v>2963007</v>
      </c>
      <c r="M12" s="408">
        <f>SUM(M2:M11)</f>
        <v>1739280</v>
      </c>
      <c r="N12" s="408">
        <f>SUM(N2:N11)</f>
        <v>10872734.5</v>
      </c>
      <c r="O12" s="418">
        <f>SUM(O2:O8)/7</f>
        <v>9.4370063470864043</v>
      </c>
    </row>
    <row r="13" spans="1:15" ht="15.75" thickTop="1">
      <c r="A13" s="402"/>
    </row>
    <row r="15" spans="1:15" ht="30">
      <c r="A15" s="756" t="s">
        <v>222</v>
      </c>
      <c r="B15" s="417" t="s">
        <v>224</v>
      </c>
      <c r="C15" s="409" t="s">
        <v>227</v>
      </c>
      <c r="D15" s="417" t="s">
        <v>285</v>
      </c>
      <c r="E15" s="764" t="s">
        <v>231</v>
      </c>
      <c r="F15" s="410" t="s">
        <v>228</v>
      </c>
      <c r="G15" s="410" t="s">
        <v>191</v>
      </c>
      <c r="H15" s="410"/>
      <c r="I15" s="410" t="s">
        <v>229</v>
      </c>
      <c r="J15" s="974"/>
      <c r="K15" s="578" t="s">
        <v>289</v>
      </c>
      <c r="L15" s="410" t="s">
        <v>237</v>
      </c>
      <c r="M15" s="417" t="s">
        <v>286</v>
      </c>
      <c r="N15" s="410" t="s">
        <v>31</v>
      </c>
      <c r="O15" s="409" t="s">
        <v>291</v>
      </c>
    </row>
    <row r="16" spans="1:15">
      <c r="A16" s="403" t="s">
        <v>225</v>
      </c>
      <c r="B16" s="404">
        <v>24616</v>
      </c>
      <c r="C16" s="404">
        <v>2267</v>
      </c>
      <c r="D16" s="404">
        <v>583</v>
      </c>
      <c r="E16" s="404">
        <v>0</v>
      </c>
      <c r="F16" s="404">
        <f>B16+C16+D16+E16</f>
        <v>27466</v>
      </c>
      <c r="G16" s="404">
        <f>27239+E16</f>
        <v>27239</v>
      </c>
      <c r="H16" s="404"/>
      <c r="I16" s="425">
        <f>G16-F16</f>
        <v>-227</v>
      </c>
      <c r="K16" s="954">
        <f>B16*10</f>
        <v>246160</v>
      </c>
      <c r="L16" s="954">
        <v>20403</v>
      </c>
      <c r="M16" s="954">
        <v>0</v>
      </c>
      <c r="N16" s="954">
        <f t="shared" ref="N16:N25" si="10">K16+L16+M16</f>
        <v>266563</v>
      </c>
      <c r="O16" s="405">
        <f>N16/(F16-D16)</f>
        <v>9.9156716140311723</v>
      </c>
    </row>
    <row r="17" spans="1:15">
      <c r="A17" s="403" t="s">
        <v>206</v>
      </c>
      <c r="B17" s="404">
        <v>60951</v>
      </c>
      <c r="C17" s="404">
        <v>15330</v>
      </c>
      <c r="D17" s="404">
        <v>2231</v>
      </c>
      <c r="E17" s="404">
        <v>6980</v>
      </c>
      <c r="F17" s="404">
        <f t="shared" ref="F17:F25" si="11">B17+C17+D17+E17</f>
        <v>85492</v>
      </c>
      <c r="G17" s="404">
        <f>79589+E17</f>
        <v>86569</v>
      </c>
      <c r="H17" s="404"/>
      <c r="I17" s="425">
        <f t="shared" ref="I17:I25" si="12">G17-F17</f>
        <v>1077</v>
      </c>
      <c r="K17" s="954">
        <v>609510</v>
      </c>
      <c r="L17" s="954">
        <v>137970</v>
      </c>
      <c r="M17" s="954">
        <f>E17*10</f>
        <v>69800</v>
      </c>
      <c r="N17" s="954">
        <f t="shared" si="10"/>
        <v>817280</v>
      </c>
      <c r="O17" s="405">
        <f t="shared" ref="O17:O22" si="13">N17/(F17-D17)</f>
        <v>9.8158801839997114</v>
      </c>
    </row>
    <row r="18" spans="1:15">
      <c r="A18" s="403" t="s">
        <v>207</v>
      </c>
      <c r="B18" s="404">
        <v>69661</v>
      </c>
      <c r="C18" s="404">
        <v>19347</v>
      </c>
      <c r="D18" s="404">
        <v>2389</v>
      </c>
      <c r="E18" s="404">
        <v>10498</v>
      </c>
      <c r="F18" s="404">
        <f t="shared" si="11"/>
        <v>101895</v>
      </c>
      <c r="G18" s="404">
        <f>93850+E18</f>
        <v>104348</v>
      </c>
      <c r="H18" s="404"/>
      <c r="I18" s="425">
        <f t="shared" si="12"/>
        <v>2453</v>
      </c>
      <c r="K18" s="954">
        <v>696610</v>
      </c>
      <c r="L18" s="954">
        <v>174123</v>
      </c>
      <c r="M18" s="954">
        <f>E18*10</f>
        <v>104980</v>
      </c>
      <c r="N18" s="954">
        <f t="shared" si="10"/>
        <v>975713</v>
      </c>
      <c r="O18" s="405">
        <f t="shared" si="13"/>
        <v>9.8055695133961773</v>
      </c>
    </row>
    <row r="19" spans="1:15">
      <c r="A19" s="403" t="s">
        <v>208</v>
      </c>
      <c r="B19" s="404">
        <v>29992</v>
      </c>
      <c r="C19" s="404">
        <v>12424</v>
      </c>
      <c r="D19" s="404">
        <v>1956</v>
      </c>
      <c r="E19" s="404">
        <v>0</v>
      </c>
      <c r="F19" s="404">
        <f t="shared" si="11"/>
        <v>44372</v>
      </c>
      <c r="G19" s="404">
        <f>48426+E19</f>
        <v>48426</v>
      </c>
      <c r="H19" s="404"/>
      <c r="I19" s="425">
        <f t="shared" si="12"/>
        <v>4054</v>
      </c>
      <c r="K19" s="954">
        <v>299920</v>
      </c>
      <c r="L19" s="954">
        <v>111816</v>
      </c>
      <c r="M19" s="954">
        <v>0</v>
      </c>
      <c r="N19" s="954">
        <f t="shared" si="10"/>
        <v>411736</v>
      </c>
      <c r="O19" s="405">
        <f t="shared" si="13"/>
        <v>9.7070916635231992</v>
      </c>
    </row>
    <row r="20" spans="1:15">
      <c r="A20" s="403" t="s">
        <v>209</v>
      </c>
      <c r="B20" s="404">
        <v>30199</v>
      </c>
      <c r="C20" s="404">
        <v>5619</v>
      </c>
      <c r="D20" s="404">
        <v>210</v>
      </c>
      <c r="E20" s="404">
        <v>8534</v>
      </c>
      <c r="F20" s="404">
        <f t="shared" si="11"/>
        <v>44562</v>
      </c>
      <c r="G20" s="404">
        <f>37772+E20</f>
        <v>46306</v>
      </c>
      <c r="H20" s="404"/>
      <c r="I20" s="425">
        <f t="shared" si="12"/>
        <v>1744</v>
      </c>
      <c r="K20" s="954">
        <v>301990</v>
      </c>
      <c r="L20" s="954">
        <v>50571</v>
      </c>
      <c r="M20" s="954">
        <f>E20*10</f>
        <v>85340</v>
      </c>
      <c r="N20" s="954">
        <f t="shared" si="10"/>
        <v>437901</v>
      </c>
      <c r="O20" s="405">
        <f t="shared" si="13"/>
        <v>9.8733089826839819</v>
      </c>
    </row>
    <row r="21" spans="1:15">
      <c r="A21" s="403" t="s">
        <v>287</v>
      </c>
      <c r="B21" s="404">
        <v>77737</v>
      </c>
      <c r="C21" s="404">
        <v>29712</v>
      </c>
      <c r="D21" s="404">
        <v>555</v>
      </c>
      <c r="E21" s="404">
        <v>15057</v>
      </c>
      <c r="F21" s="404">
        <f t="shared" si="11"/>
        <v>123061</v>
      </c>
      <c r="G21" s="404">
        <f>109014+E21</f>
        <v>124071</v>
      </c>
      <c r="H21" s="404"/>
      <c r="I21" s="425">
        <f t="shared" si="12"/>
        <v>1010</v>
      </c>
      <c r="K21" s="954">
        <v>777370</v>
      </c>
      <c r="L21" s="954">
        <v>267408</v>
      </c>
      <c r="M21" s="954">
        <v>150570</v>
      </c>
      <c r="N21" s="954">
        <f t="shared" si="10"/>
        <v>1195348</v>
      </c>
      <c r="O21" s="405">
        <f t="shared" si="13"/>
        <v>9.7574649404927101</v>
      </c>
    </row>
    <row r="22" spans="1:15">
      <c r="A22" s="403" t="s">
        <v>210</v>
      </c>
      <c r="B22" s="404">
        <v>68859</v>
      </c>
      <c r="C22" s="404">
        <v>40085</v>
      </c>
      <c r="D22" s="404">
        <v>790</v>
      </c>
      <c r="E22" s="404">
        <v>17430</v>
      </c>
      <c r="F22" s="404">
        <f t="shared" si="11"/>
        <v>127164</v>
      </c>
      <c r="G22" s="404">
        <f>112436+E22</f>
        <v>129866</v>
      </c>
      <c r="H22" s="404"/>
      <c r="I22" s="425">
        <f t="shared" si="12"/>
        <v>2702</v>
      </c>
      <c r="K22" s="954">
        <v>683976</v>
      </c>
      <c r="L22" s="954">
        <v>360765</v>
      </c>
      <c r="M22" s="954">
        <v>174300</v>
      </c>
      <c r="N22" s="954">
        <f t="shared" si="10"/>
        <v>1219041</v>
      </c>
      <c r="O22" s="405">
        <f t="shared" si="13"/>
        <v>9.6462959152990333</v>
      </c>
    </row>
    <row r="23" spans="1:15">
      <c r="A23" s="403" t="s">
        <v>211</v>
      </c>
      <c r="B23" s="404">
        <v>72670</v>
      </c>
      <c r="C23" s="404">
        <v>79862</v>
      </c>
      <c r="D23" s="404">
        <v>1887</v>
      </c>
      <c r="E23" s="404">
        <v>19616</v>
      </c>
      <c r="F23" s="404">
        <f t="shared" si="11"/>
        <v>174035</v>
      </c>
      <c r="G23" s="404">
        <f>155480+E23</f>
        <v>175096</v>
      </c>
      <c r="H23" s="404"/>
      <c r="I23" s="425">
        <f t="shared" si="12"/>
        <v>1061</v>
      </c>
      <c r="K23" s="954">
        <v>690365</v>
      </c>
      <c r="L23" s="954">
        <v>718758</v>
      </c>
      <c r="M23" s="954">
        <v>196160</v>
      </c>
      <c r="N23" s="954">
        <f t="shared" si="10"/>
        <v>1605283</v>
      </c>
      <c r="O23" s="759"/>
    </row>
    <row r="24" spans="1:15">
      <c r="A24" s="403" t="s">
        <v>212</v>
      </c>
      <c r="B24" s="404">
        <v>60037</v>
      </c>
      <c r="C24" s="404">
        <v>76553</v>
      </c>
      <c r="D24" s="404">
        <v>2281</v>
      </c>
      <c r="E24" s="404">
        <f>M24/10</f>
        <v>18747</v>
      </c>
      <c r="F24" s="404">
        <f t="shared" si="11"/>
        <v>157618</v>
      </c>
      <c r="G24" s="404">
        <f>149142+E24</f>
        <v>167889</v>
      </c>
      <c r="H24" s="404"/>
      <c r="I24" s="425">
        <f t="shared" si="12"/>
        <v>10271</v>
      </c>
      <c r="K24" s="954">
        <v>570352</v>
      </c>
      <c r="L24" s="954">
        <v>688977</v>
      </c>
      <c r="M24" s="954">
        <v>187470</v>
      </c>
      <c r="N24" s="954">
        <f t="shared" si="10"/>
        <v>1446799</v>
      </c>
      <c r="O24" s="759"/>
    </row>
    <row r="25" spans="1:15">
      <c r="A25" s="403" t="s">
        <v>213</v>
      </c>
      <c r="B25" s="404">
        <v>21097</v>
      </c>
      <c r="C25" s="404">
        <v>23835</v>
      </c>
      <c r="D25" s="404">
        <v>1383</v>
      </c>
      <c r="E25" s="404">
        <v>5986</v>
      </c>
      <c r="F25" s="404">
        <f t="shared" si="11"/>
        <v>52301</v>
      </c>
      <c r="G25" s="404">
        <v>51177</v>
      </c>
      <c r="H25" s="404"/>
      <c r="I25" s="425">
        <f t="shared" si="12"/>
        <v>-1124</v>
      </c>
      <c r="K25" s="954">
        <v>200422</v>
      </c>
      <c r="L25" s="954">
        <v>214515</v>
      </c>
      <c r="M25" s="954">
        <v>59860</v>
      </c>
      <c r="N25" s="954">
        <f t="shared" si="10"/>
        <v>474797</v>
      </c>
      <c r="O25" s="759"/>
    </row>
    <row r="26" spans="1:15" ht="15.75" thickBot="1">
      <c r="A26" s="406" t="s">
        <v>132</v>
      </c>
      <c r="B26" s="407">
        <f>SUM(B16:B25)</f>
        <v>515819</v>
      </c>
      <c r="C26" s="407">
        <f t="shared" ref="C26:I26" si="14">SUM(C16:C25)</f>
        <v>305034</v>
      </c>
      <c r="D26" s="407">
        <f t="shared" si="14"/>
        <v>14265</v>
      </c>
      <c r="E26" s="407">
        <f t="shared" si="14"/>
        <v>102848</v>
      </c>
      <c r="F26" s="407">
        <f t="shared" si="14"/>
        <v>937966</v>
      </c>
      <c r="G26" s="407">
        <f t="shared" si="14"/>
        <v>960987</v>
      </c>
      <c r="H26" s="407"/>
      <c r="I26" s="407">
        <f t="shared" si="14"/>
        <v>23021</v>
      </c>
      <c r="K26" s="408">
        <f>SUM(K16:K25)</f>
        <v>5076675</v>
      </c>
      <c r="L26" s="408">
        <f t="shared" ref="L26:N26" si="15">SUM(L16:L25)</f>
        <v>2745306</v>
      </c>
      <c r="M26" s="408">
        <f t="shared" si="15"/>
        <v>1028480</v>
      </c>
      <c r="N26" s="408">
        <f t="shared" si="15"/>
        <v>8850461</v>
      </c>
      <c r="O26" s="418">
        <f>SUM(O16:O23)/7</f>
        <v>9.7887546876322826</v>
      </c>
    </row>
    <row r="27" spans="1:15" ht="15.75" thickTop="1"/>
    <row r="29" spans="1:15" ht="51.75">
      <c r="A29" s="1232" t="s">
        <v>327</v>
      </c>
      <c r="B29" s="1229" t="s">
        <v>792</v>
      </c>
      <c r="C29" s="1229" t="s">
        <v>793</v>
      </c>
      <c r="D29" s="1230" t="s">
        <v>268</v>
      </c>
      <c r="E29" s="1230" t="s">
        <v>241</v>
      </c>
      <c r="F29" s="1231" t="s">
        <v>228</v>
      </c>
      <c r="G29" s="1231" t="s">
        <v>191</v>
      </c>
      <c r="H29" s="1231" t="s">
        <v>862</v>
      </c>
      <c r="I29" s="1230" t="s">
        <v>759</v>
      </c>
    </row>
    <row r="30" spans="1:15">
      <c r="A30" s="937" t="s">
        <v>897</v>
      </c>
      <c r="B30" s="544">
        <f>SUM('UCLA Master Vendor List 22.23'!FP65+'UCLA Master Vendor List 22.23'!FQ65)/9.5</f>
        <v>7912.2105263157891</v>
      </c>
      <c r="C30" s="937">
        <v>5998</v>
      </c>
      <c r="D30" s="937">
        <v>780</v>
      </c>
      <c r="E30" s="756" t="s">
        <v>382</v>
      </c>
      <c r="F30" s="544">
        <f t="shared" ref="F30:F35" si="16">B30+C30+D30</f>
        <v>14690.21052631579</v>
      </c>
      <c r="G30" s="937">
        <f>'Blackboard Daily Counts'!B200+'Blackboard Daily Counts'!B201</f>
        <v>16278</v>
      </c>
      <c r="H30" s="937">
        <v>0</v>
      </c>
      <c r="I30" s="544">
        <f>G30-F30</f>
        <v>1587.78947368421</v>
      </c>
    </row>
    <row r="31" spans="1:15">
      <c r="A31" s="937" t="s">
        <v>902</v>
      </c>
      <c r="B31" s="544">
        <f>SUM('UCLA Master Vendor List 22.23'!FR65:FX65)/9.5</f>
        <v>24048.263157894737</v>
      </c>
      <c r="C31" s="937">
        <v>21023</v>
      </c>
      <c r="D31" s="937">
        <v>2417</v>
      </c>
      <c r="E31" s="756" t="s">
        <v>382</v>
      </c>
      <c r="F31" s="544">
        <f t="shared" si="16"/>
        <v>47488.263157894733</v>
      </c>
      <c r="G31" s="937">
        <f>SUM('Blackboard Daily Counts'!B202:B208)</f>
        <v>47415</v>
      </c>
      <c r="H31" s="937">
        <v>7</v>
      </c>
      <c r="I31" s="544">
        <f t="shared" ref="I31:I36" si="17">G31-F31+H31</f>
        <v>-66.263157894733013</v>
      </c>
    </row>
    <row r="32" spans="1:15">
      <c r="A32" s="937" t="s">
        <v>904</v>
      </c>
      <c r="B32" s="544">
        <f>SUM('UCLA Master Vendor List 22.23'!FY64+'UCLA Master Vendor List 22.23'!FZ64+'UCLA Master Vendor List 22.23'!GA64)/9.5</f>
        <v>10446</v>
      </c>
      <c r="C32" s="937">
        <v>11294</v>
      </c>
      <c r="D32" s="937">
        <v>856</v>
      </c>
      <c r="E32" s="756" t="s">
        <v>382</v>
      </c>
      <c r="F32" s="544">
        <f t="shared" si="16"/>
        <v>22596</v>
      </c>
      <c r="G32" s="937">
        <f>'Blackboard Daily Counts'!B209+'Blackboard Daily Counts'!B210+'Blackboard Daily Counts'!B211</f>
        <v>23864</v>
      </c>
      <c r="H32" s="937">
        <v>0</v>
      </c>
      <c r="I32" s="544">
        <f t="shared" si="17"/>
        <v>1268</v>
      </c>
    </row>
    <row r="33" spans="1:9">
      <c r="A33" s="1241">
        <v>45047</v>
      </c>
      <c r="B33" s="937">
        <f>'UCLA Master Vendor List 22.23'!GR64/9.5</f>
        <v>4333</v>
      </c>
      <c r="C33" s="964">
        <v>2585</v>
      </c>
      <c r="D33" s="964">
        <f>238+207</f>
        <v>445</v>
      </c>
      <c r="E33" s="756" t="s">
        <v>382</v>
      </c>
      <c r="F33" s="544">
        <f t="shared" si="16"/>
        <v>7363</v>
      </c>
      <c r="G33" s="937">
        <f>'Blackboard Daily Counts'!B228</f>
        <v>8785</v>
      </c>
      <c r="H33" s="937">
        <v>0</v>
      </c>
      <c r="I33" s="544">
        <f t="shared" si="17"/>
        <v>1422</v>
      </c>
    </row>
    <row r="34" spans="1:9">
      <c r="A34" s="1241" t="s">
        <v>918</v>
      </c>
      <c r="B34" s="937">
        <f>SUM('UCLA Master Vendor List 22.23'!GS64:GZ64)/9.5</f>
        <v>22887</v>
      </c>
      <c r="C34" s="964">
        <v>26295</v>
      </c>
      <c r="D34" s="964">
        <f>1227+1962</f>
        <v>3189</v>
      </c>
      <c r="E34" s="756" t="s">
        <v>382</v>
      </c>
      <c r="F34" s="544">
        <f t="shared" si="16"/>
        <v>52371</v>
      </c>
      <c r="G34" s="937">
        <f>SUM('Blackboard Daily Counts'!B229:B236)</f>
        <v>51931</v>
      </c>
      <c r="H34" s="937">
        <v>5</v>
      </c>
      <c r="I34" s="544">
        <f t="shared" si="17"/>
        <v>-435</v>
      </c>
    </row>
    <row r="35" spans="1:9">
      <c r="A35" s="1241" t="s">
        <v>919</v>
      </c>
      <c r="B35" s="937">
        <f>SUM('UCLA Master Vendor List 22.23'!HA64:HF64)/9.5</f>
        <v>16041</v>
      </c>
      <c r="C35" s="964">
        <v>14995</v>
      </c>
      <c r="D35" s="964">
        <v>2287</v>
      </c>
      <c r="E35" s="756" t="s">
        <v>382</v>
      </c>
      <c r="F35" s="544">
        <f t="shared" si="16"/>
        <v>33323</v>
      </c>
      <c r="G35" s="937">
        <f>SUM('Blackboard Daily Counts'!B237:B242)</f>
        <v>34302</v>
      </c>
      <c r="H35" s="937">
        <v>0</v>
      </c>
      <c r="I35" s="544">
        <f t="shared" si="17"/>
        <v>979</v>
      </c>
    </row>
    <row r="36" spans="1:9">
      <c r="A36" s="1241" t="s">
        <v>923</v>
      </c>
      <c r="B36" s="544">
        <f>218282/9.5</f>
        <v>22977.052631578947</v>
      </c>
      <c r="C36" s="964">
        <v>31014</v>
      </c>
      <c r="D36" s="964">
        <v>3509</v>
      </c>
      <c r="E36" s="756" t="s">
        <v>382</v>
      </c>
      <c r="F36" s="544">
        <f t="shared" ref="F36" si="18">B36+C36+D36</f>
        <v>57500.052631578947</v>
      </c>
      <c r="G36" s="937">
        <v>57157</v>
      </c>
      <c r="H36" s="937">
        <v>1</v>
      </c>
      <c r="I36" s="544">
        <f t="shared" si="17"/>
        <v>-342.0526315789466</v>
      </c>
    </row>
    <row r="37" spans="1:9">
      <c r="A37" s="1241" t="s">
        <v>924</v>
      </c>
      <c r="B37" s="544">
        <f>SUM('UCLA Master Vendor List 22.23'!HO65:HQ65)/9.5</f>
        <v>9396.105263157895</v>
      </c>
      <c r="C37" s="964">
        <v>15025</v>
      </c>
      <c r="D37" s="964">
        <v>825</v>
      </c>
      <c r="E37" s="756" t="s">
        <v>382</v>
      </c>
      <c r="F37" s="544">
        <f t="shared" ref="F37" si="19">B37+C37+D37</f>
        <v>25246.105263157893</v>
      </c>
      <c r="G37" s="937">
        <f>SUM('Blackboard Daily Counts'!B251:B253)</f>
        <v>25404</v>
      </c>
      <c r="H37" s="937">
        <v>1</v>
      </c>
      <c r="I37" s="544">
        <f t="shared" ref="I37" si="20">G37-F37+H37</f>
        <v>158.89473684210679</v>
      </c>
    </row>
  </sheetData>
  <pageMargins left="0.7" right="0.7" top="0.75" bottom="0.75" header="0.3" footer="0.3"/>
  <pageSetup paperSize="17" scale="150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32B58-323D-414D-9893-E60374646816}">
  <sheetPr codeName="Sheet362" filterMode="1">
    <outlinePr summaryBelow="0" summaryRight="0"/>
  </sheetPr>
  <dimension ref="A1:N1019"/>
  <sheetViews>
    <sheetView workbookViewId="0">
      <selection activeCell="G23" sqref="G23"/>
    </sheetView>
  </sheetViews>
  <sheetFormatPr defaultColWidth="12.5703125" defaultRowHeight="15.75" customHeight="1"/>
  <cols>
    <col min="1" max="1" width="22.85546875" style="990" customWidth="1"/>
    <col min="2" max="2" width="57.42578125" style="990" bestFit="1" customWidth="1"/>
    <col min="3" max="3" width="23.85546875" style="990" customWidth="1"/>
    <col min="4" max="4" width="13.42578125" style="990" customWidth="1"/>
    <col min="5" max="5" width="37.140625" style="990" customWidth="1"/>
    <col min="6" max="6" width="13.140625" style="990" customWidth="1"/>
    <col min="7" max="7" width="14" style="990" customWidth="1"/>
    <col min="8" max="8" width="15.85546875" style="990" customWidth="1"/>
    <col min="9" max="9" width="16.5703125" style="990" customWidth="1"/>
    <col min="10" max="10" width="18.28515625" style="990" customWidth="1"/>
    <col min="11" max="11" width="10.85546875" style="1036" customWidth="1"/>
    <col min="12" max="12" width="18.28515625" style="1036" customWidth="1"/>
    <col min="13" max="16384" width="12.5703125" style="990"/>
  </cols>
  <sheetData>
    <row r="1" spans="1:14" ht="33.6" customHeight="1" thickBot="1">
      <c r="A1" s="1040" t="s">
        <v>77</v>
      </c>
      <c r="B1" s="1041" t="s">
        <v>336</v>
      </c>
      <c r="C1" s="1041" t="s">
        <v>337</v>
      </c>
      <c r="D1" s="1041" t="s">
        <v>751</v>
      </c>
      <c r="E1" s="1041" t="s">
        <v>338</v>
      </c>
      <c r="F1" s="1041" t="s">
        <v>339</v>
      </c>
      <c r="G1" s="1042" t="s">
        <v>340</v>
      </c>
      <c r="H1" s="1042" t="s">
        <v>341</v>
      </c>
      <c r="I1" s="1042" t="s">
        <v>342</v>
      </c>
      <c r="J1" s="1042" t="s">
        <v>343</v>
      </c>
      <c r="K1" s="1041" t="s">
        <v>344</v>
      </c>
      <c r="L1" s="1041" t="s">
        <v>345</v>
      </c>
      <c r="M1" s="1041" t="s">
        <v>740</v>
      </c>
      <c r="N1" s="1041" t="s">
        <v>756</v>
      </c>
    </row>
    <row r="2" spans="1:14" ht="16.899999999999999" customHeight="1">
      <c r="A2" s="991" t="s">
        <v>185</v>
      </c>
      <c r="B2" s="992" t="s">
        <v>496</v>
      </c>
      <c r="C2" s="992" t="s">
        <v>497</v>
      </c>
      <c r="D2" s="993" t="s">
        <v>498</v>
      </c>
      <c r="E2" s="993" t="s">
        <v>499</v>
      </c>
      <c r="F2" s="995">
        <v>316608001</v>
      </c>
      <c r="G2" s="996" t="s">
        <v>500</v>
      </c>
      <c r="H2" s="997">
        <v>382828.21</v>
      </c>
      <c r="I2" s="997"/>
      <c r="J2" s="997">
        <f>H2+I2</f>
        <v>382828.21</v>
      </c>
      <c r="K2" s="993"/>
      <c r="L2" s="993"/>
      <c r="M2" s="993" t="s">
        <v>745</v>
      </c>
      <c r="N2" s="993"/>
    </row>
    <row r="3" spans="1:14" ht="16.899999999999999" customHeight="1">
      <c r="A3" s="1017" t="s">
        <v>330</v>
      </c>
      <c r="B3" s="1018" t="s">
        <v>614</v>
      </c>
      <c r="C3" s="1018" t="s">
        <v>615</v>
      </c>
      <c r="D3" s="1019" t="s">
        <v>616</v>
      </c>
      <c r="E3" s="1052" t="s">
        <v>617</v>
      </c>
      <c r="F3" s="1031">
        <v>320829001</v>
      </c>
      <c r="G3" s="1021" t="s">
        <v>618</v>
      </c>
      <c r="H3" s="1022">
        <v>354984.2</v>
      </c>
      <c r="I3" s="1022">
        <v>0</v>
      </c>
      <c r="J3" s="997">
        <f>H3+I3</f>
        <v>354984.2</v>
      </c>
      <c r="K3" s="1019"/>
      <c r="L3" s="1019"/>
      <c r="M3" s="1019" t="s">
        <v>744</v>
      </c>
      <c r="N3" s="1019" t="s">
        <v>757</v>
      </c>
    </row>
    <row r="4" spans="1:14" ht="16.899999999999999" customHeight="1">
      <c r="A4" s="991" t="s">
        <v>164</v>
      </c>
      <c r="B4" s="992" t="s">
        <v>501</v>
      </c>
      <c r="C4" s="992" t="s">
        <v>502</v>
      </c>
      <c r="D4" s="993" t="s">
        <v>503</v>
      </c>
      <c r="E4" s="993" t="s">
        <v>504</v>
      </c>
      <c r="F4" s="995">
        <v>316538002</v>
      </c>
      <c r="G4" s="996" t="s">
        <v>505</v>
      </c>
      <c r="H4" s="997">
        <v>173912.5</v>
      </c>
      <c r="I4" s="997">
        <v>350000</v>
      </c>
      <c r="J4" s="997">
        <f t="shared" ref="J4:J7" si="0">H4+I4</f>
        <v>523912.5</v>
      </c>
      <c r="K4" s="993" t="s">
        <v>874</v>
      </c>
      <c r="L4" s="993" t="s">
        <v>876</v>
      </c>
      <c r="M4" s="993" t="s">
        <v>742</v>
      </c>
      <c r="N4" s="993"/>
    </row>
    <row r="5" spans="1:14" ht="16.899999999999999" hidden="1" customHeight="1">
      <c r="A5" s="991" t="s">
        <v>51</v>
      </c>
      <c r="B5" s="992" t="s">
        <v>421</v>
      </c>
      <c r="C5" s="992" t="s">
        <v>422</v>
      </c>
      <c r="D5" s="993" t="s">
        <v>423</v>
      </c>
      <c r="E5" s="994" t="s">
        <v>424</v>
      </c>
      <c r="F5" s="995">
        <v>261969001</v>
      </c>
      <c r="G5" s="996" t="s">
        <v>425</v>
      </c>
      <c r="H5" s="997">
        <v>265256.5</v>
      </c>
      <c r="I5" s="997">
        <v>0</v>
      </c>
      <c r="J5" s="997">
        <f t="shared" si="0"/>
        <v>265256.5</v>
      </c>
      <c r="K5" s="993"/>
      <c r="L5" s="993"/>
      <c r="M5" s="993" t="s">
        <v>742</v>
      </c>
      <c r="N5" s="993"/>
    </row>
    <row r="6" spans="1:14" ht="16.899999999999999" customHeight="1">
      <c r="A6" s="991" t="s">
        <v>62</v>
      </c>
      <c r="B6" s="992" t="s">
        <v>346</v>
      </c>
      <c r="C6" s="992" t="s">
        <v>347</v>
      </c>
      <c r="D6" s="993" t="s">
        <v>348</v>
      </c>
      <c r="E6" s="994" t="s">
        <v>349</v>
      </c>
      <c r="F6" s="995">
        <v>316231001</v>
      </c>
      <c r="G6" s="996" t="s">
        <v>350</v>
      </c>
      <c r="H6" s="997">
        <v>345105</v>
      </c>
      <c r="I6" s="997">
        <v>0</v>
      </c>
      <c r="J6" s="997">
        <f t="shared" si="0"/>
        <v>345105</v>
      </c>
      <c r="K6" s="993"/>
      <c r="L6" s="993"/>
      <c r="M6" s="993" t="s">
        <v>742</v>
      </c>
      <c r="N6" s="993"/>
    </row>
    <row r="7" spans="1:14" ht="16.899999999999999" customHeight="1">
      <c r="A7" s="991" t="s">
        <v>12</v>
      </c>
      <c r="B7" s="999" t="s">
        <v>353</v>
      </c>
      <c r="C7" s="1000" t="s">
        <v>354</v>
      </c>
      <c r="D7" s="1001" t="s">
        <v>355</v>
      </c>
      <c r="E7" s="1002" t="s">
        <v>356</v>
      </c>
      <c r="F7" s="995">
        <v>316236003</v>
      </c>
      <c r="G7" s="996" t="s">
        <v>357</v>
      </c>
      <c r="H7" s="997">
        <v>296221.5</v>
      </c>
      <c r="I7" s="997">
        <v>0</v>
      </c>
      <c r="J7" s="997">
        <f t="shared" si="0"/>
        <v>296221.5</v>
      </c>
      <c r="K7" s="993"/>
      <c r="L7" s="993"/>
      <c r="M7" s="993" t="s">
        <v>743</v>
      </c>
      <c r="N7" s="993"/>
    </row>
    <row r="8" spans="1:14" ht="16.899999999999999" hidden="1" customHeight="1">
      <c r="A8" s="1003" t="s">
        <v>79</v>
      </c>
      <c r="B8" s="1004" t="s">
        <v>378</v>
      </c>
      <c r="C8" s="1004" t="s">
        <v>379</v>
      </c>
      <c r="D8" s="1005" t="s">
        <v>380</v>
      </c>
      <c r="E8" s="1006" t="s">
        <v>381</v>
      </c>
      <c r="F8" s="1007">
        <v>316265001</v>
      </c>
      <c r="G8" s="1008" t="s">
        <v>382</v>
      </c>
      <c r="H8" s="1009"/>
      <c r="I8" s="1010"/>
      <c r="J8" s="997">
        <f t="shared" ref="J8:J9" si="1">H8+I8</f>
        <v>0</v>
      </c>
      <c r="K8" s="1005"/>
      <c r="L8" s="1005"/>
      <c r="M8" s="1005"/>
      <c r="N8" s="1019" t="s">
        <v>742</v>
      </c>
    </row>
    <row r="9" spans="1:14" ht="16.899999999999999" hidden="1" customHeight="1">
      <c r="A9" s="1003" t="s">
        <v>80</v>
      </c>
      <c r="B9" s="1004" t="s">
        <v>383</v>
      </c>
      <c r="C9" s="1004" t="s">
        <v>384</v>
      </c>
      <c r="D9" s="1005" t="s">
        <v>385</v>
      </c>
      <c r="E9" s="1006" t="s">
        <v>386</v>
      </c>
      <c r="F9" s="1037">
        <v>317058001</v>
      </c>
      <c r="G9" s="1008" t="s">
        <v>382</v>
      </c>
      <c r="H9" s="1009"/>
      <c r="I9" s="1010"/>
      <c r="J9" s="997">
        <f t="shared" si="1"/>
        <v>0</v>
      </c>
      <c r="K9" s="1005"/>
      <c r="L9" s="1005"/>
      <c r="M9" s="1005"/>
      <c r="N9" s="993" t="s">
        <v>744</v>
      </c>
    </row>
    <row r="10" spans="1:14" ht="16.899999999999999" customHeight="1">
      <c r="A10" s="1017" t="s">
        <v>331</v>
      </c>
      <c r="B10" s="1018" t="s">
        <v>641</v>
      </c>
      <c r="C10" s="1018" t="s">
        <v>623</v>
      </c>
      <c r="D10" s="1019" t="s">
        <v>624</v>
      </c>
      <c r="E10" s="1103" t="s">
        <v>625</v>
      </c>
      <c r="F10" s="1107">
        <v>320807001</v>
      </c>
      <c r="G10" s="1021" t="s">
        <v>642</v>
      </c>
      <c r="H10" s="1022">
        <v>282455.5</v>
      </c>
      <c r="I10" s="1022"/>
      <c r="J10" s="997">
        <f>H10+I10</f>
        <v>282455.5</v>
      </c>
      <c r="K10" s="993"/>
      <c r="L10" s="1019"/>
      <c r="M10" s="1019" t="s">
        <v>742</v>
      </c>
      <c r="N10" s="993"/>
    </row>
    <row r="11" spans="1:14" ht="16.899999999999999" hidden="1" customHeight="1">
      <c r="A11" s="1003" t="s">
        <v>81</v>
      </c>
      <c r="B11" s="1004" t="s">
        <v>378</v>
      </c>
      <c r="C11" s="1004" t="s">
        <v>379</v>
      </c>
      <c r="D11" s="1005" t="s">
        <v>380</v>
      </c>
      <c r="E11" s="1006" t="s">
        <v>381</v>
      </c>
      <c r="F11" s="1007">
        <v>316266001</v>
      </c>
      <c r="G11" s="1008" t="s">
        <v>382</v>
      </c>
      <c r="H11" s="1009"/>
      <c r="I11" s="1009"/>
      <c r="J11" s="997">
        <f>H11+I11</f>
        <v>0</v>
      </c>
      <c r="K11" s="1005"/>
      <c r="L11" s="1005"/>
      <c r="M11" s="1005"/>
      <c r="N11" s="993" t="s">
        <v>744</v>
      </c>
    </row>
    <row r="12" spans="1:14" ht="15">
      <c r="A12" s="1017" t="s">
        <v>810</v>
      </c>
      <c r="B12" s="1018" t="s">
        <v>837</v>
      </c>
      <c r="C12" s="1018" t="s">
        <v>811</v>
      </c>
      <c r="D12" s="1104" t="s">
        <v>812</v>
      </c>
      <c r="E12" s="1147" t="s">
        <v>813</v>
      </c>
      <c r="F12" s="1170">
        <v>260632001</v>
      </c>
      <c r="G12" s="1161" t="s">
        <v>873</v>
      </c>
      <c r="H12" s="1022">
        <v>99000</v>
      </c>
      <c r="I12" s="1153"/>
      <c r="J12" s="1158">
        <f t="shared" ref="J12" si="2">H12+I12</f>
        <v>99000</v>
      </c>
      <c r="K12" s="1162" t="s">
        <v>363</v>
      </c>
      <c r="L12" s="1163" t="s">
        <v>875</v>
      </c>
      <c r="M12" s="1171" t="s">
        <v>745</v>
      </c>
      <c r="N12" s="1154"/>
    </row>
    <row r="13" spans="1:14" ht="16.899999999999999" customHeight="1">
      <c r="A13" s="991" t="s">
        <v>754</v>
      </c>
      <c r="B13" s="992" t="s">
        <v>358</v>
      </c>
      <c r="C13" s="992" t="s">
        <v>359</v>
      </c>
      <c r="D13" s="993" t="s">
        <v>360</v>
      </c>
      <c r="E13" s="994" t="s">
        <v>361</v>
      </c>
      <c r="F13" s="995">
        <v>316392001</v>
      </c>
      <c r="G13" s="996" t="s">
        <v>362</v>
      </c>
      <c r="H13" s="997">
        <v>150776.5</v>
      </c>
      <c r="I13" s="997">
        <v>350000</v>
      </c>
      <c r="J13" s="997">
        <f t="shared" ref="J13:J16" si="3">H13+I13</f>
        <v>500776.5</v>
      </c>
      <c r="K13" s="993" t="s">
        <v>874</v>
      </c>
      <c r="L13" s="993" t="s">
        <v>876</v>
      </c>
      <c r="M13" s="993" t="s">
        <v>744</v>
      </c>
      <c r="N13" s="1019"/>
    </row>
    <row r="14" spans="1:14" ht="16.899999999999999" customHeight="1">
      <c r="A14" s="991" t="s">
        <v>64</v>
      </c>
      <c r="B14" s="992" t="s">
        <v>364</v>
      </c>
      <c r="C14" s="992" t="s">
        <v>365</v>
      </c>
      <c r="D14" s="993" t="s">
        <v>366</v>
      </c>
      <c r="E14" s="994" t="s">
        <v>367</v>
      </c>
      <c r="F14" s="1012">
        <v>316245001</v>
      </c>
      <c r="G14" s="996" t="s">
        <v>368</v>
      </c>
      <c r="H14" s="997">
        <v>137056</v>
      </c>
      <c r="I14" s="997">
        <v>350000</v>
      </c>
      <c r="J14" s="997">
        <f t="shared" si="3"/>
        <v>487056</v>
      </c>
      <c r="K14" s="1011" t="s">
        <v>874</v>
      </c>
      <c r="L14" s="993" t="s">
        <v>876</v>
      </c>
      <c r="M14" s="993" t="s">
        <v>745</v>
      </c>
      <c r="N14" s="993"/>
    </row>
    <row r="15" spans="1:14" ht="16.899999999999999" customHeight="1">
      <c r="A15" s="1017" t="s">
        <v>576</v>
      </c>
      <c r="B15" s="1018" t="s">
        <v>577</v>
      </c>
      <c r="C15" s="1018" t="s">
        <v>578</v>
      </c>
      <c r="D15" s="1019" t="s">
        <v>579</v>
      </c>
      <c r="E15" s="1104" t="s">
        <v>580</v>
      </c>
      <c r="F15" s="1108">
        <v>316951001</v>
      </c>
      <c r="G15" s="1021" t="s">
        <v>581</v>
      </c>
      <c r="H15" s="1022">
        <v>248873.5</v>
      </c>
      <c r="I15" s="1022"/>
      <c r="J15" s="997">
        <f t="shared" si="3"/>
        <v>248873.5</v>
      </c>
      <c r="K15" s="1111"/>
      <c r="L15" s="993"/>
      <c r="M15" s="993" t="s">
        <v>744</v>
      </c>
      <c r="N15" s="993"/>
    </row>
    <row r="16" spans="1:14" ht="16.899999999999999" customHeight="1">
      <c r="A16" s="1017" t="s">
        <v>334</v>
      </c>
      <c r="B16" s="1018" t="s">
        <v>799</v>
      </c>
      <c r="C16" s="1018" t="s">
        <v>632</v>
      </c>
      <c r="D16" s="1019" t="s">
        <v>633</v>
      </c>
      <c r="E16" s="1105" t="s">
        <v>634</v>
      </c>
      <c r="F16" s="1110">
        <v>320776001</v>
      </c>
      <c r="G16" s="1021" t="s">
        <v>648</v>
      </c>
      <c r="H16" s="1022">
        <v>325709</v>
      </c>
      <c r="I16" s="1022"/>
      <c r="J16" s="997">
        <f t="shared" si="3"/>
        <v>325709</v>
      </c>
      <c r="K16" s="1102"/>
      <c r="L16" s="1019"/>
      <c r="M16" s="1019" t="s">
        <v>745</v>
      </c>
      <c r="N16" s="1045"/>
    </row>
    <row r="17" spans="1:14" ht="16.899999999999999" hidden="1" customHeight="1">
      <c r="A17" s="1071" t="s">
        <v>84</v>
      </c>
      <c r="B17" s="1072" t="s">
        <v>411</v>
      </c>
      <c r="C17" s="1072" t="s">
        <v>412</v>
      </c>
      <c r="D17" s="1073" t="s">
        <v>413</v>
      </c>
      <c r="E17" s="1074" t="s">
        <v>414</v>
      </c>
      <c r="F17" s="1075">
        <v>316300001</v>
      </c>
      <c r="G17" s="1076" t="s">
        <v>415</v>
      </c>
      <c r="H17" s="1077">
        <v>427080</v>
      </c>
      <c r="I17" s="1077">
        <v>0</v>
      </c>
      <c r="J17" s="1077">
        <f>H17+I17</f>
        <v>427080</v>
      </c>
      <c r="K17" s="1078" t="s">
        <v>363</v>
      </c>
      <c r="L17" s="1073" t="s">
        <v>352</v>
      </c>
      <c r="M17" s="1073" t="s">
        <v>745</v>
      </c>
      <c r="N17" s="1045"/>
    </row>
    <row r="18" spans="1:14" ht="16.899999999999999" customHeight="1">
      <c r="A18" s="991" t="s">
        <v>63</v>
      </c>
      <c r="B18" s="992" t="s">
        <v>369</v>
      </c>
      <c r="C18" s="992" t="s">
        <v>370</v>
      </c>
      <c r="D18" s="993" t="s">
        <v>371</v>
      </c>
      <c r="E18" s="994" t="s">
        <v>372</v>
      </c>
      <c r="F18" s="995">
        <v>316459001</v>
      </c>
      <c r="G18" s="996" t="s">
        <v>373</v>
      </c>
      <c r="H18" s="997">
        <v>223365.5</v>
      </c>
      <c r="I18" s="997"/>
      <c r="J18" s="997">
        <f t="shared" ref="J18:J20" si="4">H18+I18</f>
        <v>223365.5</v>
      </c>
      <c r="K18" s="993"/>
      <c r="L18" s="993"/>
      <c r="M18" s="993" t="s">
        <v>745</v>
      </c>
      <c r="N18" s="993"/>
    </row>
    <row r="19" spans="1:14" ht="16.899999999999999" customHeight="1">
      <c r="A19" s="991" t="s">
        <v>78</v>
      </c>
      <c r="B19" s="992" t="s">
        <v>374</v>
      </c>
      <c r="C19" s="992" t="s">
        <v>375</v>
      </c>
      <c r="D19" s="993" t="s">
        <v>732</v>
      </c>
      <c r="E19" s="994" t="s">
        <v>376</v>
      </c>
      <c r="F19" s="995">
        <v>316550001</v>
      </c>
      <c r="G19" s="996" t="s">
        <v>377</v>
      </c>
      <c r="H19" s="997">
        <v>281259</v>
      </c>
      <c r="I19" s="997"/>
      <c r="J19" s="997">
        <f t="shared" si="4"/>
        <v>281259</v>
      </c>
      <c r="K19" s="993"/>
      <c r="L19" s="993"/>
      <c r="M19" s="993" t="s">
        <v>742</v>
      </c>
      <c r="N19" s="993"/>
    </row>
    <row r="20" spans="1:14" ht="16.899999999999999" customHeight="1">
      <c r="A20" s="1043" t="s">
        <v>684</v>
      </c>
      <c r="B20" s="1044" t="s">
        <v>664</v>
      </c>
      <c r="C20" s="1044" t="s">
        <v>651</v>
      </c>
      <c r="D20" s="1045" t="s">
        <v>652</v>
      </c>
      <c r="E20" s="1052" t="s">
        <v>653</v>
      </c>
      <c r="F20" s="1046">
        <v>321008001</v>
      </c>
      <c r="G20" s="1047" t="s">
        <v>679</v>
      </c>
      <c r="H20" s="1022">
        <v>379175</v>
      </c>
      <c r="I20" s="1022"/>
      <c r="J20" s="997">
        <f t="shared" si="4"/>
        <v>379175</v>
      </c>
      <c r="K20" s="1045"/>
      <c r="L20" s="1045"/>
      <c r="M20" s="1045" t="s">
        <v>742</v>
      </c>
      <c r="N20" s="993"/>
    </row>
    <row r="21" spans="1:14" ht="16.899999999999999" hidden="1" customHeight="1">
      <c r="A21" s="1064" t="s">
        <v>431</v>
      </c>
      <c r="B21" s="1065" t="s">
        <v>432</v>
      </c>
      <c r="C21" s="1065" t="s">
        <v>433</v>
      </c>
      <c r="D21" s="1066" t="s">
        <v>434</v>
      </c>
      <c r="E21" s="1067" t="s">
        <v>435</v>
      </c>
      <c r="F21" s="1068">
        <v>316278001</v>
      </c>
      <c r="G21" s="1069" t="s">
        <v>436</v>
      </c>
      <c r="H21" s="1070">
        <v>80328</v>
      </c>
      <c r="I21" s="1070">
        <v>350000</v>
      </c>
      <c r="J21" s="1070">
        <f>H21+I21</f>
        <v>430328</v>
      </c>
      <c r="K21" s="1066" t="s">
        <v>351</v>
      </c>
      <c r="L21" s="1066" t="s">
        <v>352</v>
      </c>
      <c r="M21" s="1066" t="s">
        <v>743</v>
      </c>
      <c r="N21" s="1019" t="s">
        <v>746</v>
      </c>
    </row>
    <row r="22" spans="1:14" ht="16.899999999999999" hidden="1" customHeight="1">
      <c r="A22" s="1071" t="s">
        <v>69</v>
      </c>
      <c r="B22" s="1072" t="s">
        <v>437</v>
      </c>
      <c r="C22" s="1072" t="s">
        <v>438</v>
      </c>
      <c r="D22" s="1073" t="s">
        <v>439</v>
      </c>
      <c r="E22" s="1080" t="s">
        <v>440</v>
      </c>
      <c r="F22" s="1075">
        <v>316279001</v>
      </c>
      <c r="G22" s="1076" t="s">
        <v>441</v>
      </c>
      <c r="H22" s="1077">
        <v>69735</v>
      </c>
      <c r="I22" s="1077">
        <v>350000</v>
      </c>
      <c r="J22" s="1077">
        <f>H22+I22</f>
        <v>419735</v>
      </c>
      <c r="K22" s="1078" t="s">
        <v>351</v>
      </c>
      <c r="L22" s="1073" t="s">
        <v>352</v>
      </c>
      <c r="M22" s="1073" t="s">
        <v>745</v>
      </c>
      <c r="N22" s="993" t="s">
        <v>744</v>
      </c>
    </row>
    <row r="23" spans="1:14" ht="16.899999999999999" customHeight="1">
      <c r="A23" s="1043" t="s">
        <v>790</v>
      </c>
      <c r="B23" s="1056" t="s">
        <v>801</v>
      </c>
      <c r="C23" s="1044" t="s">
        <v>731</v>
      </c>
      <c r="D23" s="1045" t="s">
        <v>736</v>
      </c>
      <c r="E23" s="1052" t="s">
        <v>730</v>
      </c>
      <c r="F23" s="1046">
        <v>321214001</v>
      </c>
      <c r="G23" s="1047" t="s">
        <v>798</v>
      </c>
      <c r="H23" s="1022">
        <v>99000</v>
      </c>
      <c r="I23" s="1022"/>
      <c r="J23" s="997">
        <f t="shared" ref="J23:J24" si="5">H23+I23</f>
        <v>99000</v>
      </c>
      <c r="K23" s="1045" t="s">
        <v>363</v>
      </c>
      <c r="L23" s="1045" t="s">
        <v>875</v>
      </c>
      <c r="M23" s="1045" t="s">
        <v>742</v>
      </c>
      <c r="N23" s="993"/>
    </row>
    <row r="24" spans="1:14" ht="16.899999999999999" customHeight="1">
      <c r="A24" s="1127" t="s">
        <v>750</v>
      </c>
      <c r="B24" s="992" t="s">
        <v>487</v>
      </c>
      <c r="C24" s="992" t="s">
        <v>488</v>
      </c>
      <c r="D24" s="993" t="s">
        <v>489</v>
      </c>
      <c r="E24" s="994" t="s">
        <v>490</v>
      </c>
      <c r="F24" s="1106">
        <v>316514001</v>
      </c>
      <c r="G24" s="996" t="s">
        <v>491</v>
      </c>
      <c r="H24" s="997">
        <v>219626.52</v>
      </c>
      <c r="I24" s="997">
        <v>350000</v>
      </c>
      <c r="J24" s="997">
        <f t="shared" si="5"/>
        <v>569626.52</v>
      </c>
      <c r="K24" s="993" t="s">
        <v>874</v>
      </c>
      <c r="L24" s="993" t="s">
        <v>876</v>
      </c>
      <c r="M24" s="993" t="s">
        <v>745</v>
      </c>
      <c r="N24" s="993" t="s">
        <v>757</v>
      </c>
    </row>
    <row r="25" spans="1:14" ht="16.899999999999999" hidden="1" customHeight="1">
      <c r="A25" s="1071" t="s">
        <v>58</v>
      </c>
      <c r="B25" s="1072" t="s">
        <v>452</v>
      </c>
      <c r="C25" s="1072" t="s">
        <v>453</v>
      </c>
      <c r="D25" s="1073" t="s">
        <v>454</v>
      </c>
      <c r="E25" s="1081" t="s">
        <v>455</v>
      </c>
      <c r="F25" s="1082">
        <v>316299001</v>
      </c>
      <c r="G25" s="1076" t="s">
        <v>456</v>
      </c>
      <c r="H25" s="1077">
        <v>93170</v>
      </c>
      <c r="I25" s="1077">
        <v>0</v>
      </c>
      <c r="J25" s="1077">
        <f t="shared" ref="J25:J32" si="6">H25+I25</f>
        <v>93170</v>
      </c>
      <c r="K25" s="1083" t="s">
        <v>363</v>
      </c>
      <c r="L25" s="1073" t="s">
        <v>352</v>
      </c>
      <c r="M25" s="1073" t="s">
        <v>746</v>
      </c>
      <c r="N25" s="993" t="s">
        <v>745</v>
      </c>
    </row>
    <row r="26" spans="1:14" ht="16.899999999999999" hidden="1" customHeight="1">
      <c r="A26" s="1071" t="s">
        <v>75</v>
      </c>
      <c r="B26" s="1072" t="s">
        <v>457</v>
      </c>
      <c r="C26" s="1072" t="s">
        <v>458</v>
      </c>
      <c r="D26" s="1073" t="s">
        <v>459</v>
      </c>
      <c r="E26" s="1080" t="s">
        <v>460</v>
      </c>
      <c r="F26" s="1084">
        <v>316303001</v>
      </c>
      <c r="G26" s="1076" t="s">
        <v>461</v>
      </c>
      <c r="H26" s="1077">
        <v>87400</v>
      </c>
      <c r="I26" s="1077">
        <v>350000</v>
      </c>
      <c r="J26" s="1077">
        <f t="shared" si="6"/>
        <v>437400</v>
      </c>
      <c r="K26" s="1073" t="s">
        <v>351</v>
      </c>
      <c r="L26" s="1073" t="s">
        <v>352</v>
      </c>
      <c r="M26" s="1073" t="s">
        <v>742</v>
      </c>
      <c r="N26" s="993" t="s">
        <v>742</v>
      </c>
    </row>
    <row r="27" spans="1:14" ht="16.899999999999999" customHeight="1">
      <c r="A27" s="991" t="s">
        <v>53</v>
      </c>
      <c r="B27" s="992" t="s">
        <v>462</v>
      </c>
      <c r="C27" s="992" t="s">
        <v>463</v>
      </c>
      <c r="D27" s="993" t="s">
        <v>715</v>
      </c>
      <c r="E27" s="994" t="s">
        <v>464</v>
      </c>
      <c r="F27" s="1015">
        <v>232152001</v>
      </c>
      <c r="G27" s="996" t="s">
        <v>465</v>
      </c>
      <c r="H27" s="997">
        <v>131895.04999999999</v>
      </c>
      <c r="I27" s="997">
        <v>350000</v>
      </c>
      <c r="J27" s="997">
        <f t="shared" si="6"/>
        <v>481895.05</v>
      </c>
      <c r="K27" s="993" t="s">
        <v>874</v>
      </c>
      <c r="L27" s="993" t="s">
        <v>877</v>
      </c>
      <c r="M27" s="993" t="s">
        <v>745</v>
      </c>
      <c r="N27" s="1019" t="s">
        <v>757</v>
      </c>
    </row>
    <row r="28" spans="1:14" ht="16.899999999999999" customHeight="1">
      <c r="A28" s="991" t="s">
        <v>171</v>
      </c>
      <c r="B28" s="992" t="s">
        <v>447</v>
      </c>
      <c r="C28" s="992" t="s">
        <v>448</v>
      </c>
      <c r="D28" s="993" t="s">
        <v>449</v>
      </c>
      <c r="E28" s="994" t="s">
        <v>450</v>
      </c>
      <c r="F28" s="1013">
        <v>316420001</v>
      </c>
      <c r="G28" s="996" t="s">
        <v>451</v>
      </c>
      <c r="H28" s="997">
        <v>418867.02</v>
      </c>
      <c r="I28" s="997"/>
      <c r="J28" s="997">
        <f t="shared" si="6"/>
        <v>418867.02</v>
      </c>
      <c r="K28" s="1014"/>
      <c r="L28" s="993"/>
      <c r="M28" s="993" t="s">
        <v>742</v>
      </c>
      <c r="N28" s="993"/>
    </row>
    <row r="29" spans="1:14" ht="16.899999999999999" hidden="1" customHeight="1">
      <c r="A29" s="1071" t="s">
        <v>181</v>
      </c>
      <c r="B29" s="1072" t="s">
        <v>471</v>
      </c>
      <c r="C29" s="1072" t="s">
        <v>472</v>
      </c>
      <c r="D29" s="1073" t="s">
        <v>473</v>
      </c>
      <c r="E29" s="1080" t="s">
        <v>474</v>
      </c>
      <c r="F29" s="1075">
        <v>316510001</v>
      </c>
      <c r="G29" s="1076" t="s">
        <v>475</v>
      </c>
      <c r="H29" s="1077">
        <v>91360</v>
      </c>
      <c r="I29" s="1077">
        <v>350000</v>
      </c>
      <c r="J29" s="1077">
        <f t="shared" si="6"/>
        <v>441360</v>
      </c>
      <c r="K29" s="1078" t="s">
        <v>351</v>
      </c>
      <c r="L29" s="1073" t="s">
        <v>352</v>
      </c>
      <c r="M29" s="1073" t="s">
        <v>742</v>
      </c>
      <c r="N29" s="1019" t="s">
        <v>742</v>
      </c>
    </row>
    <row r="30" spans="1:14" ht="16.899999999999999" hidden="1" customHeight="1">
      <c r="A30" s="1085" t="s">
        <v>476</v>
      </c>
      <c r="B30" s="1086" t="s">
        <v>477</v>
      </c>
      <c r="C30" s="1086" t="s">
        <v>478</v>
      </c>
      <c r="D30" s="1078" t="s">
        <v>479</v>
      </c>
      <c r="E30" s="1087" t="s">
        <v>480</v>
      </c>
      <c r="F30" s="1075">
        <v>316677001</v>
      </c>
      <c r="G30" s="1076" t="s">
        <v>481</v>
      </c>
      <c r="H30" s="1077">
        <v>23030</v>
      </c>
      <c r="I30" s="1077">
        <v>350000</v>
      </c>
      <c r="J30" s="1077">
        <f t="shared" si="6"/>
        <v>373030</v>
      </c>
      <c r="K30" s="1078" t="s">
        <v>351</v>
      </c>
      <c r="L30" s="1073" t="s">
        <v>352</v>
      </c>
      <c r="M30" s="1073" t="s">
        <v>745</v>
      </c>
      <c r="N30" s="993" t="s">
        <v>742</v>
      </c>
    </row>
    <row r="31" spans="1:14" ht="16.899999999999999" customHeight="1">
      <c r="A31" s="1100" t="s">
        <v>863</v>
      </c>
      <c r="B31" s="1101" t="s">
        <v>864</v>
      </c>
      <c r="C31" s="1101" t="s">
        <v>635</v>
      </c>
      <c r="D31" s="1102" t="s">
        <v>636</v>
      </c>
      <c r="E31" s="1216" t="s">
        <v>637</v>
      </c>
      <c r="F31" s="1110">
        <v>323224001</v>
      </c>
      <c r="G31" s="1021" t="s">
        <v>869</v>
      </c>
      <c r="H31" s="1022">
        <v>99000</v>
      </c>
      <c r="I31" s="1022">
        <v>350000</v>
      </c>
      <c r="J31" s="997">
        <f t="shared" si="6"/>
        <v>449000</v>
      </c>
      <c r="K31" s="1102" t="s">
        <v>874</v>
      </c>
      <c r="L31" s="1019" t="s">
        <v>876</v>
      </c>
      <c r="M31" s="1019" t="s">
        <v>746</v>
      </c>
      <c r="N31" s="1045" t="s">
        <v>757</v>
      </c>
    </row>
    <row r="32" spans="1:14" ht="16.899999999999999" customHeight="1">
      <c r="A32" s="1016" t="s">
        <v>44</v>
      </c>
      <c r="B32" s="1000" t="s">
        <v>387</v>
      </c>
      <c r="C32" s="1000" t="s">
        <v>388</v>
      </c>
      <c r="D32" s="1014" t="s">
        <v>389</v>
      </c>
      <c r="E32" s="1002" t="s">
        <v>390</v>
      </c>
      <c r="F32" s="1038">
        <v>316395001</v>
      </c>
      <c r="G32" s="996" t="s">
        <v>391</v>
      </c>
      <c r="H32" s="997">
        <v>268950.5</v>
      </c>
      <c r="I32" s="997"/>
      <c r="J32" s="997">
        <f t="shared" si="6"/>
        <v>268950.5</v>
      </c>
      <c r="K32" s="1014"/>
      <c r="L32" s="993"/>
      <c r="M32" s="993" t="s">
        <v>744</v>
      </c>
      <c r="N32" s="1019"/>
    </row>
    <row r="33" spans="1:14" ht="16.899999999999999" customHeight="1">
      <c r="A33" s="1086" t="s">
        <v>159</v>
      </c>
      <c r="B33" s="1072" t="s">
        <v>492</v>
      </c>
      <c r="C33" s="1072" t="s">
        <v>493</v>
      </c>
      <c r="D33" s="1073" t="s">
        <v>494</v>
      </c>
      <c r="E33" s="1081" t="s">
        <v>638</v>
      </c>
      <c r="F33" s="1075">
        <v>316506001</v>
      </c>
      <c r="G33" s="1076" t="s">
        <v>495</v>
      </c>
      <c r="H33" s="1077">
        <v>398333</v>
      </c>
      <c r="I33" s="1077"/>
      <c r="J33" s="1077">
        <f t="shared" ref="J33:J45" si="7">H33+I33</f>
        <v>398333</v>
      </c>
      <c r="K33" s="1078"/>
      <c r="L33" s="1073"/>
      <c r="M33" s="1073" t="s">
        <v>742</v>
      </c>
      <c r="N33" s="1045"/>
    </row>
    <row r="34" spans="1:14" ht="16.899999999999999" hidden="1" customHeight="1">
      <c r="A34" s="1000" t="s">
        <v>143</v>
      </c>
      <c r="B34" s="992" t="s">
        <v>466</v>
      </c>
      <c r="C34" s="992" t="s">
        <v>467</v>
      </c>
      <c r="D34" s="993" t="s">
        <v>468</v>
      </c>
      <c r="E34" s="994" t="s">
        <v>469</v>
      </c>
      <c r="F34" s="1013">
        <v>316418001</v>
      </c>
      <c r="G34" s="996" t="s">
        <v>470</v>
      </c>
      <c r="H34" s="997">
        <v>239093.5</v>
      </c>
      <c r="I34" s="997"/>
      <c r="J34" s="997">
        <f t="shared" si="7"/>
        <v>239093.5</v>
      </c>
      <c r="K34" s="1014"/>
      <c r="L34" s="993"/>
      <c r="M34" s="993" t="s">
        <v>742</v>
      </c>
      <c r="N34" s="993"/>
    </row>
    <row r="35" spans="1:14" ht="16.899999999999999" customHeight="1">
      <c r="A35" s="991" t="s">
        <v>66</v>
      </c>
      <c r="B35" s="992" t="s">
        <v>392</v>
      </c>
      <c r="C35" s="992" t="s">
        <v>393</v>
      </c>
      <c r="D35" s="993" t="s">
        <v>394</v>
      </c>
      <c r="E35" s="1168" t="s">
        <v>395</v>
      </c>
      <c r="F35" s="1013">
        <v>316314001</v>
      </c>
      <c r="G35" s="996" t="s">
        <v>396</v>
      </c>
      <c r="H35" s="997">
        <v>219500</v>
      </c>
      <c r="I35" s="997">
        <v>0</v>
      </c>
      <c r="J35" s="997">
        <f t="shared" si="7"/>
        <v>219500</v>
      </c>
      <c r="K35" s="1014"/>
      <c r="L35" s="993"/>
      <c r="M35" s="993" t="s">
        <v>742</v>
      </c>
      <c r="N35" s="1045"/>
    </row>
    <row r="36" spans="1:14" ht="16.899999999999999" hidden="1" customHeight="1">
      <c r="A36" s="1071" t="s">
        <v>311</v>
      </c>
      <c r="B36" s="1072" t="s">
        <v>506</v>
      </c>
      <c r="C36" s="1072" t="s">
        <v>507</v>
      </c>
      <c r="D36" s="1073" t="s">
        <v>508</v>
      </c>
      <c r="E36" s="1073" t="s">
        <v>509</v>
      </c>
      <c r="F36" s="1084">
        <v>316504001</v>
      </c>
      <c r="G36" s="1076" t="s">
        <v>510</v>
      </c>
      <c r="H36" s="1077">
        <v>48123.5</v>
      </c>
      <c r="I36" s="1077">
        <v>350000</v>
      </c>
      <c r="J36" s="1077">
        <f t="shared" si="7"/>
        <v>398123.5</v>
      </c>
      <c r="K36" s="1073" t="s">
        <v>351</v>
      </c>
      <c r="L36" s="1073" t="s">
        <v>352</v>
      </c>
      <c r="M36" s="1073" t="s">
        <v>742</v>
      </c>
      <c r="N36" s="993" t="s">
        <v>742</v>
      </c>
    </row>
    <row r="37" spans="1:14" ht="16.899999999999999" hidden="1" customHeight="1">
      <c r="A37" s="1071" t="s">
        <v>186</v>
      </c>
      <c r="B37" s="1072" t="s">
        <v>511</v>
      </c>
      <c r="C37" s="1072" t="s">
        <v>512</v>
      </c>
      <c r="D37" s="1073" t="s">
        <v>513</v>
      </c>
      <c r="E37" s="1073" t="s">
        <v>514</v>
      </c>
      <c r="F37" s="1088">
        <v>316602001</v>
      </c>
      <c r="G37" s="1076" t="s">
        <v>515</v>
      </c>
      <c r="H37" s="1077">
        <v>75270</v>
      </c>
      <c r="I37" s="1077">
        <v>350000</v>
      </c>
      <c r="J37" s="1077">
        <f t="shared" si="7"/>
        <v>425270</v>
      </c>
      <c r="K37" s="1089" t="s">
        <v>351</v>
      </c>
      <c r="L37" s="1073" t="s">
        <v>352</v>
      </c>
      <c r="M37" s="1073" t="s">
        <v>742</v>
      </c>
      <c r="N37" s="993" t="s">
        <v>742</v>
      </c>
    </row>
    <row r="38" spans="1:14" ht="16.899999999999999" customHeight="1">
      <c r="A38" s="991" t="s">
        <v>516</v>
      </c>
      <c r="B38" s="1018" t="s">
        <v>517</v>
      </c>
      <c r="C38" s="1018" t="s">
        <v>518</v>
      </c>
      <c r="D38" s="1019" t="s">
        <v>519</v>
      </c>
      <c r="E38" s="1169" t="s">
        <v>520</v>
      </c>
      <c r="F38" s="1020">
        <v>317174002</v>
      </c>
      <c r="G38" s="1021" t="s">
        <v>521</v>
      </c>
      <c r="H38" s="1022">
        <v>238518</v>
      </c>
      <c r="I38" s="1022"/>
      <c r="J38" s="997">
        <f t="shared" si="7"/>
        <v>238518</v>
      </c>
      <c r="K38" s="1023"/>
      <c r="L38" s="993"/>
      <c r="M38" s="993" t="s">
        <v>744</v>
      </c>
      <c r="N38" s="993" t="s">
        <v>745</v>
      </c>
    </row>
    <row r="39" spans="1:14" ht="16.899999999999999" customHeight="1">
      <c r="A39" s="991" t="s">
        <v>65</v>
      </c>
      <c r="B39" s="992" t="s">
        <v>397</v>
      </c>
      <c r="C39" s="992" t="s">
        <v>398</v>
      </c>
      <c r="D39" s="993" t="s">
        <v>399</v>
      </c>
      <c r="E39" s="994" t="s">
        <v>400</v>
      </c>
      <c r="F39" s="995">
        <v>316311001</v>
      </c>
      <c r="G39" s="996" t="s">
        <v>401</v>
      </c>
      <c r="H39" s="997">
        <v>187654</v>
      </c>
      <c r="I39" s="997">
        <v>350000</v>
      </c>
      <c r="J39" s="997">
        <f>H39+I39</f>
        <v>537654</v>
      </c>
      <c r="K39" s="993" t="s">
        <v>874</v>
      </c>
      <c r="L39" s="993" t="s">
        <v>876</v>
      </c>
      <c r="M39" s="993" t="s">
        <v>745</v>
      </c>
      <c r="N39" s="1019"/>
    </row>
    <row r="40" spans="1:14" ht="16.899999999999999" hidden="1" customHeight="1">
      <c r="A40" s="1024" t="s">
        <v>528</v>
      </c>
      <c r="B40" s="1025" t="s">
        <v>529</v>
      </c>
      <c r="C40" s="1025" t="s">
        <v>530</v>
      </c>
      <c r="D40" s="1026" t="s">
        <v>531</v>
      </c>
      <c r="E40" s="1026" t="s">
        <v>532</v>
      </c>
      <c r="F40" s="1027">
        <v>316987001</v>
      </c>
      <c r="G40" s="1028"/>
      <c r="H40" s="1029"/>
      <c r="I40" s="1029"/>
      <c r="J40" s="997">
        <f t="shared" si="7"/>
        <v>0</v>
      </c>
      <c r="K40" s="1026"/>
      <c r="L40" s="1026"/>
      <c r="M40" s="1026"/>
      <c r="N40" s="993" t="s">
        <v>744</v>
      </c>
    </row>
    <row r="41" spans="1:14" ht="16.899999999999999" hidden="1" customHeight="1">
      <c r="A41" s="1090" t="s">
        <v>533</v>
      </c>
      <c r="B41" s="1091" t="s">
        <v>534</v>
      </c>
      <c r="C41" s="1092" t="s">
        <v>535</v>
      </c>
      <c r="D41" s="1093" t="s">
        <v>536</v>
      </c>
      <c r="E41" s="1093" t="s">
        <v>537</v>
      </c>
      <c r="F41" s="1094">
        <v>316854001</v>
      </c>
      <c r="G41" s="1095" t="s">
        <v>538</v>
      </c>
      <c r="H41" s="1096">
        <v>99000</v>
      </c>
      <c r="I41" s="1096">
        <v>99000</v>
      </c>
      <c r="J41" s="1096">
        <f t="shared" si="7"/>
        <v>198000</v>
      </c>
      <c r="K41" s="1097" t="s">
        <v>363</v>
      </c>
      <c r="L41" s="1093" t="s">
        <v>352</v>
      </c>
      <c r="M41" s="1093" t="s">
        <v>382</v>
      </c>
      <c r="N41" s="1011" t="s">
        <v>745</v>
      </c>
    </row>
    <row r="42" spans="1:14" ht="16.899999999999999" customHeight="1">
      <c r="A42" s="1145" t="s">
        <v>539</v>
      </c>
      <c r="B42" s="1039" t="s">
        <v>868</v>
      </c>
      <c r="C42" s="1018" t="s">
        <v>540</v>
      </c>
      <c r="D42" s="1019" t="s">
        <v>541</v>
      </c>
      <c r="E42" s="1019" t="s">
        <v>542</v>
      </c>
      <c r="F42" s="1020">
        <v>317390001</v>
      </c>
      <c r="G42" s="1021" t="s">
        <v>543</v>
      </c>
      <c r="H42" s="1022">
        <v>313204.62</v>
      </c>
      <c r="I42" s="1022"/>
      <c r="J42" s="997">
        <f t="shared" si="7"/>
        <v>313204.62</v>
      </c>
      <c r="K42" s="1023"/>
      <c r="L42" s="993"/>
      <c r="M42" s="1156" t="s">
        <v>742</v>
      </c>
      <c r="N42" s="1154"/>
    </row>
    <row r="43" spans="1:14" ht="16.899999999999999" hidden="1" customHeight="1">
      <c r="A43" s="1071" t="s">
        <v>266</v>
      </c>
      <c r="B43" s="1072" t="s">
        <v>544</v>
      </c>
      <c r="C43" s="1072" t="s">
        <v>545</v>
      </c>
      <c r="D43" s="1073" t="s">
        <v>546</v>
      </c>
      <c r="E43" s="1073" t="s">
        <v>547</v>
      </c>
      <c r="F43" s="1084">
        <v>316873001</v>
      </c>
      <c r="G43" s="1076" t="s">
        <v>548</v>
      </c>
      <c r="H43" s="1077">
        <v>64321.5</v>
      </c>
      <c r="I43" s="1077">
        <v>350000</v>
      </c>
      <c r="J43" s="1077">
        <f t="shared" si="7"/>
        <v>414321.5</v>
      </c>
      <c r="K43" s="1073" t="s">
        <v>351</v>
      </c>
      <c r="L43" s="1073" t="s">
        <v>352</v>
      </c>
      <c r="M43" s="1073" t="s">
        <v>745</v>
      </c>
      <c r="N43" s="1079">
        <v>44708</v>
      </c>
    </row>
    <row r="44" spans="1:14" ht="16.899999999999999" customHeight="1">
      <c r="A44" s="991" t="s">
        <v>82</v>
      </c>
      <c r="B44" s="992" t="s">
        <v>402</v>
      </c>
      <c r="C44" s="992" t="s">
        <v>370</v>
      </c>
      <c r="D44" s="993" t="s">
        <v>403</v>
      </c>
      <c r="E44" s="994" t="s">
        <v>404</v>
      </c>
      <c r="F44" s="995">
        <v>316265001</v>
      </c>
      <c r="G44" s="996" t="s">
        <v>405</v>
      </c>
      <c r="H44" s="997">
        <v>247931.5</v>
      </c>
      <c r="I44" s="997"/>
      <c r="J44" s="997">
        <f>H44+I44</f>
        <v>247931.5</v>
      </c>
      <c r="K44" s="993"/>
      <c r="L44" s="993"/>
      <c r="M44" s="1156" t="s">
        <v>742</v>
      </c>
      <c r="N44" s="1155"/>
    </row>
    <row r="45" spans="1:14" ht="16.899999999999999" hidden="1" customHeight="1">
      <c r="A45" s="1090" t="s">
        <v>554</v>
      </c>
      <c r="B45" s="1092" t="s">
        <v>555</v>
      </c>
      <c r="C45" s="1092" t="s">
        <v>556</v>
      </c>
      <c r="D45" s="1093" t="s">
        <v>557</v>
      </c>
      <c r="E45" s="1093" t="s">
        <v>558</v>
      </c>
      <c r="F45" s="1094">
        <v>317146001</v>
      </c>
      <c r="G45" s="1095" t="s">
        <v>559</v>
      </c>
      <c r="H45" s="1096">
        <v>99000</v>
      </c>
      <c r="I45" s="1096">
        <v>99000</v>
      </c>
      <c r="J45" s="1096">
        <f t="shared" si="7"/>
        <v>198000</v>
      </c>
      <c r="K45" s="1097" t="s">
        <v>363</v>
      </c>
      <c r="L45" s="1093" t="s">
        <v>352</v>
      </c>
      <c r="M45" s="1093" t="s">
        <v>382</v>
      </c>
      <c r="N45" s="998"/>
    </row>
    <row r="46" spans="1:14" ht="16.899999999999999" customHeight="1">
      <c r="A46" s="1017" t="s">
        <v>329</v>
      </c>
      <c r="B46" s="1018" t="s">
        <v>639</v>
      </c>
      <c r="C46" s="1018" t="s">
        <v>620</v>
      </c>
      <c r="D46" s="1019" t="s">
        <v>621</v>
      </c>
      <c r="E46" s="1032" t="s">
        <v>622</v>
      </c>
      <c r="F46" s="1031">
        <v>320795001</v>
      </c>
      <c r="G46" s="1021" t="s">
        <v>640</v>
      </c>
      <c r="H46" s="1022">
        <v>58350.5</v>
      </c>
      <c r="I46" s="1022">
        <v>350000</v>
      </c>
      <c r="J46" s="997">
        <f>H46+I46</f>
        <v>408350.5</v>
      </c>
      <c r="K46" s="1019" t="s">
        <v>874</v>
      </c>
      <c r="L46" s="1019" t="s">
        <v>878</v>
      </c>
      <c r="M46" s="1104" t="s">
        <v>742</v>
      </c>
      <c r="N46" s="1155"/>
    </row>
    <row r="47" spans="1:14" ht="16.899999999999999" hidden="1" customHeight="1">
      <c r="A47" s="1071" t="s">
        <v>240</v>
      </c>
      <c r="B47" s="1072" t="s">
        <v>565</v>
      </c>
      <c r="C47" s="1072" t="s">
        <v>566</v>
      </c>
      <c r="D47" s="1073" t="s">
        <v>567</v>
      </c>
      <c r="E47" s="1073" t="s">
        <v>568</v>
      </c>
      <c r="F47" s="1088">
        <v>317342001</v>
      </c>
      <c r="G47" s="1076" t="s">
        <v>569</v>
      </c>
      <c r="H47" s="1077">
        <v>95430</v>
      </c>
      <c r="I47" s="1077">
        <v>0</v>
      </c>
      <c r="J47" s="1077">
        <f>H47+I47</f>
        <v>95430</v>
      </c>
      <c r="K47" s="1089" t="s">
        <v>363</v>
      </c>
      <c r="L47" s="1073" t="s">
        <v>352</v>
      </c>
      <c r="M47" s="1073" t="s">
        <v>746</v>
      </c>
      <c r="N47" s="1079">
        <v>44615</v>
      </c>
    </row>
    <row r="48" spans="1:14" ht="16.899999999999999" hidden="1" customHeight="1">
      <c r="A48" s="1098" t="s">
        <v>570</v>
      </c>
      <c r="B48" s="1092" t="s">
        <v>571</v>
      </c>
      <c r="C48" s="1092" t="s">
        <v>572</v>
      </c>
      <c r="D48" s="1093" t="s">
        <v>573</v>
      </c>
      <c r="E48" s="1093" t="s">
        <v>574</v>
      </c>
      <c r="F48" s="1094">
        <v>317481001</v>
      </c>
      <c r="G48" s="1095" t="s">
        <v>575</v>
      </c>
      <c r="H48" s="1096">
        <v>99000</v>
      </c>
      <c r="I48" s="1096">
        <v>99000</v>
      </c>
      <c r="J48" s="1096">
        <f>H48+I48</f>
        <v>198000</v>
      </c>
      <c r="K48" s="1097" t="s">
        <v>351</v>
      </c>
      <c r="L48" s="1093" t="s">
        <v>352</v>
      </c>
      <c r="M48" s="1093" t="s">
        <v>382</v>
      </c>
      <c r="N48" s="998"/>
    </row>
    <row r="49" spans="1:14" ht="16.899999999999999" customHeight="1">
      <c r="A49" s="991" t="s">
        <v>184</v>
      </c>
      <c r="B49" s="992" t="s">
        <v>406</v>
      </c>
      <c r="C49" s="992" t="s">
        <v>407</v>
      </c>
      <c r="D49" s="993" t="s">
        <v>408</v>
      </c>
      <c r="E49" s="994" t="s">
        <v>409</v>
      </c>
      <c r="F49" s="1109">
        <v>316682001</v>
      </c>
      <c r="G49" s="996" t="s">
        <v>410</v>
      </c>
      <c r="H49" s="997">
        <v>323110.5</v>
      </c>
      <c r="I49" s="997"/>
      <c r="J49" s="997">
        <f>H49+I49</f>
        <v>323110.5</v>
      </c>
      <c r="K49" s="1112"/>
      <c r="L49" s="993"/>
      <c r="M49" s="1156" t="s">
        <v>744</v>
      </c>
      <c r="N49" s="1155"/>
    </row>
    <row r="50" spans="1:14" ht="16.899999999999999" hidden="1" customHeight="1">
      <c r="A50" s="991" t="s">
        <v>582</v>
      </c>
      <c r="B50" s="1018" t="s">
        <v>583</v>
      </c>
      <c r="C50" s="1018" t="s">
        <v>584</v>
      </c>
      <c r="D50" s="1019" t="s">
        <v>585</v>
      </c>
      <c r="E50" s="1019" t="s">
        <v>586</v>
      </c>
      <c r="F50" s="1030">
        <v>317369001</v>
      </c>
      <c r="G50" s="1021" t="s">
        <v>587</v>
      </c>
      <c r="H50" s="1022">
        <v>363142</v>
      </c>
      <c r="I50" s="1022"/>
      <c r="J50" s="997">
        <f>H50+I50</f>
        <v>363142</v>
      </c>
      <c r="K50" s="1023"/>
      <c r="L50" s="993"/>
      <c r="M50" s="993" t="s">
        <v>742</v>
      </c>
      <c r="N50" s="998"/>
    </row>
    <row r="51" spans="1:14" ht="16.899999999999999" hidden="1" customHeight="1">
      <c r="A51" s="1090" t="s">
        <v>588</v>
      </c>
      <c r="B51" s="1092" t="s">
        <v>589</v>
      </c>
      <c r="C51" s="1092" t="s">
        <v>590</v>
      </c>
      <c r="D51" s="1093" t="s">
        <v>591</v>
      </c>
      <c r="E51" s="1093" t="s">
        <v>592</v>
      </c>
      <c r="F51" s="1099">
        <v>316936001</v>
      </c>
      <c r="G51" s="1095" t="s">
        <v>593</v>
      </c>
      <c r="H51" s="1096">
        <v>99000</v>
      </c>
      <c r="I51" s="1096">
        <v>99000</v>
      </c>
      <c r="J51" s="1096">
        <v>198000</v>
      </c>
      <c r="K51" s="1097" t="s">
        <v>363</v>
      </c>
      <c r="L51" s="1093" t="s">
        <v>352</v>
      </c>
      <c r="M51" s="1093" t="s">
        <v>382</v>
      </c>
      <c r="N51" s="998"/>
    </row>
    <row r="52" spans="1:14" ht="16.899999999999999" customHeight="1">
      <c r="A52" s="1017" t="s">
        <v>332</v>
      </c>
      <c r="B52" s="1018" t="s">
        <v>643</v>
      </c>
      <c r="C52" s="1018" t="s">
        <v>626</v>
      </c>
      <c r="D52" s="1019" t="s">
        <v>627</v>
      </c>
      <c r="E52" s="1032" t="s">
        <v>628</v>
      </c>
      <c r="F52" s="1031">
        <v>320848001</v>
      </c>
      <c r="G52" s="1021" t="s">
        <v>644</v>
      </c>
      <c r="H52" s="1022">
        <v>208726</v>
      </c>
      <c r="I52" s="1022">
        <v>0</v>
      </c>
      <c r="J52" s="997">
        <f>H52+I52</f>
        <v>208726</v>
      </c>
      <c r="K52" s="1019"/>
      <c r="L52" s="1019"/>
      <c r="M52" s="1104" t="s">
        <v>742</v>
      </c>
      <c r="N52" s="1155"/>
    </row>
    <row r="53" spans="1:14" ht="16.899999999999999" customHeight="1">
      <c r="A53" s="991" t="s">
        <v>246</v>
      </c>
      <c r="B53" s="1018" t="s">
        <v>598</v>
      </c>
      <c r="C53" s="1018" t="s">
        <v>599</v>
      </c>
      <c r="D53" s="1019" t="s">
        <v>600</v>
      </c>
      <c r="E53" s="1019" t="s">
        <v>601</v>
      </c>
      <c r="F53" s="1020">
        <v>317550001</v>
      </c>
      <c r="G53" s="1021" t="s">
        <v>602</v>
      </c>
      <c r="H53" s="1022">
        <v>323333.5</v>
      </c>
      <c r="I53" s="1022"/>
      <c r="J53" s="997">
        <f>H53+I53</f>
        <v>323333.5</v>
      </c>
      <c r="K53" s="1023"/>
      <c r="L53" s="993"/>
      <c r="M53" s="1156" t="s">
        <v>745</v>
      </c>
      <c r="N53" s="1154"/>
    </row>
    <row r="54" spans="1:14" ht="16.899999999999999" hidden="1" customHeight="1">
      <c r="A54" s="1024" t="s">
        <v>603</v>
      </c>
      <c r="B54" s="1025" t="s">
        <v>604</v>
      </c>
      <c r="C54" s="1025" t="s">
        <v>605</v>
      </c>
      <c r="D54" s="1026" t="s">
        <v>606</v>
      </c>
      <c r="E54" s="1026" t="s">
        <v>607</v>
      </c>
      <c r="F54" s="1027">
        <v>289547001</v>
      </c>
      <c r="G54" s="1028"/>
      <c r="H54" s="1029"/>
      <c r="I54" s="1029"/>
      <c r="J54" s="997">
        <v>0</v>
      </c>
      <c r="K54" s="1026"/>
      <c r="L54" s="1026"/>
      <c r="M54" s="1026"/>
      <c r="N54" s="998"/>
    </row>
    <row r="55" spans="1:14" ht="16.899999999999999" hidden="1" customHeight="1">
      <c r="A55" s="1071" t="s">
        <v>608</v>
      </c>
      <c r="B55" s="1072" t="s">
        <v>609</v>
      </c>
      <c r="C55" s="1072" t="s">
        <v>610</v>
      </c>
      <c r="D55" s="1073" t="s">
        <v>611</v>
      </c>
      <c r="E55" s="1073" t="s">
        <v>612</v>
      </c>
      <c r="F55" s="1084">
        <v>317897001</v>
      </c>
      <c r="G55" s="1076" t="s">
        <v>613</v>
      </c>
      <c r="H55" s="1077">
        <v>96226</v>
      </c>
      <c r="I55" s="1077">
        <v>99000</v>
      </c>
      <c r="J55" s="1077">
        <v>195226</v>
      </c>
      <c r="K55" s="1073" t="s">
        <v>363</v>
      </c>
      <c r="L55" s="1073" t="s">
        <v>352</v>
      </c>
      <c r="M55" s="1073" t="s">
        <v>742</v>
      </c>
      <c r="N55" s="1079">
        <v>44666</v>
      </c>
    </row>
    <row r="56" spans="1:14" ht="16.899999999999999" customHeight="1">
      <c r="A56" s="991" t="s">
        <v>189</v>
      </c>
      <c r="B56" s="992" t="s">
        <v>442</v>
      </c>
      <c r="C56" s="992" t="s">
        <v>443</v>
      </c>
      <c r="D56" s="993" t="s">
        <v>444</v>
      </c>
      <c r="E56" s="994" t="s">
        <v>445</v>
      </c>
      <c r="F56" s="995">
        <v>316298001</v>
      </c>
      <c r="G56" s="996" t="s">
        <v>446</v>
      </c>
      <c r="H56" s="997">
        <v>169306.5</v>
      </c>
      <c r="I56" s="997">
        <v>350000</v>
      </c>
      <c r="J56" s="997">
        <f t="shared" ref="J56:J70" si="8">H56+I56</f>
        <v>519306.5</v>
      </c>
      <c r="K56" s="993" t="s">
        <v>874</v>
      </c>
      <c r="L56" s="993" t="s">
        <v>876</v>
      </c>
      <c r="M56" s="1156" t="s">
        <v>742</v>
      </c>
      <c r="N56" s="1155"/>
    </row>
    <row r="57" spans="1:14" ht="43.5" customHeight="1">
      <c r="A57" s="1043" t="s">
        <v>654</v>
      </c>
      <c r="B57" s="1056" t="s">
        <v>800</v>
      </c>
      <c r="C57" s="1062" t="s">
        <v>690</v>
      </c>
      <c r="D57" s="1045" t="s">
        <v>689</v>
      </c>
      <c r="E57" s="1052" t="s">
        <v>655</v>
      </c>
      <c r="F57" s="1046">
        <v>321052001</v>
      </c>
      <c r="G57" s="1047" t="s">
        <v>680</v>
      </c>
      <c r="H57" s="1022">
        <v>99000</v>
      </c>
      <c r="I57" s="1022">
        <v>0</v>
      </c>
      <c r="J57" s="997">
        <f t="shared" si="8"/>
        <v>99000</v>
      </c>
      <c r="K57" s="1045" t="s">
        <v>363</v>
      </c>
      <c r="L57" s="1045" t="s">
        <v>619</v>
      </c>
      <c r="M57" s="1157"/>
      <c r="N57" s="1155"/>
    </row>
    <row r="58" spans="1:14" ht="15">
      <c r="A58" s="1017" t="s">
        <v>802</v>
      </c>
      <c r="B58" s="1018" t="s">
        <v>816</v>
      </c>
      <c r="C58" s="1018" t="s">
        <v>804</v>
      </c>
      <c r="D58" s="1104" t="s">
        <v>806</v>
      </c>
      <c r="E58" s="1147" t="s">
        <v>808</v>
      </c>
      <c r="F58" s="1159">
        <v>322438001</v>
      </c>
      <c r="G58" s="1161" t="s">
        <v>821</v>
      </c>
      <c r="H58" s="1224">
        <v>29013.5</v>
      </c>
      <c r="I58" s="1022">
        <v>350000</v>
      </c>
      <c r="J58" s="1158">
        <f>H58+I58</f>
        <v>379013.5</v>
      </c>
      <c r="K58" s="1162" t="s">
        <v>874</v>
      </c>
      <c r="L58" s="1163" t="s">
        <v>878</v>
      </c>
      <c r="M58" s="1160" t="s">
        <v>742</v>
      </c>
      <c r="N58" s="1155"/>
    </row>
    <row r="59" spans="1:14" ht="16.899999999999999" customHeight="1">
      <c r="A59" s="1017" t="s">
        <v>333</v>
      </c>
      <c r="B59" s="1018" t="s">
        <v>645</v>
      </c>
      <c r="C59" s="1018" t="s">
        <v>629</v>
      </c>
      <c r="D59" s="1019" t="s">
        <v>630</v>
      </c>
      <c r="E59" s="1032" t="s">
        <v>631</v>
      </c>
      <c r="F59" s="1031">
        <v>320853001</v>
      </c>
      <c r="G59" s="1021" t="s">
        <v>646</v>
      </c>
      <c r="H59" s="1022">
        <v>375555.5</v>
      </c>
      <c r="I59" s="1022"/>
      <c r="J59" s="997">
        <f t="shared" si="8"/>
        <v>375555.5</v>
      </c>
      <c r="K59" s="1019"/>
      <c r="L59" s="1019"/>
      <c r="M59" s="1019" t="s">
        <v>743</v>
      </c>
      <c r="N59" s="1019"/>
    </row>
    <row r="60" spans="1:14" ht="16.899999999999999" customHeight="1">
      <c r="A60" s="1043" t="s">
        <v>737</v>
      </c>
      <c r="B60" s="1056" t="s">
        <v>867</v>
      </c>
      <c r="C60" s="1044" t="s">
        <v>656</v>
      </c>
      <c r="D60" s="1045" t="s">
        <v>657</v>
      </c>
      <c r="E60" s="1045" t="s">
        <v>658</v>
      </c>
      <c r="F60" s="1046">
        <v>321194001</v>
      </c>
      <c r="G60" s="1047" t="s">
        <v>741</v>
      </c>
      <c r="H60" s="1022">
        <v>404008</v>
      </c>
      <c r="I60" s="1022"/>
      <c r="J60" s="997">
        <f t="shared" si="8"/>
        <v>404008</v>
      </c>
      <c r="K60" s="1045"/>
      <c r="L60" s="1045"/>
      <c r="M60" s="1045"/>
      <c r="N60" s="1019"/>
    </row>
    <row r="61" spans="1:14" ht="16.899999999999999" customHeight="1">
      <c r="A61" s="1017" t="s">
        <v>276</v>
      </c>
      <c r="B61" s="1018" t="s">
        <v>594</v>
      </c>
      <c r="C61" s="1018" t="s">
        <v>595</v>
      </c>
      <c r="D61" s="1019" t="s">
        <v>698</v>
      </c>
      <c r="E61" s="1019" t="s">
        <v>596</v>
      </c>
      <c r="F61" s="1020">
        <v>317122001</v>
      </c>
      <c r="G61" s="1021" t="s">
        <v>597</v>
      </c>
      <c r="H61" s="1022">
        <v>302065.5</v>
      </c>
      <c r="I61" s="1022"/>
      <c r="J61" s="997">
        <f t="shared" si="8"/>
        <v>302065.5</v>
      </c>
      <c r="K61" s="1023"/>
      <c r="L61" s="993"/>
      <c r="M61" s="993" t="s">
        <v>742</v>
      </c>
      <c r="N61" s="1019"/>
    </row>
    <row r="62" spans="1:14" ht="16.899999999999999" customHeight="1">
      <c r="A62" s="1043" t="s">
        <v>659</v>
      </c>
      <c r="B62" s="1044" t="s">
        <v>683</v>
      </c>
      <c r="C62" s="1044" t="s">
        <v>660</v>
      </c>
      <c r="D62" s="1045" t="s">
        <v>661</v>
      </c>
      <c r="E62" s="1052" t="s">
        <v>662</v>
      </c>
      <c r="F62" s="1046">
        <v>321055001</v>
      </c>
      <c r="G62" s="1047" t="s">
        <v>749</v>
      </c>
      <c r="H62" s="1022">
        <v>99000</v>
      </c>
      <c r="I62" s="1022">
        <v>0</v>
      </c>
      <c r="J62" s="997">
        <f t="shared" si="8"/>
        <v>99000</v>
      </c>
      <c r="K62" s="1045" t="s">
        <v>363</v>
      </c>
      <c r="L62" s="1045" t="s">
        <v>619</v>
      </c>
      <c r="M62" s="1045"/>
      <c r="N62" s="1019"/>
    </row>
    <row r="63" spans="1:14" ht="16.899999999999999" customHeight="1">
      <c r="A63" s="1017" t="s">
        <v>272</v>
      </c>
      <c r="B63" s="1018" t="s">
        <v>549</v>
      </c>
      <c r="C63" s="1018" t="s">
        <v>550</v>
      </c>
      <c r="D63" s="1019" t="s">
        <v>551</v>
      </c>
      <c r="E63" s="1019" t="s">
        <v>552</v>
      </c>
      <c r="F63" s="1020">
        <v>316832001</v>
      </c>
      <c r="G63" s="1021" t="s">
        <v>553</v>
      </c>
      <c r="H63" s="1022">
        <v>313945.5</v>
      </c>
      <c r="I63" s="1022"/>
      <c r="J63" s="997">
        <f t="shared" si="8"/>
        <v>313945.5</v>
      </c>
      <c r="K63" s="1023"/>
      <c r="L63" s="993"/>
      <c r="M63" s="993" t="s">
        <v>742</v>
      </c>
      <c r="N63" s="1019"/>
    </row>
    <row r="64" spans="1:14" s="1048" customFormat="1" ht="16.899999999999999" customHeight="1">
      <c r="A64" s="991" t="s">
        <v>45</v>
      </c>
      <c r="B64" s="992" t="s">
        <v>416</v>
      </c>
      <c r="C64" s="992" t="s">
        <v>417</v>
      </c>
      <c r="D64" s="993" t="s">
        <v>418</v>
      </c>
      <c r="E64" s="1168" t="s">
        <v>419</v>
      </c>
      <c r="F64" s="995">
        <v>282759001</v>
      </c>
      <c r="G64" s="996" t="s">
        <v>420</v>
      </c>
      <c r="H64" s="997">
        <v>164585</v>
      </c>
      <c r="I64" s="997">
        <v>350000</v>
      </c>
      <c r="J64" s="997">
        <f t="shared" si="8"/>
        <v>514585</v>
      </c>
      <c r="K64" s="993" t="s">
        <v>874</v>
      </c>
      <c r="L64" s="993" t="s">
        <v>876</v>
      </c>
      <c r="M64" s="993" t="s">
        <v>742</v>
      </c>
      <c r="N64" s="1019"/>
    </row>
    <row r="65" spans="1:14" s="1048" customFormat="1" ht="16.899999999999999" customHeight="1">
      <c r="A65" s="991" t="s">
        <v>144</v>
      </c>
      <c r="B65" s="992" t="s">
        <v>482</v>
      </c>
      <c r="C65" s="992" t="s">
        <v>483</v>
      </c>
      <c r="D65" s="993" t="s">
        <v>484</v>
      </c>
      <c r="E65" s="994" t="s">
        <v>485</v>
      </c>
      <c r="F65" s="995">
        <v>316438001</v>
      </c>
      <c r="G65" s="996" t="s">
        <v>486</v>
      </c>
      <c r="H65" s="997">
        <v>286651</v>
      </c>
      <c r="I65" s="997"/>
      <c r="J65" s="997">
        <f t="shared" si="8"/>
        <v>286651</v>
      </c>
      <c r="K65" s="993"/>
      <c r="L65" s="993"/>
      <c r="M65" s="993" t="s">
        <v>745</v>
      </c>
      <c r="N65" s="1019"/>
    </row>
    <row r="66" spans="1:14" s="1048" customFormat="1" ht="16.899999999999999" customHeight="1">
      <c r="A66" s="991" t="s">
        <v>70</v>
      </c>
      <c r="B66" s="992" t="s">
        <v>426</v>
      </c>
      <c r="C66" s="992" t="s">
        <v>427</v>
      </c>
      <c r="D66" s="993" t="s">
        <v>428</v>
      </c>
      <c r="E66" s="994" t="s">
        <v>429</v>
      </c>
      <c r="F66" s="995">
        <v>316270001</v>
      </c>
      <c r="G66" s="996" t="s">
        <v>430</v>
      </c>
      <c r="H66" s="997">
        <v>444705.5</v>
      </c>
      <c r="I66" s="997"/>
      <c r="J66" s="997">
        <f t="shared" si="8"/>
        <v>444705.5</v>
      </c>
      <c r="K66" s="993"/>
      <c r="L66" s="993"/>
      <c r="M66" s="993" t="s">
        <v>743</v>
      </c>
      <c r="N66" s="1019"/>
    </row>
    <row r="67" spans="1:14" ht="15">
      <c r="A67" s="1017" t="s">
        <v>814</v>
      </c>
      <c r="B67" s="1018" t="s">
        <v>836</v>
      </c>
      <c r="C67" s="1018" t="s">
        <v>805</v>
      </c>
      <c r="D67" s="1104" t="s">
        <v>807</v>
      </c>
      <c r="E67" s="1147" t="s">
        <v>815</v>
      </c>
      <c r="F67" s="1172">
        <v>322818001</v>
      </c>
      <c r="G67" s="1200" t="s">
        <v>852</v>
      </c>
      <c r="H67" s="1022">
        <v>99000</v>
      </c>
      <c r="I67" s="1153"/>
      <c r="J67" s="1158">
        <f>H67+I67</f>
        <v>99000</v>
      </c>
      <c r="K67" s="1162" t="s">
        <v>363</v>
      </c>
      <c r="L67" s="1163" t="s">
        <v>875</v>
      </c>
      <c r="M67" s="1160" t="s">
        <v>742</v>
      </c>
      <c r="N67" s="1155"/>
    </row>
    <row r="68" spans="1:14" s="1048" customFormat="1" ht="16.899999999999999" customHeight="1">
      <c r="A68" s="1017" t="s">
        <v>522</v>
      </c>
      <c r="B68" s="1018" t="s">
        <v>523</v>
      </c>
      <c r="C68" s="1018" t="s">
        <v>524</v>
      </c>
      <c r="D68" s="1019" t="s">
        <v>525</v>
      </c>
      <c r="E68" s="1146" t="s">
        <v>526</v>
      </c>
      <c r="F68" s="1148">
        <v>316983001</v>
      </c>
      <c r="G68" s="1149" t="s">
        <v>527</v>
      </c>
      <c r="H68" s="1150">
        <v>355343</v>
      </c>
      <c r="I68" s="1150"/>
      <c r="J68" s="1151">
        <f t="shared" si="8"/>
        <v>355343</v>
      </c>
      <c r="K68" s="1152"/>
      <c r="L68" s="1011"/>
      <c r="M68" s="1011" t="s">
        <v>744</v>
      </c>
      <c r="N68" s="1146"/>
    </row>
    <row r="69" spans="1:14" s="1048" customFormat="1" ht="16.899999999999999" customHeight="1">
      <c r="A69" s="1017" t="s">
        <v>244</v>
      </c>
      <c r="B69" s="1018" t="s">
        <v>560</v>
      </c>
      <c r="C69" s="1018" t="s">
        <v>561</v>
      </c>
      <c r="D69" s="1104" t="s">
        <v>562</v>
      </c>
      <c r="E69" s="1155" t="s">
        <v>563</v>
      </c>
      <c r="F69" s="1211">
        <v>317173001</v>
      </c>
      <c r="G69" s="1212" t="s">
        <v>564</v>
      </c>
      <c r="H69" s="1213">
        <v>176145.5</v>
      </c>
      <c r="I69" s="1213">
        <v>350000</v>
      </c>
      <c r="J69" s="1158">
        <f t="shared" si="8"/>
        <v>526145.5</v>
      </c>
      <c r="K69" s="1214" t="s">
        <v>874</v>
      </c>
      <c r="L69" s="1215" t="s">
        <v>876</v>
      </c>
      <c r="M69" s="1215" t="s">
        <v>745</v>
      </c>
      <c r="N69" s="1155"/>
    </row>
    <row r="70" spans="1:14" ht="36.75" hidden="1">
      <c r="A70" s="1071" t="s">
        <v>803</v>
      </c>
      <c r="B70" s="1072" t="s">
        <v>838</v>
      </c>
      <c r="C70" s="1173" t="s">
        <v>819</v>
      </c>
      <c r="D70" s="1174" t="s">
        <v>820</v>
      </c>
      <c r="E70" s="1201" t="s">
        <v>809</v>
      </c>
      <c r="F70" s="1175">
        <v>322466001</v>
      </c>
      <c r="G70" s="1204" t="s">
        <v>835</v>
      </c>
      <c r="H70" s="1203">
        <v>99000</v>
      </c>
      <c r="I70" s="1205"/>
      <c r="J70" s="1206">
        <f t="shared" si="8"/>
        <v>99000</v>
      </c>
      <c r="K70" s="1207"/>
      <c r="L70" s="1208"/>
      <c r="M70" s="1209" t="s">
        <v>742</v>
      </c>
      <c r="N70" s="1210"/>
    </row>
    <row r="71" spans="1:14" ht="15">
      <c r="A71" s="1017" t="s">
        <v>865</v>
      </c>
      <c r="B71" s="1018" t="s">
        <v>866</v>
      </c>
      <c r="C71" s="1018" t="s">
        <v>859</v>
      </c>
      <c r="D71" s="1104" t="s">
        <v>860</v>
      </c>
      <c r="E71" s="1202" t="s">
        <v>861</v>
      </c>
      <c r="F71" s="1211">
        <v>323395001</v>
      </c>
      <c r="G71" s="1212" t="s">
        <v>879</v>
      </c>
      <c r="H71" s="1213">
        <v>99000</v>
      </c>
      <c r="I71" s="1213">
        <v>350000</v>
      </c>
      <c r="J71" s="1158">
        <f t="shared" ref="J71" si="9">H71+I71</f>
        <v>449000</v>
      </c>
      <c r="K71" s="1214" t="s">
        <v>874</v>
      </c>
      <c r="L71" s="1215" t="s">
        <v>883</v>
      </c>
      <c r="M71" s="1215"/>
      <c r="N71" s="1155"/>
    </row>
    <row r="72" spans="1:14" ht="12.75">
      <c r="A72" s="1033"/>
      <c r="B72" s="1033"/>
      <c r="C72" s="1033"/>
      <c r="F72" s="1034"/>
      <c r="G72" s="1033"/>
      <c r="H72" s="1033"/>
      <c r="I72" s="1033"/>
      <c r="J72" s="1033"/>
      <c r="K72" s="1035"/>
      <c r="L72" s="1035"/>
      <c r="M72" s="998"/>
      <c r="N72" s="998"/>
    </row>
    <row r="73" spans="1:14" ht="12.75">
      <c r="A73" s="1033"/>
      <c r="B73" s="1033"/>
      <c r="C73" s="1033"/>
      <c r="F73" s="1034"/>
      <c r="G73" s="1033"/>
      <c r="H73" s="1033"/>
      <c r="I73" s="1033"/>
      <c r="J73" s="1033"/>
      <c r="K73" s="1035"/>
      <c r="L73" s="1035"/>
      <c r="M73" s="998"/>
      <c r="N73" s="998"/>
    </row>
    <row r="74" spans="1:14" ht="12.75">
      <c r="A74" s="1033"/>
      <c r="B74" s="1033"/>
      <c r="C74" s="1033"/>
      <c r="F74" s="1034"/>
      <c r="G74" s="1033"/>
      <c r="H74" s="1033"/>
      <c r="I74" s="1033"/>
      <c r="J74" s="1033"/>
      <c r="K74" s="1035"/>
      <c r="L74" s="1035"/>
      <c r="M74" s="998"/>
      <c r="N74" s="998"/>
    </row>
    <row r="75" spans="1:14" ht="12.75">
      <c r="A75" s="1033"/>
      <c r="B75" s="1033"/>
      <c r="C75" s="1033"/>
      <c r="F75" s="1034"/>
      <c r="G75" s="1033"/>
      <c r="H75" s="1033"/>
      <c r="I75" s="1033"/>
      <c r="J75" s="1033"/>
      <c r="K75" s="1035"/>
      <c r="L75" s="1035"/>
      <c r="M75" s="998"/>
      <c r="N75" s="998"/>
    </row>
    <row r="76" spans="1:14" ht="12.75">
      <c r="A76" s="1033"/>
      <c r="B76" s="1033"/>
      <c r="C76" s="1033"/>
      <c r="F76" s="1034"/>
      <c r="G76" s="1033"/>
      <c r="H76" s="1033"/>
      <c r="I76" s="1033"/>
      <c r="J76" s="1033"/>
      <c r="K76" s="1035"/>
      <c r="L76" s="1035"/>
      <c r="M76" s="998"/>
      <c r="N76" s="998"/>
    </row>
    <row r="77" spans="1:14" ht="12.75">
      <c r="A77" s="1033"/>
      <c r="B77" s="1033"/>
      <c r="C77" s="1033"/>
      <c r="F77" s="1034"/>
      <c r="G77" s="1033"/>
      <c r="H77" s="1033"/>
      <c r="I77" s="1033"/>
      <c r="J77" s="1033"/>
      <c r="K77" s="1035"/>
      <c r="L77" s="1035"/>
      <c r="M77" s="998"/>
      <c r="N77" s="998"/>
    </row>
    <row r="78" spans="1:14" ht="12.75">
      <c r="A78" s="1033"/>
      <c r="B78" s="1033"/>
      <c r="C78" s="1033"/>
      <c r="F78" s="1034"/>
      <c r="G78" s="1033"/>
      <c r="H78" s="1033"/>
      <c r="I78" s="1033"/>
      <c r="J78" s="1033"/>
      <c r="K78" s="1035"/>
      <c r="L78" s="1035"/>
      <c r="M78" s="998"/>
      <c r="N78" s="998"/>
    </row>
    <row r="79" spans="1:14" ht="12.75">
      <c r="A79" s="1033"/>
      <c r="B79" s="1033"/>
      <c r="C79" s="1033"/>
      <c r="F79" s="1034"/>
      <c r="G79" s="1033"/>
      <c r="H79" s="1033"/>
      <c r="I79" s="1033"/>
      <c r="J79" s="1033"/>
      <c r="K79" s="1035"/>
      <c r="L79" s="1035"/>
      <c r="M79" s="998"/>
      <c r="N79" s="998"/>
    </row>
    <row r="80" spans="1:14" ht="12.75">
      <c r="A80" s="1033"/>
      <c r="B80" s="1033"/>
      <c r="C80" s="1033"/>
      <c r="F80" s="1034"/>
      <c r="G80" s="1033"/>
      <c r="H80" s="1033"/>
      <c r="I80" s="1033"/>
      <c r="J80" s="1033"/>
      <c r="K80" s="1035"/>
      <c r="L80" s="1035"/>
      <c r="M80" s="998"/>
      <c r="N80" s="998"/>
    </row>
    <row r="81" spans="1:14" ht="12.75">
      <c r="A81" s="1033"/>
      <c r="B81" s="1033"/>
      <c r="C81" s="1033"/>
      <c r="F81" s="1034"/>
      <c r="G81" s="1033"/>
      <c r="H81" s="1033"/>
      <c r="I81" s="1033"/>
      <c r="J81" s="1033"/>
      <c r="K81" s="1035"/>
      <c r="L81" s="1035"/>
      <c r="M81" s="998"/>
      <c r="N81" s="998"/>
    </row>
    <row r="82" spans="1:14" ht="12.75">
      <c r="A82" s="1033"/>
      <c r="B82" s="1033"/>
      <c r="C82" s="1033"/>
      <c r="F82" s="1034"/>
      <c r="G82" s="1033"/>
      <c r="H82" s="1033"/>
      <c r="I82" s="1033"/>
      <c r="J82" s="1033"/>
      <c r="K82" s="1035"/>
      <c r="L82" s="1035"/>
      <c r="M82" s="998"/>
      <c r="N82" s="998"/>
    </row>
    <row r="83" spans="1:14" ht="12.75">
      <c r="A83" s="1033"/>
      <c r="B83" s="1033"/>
      <c r="C83" s="1033"/>
      <c r="F83" s="1034"/>
      <c r="G83" s="1033"/>
      <c r="H83" s="1033"/>
      <c r="I83" s="1033"/>
      <c r="J83" s="1033"/>
      <c r="K83" s="1035"/>
      <c r="L83" s="1035"/>
      <c r="M83" s="998"/>
      <c r="N83" s="998"/>
    </row>
    <row r="84" spans="1:14" ht="12.75">
      <c r="A84" s="1033"/>
      <c r="B84" s="1033"/>
      <c r="C84" s="1033"/>
      <c r="F84" s="1034"/>
      <c r="G84" s="1033"/>
      <c r="H84" s="1033"/>
      <c r="I84" s="1033"/>
      <c r="J84" s="1033"/>
      <c r="K84" s="1035"/>
      <c r="L84" s="1035"/>
      <c r="M84" s="998"/>
      <c r="N84" s="998"/>
    </row>
    <row r="85" spans="1:14" ht="12.75">
      <c r="A85" s="1033"/>
      <c r="B85" s="1033"/>
      <c r="C85" s="1033"/>
      <c r="F85" s="1034"/>
      <c r="G85" s="1033"/>
      <c r="H85" s="1033"/>
      <c r="I85" s="1033"/>
      <c r="J85" s="1033"/>
      <c r="K85" s="1035"/>
      <c r="L85" s="1035"/>
      <c r="M85" s="998"/>
      <c r="N85" s="998"/>
    </row>
    <row r="86" spans="1:14" ht="12.75">
      <c r="A86" s="1033"/>
      <c r="B86" s="1033"/>
      <c r="C86" s="1033"/>
      <c r="F86" s="1034"/>
      <c r="G86" s="1033"/>
      <c r="H86" s="1033"/>
      <c r="I86" s="1033"/>
      <c r="J86" s="1033"/>
      <c r="K86" s="1035"/>
      <c r="L86" s="1035"/>
      <c r="M86" s="998"/>
      <c r="N86" s="998"/>
    </row>
    <row r="87" spans="1:14" ht="12.75">
      <c r="A87" s="1033"/>
      <c r="B87" s="1033"/>
      <c r="C87" s="1033"/>
      <c r="F87" s="1034"/>
      <c r="G87" s="1033"/>
      <c r="H87" s="1033"/>
      <c r="I87" s="1033"/>
      <c r="J87" s="1033"/>
      <c r="K87" s="1035"/>
      <c r="L87" s="1035"/>
      <c r="M87" s="998"/>
      <c r="N87" s="998"/>
    </row>
    <row r="88" spans="1:14" ht="12.75">
      <c r="A88" s="1033"/>
      <c r="B88" s="1033"/>
      <c r="C88" s="1033"/>
      <c r="F88" s="1034"/>
      <c r="G88" s="1033"/>
      <c r="H88" s="1033"/>
      <c r="I88" s="1033"/>
      <c r="J88" s="1033"/>
      <c r="K88" s="1035"/>
      <c r="L88" s="1035"/>
      <c r="M88" s="998"/>
      <c r="N88" s="998"/>
    </row>
    <row r="89" spans="1:14" ht="12.75">
      <c r="A89" s="1033"/>
      <c r="B89" s="1033"/>
      <c r="C89" s="1033"/>
      <c r="F89" s="1034"/>
      <c r="G89" s="1033"/>
      <c r="H89" s="1033"/>
      <c r="I89" s="1033"/>
      <c r="J89" s="1033"/>
      <c r="K89" s="1035"/>
      <c r="L89" s="1035"/>
      <c r="M89" s="998"/>
      <c r="N89" s="998"/>
    </row>
    <row r="90" spans="1:14" ht="12.75">
      <c r="A90" s="1033"/>
      <c r="B90" s="1033"/>
      <c r="C90" s="1033"/>
      <c r="F90" s="1034"/>
      <c r="G90" s="1033"/>
      <c r="H90" s="1033"/>
      <c r="I90" s="1033"/>
      <c r="J90" s="1033"/>
      <c r="K90" s="1035"/>
      <c r="L90" s="1035"/>
      <c r="M90" s="998"/>
      <c r="N90" s="998"/>
    </row>
    <row r="91" spans="1:14" ht="12.75">
      <c r="A91" s="1033"/>
      <c r="B91" s="1033"/>
      <c r="C91" s="1033"/>
      <c r="F91" s="1034"/>
      <c r="G91" s="1033"/>
      <c r="H91" s="1033"/>
      <c r="I91" s="1033"/>
      <c r="J91" s="1033"/>
      <c r="K91" s="1035"/>
      <c r="L91" s="1035"/>
      <c r="M91" s="998"/>
      <c r="N91" s="998"/>
    </row>
    <row r="92" spans="1:14" ht="12.75">
      <c r="A92" s="1033"/>
      <c r="B92" s="1033"/>
      <c r="C92" s="1033"/>
      <c r="F92" s="1034"/>
      <c r="G92" s="1033"/>
      <c r="H92" s="1033"/>
      <c r="I92" s="1033"/>
      <c r="J92" s="1033"/>
      <c r="K92" s="1035"/>
      <c r="L92" s="1035"/>
      <c r="M92" s="998"/>
      <c r="N92" s="998"/>
    </row>
    <row r="93" spans="1:14" ht="12.75">
      <c r="A93" s="1033"/>
      <c r="B93" s="1033"/>
      <c r="C93" s="1033"/>
      <c r="F93" s="1034"/>
      <c r="G93" s="1033"/>
      <c r="H93" s="1033"/>
      <c r="I93" s="1033"/>
      <c r="J93" s="1033"/>
      <c r="K93" s="1035"/>
      <c r="L93" s="1035"/>
      <c r="M93" s="998"/>
      <c r="N93" s="998"/>
    </row>
    <row r="94" spans="1:14" ht="12.75">
      <c r="A94" s="1033"/>
      <c r="B94" s="1033"/>
      <c r="C94" s="1033"/>
      <c r="F94" s="1034"/>
      <c r="G94" s="1033"/>
      <c r="H94" s="1033"/>
      <c r="I94" s="1033"/>
      <c r="J94" s="1033"/>
      <c r="K94" s="1035"/>
      <c r="L94" s="1035"/>
      <c r="M94" s="998"/>
      <c r="N94" s="998"/>
    </row>
    <row r="95" spans="1:14" ht="12.75">
      <c r="A95" s="1033"/>
      <c r="B95" s="1033"/>
      <c r="C95" s="1033"/>
      <c r="F95" s="1034"/>
      <c r="G95" s="1033"/>
      <c r="H95" s="1033"/>
      <c r="I95" s="1033"/>
      <c r="J95" s="1033"/>
      <c r="K95" s="1035"/>
      <c r="L95" s="1035"/>
      <c r="M95" s="998"/>
      <c r="N95" s="998"/>
    </row>
    <row r="96" spans="1:14" ht="12.75">
      <c r="A96" s="1033"/>
      <c r="B96" s="1033"/>
      <c r="C96" s="1033"/>
      <c r="F96" s="1034"/>
      <c r="G96" s="1033"/>
      <c r="H96" s="1033"/>
      <c r="I96" s="1033"/>
      <c r="J96" s="1033"/>
      <c r="K96" s="1035"/>
      <c r="L96" s="1035"/>
      <c r="M96" s="998"/>
      <c r="N96" s="998"/>
    </row>
    <row r="97" spans="1:14" ht="12.75">
      <c r="A97" s="1033"/>
      <c r="B97" s="1033"/>
      <c r="C97" s="1033"/>
      <c r="F97" s="1034"/>
      <c r="G97" s="1033"/>
      <c r="H97" s="1033"/>
      <c r="I97" s="1033"/>
      <c r="J97" s="1033"/>
      <c r="K97" s="1035"/>
      <c r="L97" s="1035"/>
      <c r="M97" s="998"/>
      <c r="N97" s="998"/>
    </row>
    <row r="98" spans="1:14" ht="12.75">
      <c r="A98" s="1033"/>
      <c r="B98" s="1033"/>
      <c r="C98" s="1033"/>
      <c r="F98" s="1034"/>
      <c r="G98" s="1033"/>
      <c r="H98" s="1033"/>
      <c r="I98" s="1033"/>
      <c r="J98" s="1033"/>
      <c r="K98" s="1035"/>
      <c r="L98" s="1035"/>
      <c r="M98" s="998"/>
      <c r="N98" s="998"/>
    </row>
    <row r="99" spans="1:14" ht="12.75">
      <c r="A99" s="1033"/>
      <c r="B99" s="1033"/>
      <c r="C99" s="1033"/>
      <c r="F99" s="1034"/>
      <c r="G99" s="1033"/>
      <c r="H99" s="1033"/>
      <c r="I99" s="1033"/>
      <c r="J99" s="1033"/>
      <c r="K99" s="1035"/>
      <c r="L99" s="1035"/>
      <c r="M99" s="998"/>
      <c r="N99" s="998"/>
    </row>
    <row r="100" spans="1:14" ht="12.75">
      <c r="A100" s="1033"/>
      <c r="B100" s="1033"/>
      <c r="C100" s="1033"/>
      <c r="F100" s="1034"/>
      <c r="G100" s="1033"/>
      <c r="H100" s="1033"/>
      <c r="I100" s="1033"/>
      <c r="J100" s="1033"/>
      <c r="K100" s="1035"/>
      <c r="L100" s="1035"/>
      <c r="M100" s="998"/>
      <c r="N100" s="998"/>
    </row>
    <row r="101" spans="1:14" ht="12.75">
      <c r="A101" s="1033"/>
      <c r="B101" s="1033"/>
      <c r="C101" s="1033"/>
      <c r="F101" s="1034"/>
      <c r="G101" s="1033"/>
      <c r="H101" s="1033"/>
      <c r="I101" s="1033"/>
      <c r="J101" s="1033"/>
      <c r="K101" s="1035"/>
      <c r="L101" s="1035"/>
      <c r="M101" s="998"/>
      <c r="N101" s="998"/>
    </row>
    <row r="102" spans="1:14" ht="12.75">
      <c r="A102" s="1033"/>
      <c r="B102" s="1033"/>
      <c r="C102" s="1033"/>
      <c r="F102" s="1034"/>
      <c r="G102" s="1033"/>
      <c r="H102" s="1033"/>
      <c r="I102" s="1033"/>
      <c r="J102" s="1033"/>
      <c r="K102" s="1035"/>
      <c r="L102" s="1035"/>
      <c r="M102" s="998"/>
      <c r="N102" s="998"/>
    </row>
    <row r="103" spans="1:14" ht="12.75">
      <c r="A103" s="1033"/>
      <c r="B103" s="1033"/>
      <c r="C103" s="1033"/>
      <c r="F103" s="1034"/>
      <c r="G103" s="1033"/>
      <c r="H103" s="1033"/>
      <c r="I103" s="1033"/>
      <c r="J103" s="1033"/>
      <c r="K103" s="1035"/>
      <c r="L103" s="1035"/>
      <c r="M103" s="998"/>
      <c r="N103" s="998"/>
    </row>
    <row r="104" spans="1:14" ht="12.75">
      <c r="A104" s="1033"/>
      <c r="B104" s="1033"/>
      <c r="C104" s="1033"/>
      <c r="F104" s="1034"/>
      <c r="G104" s="1033"/>
      <c r="H104" s="1033"/>
      <c r="I104" s="1033"/>
      <c r="J104" s="1033"/>
      <c r="K104" s="1035"/>
      <c r="L104" s="1035"/>
      <c r="M104" s="998"/>
      <c r="N104" s="998"/>
    </row>
    <row r="105" spans="1:14" ht="12.75">
      <c r="A105" s="1033"/>
      <c r="B105" s="1033"/>
      <c r="C105" s="1033"/>
      <c r="F105" s="1034"/>
      <c r="G105" s="1033"/>
      <c r="H105" s="1033"/>
      <c r="I105" s="1033"/>
      <c r="J105" s="1033"/>
      <c r="K105" s="1035"/>
      <c r="L105" s="1035"/>
      <c r="M105" s="998"/>
      <c r="N105" s="998"/>
    </row>
    <row r="106" spans="1:14" ht="12.75">
      <c r="A106" s="1033"/>
      <c r="B106" s="1033"/>
      <c r="C106" s="1033"/>
      <c r="F106" s="1034"/>
      <c r="G106" s="1033"/>
      <c r="H106" s="1033"/>
      <c r="I106" s="1033"/>
      <c r="J106" s="1033"/>
      <c r="K106" s="1035"/>
      <c r="L106" s="1035"/>
      <c r="M106" s="998"/>
      <c r="N106" s="998"/>
    </row>
    <row r="107" spans="1:14" ht="12.75">
      <c r="A107" s="1033"/>
      <c r="B107" s="1033"/>
      <c r="C107" s="1033"/>
      <c r="F107" s="1034"/>
      <c r="G107" s="1033"/>
      <c r="H107" s="1033"/>
      <c r="I107" s="1033"/>
      <c r="J107" s="1033"/>
      <c r="K107" s="1035"/>
      <c r="L107" s="1035"/>
      <c r="M107" s="998"/>
      <c r="N107" s="998"/>
    </row>
    <row r="108" spans="1:14" ht="12.75">
      <c r="A108" s="1033"/>
      <c r="B108" s="1033"/>
      <c r="C108" s="1033"/>
      <c r="F108" s="1034"/>
      <c r="G108" s="1033"/>
      <c r="H108" s="1033"/>
      <c r="I108" s="1033"/>
      <c r="J108" s="1033"/>
      <c r="K108" s="1035"/>
      <c r="L108" s="1035"/>
      <c r="M108" s="998"/>
      <c r="N108" s="998"/>
    </row>
    <row r="109" spans="1:14" ht="12.75">
      <c r="A109" s="1033"/>
      <c r="B109" s="1033"/>
      <c r="C109" s="1033"/>
      <c r="F109" s="1034"/>
      <c r="G109" s="1033"/>
      <c r="H109" s="1033"/>
      <c r="I109" s="1033"/>
      <c r="J109" s="1033"/>
      <c r="K109" s="1035"/>
      <c r="L109" s="1035"/>
      <c r="M109" s="998"/>
      <c r="N109" s="998"/>
    </row>
    <row r="110" spans="1:14" ht="12.75">
      <c r="A110" s="1033"/>
      <c r="B110" s="1033"/>
      <c r="C110" s="1033"/>
      <c r="F110" s="1034"/>
      <c r="G110" s="1033"/>
      <c r="H110" s="1033"/>
      <c r="I110" s="1033"/>
      <c r="J110" s="1033"/>
      <c r="K110" s="1035"/>
      <c r="L110" s="1035"/>
      <c r="M110" s="998"/>
      <c r="N110" s="998"/>
    </row>
    <row r="111" spans="1:14" ht="12.75">
      <c r="A111" s="1033"/>
      <c r="B111" s="1033"/>
      <c r="C111" s="1033"/>
      <c r="F111" s="1034"/>
      <c r="G111" s="1033"/>
      <c r="H111" s="1033"/>
      <c r="I111" s="1033"/>
      <c r="J111" s="1033"/>
      <c r="K111" s="1035"/>
      <c r="L111" s="1035"/>
      <c r="M111" s="998"/>
      <c r="N111" s="998"/>
    </row>
    <row r="112" spans="1:14" ht="12.75">
      <c r="A112" s="1033"/>
      <c r="B112" s="1033"/>
      <c r="C112" s="1033"/>
      <c r="F112" s="1034"/>
      <c r="G112" s="1033"/>
      <c r="H112" s="1033"/>
      <c r="I112" s="1033"/>
      <c r="J112" s="1033"/>
      <c r="K112" s="1035"/>
      <c r="L112" s="1035"/>
      <c r="M112" s="998"/>
      <c r="N112" s="998"/>
    </row>
    <row r="113" spans="1:14" ht="12.75">
      <c r="A113" s="1033"/>
      <c r="B113" s="1033"/>
      <c r="C113" s="1033"/>
      <c r="F113" s="1034"/>
      <c r="G113" s="1033"/>
      <c r="H113" s="1033"/>
      <c r="I113" s="1033"/>
      <c r="J113" s="1033"/>
      <c r="K113" s="1035"/>
      <c r="L113" s="1035"/>
      <c r="M113" s="998"/>
      <c r="N113" s="998"/>
    </row>
    <row r="114" spans="1:14" ht="12.75">
      <c r="A114" s="1033"/>
      <c r="B114" s="1033"/>
      <c r="C114" s="1033"/>
      <c r="F114" s="1034"/>
      <c r="G114" s="1033"/>
      <c r="H114" s="1033"/>
      <c r="I114" s="1033"/>
      <c r="J114" s="1033"/>
      <c r="K114" s="1035"/>
      <c r="L114" s="1035"/>
      <c r="M114" s="998"/>
      <c r="N114" s="998"/>
    </row>
    <row r="115" spans="1:14" ht="12.75">
      <c r="A115" s="1033"/>
      <c r="B115" s="1033"/>
      <c r="C115" s="1033"/>
      <c r="F115" s="1034"/>
      <c r="G115" s="1033"/>
      <c r="H115" s="1033"/>
      <c r="I115" s="1033"/>
      <c r="J115" s="1033"/>
      <c r="K115" s="1035"/>
      <c r="L115" s="1035"/>
      <c r="M115" s="998"/>
      <c r="N115" s="998"/>
    </row>
    <row r="116" spans="1:14" ht="12.75">
      <c r="A116" s="1033"/>
      <c r="B116" s="1033"/>
      <c r="C116" s="1033"/>
      <c r="F116" s="1034"/>
      <c r="G116" s="1033"/>
      <c r="H116" s="1033"/>
      <c r="I116" s="1033"/>
      <c r="J116" s="1033"/>
      <c r="K116" s="1035"/>
      <c r="L116" s="1035"/>
      <c r="M116" s="998"/>
      <c r="N116" s="998"/>
    </row>
    <row r="117" spans="1:14" ht="12.75">
      <c r="A117" s="1033"/>
      <c r="B117" s="1033"/>
      <c r="C117" s="1033"/>
      <c r="F117" s="1034"/>
      <c r="G117" s="1033"/>
      <c r="H117" s="1033"/>
      <c r="I117" s="1033"/>
      <c r="J117" s="1033"/>
      <c r="K117" s="1035"/>
      <c r="L117" s="1035"/>
      <c r="M117" s="998"/>
      <c r="N117" s="998"/>
    </row>
    <row r="118" spans="1:14" ht="12.75">
      <c r="A118" s="1033"/>
      <c r="B118" s="1033"/>
      <c r="C118" s="1033"/>
      <c r="F118" s="1034"/>
      <c r="G118" s="1033"/>
      <c r="H118" s="1033"/>
      <c r="I118" s="1033"/>
      <c r="J118" s="1033"/>
      <c r="K118" s="1035"/>
      <c r="L118" s="1035"/>
      <c r="M118" s="998"/>
      <c r="N118" s="998"/>
    </row>
    <row r="119" spans="1:14" ht="12.75">
      <c r="A119" s="1033"/>
      <c r="B119" s="1033"/>
      <c r="C119" s="1033"/>
      <c r="F119" s="1034"/>
      <c r="G119" s="1033"/>
      <c r="H119" s="1033"/>
      <c r="I119" s="1033"/>
      <c r="J119" s="1033"/>
      <c r="K119" s="1035"/>
      <c r="L119" s="1035"/>
      <c r="M119" s="998"/>
      <c r="N119" s="998"/>
    </row>
    <row r="120" spans="1:14" ht="12.75">
      <c r="A120" s="1033"/>
      <c r="B120" s="1033"/>
      <c r="C120" s="1033"/>
      <c r="F120" s="1034"/>
      <c r="G120" s="1033"/>
      <c r="H120" s="1033"/>
      <c r="I120" s="1033"/>
      <c r="J120" s="1033"/>
      <c r="K120" s="1035"/>
      <c r="L120" s="1035"/>
      <c r="M120" s="998"/>
      <c r="N120" s="998"/>
    </row>
    <row r="121" spans="1:14" ht="12.75">
      <c r="A121" s="1033"/>
      <c r="B121" s="1033"/>
      <c r="C121" s="1033"/>
      <c r="F121" s="1034"/>
      <c r="G121" s="1033"/>
      <c r="H121" s="1033"/>
      <c r="I121" s="1033"/>
      <c r="J121" s="1033"/>
      <c r="K121" s="1035"/>
      <c r="L121" s="1035"/>
      <c r="M121" s="998"/>
      <c r="N121" s="998"/>
    </row>
    <row r="122" spans="1:14" ht="12.75">
      <c r="A122" s="1033"/>
      <c r="B122" s="1033"/>
      <c r="C122" s="1033"/>
      <c r="F122" s="1034"/>
      <c r="G122" s="1033"/>
      <c r="H122" s="1033"/>
      <c r="I122" s="1033"/>
      <c r="J122" s="1033"/>
      <c r="K122" s="1035"/>
      <c r="L122" s="1035"/>
      <c r="M122" s="998"/>
      <c r="N122" s="998"/>
    </row>
    <row r="123" spans="1:14" ht="12.75">
      <c r="A123" s="1033"/>
      <c r="B123" s="1033"/>
      <c r="C123" s="1033"/>
      <c r="F123" s="1034"/>
      <c r="G123" s="1033"/>
      <c r="H123" s="1033"/>
      <c r="I123" s="1033"/>
      <c r="J123" s="1033"/>
      <c r="K123" s="1035"/>
      <c r="L123" s="1035"/>
      <c r="M123" s="998"/>
      <c r="N123" s="998"/>
    </row>
    <row r="124" spans="1:14" ht="12.75">
      <c r="A124" s="1033"/>
      <c r="B124" s="1033"/>
      <c r="C124" s="1033"/>
      <c r="F124" s="1034"/>
      <c r="G124" s="1033"/>
      <c r="H124" s="1033"/>
      <c r="I124" s="1033"/>
      <c r="J124" s="1033"/>
      <c r="K124" s="1035"/>
      <c r="L124" s="1035"/>
      <c r="M124" s="998"/>
      <c r="N124" s="998"/>
    </row>
    <row r="125" spans="1:14" ht="12.75">
      <c r="A125" s="1033"/>
      <c r="B125" s="1033"/>
      <c r="C125" s="1033"/>
      <c r="F125" s="1034"/>
      <c r="G125" s="1033"/>
      <c r="H125" s="1033"/>
      <c r="I125" s="1033"/>
      <c r="J125" s="1033"/>
      <c r="K125" s="1035"/>
      <c r="L125" s="1035"/>
      <c r="M125" s="998"/>
      <c r="N125" s="998"/>
    </row>
    <row r="126" spans="1:14" ht="12.75">
      <c r="A126" s="1033"/>
      <c r="B126" s="1033"/>
      <c r="C126" s="1033"/>
      <c r="F126" s="1034"/>
      <c r="G126" s="1033"/>
      <c r="H126" s="1033"/>
      <c r="I126" s="1033"/>
      <c r="J126" s="1033"/>
      <c r="K126" s="1035"/>
      <c r="L126" s="1035"/>
      <c r="M126" s="998"/>
      <c r="N126" s="998"/>
    </row>
    <row r="127" spans="1:14" ht="12.75">
      <c r="A127" s="1033"/>
      <c r="B127" s="1033"/>
      <c r="C127" s="1033"/>
      <c r="F127" s="1034"/>
      <c r="G127" s="1033"/>
      <c r="H127" s="1033"/>
      <c r="I127" s="1033"/>
      <c r="J127" s="1033"/>
      <c r="K127" s="1035"/>
      <c r="L127" s="1035"/>
      <c r="M127" s="998"/>
      <c r="N127" s="998"/>
    </row>
    <row r="128" spans="1:14" ht="12.75">
      <c r="A128" s="1033"/>
      <c r="B128" s="1033"/>
      <c r="C128" s="1033"/>
      <c r="F128" s="1034"/>
      <c r="G128" s="1033"/>
      <c r="H128" s="1033"/>
      <c r="I128" s="1033"/>
      <c r="J128" s="1033"/>
      <c r="K128" s="1035"/>
      <c r="L128" s="1035"/>
      <c r="M128" s="998"/>
      <c r="N128" s="998"/>
    </row>
    <row r="129" spans="1:14" ht="12.75">
      <c r="A129" s="1033"/>
      <c r="B129" s="1033"/>
      <c r="C129" s="1033"/>
      <c r="F129" s="1034"/>
      <c r="G129" s="1033"/>
      <c r="H129" s="1033"/>
      <c r="I129" s="1033"/>
      <c r="J129" s="1033"/>
      <c r="K129" s="1035"/>
      <c r="L129" s="1035"/>
      <c r="M129" s="998"/>
      <c r="N129" s="998"/>
    </row>
    <row r="130" spans="1:14" ht="12.75">
      <c r="A130" s="1033"/>
      <c r="B130" s="1033"/>
      <c r="C130" s="1033"/>
      <c r="F130" s="1034"/>
      <c r="G130" s="1033"/>
      <c r="H130" s="1033"/>
      <c r="I130" s="1033"/>
      <c r="J130" s="1033"/>
      <c r="K130" s="1035"/>
      <c r="L130" s="1035"/>
      <c r="M130" s="998"/>
      <c r="N130" s="998"/>
    </row>
    <row r="131" spans="1:14" ht="12.75">
      <c r="A131" s="1033"/>
      <c r="B131" s="1033"/>
      <c r="C131" s="1033"/>
      <c r="F131" s="1034"/>
      <c r="G131" s="1033"/>
      <c r="H131" s="1033"/>
      <c r="I131" s="1033"/>
      <c r="J131" s="1033"/>
      <c r="K131" s="1035"/>
      <c r="L131" s="1035"/>
      <c r="M131" s="998"/>
      <c r="N131" s="998"/>
    </row>
    <row r="132" spans="1:14" ht="12.75">
      <c r="A132" s="1033"/>
      <c r="B132" s="1033"/>
      <c r="C132" s="1033"/>
      <c r="F132" s="1034"/>
      <c r="G132" s="1033"/>
      <c r="H132" s="1033"/>
      <c r="I132" s="1033"/>
      <c r="J132" s="1033"/>
      <c r="K132" s="1035"/>
      <c r="L132" s="1035"/>
      <c r="M132" s="998"/>
      <c r="N132" s="998"/>
    </row>
    <row r="133" spans="1:14" ht="12.75">
      <c r="A133" s="1033"/>
      <c r="B133" s="1033"/>
      <c r="C133" s="1033"/>
      <c r="F133" s="1034"/>
      <c r="G133" s="1033"/>
      <c r="H133" s="1033"/>
      <c r="I133" s="1033"/>
      <c r="J133" s="1033"/>
      <c r="K133" s="1035"/>
      <c r="L133" s="1035"/>
      <c r="M133" s="998"/>
      <c r="N133" s="998"/>
    </row>
    <row r="134" spans="1:14" ht="12.75">
      <c r="A134" s="1033"/>
      <c r="B134" s="1033"/>
      <c r="C134" s="1033"/>
      <c r="F134" s="1034"/>
      <c r="G134" s="1033"/>
      <c r="H134" s="1033"/>
      <c r="I134" s="1033"/>
      <c r="J134" s="1033"/>
      <c r="K134" s="1035"/>
      <c r="L134" s="1035"/>
      <c r="M134" s="998"/>
      <c r="N134" s="998"/>
    </row>
    <row r="135" spans="1:14" ht="12.75">
      <c r="A135" s="1033"/>
      <c r="B135" s="1033"/>
      <c r="C135" s="1033"/>
      <c r="F135" s="1034"/>
      <c r="G135" s="1033"/>
      <c r="H135" s="1033"/>
      <c r="I135" s="1033"/>
      <c r="J135" s="1033"/>
      <c r="K135" s="1035"/>
      <c r="L135" s="1035"/>
      <c r="M135" s="998"/>
      <c r="N135" s="998"/>
    </row>
    <row r="136" spans="1:14" ht="12.75">
      <c r="A136" s="1033"/>
      <c r="B136" s="1033"/>
      <c r="C136" s="1033"/>
      <c r="F136" s="1034"/>
      <c r="G136" s="1033"/>
      <c r="H136" s="1033"/>
      <c r="I136" s="1033"/>
      <c r="J136" s="1033"/>
      <c r="K136" s="1035"/>
      <c r="L136" s="1035"/>
      <c r="M136" s="998"/>
      <c r="N136" s="998"/>
    </row>
    <row r="137" spans="1:14" ht="12.75">
      <c r="A137" s="1033"/>
      <c r="B137" s="1033"/>
      <c r="C137" s="1033"/>
      <c r="F137" s="1034"/>
      <c r="G137" s="1033"/>
      <c r="H137" s="1033"/>
      <c r="I137" s="1033"/>
      <c r="J137" s="1033"/>
      <c r="K137" s="1035"/>
      <c r="L137" s="1035"/>
      <c r="M137" s="998"/>
      <c r="N137" s="998"/>
    </row>
    <row r="138" spans="1:14" ht="12.75">
      <c r="A138" s="1033"/>
      <c r="B138" s="1033"/>
      <c r="C138" s="1033"/>
      <c r="F138" s="1034"/>
      <c r="G138" s="1033"/>
      <c r="H138" s="1033"/>
      <c r="I138" s="1033"/>
      <c r="J138" s="1033"/>
      <c r="K138" s="1035"/>
      <c r="L138" s="1035"/>
      <c r="M138" s="998"/>
      <c r="N138" s="998"/>
    </row>
    <row r="139" spans="1:14" ht="12.75">
      <c r="A139" s="1033"/>
      <c r="B139" s="1033"/>
      <c r="C139" s="1033"/>
      <c r="F139" s="1034"/>
      <c r="G139" s="1033"/>
      <c r="H139" s="1033"/>
      <c r="I139" s="1033"/>
      <c r="J139" s="1033"/>
      <c r="K139" s="1035"/>
      <c r="L139" s="1035"/>
      <c r="M139" s="998"/>
      <c r="N139" s="998"/>
    </row>
    <row r="140" spans="1:14" ht="12.75">
      <c r="A140" s="1033"/>
      <c r="B140" s="1033"/>
      <c r="C140" s="1033"/>
      <c r="F140" s="1034"/>
      <c r="G140" s="1033"/>
      <c r="H140" s="1033"/>
      <c r="I140" s="1033"/>
      <c r="J140" s="1033"/>
      <c r="K140" s="1035"/>
      <c r="L140" s="1035"/>
      <c r="M140" s="998"/>
      <c r="N140" s="998"/>
    </row>
    <row r="141" spans="1:14" ht="12.75">
      <c r="A141" s="1033"/>
      <c r="B141" s="1033"/>
      <c r="C141" s="1033"/>
      <c r="F141" s="1034"/>
      <c r="G141" s="1033"/>
      <c r="H141" s="1033"/>
      <c r="I141" s="1033"/>
      <c r="J141" s="1033"/>
      <c r="K141" s="1035"/>
      <c r="L141" s="1035"/>
      <c r="M141" s="998"/>
      <c r="N141" s="998"/>
    </row>
    <row r="142" spans="1:14" ht="12.75">
      <c r="A142" s="1033"/>
      <c r="B142" s="1033"/>
      <c r="C142" s="1033"/>
      <c r="F142" s="1034"/>
      <c r="G142" s="1033"/>
      <c r="H142" s="1033"/>
      <c r="I142" s="1033"/>
      <c r="J142" s="1033"/>
      <c r="K142" s="1035"/>
      <c r="L142" s="1035"/>
      <c r="M142" s="998"/>
      <c r="N142" s="998"/>
    </row>
    <row r="143" spans="1:14" ht="12.75">
      <c r="A143" s="1033"/>
      <c r="B143" s="1033"/>
      <c r="C143" s="1033"/>
      <c r="F143" s="1034"/>
      <c r="G143" s="1033"/>
      <c r="H143" s="1033"/>
      <c r="I143" s="1033"/>
      <c r="J143" s="1033"/>
      <c r="K143" s="1035"/>
      <c r="L143" s="1035"/>
      <c r="M143" s="998"/>
      <c r="N143" s="998"/>
    </row>
    <row r="144" spans="1:14" ht="12.75">
      <c r="A144" s="1033"/>
      <c r="B144" s="1033"/>
      <c r="C144" s="1033"/>
      <c r="F144" s="1034"/>
      <c r="G144" s="1033"/>
      <c r="H144" s="1033"/>
      <c r="I144" s="1033"/>
      <c r="J144" s="1033"/>
      <c r="K144" s="1035"/>
      <c r="L144" s="1035"/>
      <c r="M144" s="998"/>
      <c r="N144" s="998"/>
    </row>
    <row r="145" spans="1:14" ht="12.75">
      <c r="A145" s="1033"/>
      <c r="B145" s="1033"/>
      <c r="C145" s="1033"/>
      <c r="F145" s="1034"/>
      <c r="G145" s="1033"/>
      <c r="H145" s="1033"/>
      <c r="I145" s="1033"/>
      <c r="J145" s="1033"/>
      <c r="K145" s="1035"/>
      <c r="L145" s="1035"/>
      <c r="M145" s="998"/>
      <c r="N145" s="998"/>
    </row>
    <row r="146" spans="1:14" ht="12.75">
      <c r="A146" s="1033"/>
      <c r="B146" s="1033"/>
      <c r="C146" s="1033"/>
      <c r="F146" s="1034"/>
      <c r="G146" s="1033"/>
      <c r="H146" s="1033"/>
      <c r="I146" s="1033"/>
      <c r="J146" s="1033"/>
      <c r="K146" s="1035"/>
      <c r="L146" s="1035"/>
      <c r="M146" s="998"/>
      <c r="N146" s="998"/>
    </row>
    <row r="147" spans="1:14" ht="12.75">
      <c r="A147" s="1033"/>
      <c r="B147" s="1033"/>
      <c r="C147" s="1033"/>
      <c r="F147" s="1034"/>
      <c r="G147" s="1033"/>
      <c r="H147" s="1033"/>
      <c r="I147" s="1033"/>
      <c r="J147" s="1033"/>
      <c r="K147" s="1035"/>
      <c r="L147" s="1035"/>
      <c r="M147" s="998"/>
      <c r="N147" s="998"/>
    </row>
    <row r="148" spans="1:14" ht="12.75">
      <c r="A148" s="1033"/>
      <c r="B148" s="1033"/>
      <c r="C148" s="1033"/>
      <c r="F148" s="1034"/>
      <c r="G148" s="1033"/>
      <c r="H148" s="1033"/>
      <c r="I148" s="1033"/>
      <c r="J148" s="1033"/>
      <c r="K148" s="1035"/>
      <c r="L148" s="1035"/>
      <c r="M148" s="998"/>
      <c r="N148" s="998"/>
    </row>
    <row r="149" spans="1:14" ht="12.75">
      <c r="A149" s="1033"/>
      <c r="B149" s="1033"/>
      <c r="C149" s="1033"/>
      <c r="F149" s="1034"/>
      <c r="G149" s="1033"/>
      <c r="H149" s="1033"/>
      <c r="I149" s="1033"/>
      <c r="J149" s="1033"/>
      <c r="K149" s="1035"/>
      <c r="L149" s="1035"/>
      <c r="M149" s="998"/>
      <c r="N149" s="998"/>
    </row>
    <row r="150" spans="1:14" ht="12.75">
      <c r="A150" s="1033"/>
      <c r="B150" s="1033"/>
      <c r="C150" s="1033"/>
      <c r="F150" s="1034"/>
      <c r="G150" s="1033"/>
      <c r="H150" s="1033"/>
      <c r="I150" s="1033"/>
      <c r="J150" s="1033"/>
      <c r="K150" s="1035"/>
      <c r="L150" s="1035"/>
      <c r="M150" s="998"/>
      <c r="N150" s="998"/>
    </row>
    <row r="151" spans="1:14" ht="12.75">
      <c r="A151" s="1033"/>
      <c r="B151" s="1033"/>
      <c r="C151" s="1033"/>
      <c r="F151" s="1034"/>
      <c r="G151" s="1033"/>
      <c r="H151" s="1033"/>
      <c r="I151" s="1033"/>
      <c r="J151" s="1033"/>
      <c r="K151" s="1035"/>
      <c r="L151" s="1035"/>
      <c r="M151" s="998"/>
      <c r="N151" s="998"/>
    </row>
    <row r="152" spans="1:14" ht="12.75">
      <c r="A152" s="1033"/>
      <c r="B152" s="1033"/>
      <c r="C152" s="1033"/>
      <c r="F152" s="1034"/>
      <c r="G152" s="1033"/>
      <c r="H152" s="1033"/>
      <c r="I152" s="1033"/>
      <c r="J152" s="1033"/>
      <c r="K152" s="1035"/>
      <c r="L152" s="1035"/>
      <c r="M152" s="998"/>
      <c r="N152" s="998"/>
    </row>
    <row r="153" spans="1:14" ht="12.75">
      <c r="A153" s="1033"/>
      <c r="B153" s="1033"/>
      <c r="C153" s="1033"/>
      <c r="F153" s="1034"/>
      <c r="G153" s="1033"/>
      <c r="H153" s="1033"/>
      <c r="I153" s="1033"/>
      <c r="J153" s="1033"/>
      <c r="K153" s="1035"/>
      <c r="L153" s="1035"/>
      <c r="M153" s="998"/>
      <c r="N153" s="998"/>
    </row>
    <row r="154" spans="1:14" ht="12.75">
      <c r="A154" s="1033"/>
      <c r="B154" s="1033"/>
      <c r="C154" s="1033"/>
      <c r="F154" s="1034"/>
      <c r="G154" s="1033"/>
      <c r="H154" s="1033"/>
      <c r="I154" s="1033"/>
      <c r="J154" s="1033"/>
      <c r="K154" s="1035"/>
      <c r="L154" s="1035"/>
      <c r="M154" s="998"/>
      <c r="N154" s="998"/>
    </row>
    <row r="155" spans="1:14" ht="12.75">
      <c r="A155" s="1033"/>
      <c r="B155" s="1033"/>
      <c r="C155" s="1033"/>
      <c r="F155" s="1034"/>
      <c r="G155" s="1033"/>
      <c r="H155" s="1033"/>
      <c r="I155" s="1033"/>
      <c r="J155" s="1033"/>
      <c r="K155" s="1035"/>
      <c r="L155" s="1035"/>
      <c r="M155" s="998"/>
      <c r="N155" s="998"/>
    </row>
    <row r="156" spans="1:14" ht="12.75">
      <c r="A156" s="1033"/>
      <c r="B156" s="1033"/>
      <c r="C156" s="1033"/>
      <c r="F156" s="1034"/>
      <c r="G156" s="1033"/>
      <c r="H156" s="1033"/>
      <c r="I156" s="1033"/>
      <c r="J156" s="1033"/>
      <c r="K156" s="1035"/>
      <c r="L156" s="1035"/>
      <c r="M156" s="998"/>
      <c r="N156" s="998"/>
    </row>
    <row r="157" spans="1:14" ht="12.75">
      <c r="A157" s="1033"/>
      <c r="B157" s="1033"/>
      <c r="C157" s="1033"/>
      <c r="F157" s="1034"/>
      <c r="G157" s="1033"/>
      <c r="H157" s="1033"/>
      <c r="I157" s="1033"/>
      <c r="J157" s="1033"/>
      <c r="K157" s="1035"/>
      <c r="L157" s="1035"/>
      <c r="M157" s="998"/>
      <c r="N157" s="998"/>
    </row>
    <row r="158" spans="1:14" ht="12.75">
      <c r="A158" s="1033"/>
      <c r="B158" s="1033"/>
      <c r="C158" s="1033"/>
      <c r="F158" s="1034"/>
      <c r="G158" s="1033"/>
      <c r="H158" s="1033"/>
      <c r="I158" s="1033"/>
      <c r="J158" s="1033"/>
      <c r="K158" s="1035"/>
      <c r="L158" s="1035"/>
      <c r="M158" s="998"/>
      <c r="N158" s="998"/>
    </row>
    <row r="159" spans="1:14" ht="12.75">
      <c r="A159" s="1033"/>
      <c r="B159" s="1033"/>
      <c r="C159" s="1033"/>
      <c r="F159" s="1034"/>
      <c r="G159" s="1033"/>
      <c r="H159" s="1033"/>
      <c r="I159" s="1033"/>
      <c r="J159" s="1033"/>
      <c r="K159" s="1035"/>
      <c r="L159" s="1035"/>
      <c r="M159" s="998"/>
      <c r="N159" s="998"/>
    </row>
    <row r="160" spans="1:14" ht="12.75">
      <c r="A160" s="1033"/>
      <c r="B160" s="1033"/>
      <c r="C160" s="1033"/>
      <c r="F160" s="1034"/>
      <c r="G160" s="1033"/>
      <c r="H160" s="1033"/>
      <c r="I160" s="1033"/>
      <c r="J160" s="1033"/>
      <c r="K160" s="1035"/>
      <c r="L160" s="1035"/>
      <c r="M160" s="998"/>
      <c r="N160" s="998"/>
    </row>
    <row r="161" spans="1:14" ht="12.75">
      <c r="A161" s="1033"/>
      <c r="B161" s="1033"/>
      <c r="C161" s="1033"/>
      <c r="F161" s="1034"/>
      <c r="G161" s="1033"/>
      <c r="H161" s="1033"/>
      <c r="I161" s="1033"/>
      <c r="J161" s="1033"/>
      <c r="K161" s="1035"/>
      <c r="L161" s="1035"/>
      <c r="M161" s="998"/>
      <c r="N161" s="998"/>
    </row>
    <row r="162" spans="1:14" ht="12.75">
      <c r="A162" s="1033"/>
      <c r="B162" s="1033"/>
      <c r="C162" s="1033"/>
      <c r="F162" s="1034"/>
      <c r="G162" s="1033"/>
      <c r="H162" s="1033"/>
      <c r="I162" s="1033"/>
      <c r="J162" s="1033"/>
      <c r="K162" s="1035"/>
      <c r="L162" s="1035"/>
      <c r="M162" s="998"/>
      <c r="N162" s="998"/>
    </row>
    <row r="163" spans="1:14" ht="12.75">
      <c r="A163" s="1033"/>
      <c r="B163" s="1033"/>
      <c r="C163" s="1033"/>
      <c r="F163" s="1034"/>
      <c r="G163" s="1033"/>
      <c r="H163" s="1033"/>
      <c r="I163" s="1033"/>
      <c r="J163" s="1033"/>
      <c r="K163" s="1035"/>
      <c r="L163" s="1035"/>
      <c r="M163" s="998"/>
      <c r="N163" s="998"/>
    </row>
    <row r="164" spans="1:14" ht="12.75">
      <c r="A164" s="1033"/>
      <c r="B164" s="1033"/>
      <c r="C164" s="1033"/>
      <c r="F164" s="1034"/>
      <c r="G164" s="1033"/>
      <c r="H164" s="1033"/>
      <c r="I164" s="1033"/>
      <c r="J164" s="1033"/>
      <c r="K164" s="1035"/>
      <c r="L164" s="1035"/>
      <c r="M164" s="998"/>
      <c r="N164" s="998"/>
    </row>
    <row r="165" spans="1:14" ht="12.75">
      <c r="A165" s="1033"/>
      <c r="B165" s="1033"/>
      <c r="C165" s="1033"/>
      <c r="F165" s="1034"/>
      <c r="G165" s="1033"/>
      <c r="H165" s="1033"/>
      <c r="I165" s="1033"/>
      <c r="J165" s="1033"/>
      <c r="K165" s="1035"/>
      <c r="L165" s="1035"/>
      <c r="M165" s="998"/>
      <c r="N165" s="998"/>
    </row>
    <row r="166" spans="1:14" ht="12.75">
      <c r="A166" s="1033"/>
      <c r="B166" s="1033"/>
      <c r="C166" s="1033"/>
      <c r="F166" s="1034"/>
      <c r="G166" s="1033"/>
      <c r="H166" s="1033"/>
      <c r="I166" s="1033"/>
      <c r="J166" s="1033"/>
      <c r="K166" s="1035"/>
      <c r="L166" s="1035"/>
      <c r="M166" s="998"/>
      <c r="N166" s="998"/>
    </row>
    <row r="167" spans="1:14" ht="12.75">
      <c r="A167" s="1033"/>
      <c r="B167" s="1033"/>
      <c r="C167" s="1033"/>
      <c r="F167" s="1034"/>
      <c r="G167" s="1033"/>
      <c r="H167" s="1033"/>
      <c r="I167" s="1033"/>
      <c r="J167" s="1033"/>
      <c r="K167" s="1035"/>
      <c r="L167" s="1035"/>
      <c r="M167" s="998"/>
      <c r="N167" s="998"/>
    </row>
    <row r="168" spans="1:14" ht="12.75">
      <c r="A168" s="1033"/>
      <c r="B168" s="1033"/>
      <c r="C168" s="1033"/>
      <c r="F168" s="1034"/>
      <c r="G168" s="1033"/>
      <c r="H168" s="1033"/>
      <c r="I168" s="1033"/>
      <c r="J168" s="1033"/>
      <c r="K168" s="1035"/>
      <c r="L168" s="1035"/>
      <c r="M168" s="998"/>
      <c r="N168" s="998"/>
    </row>
    <row r="169" spans="1:14" ht="12.75">
      <c r="A169" s="1033"/>
      <c r="B169" s="1033"/>
      <c r="C169" s="1033"/>
      <c r="F169" s="1034"/>
      <c r="G169" s="1033"/>
      <c r="H169" s="1033"/>
      <c r="I169" s="1033"/>
      <c r="J169" s="1033"/>
      <c r="K169" s="1035"/>
      <c r="L169" s="1035"/>
      <c r="M169" s="998"/>
      <c r="N169" s="998"/>
    </row>
    <row r="170" spans="1:14" ht="12.75">
      <c r="A170" s="1033"/>
      <c r="B170" s="1033"/>
      <c r="C170" s="1033"/>
      <c r="F170" s="1034"/>
      <c r="G170" s="1033"/>
      <c r="H170" s="1033"/>
      <c r="I170" s="1033"/>
      <c r="J170" s="1033"/>
      <c r="K170" s="1035"/>
      <c r="L170" s="1035"/>
      <c r="M170" s="998"/>
      <c r="N170" s="998"/>
    </row>
    <row r="171" spans="1:14" ht="12.75">
      <c r="A171" s="1033"/>
      <c r="B171" s="1033"/>
      <c r="C171" s="1033"/>
      <c r="F171" s="1034"/>
      <c r="G171" s="1033"/>
      <c r="H171" s="1033"/>
      <c r="I171" s="1033"/>
      <c r="J171" s="1033"/>
      <c r="K171" s="1035"/>
      <c r="L171" s="1035"/>
      <c r="M171" s="998"/>
      <c r="N171" s="998"/>
    </row>
    <row r="172" spans="1:14" ht="12.75">
      <c r="A172" s="1033"/>
      <c r="B172" s="1033"/>
      <c r="C172" s="1033"/>
      <c r="F172" s="1034"/>
      <c r="G172" s="1033"/>
      <c r="H172" s="1033"/>
      <c r="I172" s="1033"/>
      <c r="J172" s="1033"/>
      <c r="K172" s="1035"/>
      <c r="L172" s="1035"/>
      <c r="M172" s="998"/>
      <c r="N172" s="998"/>
    </row>
    <row r="173" spans="1:14" ht="12.75">
      <c r="A173" s="1033"/>
      <c r="B173" s="1033"/>
      <c r="C173" s="1033"/>
      <c r="F173" s="1034"/>
      <c r="G173" s="1033"/>
      <c r="H173" s="1033"/>
      <c r="I173" s="1033"/>
      <c r="J173" s="1033"/>
      <c r="K173" s="1035"/>
      <c r="L173" s="1035"/>
      <c r="M173" s="998"/>
      <c r="N173" s="998"/>
    </row>
    <row r="174" spans="1:14" ht="12.75">
      <c r="A174" s="1033"/>
      <c r="B174" s="1033"/>
      <c r="C174" s="1033"/>
      <c r="F174" s="1034"/>
      <c r="G174" s="1033"/>
      <c r="H174" s="1033"/>
      <c r="I174" s="1033"/>
      <c r="J174" s="1033"/>
      <c r="K174" s="1035"/>
      <c r="L174" s="1035"/>
      <c r="M174" s="998"/>
      <c r="N174" s="998"/>
    </row>
    <row r="175" spans="1:14" ht="12.75">
      <c r="A175" s="1033"/>
      <c r="B175" s="1033"/>
      <c r="C175" s="1033"/>
      <c r="F175" s="1034"/>
      <c r="G175" s="1033"/>
      <c r="H175" s="1033"/>
      <c r="I175" s="1033"/>
      <c r="J175" s="1033"/>
      <c r="K175" s="1035"/>
      <c r="L175" s="1035"/>
      <c r="M175" s="998"/>
      <c r="N175" s="998"/>
    </row>
    <row r="176" spans="1:14" ht="12.75">
      <c r="A176" s="1033"/>
      <c r="B176" s="1033"/>
      <c r="C176" s="1033"/>
      <c r="F176" s="1034"/>
      <c r="G176" s="1033"/>
      <c r="H176" s="1033"/>
      <c r="I176" s="1033"/>
      <c r="J176" s="1033"/>
      <c r="K176" s="1035"/>
      <c r="L176" s="1035"/>
      <c r="M176" s="998"/>
      <c r="N176" s="998"/>
    </row>
    <row r="177" spans="1:14" ht="12.75">
      <c r="A177" s="1033"/>
      <c r="B177" s="1033"/>
      <c r="C177" s="1033"/>
      <c r="F177" s="1034"/>
      <c r="G177" s="1033"/>
      <c r="H177" s="1033"/>
      <c r="I177" s="1033"/>
      <c r="J177" s="1033"/>
      <c r="K177" s="1035"/>
      <c r="L177" s="1035"/>
      <c r="M177" s="998"/>
      <c r="N177" s="998"/>
    </row>
    <row r="178" spans="1:14" ht="12.75">
      <c r="A178" s="1033"/>
      <c r="B178" s="1033"/>
      <c r="C178" s="1033"/>
      <c r="F178" s="1034"/>
      <c r="G178" s="1033"/>
      <c r="H178" s="1033"/>
      <c r="I178" s="1033"/>
      <c r="J178" s="1033"/>
      <c r="K178" s="1035"/>
      <c r="L178" s="1035"/>
      <c r="M178" s="998"/>
      <c r="N178" s="998"/>
    </row>
    <row r="179" spans="1:14" ht="12.75">
      <c r="A179" s="1033"/>
      <c r="B179" s="1033"/>
      <c r="C179" s="1033"/>
      <c r="F179" s="1034"/>
      <c r="G179" s="1033"/>
      <c r="H179" s="1033"/>
      <c r="I179" s="1033"/>
      <c r="J179" s="1033"/>
      <c r="K179" s="1035"/>
      <c r="L179" s="1035"/>
      <c r="M179" s="998"/>
      <c r="N179" s="998"/>
    </row>
    <row r="180" spans="1:14" ht="12.75">
      <c r="A180" s="1033"/>
      <c r="B180" s="1033"/>
      <c r="C180" s="1033"/>
      <c r="F180" s="1034"/>
      <c r="G180" s="1033"/>
      <c r="H180" s="1033"/>
      <c r="I180" s="1033"/>
      <c r="J180" s="1033"/>
      <c r="K180" s="1035"/>
      <c r="L180" s="1035"/>
      <c r="M180" s="998"/>
      <c r="N180" s="998"/>
    </row>
    <row r="181" spans="1:14" ht="12.75">
      <c r="A181" s="1033"/>
      <c r="B181" s="1033"/>
      <c r="C181" s="1033"/>
      <c r="F181" s="1034"/>
      <c r="G181" s="1033"/>
      <c r="H181" s="1033"/>
      <c r="I181" s="1033"/>
      <c r="J181" s="1033"/>
      <c r="K181" s="1035"/>
      <c r="L181" s="1035"/>
      <c r="M181" s="998"/>
      <c r="N181" s="998"/>
    </row>
    <row r="182" spans="1:14" ht="12.75">
      <c r="A182" s="1033"/>
      <c r="B182" s="1033"/>
      <c r="C182" s="1033"/>
      <c r="F182" s="1034"/>
      <c r="G182" s="1033"/>
      <c r="H182" s="1033"/>
      <c r="I182" s="1033"/>
      <c r="J182" s="1033"/>
      <c r="K182" s="1035"/>
      <c r="L182" s="1035"/>
      <c r="M182" s="998"/>
      <c r="N182" s="998"/>
    </row>
    <row r="183" spans="1:14" ht="12.75">
      <c r="A183" s="1033"/>
      <c r="B183" s="1033"/>
      <c r="C183" s="1033"/>
      <c r="F183" s="1034"/>
      <c r="G183" s="1033"/>
      <c r="H183" s="1033"/>
      <c r="I183" s="1033"/>
      <c r="J183" s="1033"/>
      <c r="K183" s="1035"/>
      <c r="L183" s="1035"/>
      <c r="M183" s="998"/>
      <c r="N183" s="998"/>
    </row>
    <row r="184" spans="1:14" ht="12.75">
      <c r="A184" s="1033"/>
      <c r="B184" s="1033"/>
      <c r="C184" s="1033"/>
      <c r="F184" s="1034"/>
      <c r="G184" s="1033"/>
      <c r="H184" s="1033"/>
      <c r="I184" s="1033"/>
      <c r="J184" s="1033"/>
      <c r="K184" s="1035"/>
      <c r="L184" s="1035"/>
      <c r="M184" s="998"/>
      <c r="N184" s="998"/>
    </row>
    <row r="185" spans="1:14" ht="12.75">
      <c r="A185" s="1033"/>
      <c r="B185" s="1033"/>
      <c r="C185" s="1033"/>
      <c r="F185" s="1034"/>
      <c r="G185" s="1033"/>
      <c r="H185" s="1033"/>
      <c r="I185" s="1033"/>
      <c r="J185" s="1033"/>
      <c r="K185" s="1035"/>
      <c r="L185" s="1035"/>
      <c r="M185" s="998"/>
      <c r="N185" s="998"/>
    </row>
    <row r="186" spans="1:14" ht="12.75">
      <c r="A186" s="1033"/>
      <c r="B186" s="1033"/>
      <c r="C186" s="1033"/>
      <c r="F186" s="1034"/>
      <c r="G186" s="1033"/>
      <c r="H186" s="1033"/>
      <c r="I186" s="1033"/>
      <c r="J186" s="1033"/>
      <c r="K186" s="1035"/>
      <c r="L186" s="1035"/>
      <c r="M186" s="998"/>
      <c r="N186" s="998"/>
    </row>
    <row r="187" spans="1:14" ht="12.75">
      <c r="A187" s="1033"/>
      <c r="B187" s="1033"/>
      <c r="C187" s="1033"/>
      <c r="F187" s="1034"/>
      <c r="G187" s="1033"/>
      <c r="H187" s="1033"/>
      <c r="I187" s="1033"/>
      <c r="J187" s="1033"/>
      <c r="K187" s="1035"/>
      <c r="L187" s="1035"/>
      <c r="M187" s="998"/>
      <c r="N187" s="998"/>
    </row>
    <row r="188" spans="1:14" ht="12.75">
      <c r="A188" s="1033"/>
      <c r="B188" s="1033"/>
      <c r="C188" s="1033"/>
      <c r="F188" s="1034"/>
      <c r="G188" s="1033"/>
      <c r="H188" s="1033"/>
      <c r="I188" s="1033"/>
      <c r="J188" s="1033"/>
      <c r="K188" s="1035"/>
      <c r="L188" s="1035"/>
      <c r="M188" s="998"/>
      <c r="N188" s="998"/>
    </row>
    <row r="189" spans="1:14" ht="12.75">
      <c r="A189" s="1033"/>
      <c r="B189" s="1033"/>
      <c r="C189" s="1033"/>
      <c r="F189" s="1034"/>
      <c r="G189" s="1033"/>
      <c r="H189" s="1033"/>
      <c r="I189" s="1033"/>
      <c r="J189" s="1033"/>
      <c r="K189" s="1035"/>
      <c r="L189" s="1035"/>
      <c r="M189" s="998"/>
      <c r="N189" s="998"/>
    </row>
    <row r="190" spans="1:14" ht="12.75">
      <c r="A190" s="1033"/>
      <c r="B190" s="1033"/>
      <c r="C190" s="1033"/>
      <c r="F190" s="1034"/>
      <c r="G190" s="1033"/>
      <c r="H190" s="1033"/>
      <c r="I190" s="1033"/>
      <c r="J190" s="1033"/>
      <c r="K190" s="1035"/>
      <c r="L190" s="1035"/>
      <c r="M190" s="998"/>
      <c r="N190" s="998"/>
    </row>
    <row r="191" spans="1:14" ht="12.75">
      <c r="A191" s="1033"/>
      <c r="B191" s="1033"/>
      <c r="C191" s="1033"/>
      <c r="F191" s="1034"/>
      <c r="G191" s="1033"/>
      <c r="H191" s="1033"/>
      <c r="I191" s="1033"/>
      <c r="J191" s="1033"/>
      <c r="K191" s="1035"/>
      <c r="L191" s="1035"/>
      <c r="M191" s="998"/>
      <c r="N191" s="998"/>
    </row>
    <row r="192" spans="1:14" ht="12.75">
      <c r="A192" s="1033"/>
      <c r="B192" s="1033"/>
      <c r="C192" s="1033"/>
      <c r="F192" s="1034"/>
      <c r="G192" s="1033"/>
      <c r="H192" s="1033"/>
      <c r="I192" s="1033"/>
      <c r="J192" s="1033"/>
      <c r="K192" s="1035"/>
      <c r="L192" s="1035"/>
      <c r="M192" s="998"/>
      <c r="N192" s="998"/>
    </row>
    <row r="193" spans="1:14" ht="12.75">
      <c r="A193" s="1033"/>
      <c r="B193" s="1033"/>
      <c r="C193" s="1033"/>
      <c r="F193" s="1034"/>
      <c r="G193" s="1033"/>
      <c r="H193" s="1033"/>
      <c r="I193" s="1033"/>
      <c r="J193" s="1033"/>
      <c r="K193" s="1035"/>
      <c r="L193" s="1035"/>
      <c r="M193" s="998"/>
      <c r="N193" s="998"/>
    </row>
    <row r="194" spans="1:14" ht="12.75">
      <c r="A194" s="1033"/>
      <c r="B194" s="1033"/>
      <c r="C194" s="1033"/>
      <c r="F194" s="1034"/>
      <c r="G194" s="1033"/>
      <c r="H194" s="1033"/>
      <c r="I194" s="1033"/>
      <c r="J194" s="1033"/>
      <c r="K194" s="1035"/>
      <c r="L194" s="1035"/>
      <c r="M194" s="998"/>
      <c r="N194" s="998"/>
    </row>
    <row r="195" spans="1:14" ht="12.75">
      <c r="A195" s="1033"/>
      <c r="B195" s="1033"/>
      <c r="C195" s="1033"/>
      <c r="F195" s="1034"/>
      <c r="G195" s="1033"/>
      <c r="H195" s="1033"/>
      <c r="I195" s="1033"/>
      <c r="J195" s="1033"/>
      <c r="K195" s="1035"/>
      <c r="L195" s="1035"/>
      <c r="M195" s="998"/>
      <c r="N195" s="998"/>
    </row>
    <row r="196" spans="1:14" ht="12.75">
      <c r="A196" s="1033"/>
      <c r="B196" s="1033"/>
      <c r="C196" s="1033"/>
      <c r="F196" s="1034"/>
      <c r="G196" s="1033"/>
      <c r="H196" s="1033"/>
      <c r="I196" s="1033"/>
      <c r="J196" s="1033"/>
      <c r="K196" s="1035"/>
      <c r="L196" s="1035"/>
      <c r="M196" s="998"/>
      <c r="N196" s="998"/>
    </row>
    <row r="197" spans="1:14" ht="12.75">
      <c r="A197" s="1033"/>
      <c r="B197" s="1033"/>
      <c r="C197" s="1033"/>
      <c r="F197" s="1034"/>
      <c r="G197" s="1033"/>
      <c r="H197" s="1033"/>
      <c r="I197" s="1033"/>
      <c r="J197" s="1033"/>
      <c r="K197" s="1035"/>
      <c r="L197" s="1035"/>
      <c r="M197" s="998"/>
      <c r="N197" s="998"/>
    </row>
    <row r="198" spans="1:14" ht="12.75">
      <c r="A198" s="1033"/>
      <c r="B198" s="1033"/>
      <c r="C198" s="1033"/>
      <c r="F198" s="1034"/>
      <c r="G198" s="1033"/>
      <c r="H198" s="1033"/>
      <c r="I198" s="1033"/>
      <c r="J198" s="1033"/>
      <c r="K198" s="1035"/>
      <c r="L198" s="1035"/>
      <c r="M198" s="998"/>
      <c r="N198" s="998"/>
    </row>
    <row r="199" spans="1:14" ht="12.75">
      <c r="A199" s="1033"/>
      <c r="B199" s="1033"/>
      <c r="C199" s="1033"/>
      <c r="F199" s="1034"/>
      <c r="G199" s="1033"/>
      <c r="H199" s="1033"/>
      <c r="I199" s="1033"/>
      <c r="J199" s="1033"/>
      <c r="K199" s="1035"/>
      <c r="L199" s="1035"/>
      <c r="M199" s="998"/>
      <c r="N199" s="998"/>
    </row>
    <row r="200" spans="1:14" ht="12.75">
      <c r="A200" s="1033"/>
      <c r="B200" s="1033"/>
      <c r="C200" s="1033"/>
      <c r="F200" s="1034"/>
      <c r="G200" s="1033"/>
      <c r="H200" s="1033"/>
      <c r="I200" s="1033"/>
      <c r="J200" s="1033"/>
      <c r="K200" s="1035"/>
      <c r="L200" s="1035"/>
      <c r="M200" s="998"/>
      <c r="N200" s="998"/>
    </row>
    <row r="201" spans="1:14" ht="12.75">
      <c r="A201" s="1033"/>
      <c r="B201" s="1033"/>
      <c r="C201" s="1033"/>
      <c r="F201" s="1034"/>
      <c r="G201" s="1033"/>
      <c r="H201" s="1033"/>
      <c r="I201" s="1033"/>
      <c r="J201" s="1033"/>
      <c r="K201" s="1035"/>
      <c r="L201" s="1035"/>
      <c r="M201" s="998"/>
      <c r="N201" s="998"/>
    </row>
    <row r="202" spans="1:14" ht="12.75">
      <c r="A202" s="1033"/>
      <c r="B202" s="1033"/>
      <c r="C202" s="1033"/>
      <c r="F202" s="1034"/>
      <c r="G202" s="1033"/>
      <c r="H202" s="1033"/>
      <c r="I202" s="1033"/>
      <c r="J202" s="1033"/>
      <c r="K202" s="1035"/>
      <c r="L202" s="1035"/>
      <c r="M202" s="998"/>
      <c r="N202" s="998"/>
    </row>
    <row r="203" spans="1:14" ht="12.75">
      <c r="A203" s="1033"/>
      <c r="B203" s="1033"/>
      <c r="C203" s="1033"/>
      <c r="F203" s="1034"/>
      <c r="G203" s="1033"/>
      <c r="H203" s="1033"/>
      <c r="I203" s="1033"/>
      <c r="J203" s="1033"/>
      <c r="K203" s="1035"/>
      <c r="L203" s="1035"/>
      <c r="M203" s="998"/>
      <c r="N203" s="998"/>
    </row>
    <row r="204" spans="1:14" ht="12.75">
      <c r="A204" s="1033"/>
      <c r="B204" s="1033"/>
      <c r="C204" s="1033"/>
      <c r="F204" s="1034"/>
      <c r="G204" s="1033"/>
      <c r="H204" s="1033"/>
      <c r="I204" s="1033"/>
      <c r="J204" s="1033"/>
      <c r="K204" s="1035"/>
      <c r="L204" s="1035"/>
      <c r="M204" s="998"/>
      <c r="N204" s="998"/>
    </row>
    <row r="205" spans="1:14" ht="12.75">
      <c r="A205" s="1033"/>
      <c r="B205" s="1033"/>
      <c r="C205" s="1033"/>
      <c r="F205" s="1034"/>
      <c r="G205" s="1033"/>
      <c r="H205" s="1033"/>
      <c r="I205" s="1033"/>
      <c r="J205" s="1033"/>
      <c r="K205" s="1035"/>
      <c r="L205" s="1035"/>
      <c r="M205" s="998"/>
      <c r="N205" s="998"/>
    </row>
    <row r="206" spans="1:14" ht="12.75">
      <c r="A206" s="1033"/>
      <c r="B206" s="1033"/>
      <c r="C206" s="1033"/>
      <c r="F206" s="1034"/>
      <c r="G206" s="1033"/>
      <c r="H206" s="1033"/>
      <c r="I206" s="1033"/>
      <c r="J206" s="1033"/>
      <c r="K206" s="1035"/>
      <c r="L206" s="1035"/>
      <c r="M206" s="998"/>
      <c r="N206" s="998"/>
    </row>
    <row r="207" spans="1:14" ht="12.75">
      <c r="A207" s="1033"/>
      <c r="B207" s="1033"/>
      <c r="C207" s="1033"/>
      <c r="F207" s="1034"/>
      <c r="G207" s="1033"/>
      <c r="H207" s="1033"/>
      <c r="I207" s="1033"/>
      <c r="J207" s="1033"/>
      <c r="K207" s="1035"/>
      <c r="L207" s="1035"/>
      <c r="M207" s="998"/>
      <c r="N207" s="998"/>
    </row>
    <row r="208" spans="1:14" ht="12.75">
      <c r="A208" s="1033"/>
      <c r="B208" s="1033"/>
      <c r="C208" s="1033"/>
      <c r="F208" s="1034"/>
      <c r="G208" s="1033"/>
      <c r="H208" s="1033"/>
      <c r="I208" s="1033"/>
      <c r="J208" s="1033"/>
      <c r="K208" s="1035"/>
      <c r="L208" s="1035"/>
      <c r="M208" s="998"/>
      <c r="N208" s="998"/>
    </row>
    <row r="209" spans="1:14" ht="12.75">
      <c r="A209" s="1033"/>
      <c r="B209" s="1033"/>
      <c r="C209" s="1033"/>
      <c r="F209" s="1034"/>
      <c r="G209" s="1033"/>
      <c r="H209" s="1033"/>
      <c r="I209" s="1033"/>
      <c r="J209" s="1033"/>
      <c r="K209" s="1035"/>
      <c r="L209" s="1035"/>
      <c r="M209" s="998"/>
      <c r="N209" s="998"/>
    </row>
    <row r="210" spans="1:14" ht="12.75">
      <c r="A210" s="1033"/>
      <c r="B210" s="1033"/>
      <c r="C210" s="1033"/>
      <c r="F210" s="1034"/>
      <c r="G210" s="1033"/>
      <c r="H210" s="1033"/>
      <c r="I210" s="1033"/>
      <c r="J210" s="1033"/>
      <c r="K210" s="1035"/>
      <c r="L210" s="1035"/>
      <c r="M210" s="998"/>
      <c r="N210" s="998"/>
    </row>
    <row r="211" spans="1:14" ht="12.75">
      <c r="A211" s="1033"/>
      <c r="B211" s="1033"/>
      <c r="C211" s="1033"/>
      <c r="F211" s="1034"/>
      <c r="G211" s="1033"/>
      <c r="H211" s="1033"/>
      <c r="I211" s="1033"/>
      <c r="J211" s="1033"/>
      <c r="K211" s="1035"/>
      <c r="L211" s="1035"/>
      <c r="M211" s="998"/>
      <c r="N211" s="998"/>
    </row>
    <row r="212" spans="1:14" ht="12.75">
      <c r="A212" s="1033"/>
      <c r="B212" s="1033"/>
      <c r="C212" s="1033"/>
      <c r="F212" s="1034"/>
      <c r="G212" s="1033"/>
      <c r="H212" s="1033"/>
      <c r="I212" s="1033"/>
      <c r="J212" s="1033"/>
      <c r="K212" s="1035"/>
      <c r="L212" s="1035"/>
      <c r="M212" s="998"/>
      <c r="N212" s="998"/>
    </row>
    <row r="213" spans="1:14" ht="12.75">
      <c r="A213" s="1033"/>
      <c r="B213" s="1033"/>
      <c r="C213" s="1033"/>
      <c r="F213" s="1034"/>
      <c r="G213" s="1033"/>
      <c r="H213" s="1033"/>
      <c r="I213" s="1033"/>
      <c r="J213" s="1033"/>
      <c r="K213" s="1035"/>
      <c r="L213" s="1035"/>
      <c r="M213" s="998"/>
      <c r="N213" s="998"/>
    </row>
    <row r="214" spans="1:14" ht="12.75">
      <c r="A214" s="1033"/>
      <c r="B214" s="1033"/>
      <c r="C214" s="1033"/>
      <c r="F214" s="1034"/>
      <c r="G214" s="1033"/>
      <c r="H214" s="1033"/>
      <c r="I214" s="1033"/>
      <c r="J214" s="1033"/>
      <c r="K214" s="1035"/>
      <c r="L214" s="1035"/>
      <c r="M214" s="998"/>
      <c r="N214" s="998"/>
    </row>
    <row r="215" spans="1:14" ht="12.75">
      <c r="A215" s="1033"/>
      <c r="B215" s="1033"/>
      <c r="C215" s="1033"/>
      <c r="F215" s="1034"/>
      <c r="G215" s="1033"/>
      <c r="H215" s="1033"/>
      <c r="I215" s="1033"/>
      <c r="J215" s="1033"/>
      <c r="K215" s="1035"/>
      <c r="L215" s="1035"/>
      <c r="M215" s="998"/>
      <c r="N215" s="998"/>
    </row>
    <row r="216" spans="1:14" ht="12.75">
      <c r="A216" s="1033"/>
      <c r="B216" s="1033"/>
      <c r="C216" s="1033"/>
      <c r="F216" s="1034"/>
      <c r="G216" s="1033"/>
      <c r="H216" s="1033"/>
      <c r="I216" s="1033"/>
      <c r="J216" s="1033"/>
      <c r="K216" s="1035"/>
      <c r="L216" s="1035"/>
      <c r="M216" s="998"/>
      <c r="N216" s="998"/>
    </row>
    <row r="217" spans="1:14" ht="12.75">
      <c r="A217" s="1033"/>
      <c r="B217" s="1033"/>
      <c r="C217" s="1033"/>
      <c r="F217" s="1034"/>
      <c r="G217" s="1033"/>
      <c r="H217" s="1033"/>
      <c r="I217" s="1033"/>
      <c r="J217" s="1033"/>
      <c r="K217" s="1035"/>
      <c r="L217" s="1035"/>
      <c r="M217" s="998"/>
      <c r="N217" s="998"/>
    </row>
    <row r="218" spans="1:14" ht="12.75">
      <c r="A218" s="1033"/>
      <c r="B218" s="1033"/>
      <c r="C218" s="1033"/>
      <c r="F218" s="1034"/>
      <c r="G218" s="1033"/>
      <c r="H218" s="1033"/>
      <c r="I218" s="1033"/>
      <c r="J218" s="1033"/>
      <c r="K218" s="1035"/>
      <c r="L218" s="1035"/>
      <c r="M218" s="998"/>
      <c r="N218" s="998"/>
    </row>
    <row r="219" spans="1:14" ht="12.75">
      <c r="A219" s="1033"/>
      <c r="B219" s="1033"/>
      <c r="C219" s="1033"/>
      <c r="F219" s="1034"/>
      <c r="G219" s="1033"/>
      <c r="H219" s="1033"/>
      <c r="I219" s="1033"/>
      <c r="J219" s="1033"/>
      <c r="K219" s="1035"/>
      <c r="L219" s="1035"/>
      <c r="M219" s="998"/>
      <c r="N219" s="998"/>
    </row>
    <row r="220" spans="1:14" ht="12.75">
      <c r="A220" s="1033"/>
      <c r="B220" s="1033"/>
      <c r="C220" s="1033"/>
      <c r="F220" s="1034"/>
      <c r="G220" s="1033"/>
      <c r="H220" s="1033"/>
      <c r="I220" s="1033"/>
      <c r="J220" s="1033"/>
      <c r="K220" s="1035"/>
      <c r="L220" s="1035"/>
      <c r="M220" s="998"/>
      <c r="N220" s="998"/>
    </row>
    <row r="221" spans="1:14" ht="12.75">
      <c r="A221" s="1033"/>
      <c r="B221" s="1033"/>
      <c r="C221" s="1033"/>
      <c r="F221" s="1034"/>
      <c r="G221" s="1033"/>
      <c r="H221" s="1033"/>
      <c r="I221" s="1033"/>
      <c r="J221" s="1033"/>
      <c r="K221" s="1035"/>
      <c r="L221" s="1035"/>
      <c r="M221" s="998"/>
      <c r="N221" s="998"/>
    </row>
    <row r="222" spans="1:14" ht="12.75">
      <c r="A222" s="1033"/>
      <c r="B222" s="1033"/>
      <c r="C222" s="1033"/>
      <c r="F222" s="1034"/>
      <c r="G222" s="1033"/>
      <c r="H222" s="1033"/>
      <c r="I222" s="1033"/>
      <c r="J222" s="1033"/>
      <c r="K222" s="1035"/>
      <c r="L222" s="1035"/>
      <c r="M222" s="998"/>
      <c r="N222" s="998"/>
    </row>
    <row r="223" spans="1:14" ht="12.75">
      <c r="A223" s="1033"/>
      <c r="B223" s="1033"/>
      <c r="C223" s="1033"/>
      <c r="F223" s="1034"/>
      <c r="G223" s="1033"/>
      <c r="H223" s="1033"/>
      <c r="I223" s="1033"/>
      <c r="J223" s="1033"/>
      <c r="K223" s="1035"/>
      <c r="L223" s="1035"/>
      <c r="M223" s="998"/>
      <c r="N223" s="998"/>
    </row>
    <row r="224" spans="1:14" ht="12.75">
      <c r="A224" s="1033"/>
      <c r="B224" s="1033"/>
      <c r="C224" s="1033"/>
      <c r="F224" s="1034"/>
      <c r="G224" s="1033"/>
      <c r="H224" s="1033"/>
      <c r="I224" s="1033"/>
      <c r="J224" s="1033"/>
      <c r="K224" s="1035"/>
      <c r="L224" s="1035"/>
      <c r="M224" s="998"/>
      <c r="N224" s="998"/>
    </row>
    <row r="225" spans="1:14" ht="12.75">
      <c r="A225" s="1033"/>
      <c r="B225" s="1033"/>
      <c r="C225" s="1033"/>
      <c r="F225" s="1034"/>
      <c r="G225" s="1033"/>
      <c r="H225" s="1033"/>
      <c r="I225" s="1033"/>
      <c r="J225" s="1033"/>
      <c r="K225" s="1035"/>
      <c r="L225" s="1035"/>
      <c r="M225" s="998"/>
      <c r="N225" s="998"/>
    </row>
    <row r="226" spans="1:14" ht="12.75">
      <c r="A226" s="1033"/>
      <c r="B226" s="1033"/>
      <c r="C226" s="1033"/>
      <c r="F226" s="1034"/>
      <c r="G226" s="1033"/>
      <c r="H226" s="1033"/>
      <c r="I226" s="1033"/>
      <c r="J226" s="1033"/>
      <c r="K226" s="1035"/>
      <c r="L226" s="1035"/>
      <c r="M226" s="998"/>
      <c r="N226" s="998"/>
    </row>
    <row r="227" spans="1:14" ht="12.75">
      <c r="A227" s="1033"/>
      <c r="B227" s="1033"/>
      <c r="C227" s="1033"/>
      <c r="F227" s="1034"/>
      <c r="G227" s="1033"/>
      <c r="H227" s="1033"/>
      <c r="I227" s="1033"/>
      <c r="J227" s="1033"/>
      <c r="K227" s="1035"/>
      <c r="L227" s="1035"/>
      <c r="M227" s="998"/>
      <c r="N227" s="998"/>
    </row>
    <row r="228" spans="1:14" ht="12.75">
      <c r="A228" s="1033"/>
      <c r="B228" s="1033"/>
      <c r="C228" s="1033"/>
      <c r="F228" s="1034"/>
      <c r="G228" s="1033"/>
      <c r="H228" s="1033"/>
      <c r="I228" s="1033"/>
      <c r="J228" s="1033"/>
      <c r="K228" s="1035"/>
      <c r="L228" s="1035"/>
      <c r="M228" s="998"/>
      <c r="N228" s="998"/>
    </row>
    <row r="229" spans="1:14" ht="12.75">
      <c r="A229" s="1033"/>
      <c r="B229" s="1033"/>
      <c r="C229" s="1033"/>
      <c r="F229" s="1034"/>
      <c r="G229" s="1033"/>
      <c r="H229" s="1033"/>
      <c r="I229" s="1033"/>
      <c r="J229" s="1033"/>
      <c r="K229" s="1035"/>
      <c r="L229" s="1035"/>
      <c r="M229" s="998"/>
      <c r="N229" s="998"/>
    </row>
    <row r="230" spans="1:14" ht="12.75">
      <c r="A230" s="1033"/>
      <c r="B230" s="1033"/>
      <c r="C230" s="1033"/>
      <c r="F230" s="1034"/>
      <c r="G230" s="1033"/>
      <c r="H230" s="1033"/>
      <c r="I230" s="1033"/>
      <c r="J230" s="1033"/>
      <c r="K230" s="1035"/>
      <c r="L230" s="1035"/>
      <c r="M230" s="998"/>
      <c r="N230" s="998"/>
    </row>
    <row r="231" spans="1:14" ht="12.75">
      <c r="A231" s="1033"/>
      <c r="B231" s="1033"/>
      <c r="C231" s="1033"/>
      <c r="F231" s="1034"/>
      <c r="G231" s="1033"/>
      <c r="H231" s="1033"/>
      <c r="I231" s="1033"/>
      <c r="J231" s="1033"/>
      <c r="K231" s="1035"/>
      <c r="L231" s="1035"/>
      <c r="M231" s="998"/>
      <c r="N231" s="998"/>
    </row>
    <row r="232" spans="1:14" ht="12.75">
      <c r="A232" s="1033"/>
      <c r="B232" s="1033"/>
      <c r="C232" s="1033"/>
      <c r="F232" s="1034"/>
      <c r="G232" s="1033"/>
      <c r="H232" s="1033"/>
      <c r="I232" s="1033"/>
      <c r="J232" s="1033"/>
      <c r="K232" s="1035"/>
      <c r="L232" s="1035"/>
      <c r="M232" s="998"/>
      <c r="N232" s="998"/>
    </row>
    <row r="233" spans="1:14" ht="12.75">
      <c r="A233" s="1033"/>
      <c r="B233" s="1033"/>
      <c r="C233" s="1033"/>
      <c r="F233" s="1034"/>
      <c r="G233" s="1033"/>
      <c r="H233" s="1033"/>
      <c r="I233" s="1033"/>
      <c r="J233" s="1033"/>
      <c r="K233" s="1035"/>
      <c r="L233" s="1035"/>
      <c r="M233" s="998"/>
      <c r="N233" s="998"/>
    </row>
    <row r="234" spans="1:14" ht="12.75">
      <c r="A234" s="1033"/>
      <c r="B234" s="1033"/>
      <c r="C234" s="1033"/>
      <c r="F234" s="1034"/>
      <c r="G234" s="1033"/>
      <c r="H234" s="1033"/>
      <c r="I234" s="1033"/>
      <c r="J234" s="1033"/>
      <c r="K234" s="1035"/>
      <c r="L234" s="1035"/>
      <c r="M234" s="998"/>
      <c r="N234" s="998"/>
    </row>
    <row r="235" spans="1:14" ht="12.75">
      <c r="A235" s="1033"/>
      <c r="B235" s="1033"/>
      <c r="C235" s="1033"/>
      <c r="F235" s="1034"/>
      <c r="G235" s="1033"/>
      <c r="H235" s="1033"/>
      <c r="I235" s="1033"/>
      <c r="J235" s="1033"/>
      <c r="K235" s="1035"/>
      <c r="L235" s="1035"/>
      <c r="M235" s="998"/>
      <c r="N235" s="998"/>
    </row>
    <row r="236" spans="1:14" ht="12.75">
      <c r="A236" s="1033"/>
      <c r="B236" s="1033"/>
      <c r="C236" s="1033"/>
      <c r="F236" s="1034"/>
      <c r="G236" s="1033"/>
      <c r="H236" s="1033"/>
      <c r="I236" s="1033"/>
      <c r="J236" s="1033"/>
      <c r="K236" s="1035"/>
      <c r="L236" s="1035"/>
      <c r="M236" s="998"/>
      <c r="N236" s="998"/>
    </row>
    <row r="237" spans="1:14" ht="12.75">
      <c r="A237" s="1033"/>
      <c r="B237" s="1033"/>
      <c r="C237" s="1033"/>
      <c r="F237" s="1034"/>
      <c r="G237" s="1033"/>
      <c r="H237" s="1033"/>
      <c r="I237" s="1033"/>
      <c r="J237" s="1033"/>
      <c r="K237" s="1035"/>
      <c r="L237" s="1035"/>
      <c r="M237" s="998"/>
      <c r="N237" s="998"/>
    </row>
    <row r="238" spans="1:14" ht="12.75">
      <c r="A238" s="1033"/>
      <c r="B238" s="1033"/>
      <c r="C238" s="1033"/>
      <c r="F238" s="1034"/>
      <c r="G238" s="1033"/>
      <c r="H238" s="1033"/>
      <c r="I238" s="1033"/>
      <c r="J238" s="1033"/>
      <c r="K238" s="1035"/>
      <c r="L238" s="1035"/>
      <c r="M238" s="998"/>
      <c r="N238" s="998"/>
    </row>
    <row r="239" spans="1:14" ht="12.75">
      <c r="A239" s="1033"/>
      <c r="B239" s="1033"/>
      <c r="C239" s="1033"/>
      <c r="F239" s="1034"/>
      <c r="G239" s="1033"/>
      <c r="H239" s="1033"/>
      <c r="I239" s="1033"/>
      <c r="J239" s="1033"/>
      <c r="K239" s="1035"/>
      <c r="L239" s="1035"/>
      <c r="M239" s="998"/>
      <c r="N239" s="998"/>
    </row>
    <row r="240" spans="1:14" ht="12.75">
      <c r="A240" s="1033"/>
      <c r="B240" s="1033"/>
      <c r="C240" s="1033"/>
      <c r="F240" s="1034"/>
      <c r="G240" s="1033"/>
      <c r="H240" s="1033"/>
      <c r="I240" s="1033"/>
      <c r="J240" s="1033"/>
      <c r="K240" s="1035"/>
      <c r="L240" s="1035"/>
      <c r="M240" s="998"/>
      <c r="N240" s="998"/>
    </row>
    <row r="241" spans="1:14" ht="12.75">
      <c r="A241" s="1033"/>
      <c r="B241" s="1033"/>
      <c r="C241" s="1033"/>
      <c r="F241" s="1034"/>
      <c r="G241" s="1033"/>
      <c r="H241" s="1033"/>
      <c r="I241" s="1033"/>
      <c r="J241" s="1033"/>
      <c r="K241" s="1035"/>
      <c r="L241" s="1035"/>
      <c r="M241" s="998"/>
      <c r="N241" s="998"/>
    </row>
    <row r="242" spans="1:14" ht="12.75">
      <c r="A242" s="1033"/>
      <c r="B242" s="1033"/>
      <c r="C242" s="1033"/>
      <c r="F242" s="1034"/>
      <c r="G242" s="1033"/>
      <c r="H242" s="1033"/>
      <c r="I242" s="1033"/>
      <c r="J242" s="1033"/>
      <c r="K242" s="1035"/>
      <c r="L242" s="1035"/>
      <c r="M242" s="998"/>
      <c r="N242" s="998"/>
    </row>
    <row r="243" spans="1:14" ht="12.75">
      <c r="A243" s="1033"/>
      <c r="B243" s="1033"/>
      <c r="C243" s="1033"/>
      <c r="F243" s="1034"/>
      <c r="G243" s="1033"/>
      <c r="H243" s="1033"/>
      <c r="I243" s="1033"/>
      <c r="J243" s="1033"/>
      <c r="K243" s="1035"/>
      <c r="L243" s="1035"/>
      <c r="M243" s="998"/>
      <c r="N243" s="998"/>
    </row>
    <row r="244" spans="1:14" ht="12.75">
      <c r="A244" s="1033"/>
      <c r="B244" s="1033"/>
      <c r="C244" s="1033"/>
      <c r="F244" s="1034"/>
      <c r="G244" s="1033"/>
      <c r="H244" s="1033"/>
      <c r="I244" s="1033"/>
      <c r="J244" s="1033"/>
      <c r="K244" s="1035"/>
      <c r="L244" s="1035"/>
      <c r="M244" s="998"/>
      <c r="N244" s="998"/>
    </row>
    <row r="245" spans="1:14" ht="12.75">
      <c r="A245" s="1033"/>
      <c r="B245" s="1033"/>
      <c r="C245" s="1033"/>
      <c r="F245" s="1034"/>
      <c r="G245" s="1033"/>
      <c r="H245" s="1033"/>
      <c r="I245" s="1033"/>
      <c r="J245" s="1033"/>
      <c r="K245" s="1035"/>
      <c r="L245" s="1035"/>
      <c r="M245" s="998"/>
      <c r="N245" s="998"/>
    </row>
    <row r="246" spans="1:14" ht="12.75">
      <c r="A246" s="1033"/>
      <c r="B246" s="1033"/>
      <c r="C246" s="1033"/>
      <c r="F246" s="1034"/>
      <c r="G246" s="1033"/>
      <c r="H246" s="1033"/>
      <c r="I246" s="1033"/>
      <c r="J246" s="1033"/>
      <c r="K246" s="1035"/>
      <c r="L246" s="1035"/>
      <c r="M246" s="998"/>
      <c r="N246" s="998"/>
    </row>
    <row r="247" spans="1:14" ht="12.75">
      <c r="A247" s="1033"/>
      <c r="B247" s="1033"/>
      <c r="C247" s="1033"/>
      <c r="F247" s="1034"/>
      <c r="G247" s="1033"/>
      <c r="H247" s="1033"/>
      <c r="I247" s="1033"/>
      <c r="J247" s="1033"/>
      <c r="K247" s="1035"/>
      <c r="L247" s="1035"/>
      <c r="M247" s="998"/>
      <c r="N247" s="998"/>
    </row>
    <row r="248" spans="1:14" ht="12.75">
      <c r="A248" s="1033"/>
      <c r="B248" s="1033"/>
      <c r="C248" s="1033"/>
      <c r="F248" s="1034"/>
      <c r="G248" s="1033"/>
      <c r="H248" s="1033"/>
      <c r="I248" s="1033"/>
      <c r="J248" s="1033"/>
      <c r="K248" s="1035"/>
      <c r="L248" s="1035"/>
      <c r="M248" s="998"/>
      <c r="N248" s="998"/>
    </row>
    <row r="249" spans="1:14" ht="12.75">
      <c r="A249" s="1033"/>
      <c r="B249" s="1033"/>
      <c r="C249" s="1033"/>
      <c r="F249" s="1034"/>
      <c r="G249" s="1033"/>
      <c r="H249" s="1033"/>
      <c r="I249" s="1033"/>
      <c r="J249" s="1033"/>
      <c r="K249" s="1035"/>
      <c r="L249" s="1035"/>
      <c r="M249" s="998"/>
      <c r="N249" s="998"/>
    </row>
    <row r="250" spans="1:14" ht="12.75">
      <c r="A250" s="1033"/>
      <c r="B250" s="1033"/>
      <c r="C250" s="1033"/>
      <c r="F250" s="1034"/>
      <c r="G250" s="1033"/>
      <c r="H250" s="1033"/>
      <c r="I250" s="1033"/>
      <c r="J250" s="1033"/>
      <c r="K250" s="1035"/>
      <c r="L250" s="1035"/>
      <c r="M250" s="998"/>
      <c r="N250" s="998"/>
    </row>
    <row r="251" spans="1:14" ht="12.75">
      <c r="A251" s="1033"/>
      <c r="B251" s="1033"/>
      <c r="C251" s="1033"/>
      <c r="F251" s="1034"/>
      <c r="G251" s="1033"/>
      <c r="H251" s="1033"/>
      <c r="I251" s="1033"/>
      <c r="J251" s="1033"/>
      <c r="K251" s="1035"/>
      <c r="L251" s="1035"/>
      <c r="M251" s="998"/>
      <c r="N251" s="998"/>
    </row>
    <row r="252" spans="1:14" ht="12.75">
      <c r="A252" s="1033"/>
      <c r="B252" s="1033"/>
      <c r="C252" s="1033"/>
      <c r="F252" s="1034"/>
      <c r="G252" s="1033"/>
      <c r="H252" s="1033"/>
      <c r="I252" s="1033"/>
      <c r="J252" s="1033"/>
      <c r="K252" s="1035"/>
      <c r="L252" s="1035"/>
      <c r="M252" s="998"/>
      <c r="N252" s="998"/>
    </row>
    <row r="253" spans="1:14" ht="12.75">
      <c r="A253" s="1033"/>
      <c r="B253" s="1033"/>
      <c r="C253" s="1033"/>
      <c r="F253" s="1034"/>
      <c r="G253" s="1033"/>
      <c r="H253" s="1033"/>
      <c r="I253" s="1033"/>
      <c r="J253" s="1033"/>
      <c r="K253" s="1035"/>
      <c r="L253" s="1035"/>
      <c r="M253" s="998"/>
      <c r="N253" s="998"/>
    </row>
    <row r="254" spans="1:14" ht="12.75">
      <c r="A254" s="1033"/>
      <c r="B254" s="1033"/>
      <c r="C254" s="1033"/>
      <c r="F254" s="1034"/>
      <c r="G254" s="1033"/>
      <c r="H254" s="1033"/>
      <c r="I254" s="1033"/>
      <c r="J254" s="1033"/>
      <c r="K254" s="1035"/>
      <c r="L254" s="1035"/>
      <c r="M254" s="998"/>
      <c r="N254" s="998"/>
    </row>
    <row r="255" spans="1:14" ht="12.75">
      <c r="A255" s="1033"/>
      <c r="B255" s="1033"/>
      <c r="C255" s="1033"/>
      <c r="F255" s="1034"/>
      <c r="G255" s="1033"/>
      <c r="H255" s="1033"/>
      <c r="I255" s="1033"/>
      <c r="J255" s="1033"/>
      <c r="K255" s="1035"/>
      <c r="L255" s="1035"/>
      <c r="M255" s="998"/>
      <c r="N255" s="998"/>
    </row>
    <row r="256" spans="1:14" ht="12.75">
      <c r="A256" s="1033"/>
      <c r="B256" s="1033"/>
      <c r="C256" s="1033"/>
      <c r="F256" s="1034"/>
      <c r="G256" s="1033"/>
      <c r="H256" s="1033"/>
      <c r="I256" s="1033"/>
      <c r="J256" s="1033"/>
      <c r="K256" s="1035"/>
      <c r="L256" s="1035"/>
      <c r="M256" s="998"/>
      <c r="N256" s="998"/>
    </row>
    <row r="257" spans="1:14" ht="12.75">
      <c r="A257" s="1033"/>
      <c r="B257" s="1033"/>
      <c r="C257" s="1033"/>
      <c r="F257" s="1034"/>
      <c r="G257" s="1033"/>
      <c r="H257" s="1033"/>
      <c r="I257" s="1033"/>
      <c r="J257" s="1033"/>
      <c r="K257" s="1035"/>
      <c r="L257" s="1035"/>
      <c r="M257" s="998"/>
      <c r="N257" s="998"/>
    </row>
    <row r="258" spans="1:14" ht="12.75">
      <c r="A258" s="1033"/>
      <c r="B258" s="1033"/>
      <c r="C258" s="1033"/>
      <c r="F258" s="1034"/>
      <c r="G258" s="1033"/>
      <c r="H258" s="1033"/>
      <c r="I258" s="1033"/>
      <c r="J258" s="1033"/>
      <c r="K258" s="1035"/>
      <c r="L258" s="1035"/>
      <c r="M258" s="998"/>
      <c r="N258" s="998"/>
    </row>
    <row r="259" spans="1:14" ht="12.75">
      <c r="A259" s="1033"/>
      <c r="B259" s="1033"/>
      <c r="C259" s="1033"/>
      <c r="F259" s="1034"/>
      <c r="G259" s="1033"/>
      <c r="H259" s="1033"/>
      <c r="I259" s="1033"/>
      <c r="J259" s="1033"/>
      <c r="K259" s="1035"/>
      <c r="L259" s="1035"/>
      <c r="M259" s="998"/>
      <c r="N259" s="998"/>
    </row>
    <row r="260" spans="1:14" ht="12.75">
      <c r="A260" s="1033"/>
      <c r="B260" s="1033"/>
      <c r="C260" s="1033"/>
      <c r="F260" s="1034"/>
      <c r="G260" s="1033"/>
      <c r="H260" s="1033"/>
      <c r="I260" s="1033"/>
      <c r="J260" s="1033"/>
      <c r="K260" s="1035"/>
      <c r="L260" s="1035"/>
      <c r="M260" s="998"/>
      <c r="N260" s="998"/>
    </row>
    <row r="261" spans="1:14" ht="12.75">
      <c r="A261" s="1033"/>
      <c r="B261" s="1033"/>
      <c r="C261" s="1033"/>
      <c r="F261" s="1034"/>
      <c r="G261" s="1033"/>
      <c r="H261" s="1033"/>
      <c r="I261" s="1033"/>
      <c r="J261" s="1033"/>
      <c r="K261" s="1035"/>
      <c r="L261" s="1035"/>
      <c r="M261" s="998"/>
      <c r="N261" s="998"/>
    </row>
    <row r="262" spans="1:14" ht="12.75">
      <c r="A262" s="1033"/>
      <c r="B262" s="1033"/>
      <c r="C262" s="1033"/>
      <c r="F262" s="1034"/>
      <c r="G262" s="1033"/>
      <c r="H262" s="1033"/>
      <c r="I262" s="1033"/>
      <c r="J262" s="1033"/>
      <c r="K262" s="1035"/>
      <c r="L262" s="1035"/>
      <c r="M262" s="998"/>
      <c r="N262" s="998"/>
    </row>
    <row r="263" spans="1:14" ht="12.75">
      <c r="A263" s="1033"/>
      <c r="B263" s="1033"/>
      <c r="C263" s="1033"/>
      <c r="F263" s="1034"/>
      <c r="G263" s="1033"/>
      <c r="H263" s="1033"/>
      <c r="I263" s="1033"/>
      <c r="J263" s="1033"/>
      <c r="K263" s="1035"/>
      <c r="L263" s="1035"/>
      <c r="M263" s="998"/>
      <c r="N263" s="998"/>
    </row>
    <row r="264" spans="1:14" ht="12.75">
      <c r="A264" s="1033"/>
      <c r="B264" s="1033"/>
      <c r="C264" s="1033"/>
      <c r="F264" s="1034"/>
      <c r="G264" s="1033"/>
      <c r="H264" s="1033"/>
      <c r="I264" s="1033"/>
      <c r="J264" s="1033"/>
      <c r="K264" s="1035"/>
      <c r="L264" s="1035"/>
      <c r="M264" s="998"/>
      <c r="N264" s="998"/>
    </row>
    <row r="265" spans="1:14" ht="12.75">
      <c r="A265" s="1033"/>
      <c r="B265" s="1033"/>
      <c r="C265" s="1033"/>
      <c r="F265" s="1034"/>
      <c r="G265" s="1033"/>
      <c r="H265" s="1033"/>
      <c r="I265" s="1033"/>
      <c r="J265" s="1033"/>
      <c r="K265" s="1035"/>
      <c r="L265" s="1035"/>
      <c r="M265" s="998"/>
      <c r="N265" s="998"/>
    </row>
    <row r="266" spans="1:14" ht="12.75">
      <c r="A266" s="1033"/>
      <c r="B266" s="1033"/>
      <c r="C266" s="1033"/>
      <c r="F266" s="1034"/>
      <c r="G266" s="1033"/>
      <c r="H266" s="1033"/>
      <c r="I266" s="1033"/>
      <c r="J266" s="1033"/>
      <c r="K266" s="1035"/>
      <c r="L266" s="1035"/>
      <c r="M266" s="998"/>
      <c r="N266" s="998"/>
    </row>
    <row r="267" spans="1:14" ht="12.75">
      <c r="A267" s="1033"/>
      <c r="B267" s="1033"/>
      <c r="C267" s="1033"/>
      <c r="F267" s="1034"/>
      <c r="G267" s="1033"/>
      <c r="H267" s="1033"/>
      <c r="I267" s="1033"/>
      <c r="J267" s="1033"/>
      <c r="K267" s="1035"/>
      <c r="L267" s="1035"/>
      <c r="M267" s="998"/>
      <c r="N267" s="998"/>
    </row>
    <row r="268" spans="1:14" ht="12.75">
      <c r="A268" s="1033"/>
      <c r="B268" s="1033"/>
      <c r="C268" s="1033"/>
      <c r="F268" s="1034"/>
      <c r="G268" s="1033"/>
      <c r="H268" s="1033"/>
      <c r="I268" s="1033"/>
      <c r="J268" s="1033"/>
      <c r="K268" s="1035"/>
      <c r="L268" s="1035"/>
      <c r="M268" s="998"/>
      <c r="N268" s="998"/>
    </row>
    <row r="269" spans="1:14" ht="12.75">
      <c r="A269" s="1033"/>
      <c r="B269" s="1033"/>
      <c r="C269" s="1033"/>
      <c r="F269" s="1034"/>
      <c r="G269" s="1033"/>
      <c r="H269" s="1033"/>
      <c r="I269" s="1033"/>
      <c r="J269" s="1033"/>
      <c r="K269" s="1035"/>
      <c r="L269" s="1035"/>
      <c r="M269" s="998"/>
      <c r="N269" s="998"/>
    </row>
    <row r="270" spans="1:14" ht="12.75">
      <c r="A270" s="1033"/>
      <c r="B270" s="1033"/>
      <c r="C270" s="1033"/>
      <c r="F270" s="1034"/>
      <c r="G270" s="1033"/>
      <c r="H270" s="1033"/>
      <c r="I270" s="1033"/>
      <c r="J270" s="1033"/>
      <c r="K270" s="1035"/>
      <c r="L270" s="1035"/>
      <c r="M270" s="998"/>
      <c r="N270" s="998"/>
    </row>
    <row r="271" spans="1:14" ht="12.75">
      <c r="A271" s="1033"/>
      <c r="B271" s="1033"/>
      <c r="C271" s="1033"/>
      <c r="F271" s="1034"/>
      <c r="G271" s="1033"/>
      <c r="H271" s="1033"/>
      <c r="I271" s="1033"/>
      <c r="J271" s="1033"/>
      <c r="K271" s="1035"/>
      <c r="L271" s="1035"/>
      <c r="M271" s="998"/>
      <c r="N271" s="998"/>
    </row>
    <row r="272" spans="1:14" ht="12.75">
      <c r="A272" s="1033"/>
      <c r="B272" s="1033"/>
      <c r="C272" s="1033"/>
      <c r="F272" s="1034"/>
      <c r="G272" s="1033"/>
      <c r="H272" s="1033"/>
      <c r="I272" s="1033"/>
      <c r="J272" s="1033"/>
      <c r="K272" s="1035"/>
      <c r="L272" s="1035"/>
      <c r="M272" s="998"/>
      <c r="N272" s="998"/>
    </row>
    <row r="273" spans="1:14" ht="12.75">
      <c r="A273" s="1033"/>
      <c r="B273" s="1033"/>
      <c r="C273" s="1033"/>
      <c r="F273" s="1034"/>
      <c r="G273" s="1033"/>
      <c r="H273" s="1033"/>
      <c r="I273" s="1033"/>
      <c r="J273" s="1033"/>
      <c r="K273" s="1035"/>
      <c r="L273" s="1035"/>
      <c r="M273" s="998"/>
      <c r="N273" s="998"/>
    </row>
    <row r="274" spans="1:14" ht="12.75">
      <c r="A274" s="1033"/>
      <c r="B274" s="1033"/>
      <c r="C274" s="1033"/>
      <c r="F274" s="1034"/>
      <c r="G274" s="1033"/>
      <c r="H274" s="1033"/>
      <c r="I274" s="1033"/>
      <c r="J274" s="1033"/>
      <c r="K274" s="1035"/>
      <c r="L274" s="1035"/>
      <c r="M274" s="998"/>
      <c r="N274" s="998"/>
    </row>
    <row r="275" spans="1:14" ht="12.75">
      <c r="A275" s="1033"/>
      <c r="B275" s="1033"/>
      <c r="C275" s="1033"/>
      <c r="F275" s="1034"/>
      <c r="G275" s="1033"/>
      <c r="H275" s="1033"/>
      <c r="I275" s="1033"/>
      <c r="J275" s="1033"/>
      <c r="K275" s="1035"/>
      <c r="L275" s="1035"/>
      <c r="M275" s="998"/>
      <c r="N275" s="998"/>
    </row>
    <row r="276" spans="1:14" ht="12.75">
      <c r="A276" s="1033"/>
      <c r="B276" s="1033"/>
      <c r="C276" s="1033"/>
      <c r="F276" s="1034"/>
      <c r="G276" s="1033"/>
      <c r="H276" s="1033"/>
      <c r="I276" s="1033"/>
      <c r="J276" s="1033"/>
      <c r="K276" s="1035"/>
      <c r="L276" s="1035"/>
      <c r="M276" s="998"/>
      <c r="N276" s="998"/>
    </row>
    <row r="277" spans="1:14" ht="12.75">
      <c r="A277" s="1033"/>
      <c r="B277" s="1033"/>
      <c r="C277" s="1033"/>
      <c r="F277" s="1034"/>
      <c r="G277" s="1033"/>
      <c r="H277" s="1033"/>
      <c r="I277" s="1033"/>
      <c r="J277" s="1033"/>
      <c r="K277" s="1035"/>
      <c r="L277" s="1035"/>
      <c r="M277" s="998"/>
      <c r="N277" s="998"/>
    </row>
    <row r="278" spans="1:14" ht="12.75">
      <c r="A278" s="1033"/>
      <c r="B278" s="1033"/>
      <c r="C278" s="1033"/>
      <c r="F278" s="1034"/>
      <c r="G278" s="1033"/>
      <c r="H278" s="1033"/>
      <c r="I278" s="1033"/>
      <c r="J278" s="1033"/>
      <c r="K278" s="1035"/>
      <c r="L278" s="1035"/>
      <c r="M278" s="998"/>
      <c r="N278" s="998"/>
    </row>
    <row r="279" spans="1:14" ht="12.75">
      <c r="A279" s="1033"/>
      <c r="B279" s="1033"/>
      <c r="C279" s="1033"/>
      <c r="F279" s="1034"/>
      <c r="G279" s="1033"/>
      <c r="H279" s="1033"/>
      <c r="I279" s="1033"/>
      <c r="J279" s="1033"/>
      <c r="K279" s="1035"/>
      <c r="L279" s="1035"/>
      <c r="M279" s="998"/>
      <c r="N279" s="998"/>
    </row>
    <row r="280" spans="1:14" ht="12.75">
      <c r="A280" s="1033"/>
      <c r="B280" s="1033"/>
      <c r="C280" s="1033"/>
      <c r="F280" s="1034"/>
      <c r="G280" s="1033"/>
      <c r="H280" s="1033"/>
      <c r="I280" s="1033"/>
      <c r="J280" s="1033"/>
      <c r="K280" s="1035"/>
      <c r="L280" s="1035"/>
      <c r="M280" s="998"/>
      <c r="N280" s="998"/>
    </row>
    <row r="281" spans="1:14" ht="12.75">
      <c r="A281" s="1033"/>
      <c r="B281" s="1033"/>
      <c r="C281" s="1033"/>
      <c r="F281" s="1034"/>
      <c r="G281" s="1033"/>
      <c r="H281" s="1033"/>
      <c r="I281" s="1033"/>
      <c r="J281" s="1033"/>
      <c r="K281" s="1035"/>
      <c r="L281" s="1035"/>
      <c r="M281" s="998"/>
      <c r="N281" s="998"/>
    </row>
    <row r="282" spans="1:14" ht="12.75">
      <c r="A282" s="1033"/>
      <c r="B282" s="1033"/>
      <c r="C282" s="1033"/>
      <c r="F282" s="1034"/>
      <c r="G282" s="1033"/>
      <c r="H282" s="1033"/>
      <c r="I282" s="1033"/>
      <c r="J282" s="1033"/>
      <c r="K282" s="1035"/>
      <c r="L282" s="1035"/>
      <c r="M282" s="998"/>
      <c r="N282" s="998"/>
    </row>
    <row r="283" spans="1:14" ht="12.75">
      <c r="A283" s="1033"/>
      <c r="B283" s="1033"/>
      <c r="C283" s="1033"/>
      <c r="F283" s="1034"/>
      <c r="G283" s="1033"/>
      <c r="H283" s="1033"/>
      <c r="I283" s="1033"/>
      <c r="J283" s="1033"/>
      <c r="K283" s="1035"/>
      <c r="L283" s="1035"/>
      <c r="M283" s="998"/>
      <c r="N283" s="998"/>
    </row>
    <row r="284" spans="1:14" ht="12.75">
      <c r="A284" s="1033"/>
      <c r="B284" s="1033"/>
      <c r="C284" s="1033"/>
      <c r="F284" s="1034"/>
      <c r="G284" s="1033"/>
      <c r="H284" s="1033"/>
      <c r="I284" s="1033"/>
      <c r="J284" s="1033"/>
      <c r="K284" s="1035"/>
      <c r="L284" s="1035"/>
      <c r="M284" s="998"/>
      <c r="N284" s="998"/>
    </row>
    <row r="285" spans="1:14" ht="12.75">
      <c r="A285" s="1033"/>
      <c r="B285" s="1033"/>
      <c r="C285" s="1033"/>
      <c r="F285" s="1034"/>
      <c r="G285" s="1033"/>
      <c r="H285" s="1033"/>
      <c r="I285" s="1033"/>
      <c r="J285" s="1033"/>
      <c r="K285" s="1035"/>
      <c r="L285" s="1035"/>
      <c r="M285" s="998"/>
      <c r="N285" s="998"/>
    </row>
    <row r="286" spans="1:14" ht="12.75">
      <c r="A286" s="1033"/>
      <c r="B286" s="1033"/>
      <c r="C286" s="1033"/>
      <c r="F286" s="1034"/>
      <c r="G286" s="1033"/>
      <c r="H286" s="1033"/>
      <c r="I286" s="1033"/>
      <c r="J286" s="1033"/>
      <c r="K286" s="1035"/>
      <c r="L286" s="1035"/>
      <c r="M286" s="998"/>
      <c r="N286" s="998"/>
    </row>
    <row r="287" spans="1:14" ht="12.75">
      <c r="A287" s="1033"/>
      <c r="B287" s="1033"/>
      <c r="C287" s="1033"/>
      <c r="F287" s="1034"/>
      <c r="G287" s="1033"/>
      <c r="H287" s="1033"/>
      <c r="I287" s="1033"/>
      <c r="J287" s="1033"/>
      <c r="K287" s="1035"/>
      <c r="L287" s="1035"/>
      <c r="M287" s="998"/>
      <c r="N287" s="998"/>
    </row>
    <row r="288" spans="1:14" ht="12.75">
      <c r="A288" s="1033"/>
      <c r="B288" s="1033"/>
      <c r="C288" s="1033"/>
      <c r="F288" s="1034"/>
      <c r="G288" s="1033"/>
      <c r="H288" s="1033"/>
      <c r="I288" s="1033"/>
      <c r="J288" s="1033"/>
      <c r="K288" s="1035"/>
      <c r="L288" s="1035"/>
      <c r="M288" s="998"/>
      <c r="N288" s="998"/>
    </row>
    <row r="289" spans="1:14" ht="12.75">
      <c r="A289" s="1033"/>
      <c r="B289" s="1033"/>
      <c r="C289" s="1033"/>
      <c r="F289" s="1034"/>
      <c r="G289" s="1033"/>
      <c r="H289" s="1033"/>
      <c r="I289" s="1033"/>
      <c r="J289" s="1033"/>
      <c r="K289" s="1035"/>
      <c r="L289" s="1035"/>
      <c r="M289" s="998"/>
      <c r="N289" s="998"/>
    </row>
    <row r="290" spans="1:14" ht="12.75">
      <c r="A290" s="1033"/>
      <c r="B290" s="1033"/>
      <c r="C290" s="1033"/>
      <c r="F290" s="1034"/>
      <c r="G290" s="1033"/>
      <c r="H290" s="1033"/>
      <c r="I290" s="1033"/>
      <c r="J290" s="1033"/>
      <c r="K290" s="1035"/>
      <c r="L290" s="1035"/>
      <c r="M290" s="998"/>
      <c r="N290" s="998"/>
    </row>
    <row r="291" spans="1:14" ht="12.75">
      <c r="A291" s="1033"/>
      <c r="B291" s="1033"/>
      <c r="C291" s="1033"/>
      <c r="F291" s="1034"/>
      <c r="G291" s="1033"/>
      <c r="H291" s="1033"/>
      <c r="I291" s="1033"/>
      <c r="J291" s="1033"/>
      <c r="K291" s="1035"/>
      <c r="L291" s="1035"/>
      <c r="M291" s="998"/>
      <c r="N291" s="998"/>
    </row>
    <row r="292" spans="1:14" ht="12.75">
      <c r="A292" s="1033"/>
      <c r="B292" s="1033"/>
      <c r="C292" s="1033"/>
      <c r="F292" s="1034"/>
      <c r="G292" s="1033"/>
      <c r="H292" s="1033"/>
      <c r="I292" s="1033"/>
      <c r="J292" s="1033"/>
      <c r="K292" s="1035"/>
      <c r="L292" s="1035"/>
      <c r="M292" s="998"/>
      <c r="N292" s="998"/>
    </row>
    <row r="293" spans="1:14" ht="12.75">
      <c r="A293" s="1033"/>
      <c r="B293" s="1033"/>
      <c r="C293" s="1033"/>
      <c r="F293" s="1034"/>
      <c r="G293" s="1033"/>
      <c r="H293" s="1033"/>
      <c r="I293" s="1033"/>
      <c r="J293" s="1033"/>
      <c r="K293" s="1035"/>
      <c r="L293" s="1035"/>
      <c r="M293" s="998"/>
      <c r="N293" s="998"/>
    </row>
    <row r="294" spans="1:14" ht="12.75">
      <c r="A294" s="1033"/>
      <c r="B294" s="1033"/>
      <c r="C294" s="1033"/>
      <c r="F294" s="1034"/>
      <c r="G294" s="1033"/>
      <c r="H294" s="1033"/>
      <c r="I294" s="1033"/>
      <c r="J294" s="1033"/>
      <c r="K294" s="1035"/>
      <c r="L294" s="1035"/>
      <c r="M294" s="998"/>
      <c r="N294" s="998"/>
    </row>
    <row r="295" spans="1:14" ht="12.75">
      <c r="A295" s="1033"/>
      <c r="B295" s="1033"/>
      <c r="C295" s="1033"/>
      <c r="F295" s="1034"/>
      <c r="G295" s="1033"/>
      <c r="H295" s="1033"/>
      <c r="I295" s="1033"/>
      <c r="J295" s="1033"/>
      <c r="K295" s="1035"/>
      <c r="L295" s="1035"/>
      <c r="M295" s="998"/>
      <c r="N295" s="998"/>
    </row>
    <row r="296" spans="1:14" ht="12.75">
      <c r="A296" s="1033"/>
      <c r="B296" s="1033"/>
      <c r="C296" s="1033"/>
      <c r="F296" s="1034"/>
      <c r="G296" s="1033"/>
      <c r="H296" s="1033"/>
      <c r="I296" s="1033"/>
      <c r="J296" s="1033"/>
      <c r="K296" s="1035"/>
      <c r="L296" s="1035"/>
      <c r="M296" s="998"/>
      <c r="N296" s="998"/>
    </row>
    <row r="297" spans="1:14" ht="12.75">
      <c r="A297" s="1033"/>
      <c r="B297" s="1033"/>
      <c r="C297" s="1033"/>
      <c r="F297" s="1034"/>
      <c r="G297" s="1033"/>
      <c r="H297" s="1033"/>
      <c r="I297" s="1033"/>
      <c r="J297" s="1033"/>
      <c r="K297" s="1035"/>
      <c r="L297" s="1035"/>
      <c r="M297" s="998"/>
      <c r="N297" s="998"/>
    </row>
    <row r="298" spans="1:14" ht="12.75">
      <c r="A298" s="1033"/>
      <c r="B298" s="1033"/>
      <c r="C298" s="1033"/>
      <c r="F298" s="1034"/>
      <c r="G298" s="1033"/>
      <c r="H298" s="1033"/>
      <c r="I298" s="1033"/>
      <c r="J298" s="1033"/>
      <c r="K298" s="1035"/>
      <c r="L298" s="1035"/>
      <c r="M298" s="998"/>
      <c r="N298" s="998"/>
    </row>
    <row r="299" spans="1:14" ht="12.75">
      <c r="A299" s="1033"/>
      <c r="B299" s="1033"/>
      <c r="C299" s="1033"/>
      <c r="F299" s="1034"/>
      <c r="G299" s="1033"/>
      <c r="H299" s="1033"/>
      <c r="I299" s="1033"/>
      <c r="J299" s="1033"/>
      <c r="K299" s="1035"/>
      <c r="L299" s="1035"/>
      <c r="M299" s="998"/>
      <c r="N299" s="998"/>
    </row>
    <row r="300" spans="1:14" ht="12.75">
      <c r="A300" s="1033"/>
      <c r="B300" s="1033"/>
      <c r="C300" s="1033"/>
      <c r="F300" s="1034"/>
      <c r="G300" s="1033"/>
      <c r="H300" s="1033"/>
      <c r="I300" s="1033"/>
      <c r="J300" s="1033"/>
      <c r="K300" s="1035"/>
      <c r="L300" s="1035"/>
      <c r="M300" s="998"/>
      <c r="N300" s="998"/>
    </row>
    <row r="301" spans="1:14" ht="12.75">
      <c r="A301" s="1033"/>
      <c r="B301" s="1033"/>
      <c r="C301" s="1033"/>
      <c r="F301" s="1034"/>
      <c r="G301" s="1033"/>
      <c r="H301" s="1033"/>
      <c r="I301" s="1033"/>
      <c r="J301" s="1033"/>
      <c r="K301" s="1035"/>
      <c r="L301" s="1035"/>
      <c r="M301" s="998"/>
      <c r="N301" s="998"/>
    </row>
    <row r="302" spans="1:14" ht="12.75">
      <c r="A302" s="1033"/>
      <c r="B302" s="1033"/>
      <c r="C302" s="1033"/>
      <c r="F302" s="1034"/>
      <c r="G302" s="1033"/>
      <c r="H302" s="1033"/>
      <c r="I302" s="1033"/>
      <c r="J302" s="1033"/>
      <c r="K302" s="1035"/>
      <c r="L302" s="1035"/>
      <c r="M302" s="998"/>
      <c r="N302" s="998"/>
    </row>
    <row r="303" spans="1:14" ht="12.75">
      <c r="A303" s="1033"/>
      <c r="B303" s="1033"/>
      <c r="C303" s="1033"/>
      <c r="F303" s="1034"/>
      <c r="G303" s="1033"/>
      <c r="H303" s="1033"/>
      <c r="I303" s="1033"/>
      <c r="J303" s="1033"/>
      <c r="K303" s="1035"/>
      <c r="L303" s="1035"/>
      <c r="M303" s="998"/>
      <c r="N303" s="998"/>
    </row>
    <row r="304" spans="1:14" ht="12.75">
      <c r="A304" s="1033"/>
      <c r="B304" s="1033"/>
      <c r="C304" s="1033"/>
      <c r="F304" s="1034"/>
      <c r="G304" s="1033"/>
      <c r="H304" s="1033"/>
      <c r="I304" s="1033"/>
      <c r="J304" s="1033"/>
      <c r="K304" s="1035"/>
      <c r="L304" s="1035"/>
      <c r="M304" s="998"/>
      <c r="N304" s="998"/>
    </row>
    <row r="305" spans="1:14" ht="12.75">
      <c r="A305" s="1033"/>
      <c r="B305" s="1033"/>
      <c r="C305" s="1033"/>
      <c r="F305" s="1034"/>
      <c r="G305" s="1033"/>
      <c r="H305" s="1033"/>
      <c r="I305" s="1033"/>
      <c r="J305" s="1033"/>
      <c r="K305" s="1035"/>
      <c r="L305" s="1035"/>
      <c r="M305" s="998"/>
      <c r="N305" s="998"/>
    </row>
    <row r="306" spans="1:14" ht="12.75">
      <c r="A306" s="1033"/>
      <c r="B306" s="1033"/>
      <c r="C306" s="1033"/>
      <c r="F306" s="1034"/>
      <c r="G306" s="1033"/>
      <c r="H306" s="1033"/>
      <c r="I306" s="1033"/>
      <c r="J306" s="1033"/>
      <c r="K306" s="1035"/>
      <c r="L306" s="1035"/>
      <c r="M306" s="998"/>
      <c r="N306" s="998"/>
    </row>
    <row r="307" spans="1:14" ht="12.75">
      <c r="A307" s="1033"/>
      <c r="B307" s="1033"/>
      <c r="C307" s="1033"/>
      <c r="F307" s="1034"/>
      <c r="G307" s="1033"/>
      <c r="H307" s="1033"/>
      <c r="I307" s="1033"/>
      <c r="J307" s="1033"/>
      <c r="K307" s="1035"/>
      <c r="L307" s="1035"/>
      <c r="M307" s="998"/>
      <c r="N307" s="998"/>
    </row>
    <row r="308" spans="1:14" ht="12.75">
      <c r="A308" s="1033"/>
      <c r="B308" s="1033"/>
      <c r="C308" s="1033"/>
      <c r="F308" s="1034"/>
      <c r="G308" s="1033"/>
      <c r="H308" s="1033"/>
      <c r="I308" s="1033"/>
      <c r="J308" s="1033"/>
      <c r="K308" s="1035"/>
      <c r="L308" s="1035"/>
      <c r="M308" s="998"/>
      <c r="N308" s="998"/>
    </row>
    <row r="309" spans="1:14" ht="12.75">
      <c r="A309" s="1033"/>
      <c r="B309" s="1033"/>
      <c r="C309" s="1033"/>
      <c r="F309" s="1034"/>
      <c r="G309" s="1033"/>
      <c r="H309" s="1033"/>
      <c r="I309" s="1033"/>
      <c r="J309" s="1033"/>
      <c r="K309" s="1035"/>
      <c r="L309" s="1035"/>
      <c r="M309" s="998"/>
      <c r="N309" s="998"/>
    </row>
    <row r="310" spans="1:14" ht="12.75">
      <c r="A310" s="1033"/>
      <c r="B310" s="1033"/>
      <c r="C310" s="1033"/>
      <c r="F310" s="1034"/>
      <c r="G310" s="1033"/>
      <c r="H310" s="1033"/>
      <c r="I310" s="1033"/>
      <c r="J310" s="1033"/>
      <c r="K310" s="1035"/>
      <c r="L310" s="1035"/>
      <c r="M310" s="998"/>
      <c r="N310" s="998"/>
    </row>
    <row r="311" spans="1:14" ht="12.75">
      <c r="A311" s="1033"/>
      <c r="B311" s="1033"/>
      <c r="C311" s="1033"/>
      <c r="F311" s="1034"/>
      <c r="G311" s="1033"/>
      <c r="H311" s="1033"/>
      <c r="I311" s="1033"/>
      <c r="J311" s="1033"/>
      <c r="K311" s="1035"/>
      <c r="L311" s="1035"/>
      <c r="M311" s="998"/>
      <c r="N311" s="998"/>
    </row>
    <row r="312" spans="1:14" ht="12.75">
      <c r="A312" s="1033"/>
      <c r="B312" s="1033"/>
      <c r="C312" s="1033"/>
      <c r="F312" s="1034"/>
      <c r="G312" s="1033"/>
      <c r="H312" s="1033"/>
      <c r="I312" s="1033"/>
      <c r="J312" s="1033"/>
      <c r="K312" s="1035"/>
      <c r="L312" s="1035"/>
      <c r="M312" s="998"/>
      <c r="N312" s="998"/>
    </row>
    <row r="313" spans="1:14" ht="12.75">
      <c r="A313" s="1033"/>
      <c r="B313" s="1033"/>
      <c r="C313" s="1033"/>
      <c r="F313" s="1034"/>
      <c r="G313" s="1033"/>
      <c r="H313" s="1033"/>
      <c r="I313" s="1033"/>
      <c r="J313" s="1033"/>
      <c r="K313" s="1035"/>
      <c r="L313" s="1035"/>
      <c r="M313" s="998"/>
      <c r="N313" s="998"/>
    </row>
    <row r="314" spans="1:14" ht="12.75">
      <c r="A314" s="1033"/>
      <c r="B314" s="1033"/>
      <c r="C314" s="1033"/>
      <c r="F314" s="1034"/>
      <c r="G314" s="1033"/>
      <c r="H314" s="1033"/>
      <c r="I314" s="1033"/>
      <c r="J314" s="1033"/>
      <c r="K314" s="1035"/>
      <c r="L314" s="1035"/>
      <c r="M314" s="998"/>
      <c r="N314" s="998"/>
    </row>
    <row r="315" spans="1:14" ht="12.75">
      <c r="A315" s="1033"/>
      <c r="B315" s="1033"/>
      <c r="C315" s="1033"/>
      <c r="F315" s="1034"/>
      <c r="G315" s="1033"/>
      <c r="H315" s="1033"/>
      <c r="I315" s="1033"/>
      <c r="J315" s="1033"/>
      <c r="K315" s="1035"/>
      <c r="L315" s="1035"/>
      <c r="M315" s="998"/>
      <c r="N315" s="998"/>
    </row>
    <row r="316" spans="1:14" ht="12.75">
      <c r="A316" s="1033"/>
      <c r="B316" s="1033"/>
      <c r="C316" s="1033"/>
      <c r="F316" s="1034"/>
      <c r="G316" s="1033"/>
      <c r="H316" s="1033"/>
      <c r="I316" s="1033"/>
      <c r="J316" s="1033"/>
      <c r="K316" s="1035"/>
      <c r="L316" s="1035"/>
      <c r="M316" s="998"/>
      <c r="N316" s="998"/>
    </row>
    <row r="317" spans="1:14" ht="12.75">
      <c r="A317" s="1033"/>
      <c r="B317" s="1033"/>
      <c r="C317" s="1033"/>
      <c r="F317" s="1034"/>
      <c r="G317" s="1033"/>
      <c r="H317" s="1033"/>
      <c r="I317" s="1033"/>
      <c r="J317" s="1033"/>
      <c r="K317" s="1035"/>
      <c r="L317" s="1035"/>
      <c r="M317" s="998"/>
      <c r="N317" s="998"/>
    </row>
    <row r="318" spans="1:14" ht="12.75">
      <c r="A318" s="1033"/>
      <c r="B318" s="1033"/>
      <c r="C318" s="1033"/>
      <c r="F318" s="1034"/>
      <c r="G318" s="1033"/>
      <c r="H318" s="1033"/>
      <c r="I318" s="1033"/>
      <c r="J318" s="1033"/>
      <c r="K318" s="1035"/>
      <c r="L318" s="1035"/>
      <c r="M318" s="998"/>
      <c r="N318" s="998"/>
    </row>
    <row r="319" spans="1:14" ht="12.75">
      <c r="A319" s="1033"/>
      <c r="B319" s="1033"/>
      <c r="C319" s="1033"/>
      <c r="F319" s="1034"/>
      <c r="G319" s="1033"/>
      <c r="H319" s="1033"/>
      <c r="I319" s="1033"/>
      <c r="J319" s="1033"/>
      <c r="K319" s="1035"/>
      <c r="L319" s="1035"/>
      <c r="M319" s="998"/>
      <c r="N319" s="998"/>
    </row>
    <row r="320" spans="1:14" ht="12.75">
      <c r="A320" s="1033"/>
      <c r="B320" s="1033"/>
      <c r="C320" s="1033"/>
      <c r="F320" s="1034"/>
      <c r="G320" s="1033"/>
      <c r="H320" s="1033"/>
      <c r="I320" s="1033"/>
      <c r="J320" s="1033"/>
      <c r="K320" s="1035"/>
      <c r="L320" s="1035"/>
      <c r="M320" s="998"/>
      <c r="N320" s="998"/>
    </row>
    <row r="321" spans="1:14" ht="12.75">
      <c r="A321" s="1033"/>
      <c r="B321" s="1033"/>
      <c r="C321" s="1033"/>
      <c r="F321" s="1034"/>
      <c r="G321" s="1033"/>
      <c r="H321" s="1033"/>
      <c r="I321" s="1033"/>
      <c r="J321" s="1033"/>
      <c r="K321" s="1035"/>
      <c r="L321" s="1035"/>
      <c r="M321" s="998"/>
      <c r="N321" s="998"/>
    </row>
    <row r="322" spans="1:14" ht="12.75">
      <c r="A322" s="1033"/>
      <c r="B322" s="1033"/>
      <c r="C322" s="1033"/>
      <c r="F322" s="1034"/>
      <c r="G322" s="1033"/>
      <c r="H322" s="1033"/>
      <c r="I322" s="1033"/>
      <c r="J322" s="1033"/>
      <c r="K322" s="1035"/>
      <c r="L322" s="1035"/>
      <c r="M322" s="998"/>
      <c r="N322" s="998"/>
    </row>
    <row r="323" spans="1:14" ht="12.75">
      <c r="A323" s="1033"/>
      <c r="B323" s="1033"/>
      <c r="C323" s="1033"/>
      <c r="F323" s="1034"/>
      <c r="G323" s="1033"/>
      <c r="H323" s="1033"/>
      <c r="I323" s="1033"/>
      <c r="J323" s="1033"/>
      <c r="K323" s="1035"/>
      <c r="L323" s="1035"/>
      <c r="M323" s="998"/>
      <c r="N323" s="998"/>
    </row>
    <row r="324" spans="1:14" ht="12.75">
      <c r="A324" s="1033"/>
      <c r="B324" s="1033"/>
      <c r="C324" s="1033"/>
      <c r="F324" s="1034"/>
      <c r="G324" s="1033"/>
      <c r="H324" s="1033"/>
      <c r="I324" s="1033"/>
      <c r="J324" s="1033"/>
      <c r="K324" s="1035"/>
      <c r="L324" s="1035"/>
      <c r="M324" s="998"/>
      <c r="N324" s="998"/>
    </row>
    <row r="325" spans="1:14" ht="12.75">
      <c r="A325" s="1033"/>
      <c r="B325" s="1033"/>
      <c r="C325" s="1033"/>
      <c r="F325" s="1034"/>
      <c r="G325" s="1033"/>
      <c r="H325" s="1033"/>
      <c r="I325" s="1033"/>
      <c r="J325" s="1033"/>
      <c r="K325" s="1035"/>
      <c r="L325" s="1035"/>
      <c r="M325" s="998"/>
      <c r="N325" s="998"/>
    </row>
    <row r="326" spans="1:14" ht="12.75">
      <c r="A326" s="1033"/>
      <c r="B326" s="1033"/>
      <c r="C326" s="1033"/>
      <c r="F326" s="1034"/>
      <c r="G326" s="1033"/>
      <c r="H326" s="1033"/>
      <c r="I326" s="1033"/>
      <c r="J326" s="1033"/>
      <c r="K326" s="1035"/>
      <c r="L326" s="1035"/>
      <c r="M326" s="998"/>
      <c r="N326" s="998"/>
    </row>
    <row r="327" spans="1:14" ht="12.75">
      <c r="A327" s="1033"/>
      <c r="B327" s="1033"/>
      <c r="C327" s="1033"/>
      <c r="F327" s="1034"/>
      <c r="G327" s="1033"/>
      <c r="H327" s="1033"/>
      <c r="I327" s="1033"/>
      <c r="J327" s="1033"/>
      <c r="K327" s="1035"/>
      <c r="L327" s="1035"/>
      <c r="M327" s="998"/>
      <c r="N327" s="998"/>
    </row>
    <row r="328" spans="1:14" ht="12.75">
      <c r="A328" s="1033"/>
      <c r="B328" s="1033"/>
      <c r="C328" s="1033"/>
      <c r="F328" s="1034"/>
      <c r="G328" s="1033"/>
      <c r="H328" s="1033"/>
      <c r="I328" s="1033"/>
      <c r="J328" s="1033"/>
      <c r="K328" s="1035"/>
      <c r="L328" s="1035"/>
      <c r="M328" s="998"/>
      <c r="N328" s="998"/>
    </row>
    <row r="329" spans="1:14" ht="12.75">
      <c r="A329" s="1033"/>
      <c r="B329" s="1033"/>
      <c r="C329" s="1033"/>
      <c r="F329" s="1034"/>
      <c r="G329" s="1033"/>
      <c r="H329" s="1033"/>
      <c r="I329" s="1033"/>
      <c r="J329" s="1033"/>
      <c r="K329" s="1035"/>
      <c r="L329" s="1035"/>
      <c r="M329" s="998"/>
      <c r="N329" s="998"/>
    </row>
    <row r="330" spans="1:14" ht="12.75">
      <c r="A330" s="1033"/>
      <c r="B330" s="1033"/>
      <c r="C330" s="1033"/>
      <c r="F330" s="1034"/>
      <c r="G330" s="1033"/>
      <c r="H330" s="1033"/>
      <c r="I330" s="1033"/>
      <c r="J330" s="1033"/>
      <c r="K330" s="1035"/>
      <c r="L330" s="1035"/>
      <c r="M330" s="998"/>
      <c r="N330" s="998"/>
    </row>
    <row r="331" spans="1:14" ht="12.75">
      <c r="A331" s="1033"/>
      <c r="B331" s="1033"/>
      <c r="C331" s="1033"/>
      <c r="F331" s="1034"/>
      <c r="G331" s="1033"/>
      <c r="H331" s="1033"/>
      <c r="I331" s="1033"/>
      <c r="J331" s="1033"/>
      <c r="K331" s="1035"/>
      <c r="L331" s="1035"/>
      <c r="M331" s="998"/>
      <c r="N331" s="998"/>
    </row>
    <row r="332" spans="1:14" ht="12.75">
      <c r="A332" s="1033"/>
      <c r="B332" s="1033"/>
      <c r="C332" s="1033"/>
      <c r="F332" s="1034"/>
      <c r="G332" s="1033"/>
      <c r="H332" s="1033"/>
      <c r="I332" s="1033"/>
      <c r="J332" s="1033"/>
      <c r="K332" s="1035"/>
      <c r="L332" s="1035"/>
      <c r="M332" s="998"/>
      <c r="N332" s="998"/>
    </row>
    <row r="333" spans="1:14" ht="12.75">
      <c r="A333" s="1033"/>
      <c r="B333" s="1033"/>
      <c r="C333" s="1033"/>
      <c r="F333" s="1034"/>
      <c r="G333" s="1033"/>
      <c r="H333" s="1033"/>
      <c r="I333" s="1033"/>
      <c r="J333" s="1033"/>
      <c r="K333" s="1035"/>
      <c r="L333" s="1035"/>
      <c r="M333" s="998"/>
      <c r="N333" s="998"/>
    </row>
    <row r="334" spans="1:14" ht="12.75">
      <c r="A334" s="1033"/>
      <c r="B334" s="1033"/>
      <c r="C334" s="1033"/>
      <c r="F334" s="1034"/>
      <c r="G334" s="1033"/>
      <c r="H334" s="1033"/>
      <c r="I334" s="1033"/>
      <c r="J334" s="1033"/>
      <c r="K334" s="1035"/>
      <c r="L334" s="1035"/>
      <c r="M334" s="998"/>
      <c r="N334" s="998"/>
    </row>
    <row r="335" spans="1:14" ht="12.75">
      <c r="A335" s="1033"/>
      <c r="B335" s="1033"/>
      <c r="C335" s="1033"/>
      <c r="F335" s="1034"/>
      <c r="G335" s="1033"/>
      <c r="H335" s="1033"/>
      <c r="I335" s="1033"/>
      <c r="J335" s="1033"/>
      <c r="K335" s="1035"/>
      <c r="L335" s="1035"/>
      <c r="M335" s="998"/>
      <c r="N335" s="998"/>
    </row>
    <row r="336" spans="1:14" ht="12.75">
      <c r="A336" s="1033"/>
      <c r="B336" s="1033"/>
      <c r="C336" s="1033"/>
      <c r="F336" s="1034"/>
      <c r="G336" s="1033"/>
      <c r="H336" s="1033"/>
      <c r="I336" s="1033"/>
      <c r="J336" s="1033"/>
      <c r="K336" s="1035"/>
      <c r="L336" s="1035"/>
      <c r="M336" s="998"/>
      <c r="N336" s="998"/>
    </row>
    <row r="337" spans="1:14" ht="12.75">
      <c r="A337" s="1033"/>
      <c r="B337" s="1033"/>
      <c r="C337" s="1033"/>
      <c r="F337" s="1034"/>
      <c r="G337" s="1033"/>
      <c r="H337" s="1033"/>
      <c r="I337" s="1033"/>
      <c r="J337" s="1033"/>
      <c r="K337" s="1035"/>
      <c r="L337" s="1035"/>
      <c r="M337" s="998"/>
      <c r="N337" s="998"/>
    </row>
    <row r="338" spans="1:14" ht="12.75">
      <c r="A338" s="1033"/>
      <c r="B338" s="1033"/>
      <c r="C338" s="1033"/>
      <c r="F338" s="1034"/>
      <c r="G338" s="1033"/>
      <c r="H338" s="1033"/>
      <c r="I338" s="1033"/>
      <c r="J338" s="1033"/>
      <c r="K338" s="1035"/>
      <c r="L338" s="1035"/>
      <c r="M338" s="998"/>
      <c r="N338" s="998"/>
    </row>
    <row r="339" spans="1:14" ht="12.75">
      <c r="A339" s="1033"/>
      <c r="B339" s="1033"/>
      <c r="C339" s="1033"/>
      <c r="F339" s="1034"/>
      <c r="G339" s="1033"/>
      <c r="H339" s="1033"/>
      <c r="I339" s="1033"/>
      <c r="J339" s="1033"/>
      <c r="K339" s="1035"/>
      <c r="L339" s="1035"/>
      <c r="M339" s="998"/>
      <c r="N339" s="998"/>
    </row>
    <row r="340" spans="1:14" ht="12.75">
      <c r="A340" s="1033"/>
      <c r="B340" s="1033"/>
      <c r="C340" s="1033"/>
      <c r="F340" s="1034"/>
      <c r="G340" s="1033"/>
      <c r="H340" s="1033"/>
      <c r="I340" s="1033"/>
      <c r="J340" s="1033"/>
      <c r="K340" s="1035"/>
      <c r="L340" s="1035"/>
      <c r="M340" s="998"/>
      <c r="N340" s="998"/>
    </row>
    <row r="341" spans="1:14" ht="12.75">
      <c r="A341" s="1033"/>
      <c r="B341" s="1033"/>
      <c r="C341" s="1033"/>
      <c r="F341" s="1034"/>
      <c r="G341" s="1033"/>
      <c r="H341" s="1033"/>
      <c r="I341" s="1033"/>
      <c r="J341" s="1033"/>
      <c r="K341" s="1035"/>
      <c r="L341" s="1035"/>
      <c r="M341" s="998"/>
      <c r="N341" s="998"/>
    </row>
    <row r="342" spans="1:14" ht="12.75">
      <c r="A342" s="1033"/>
      <c r="B342" s="1033"/>
      <c r="C342" s="1033"/>
      <c r="F342" s="1034"/>
      <c r="G342" s="1033"/>
      <c r="H342" s="1033"/>
      <c r="I342" s="1033"/>
      <c r="J342" s="1033"/>
      <c r="K342" s="1035"/>
      <c r="L342" s="1035"/>
      <c r="M342" s="998"/>
      <c r="N342" s="998"/>
    </row>
    <row r="343" spans="1:14" ht="12.75">
      <c r="A343" s="1033"/>
      <c r="B343" s="1033"/>
      <c r="C343" s="1033"/>
      <c r="F343" s="1034"/>
      <c r="G343" s="1033"/>
      <c r="H343" s="1033"/>
      <c r="I343" s="1033"/>
      <c r="J343" s="1033"/>
      <c r="K343" s="1035"/>
      <c r="L343" s="1035"/>
      <c r="M343" s="998"/>
      <c r="N343" s="998"/>
    </row>
    <row r="344" spans="1:14" ht="12.75">
      <c r="A344" s="1033"/>
      <c r="B344" s="1033"/>
      <c r="C344" s="1033"/>
      <c r="F344" s="1034"/>
      <c r="G344" s="1033"/>
      <c r="H344" s="1033"/>
      <c r="I344" s="1033"/>
      <c r="J344" s="1033"/>
      <c r="K344" s="1035"/>
      <c r="L344" s="1035"/>
      <c r="M344" s="998"/>
      <c r="N344" s="998"/>
    </row>
    <row r="345" spans="1:14" ht="12.75">
      <c r="A345" s="1033"/>
      <c r="B345" s="1033"/>
      <c r="C345" s="1033"/>
      <c r="F345" s="1034"/>
      <c r="G345" s="1033"/>
      <c r="H345" s="1033"/>
      <c r="I345" s="1033"/>
      <c r="J345" s="1033"/>
      <c r="K345" s="1035"/>
      <c r="L345" s="1035"/>
      <c r="M345" s="998"/>
      <c r="N345" s="998"/>
    </row>
    <row r="346" spans="1:14" ht="12.75">
      <c r="A346" s="1033"/>
      <c r="B346" s="1033"/>
      <c r="C346" s="1033"/>
      <c r="F346" s="1034"/>
      <c r="G346" s="1033"/>
      <c r="H346" s="1033"/>
      <c r="I346" s="1033"/>
      <c r="J346" s="1033"/>
      <c r="K346" s="1035"/>
      <c r="L346" s="1035"/>
      <c r="M346" s="998"/>
      <c r="N346" s="998"/>
    </row>
    <row r="347" spans="1:14" ht="12.75">
      <c r="A347" s="1033"/>
      <c r="B347" s="1033"/>
      <c r="C347" s="1033"/>
      <c r="F347" s="1034"/>
      <c r="G347" s="1033"/>
      <c r="H347" s="1033"/>
      <c r="I347" s="1033"/>
      <c r="J347" s="1033"/>
      <c r="K347" s="1035"/>
      <c r="L347" s="1035"/>
      <c r="M347" s="998"/>
      <c r="N347" s="998"/>
    </row>
    <row r="348" spans="1:14" ht="12.75">
      <c r="A348" s="1033"/>
      <c r="B348" s="1033"/>
      <c r="C348" s="1033"/>
      <c r="F348" s="1034"/>
      <c r="G348" s="1033"/>
      <c r="H348" s="1033"/>
      <c r="I348" s="1033"/>
      <c r="J348" s="1033"/>
      <c r="K348" s="1035"/>
      <c r="L348" s="1035"/>
      <c r="M348" s="998"/>
      <c r="N348" s="998"/>
    </row>
    <row r="349" spans="1:14" ht="12.75">
      <c r="A349" s="1033"/>
      <c r="B349" s="1033"/>
      <c r="C349" s="1033"/>
      <c r="F349" s="1034"/>
      <c r="G349" s="1033"/>
      <c r="H349" s="1033"/>
      <c r="I349" s="1033"/>
      <c r="J349" s="1033"/>
      <c r="K349" s="1035"/>
      <c r="L349" s="1035"/>
      <c r="M349" s="998"/>
      <c r="N349" s="998"/>
    </row>
    <row r="350" spans="1:14" ht="12.75">
      <c r="A350" s="1033"/>
      <c r="B350" s="1033"/>
      <c r="C350" s="1033"/>
      <c r="F350" s="1034"/>
      <c r="G350" s="1033"/>
      <c r="H350" s="1033"/>
      <c r="I350" s="1033"/>
      <c r="J350" s="1033"/>
      <c r="K350" s="1035"/>
      <c r="L350" s="1035"/>
      <c r="M350" s="998"/>
      <c r="N350" s="998"/>
    </row>
    <row r="351" spans="1:14" ht="12.75">
      <c r="A351" s="1033"/>
      <c r="B351" s="1033"/>
      <c r="C351" s="1033"/>
      <c r="F351" s="1034"/>
      <c r="G351" s="1033"/>
      <c r="H351" s="1033"/>
      <c r="I351" s="1033"/>
      <c r="J351" s="1033"/>
      <c r="K351" s="1035"/>
      <c r="L351" s="1035"/>
      <c r="M351" s="998"/>
      <c r="N351" s="998"/>
    </row>
    <row r="352" spans="1:14" ht="12.75">
      <c r="A352" s="1033"/>
      <c r="B352" s="1033"/>
      <c r="C352" s="1033"/>
      <c r="F352" s="1034"/>
      <c r="G352" s="1033"/>
      <c r="H352" s="1033"/>
      <c r="I352" s="1033"/>
      <c r="J352" s="1033"/>
      <c r="K352" s="1035"/>
      <c r="L352" s="1035"/>
      <c r="M352" s="998"/>
      <c r="N352" s="998"/>
    </row>
    <row r="353" spans="1:14" ht="12.75">
      <c r="A353" s="1033"/>
      <c r="B353" s="1033"/>
      <c r="C353" s="1033"/>
      <c r="F353" s="1034"/>
      <c r="G353" s="1033"/>
      <c r="H353" s="1033"/>
      <c r="I353" s="1033"/>
      <c r="J353" s="1033"/>
      <c r="K353" s="1035"/>
      <c r="L353" s="1035"/>
      <c r="M353" s="998"/>
      <c r="N353" s="998"/>
    </row>
    <row r="354" spans="1:14" ht="12.75">
      <c r="A354" s="1033"/>
      <c r="B354" s="1033"/>
      <c r="C354" s="1033"/>
      <c r="F354" s="1034"/>
      <c r="G354" s="1033"/>
      <c r="H354" s="1033"/>
      <c r="I354" s="1033"/>
      <c r="J354" s="1033"/>
      <c r="K354" s="1035"/>
      <c r="L354" s="1035"/>
      <c r="M354" s="998"/>
      <c r="N354" s="998"/>
    </row>
    <row r="355" spans="1:14" ht="12.75">
      <c r="A355" s="1033"/>
      <c r="B355" s="1033"/>
      <c r="C355" s="1033"/>
      <c r="F355" s="1034"/>
      <c r="G355" s="1033"/>
      <c r="H355" s="1033"/>
      <c r="I355" s="1033"/>
      <c r="J355" s="1033"/>
      <c r="K355" s="1035"/>
      <c r="L355" s="1035"/>
      <c r="M355" s="998"/>
      <c r="N355" s="998"/>
    </row>
    <row r="356" spans="1:14" ht="12.75">
      <c r="A356" s="1033"/>
      <c r="B356" s="1033"/>
      <c r="C356" s="1033"/>
      <c r="F356" s="1034"/>
      <c r="G356" s="1033"/>
      <c r="H356" s="1033"/>
      <c r="I356" s="1033"/>
      <c r="J356" s="1033"/>
      <c r="K356" s="1035"/>
      <c r="L356" s="1035"/>
      <c r="M356" s="998"/>
      <c r="N356" s="998"/>
    </row>
    <row r="357" spans="1:14" ht="12.75">
      <c r="A357" s="1033"/>
      <c r="B357" s="1033"/>
      <c r="C357" s="1033"/>
      <c r="F357" s="1034"/>
      <c r="G357" s="1033"/>
      <c r="H357" s="1033"/>
      <c r="I357" s="1033"/>
      <c r="J357" s="1033"/>
      <c r="K357" s="1035"/>
      <c r="L357" s="1035"/>
      <c r="M357" s="998"/>
      <c r="N357" s="998"/>
    </row>
    <row r="358" spans="1:14" ht="12.75">
      <c r="A358" s="1033"/>
      <c r="B358" s="1033"/>
      <c r="C358" s="1033"/>
      <c r="F358" s="1034"/>
      <c r="G358" s="1033"/>
      <c r="H358" s="1033"/>
      <c r="I358" s="1033"/>
      <c r="J358" s="1033"/>
      <c r="K358" s="1035"/>
      <c r="L358" s="1035"/>
      <c r="M358" s="998"/>
      <c r="N358" s="998"/>
    </row>
    <row r="359" spans="1:14" ht="12.75">
      <c r="A359" s="1033"/>
      <c r="B359" s="1033"/>
      <c r="C359" s="1033"/>
      <c r="F359" s="1034"/>
      <c r="G359" s="1033"/>
      <c r="H359" s="1033"/>
      <c r="I359" s="1033"/>
      <c r="J359" s="1033"/>
      <c r="K359" s="1035"/>
      <c r="L359" s="1035"/>
      <c r="M359" s="998"/>
      <c r="N359" s="998"/>
    </row>
    <row r="360" spans="1:14" ht="12.75">
      <c r="A360" s="1033"/>
      <c r="B360" s="1033"/>
      <c r="C360" s="1033"/>
      <c r="F360" s="1034"/>
      <c r="G360" s="1033"/>
      <c r="H360" s="1033"/>
      <c r="I360" s="1033"/>
      <c r="J360" s="1033"/>
      <c r="K360" s="1035"/>
      <c r="L360" s="1035"/>
      <c r="M360" s="998"/>
      <c r="N360" s="998"/>
    </row>
    <row r="361" spans="1:14" ht="12.75">
      <c r="A361" s="1033"/>
      <c r="B361" s="1033"/>
      <c r="C361" s="1033"/>
      <c r="F361" s="1034"/>
      <c r="G361" s="1033"/>
      <c r="H361" s="1033"/>
      <c r="I361" s="1033"/>
      <c r="J361" s="1033"/>
      <c r="K361" s="1035"/>
      <c r="L361" s="1035"/>
      <c r="M361" s="998"/>
      <c r="N361" s="998"/>
    </row>
    <row r="362" spans="1:14" ht="12.75">
      <c r="A362" s="1033"/>
      <c r="B362" s="1033"/>
      <c r="C362" s="1033"/>
      <c r="F362" s="1034"/>
      <c r="G362" s="1033"/>
      <c r="H362" s="1033"/>
      <c r="I362" s="1033"/>
      <c r="J362" s="1033"/>
      <c r="K362" s="1035"/>
      <c r="L362" s="1035"/>
      <c r="M362" s="998"/>
      <c r="N362" s="998"/>
    </row>
    <row r="363" spans="1:14" ht="12.75">
      <c r="A363" s="1033"/>
      <c r="B363" s="1033"/>
      <c r="C363" s="1033"/>
      <c r="F363" s="1034"/>
      <c r="G363" s="1033"/>
      <c r="H363" s="1033"/>
      <c r="I363" s="1033"/>
      <c r="J363" s="1033"/>
      <c r="K363" s="1035"/>
      <c r="L363" s="1035"/>
      <c r="M363" s="998"/>
      <c r="N363" s="998"/>
    </row>
    <row r="364" spans="1:14" ht="12.75">
      <c r="A364" s="1033"/>
      <c r="B364" s="1033"/>
      <c r="C364" s="1033"/>
      <c r="F364" s="1034"/>
      <c r="G364" s="1033"/>
      <c r="H364" s="1033"/>
      <c r="I364" s="1033"/>
      <c r="J364" s="1033"/>
      <c r="K364" s="1035"/>
      <c r="L364" s="1035"/>
      <c r="M364" s="998"/>
      <c r="N364" s="998"/>
    </row>
    <row r="365" spans="1:14" ht="12.75">
      <c r="A365" s="1033"/>
      <c r="B365" s="1033"/>
      <c r="C365" s="1033"/>
      <c r="F365" s="1034"/>
      <c r="G365" s="1033"/>
      <c r="H365" s="1033"/>
      <c r="I365" s="1033"/>
      <c r="J365" s="1033"/>
      <c r="K365" s="1035"/>
      <c r="L365" s="1035"/>
      <c r="M365" s="998"/>
      <c r="N365" s="998"/>
    </row>
    <row r="366" spans="1:14" ht="12.75">
      <c r="A366" s="1033"/>
      <c r="B366" s="1033"/>
      <c r="C366" s="1033"/>
      <c r="F366" s="1034"/>
      <c r="G366" s="1033"/>
      <c r="H366" s="1033"/>
      <c r="I366" s="1033"/>
      <c r="J366" s="1033"/>
      <c r="K366" s="1035"/>
      <c r="L366" s="1035"/>
      <c r="M366" s="998"/>
      <c r="N366" s="998"/>
    </row>
    <row r="367" spans="1:14" ht="12.75">
      <c r="A367" s="1033"/>
      <c r="B367" s="1033"/>
      <c r="C367" s="1033"/>
      <c r="F367" s="1034"/>
      <c r="G367" s="1033"/>
      <c r="H367" s="1033"/>
      <c r="I367" s="1033"/>
      <c r="J367" s="1033"/>
      <c r="K367" s="1035"/>
      <c r="L367" s="1035"/>
      <c r="M367" s="998"/>
      <c r="N367" s="998"/>
    </row>
    <row r="368" spans="1:14" ht="12.75">
      <c r="A368" s="1033"/>
      <c r="B368" s="1033"/>
      <c r="C368" s="1033"/>
      <c r="F368" s="1034"/>
      <c r="G368" s="1033"/>
      <c r="H368" s="1033"/>
      <c r="I368" s="1033"/>
      <c r="J368" s="1033"/>
      <c r="K368" s="1035"/>
      <c r="L368" s="1035"/>
      <c r="M368" s="998"/>
      <c r="N368" s="998"/>
    </row>
    <row r="369" spans="1:14" ht="12.75">
      <c r="A369" s="1033"/>
      <c r="B369" s="1033"/>
      <c r="C369" s="1033"/>
      <c r="F369" s="1034"/>
      <c r="G369" s="1033"/>
      <c r="H369" s="1033"/>
      <c r="I369" s="1033"/>
      <c r="J369" s="1033"/>
      <c r="K369" s="1035"/>
      <c r="L369" s="1035"/>
      <c r="M369" s="998"/>
      <c r="N369" s="998"/>
    </row>
    <row r="370" spans="1:14" ht="12.75">
      <c r="A370" s="1033"/>
      <c r="B370" s="1033"/>
      <c r="C370" s="1033"/>
      <c r="F370" s="1034"/>
      <c r="G370" s="1033"/>
      <c r="H370" s="1033"/>
      <c r="I370" s="1033"/>
      <c r="J370" s="1033"/>
      <c r="K370" s="1035"/>
      <c r="L370" s="1035"/>
      <c r="M370" s="998"/>
      <c r="N370" s="998"/>
    </row>
    <row r="371" spans="1:14" ht="12.75">
      <c r="A371" s="1033"/>
      <c r="B371" s="1033"/>
      <c r="C371" s="1033"/>
      <c r="F371" s="1034"/>
      <c r="G371" s="1033"/>
      <c r="H371" s="1033"/>
      <c r="I371" s="1033"/>
      <c r="J371" s="1033"/>
      <c r="K371" s="1035"/>
      <c r="L371" s="1035"/>
      <c r="M371" s="998"/>
      <c r="N371" s="998"/>
    </row>
    <row r="372" spans="1:14" ht="12.75">
      <c r="A372" s="1033"/>
      <c r="B372" s="1033"/>
      <c r="C372" s="1033"/>
      <c r="F372" s="1034"/>
      <c r="G372" s="1033"/>
      <c r="H372" s="1033"/>
      <c r="I372" s="1033"/>
      <c r="J372" s="1033"/>
      <c r="K372" s="1035"/>
      <c r="L372" s="1035"/>
      <c r="M372" s="998"/>
      <c r="N372" s="998"/>
    </row>
    <row r="373" spans="1:14" ht="12.75">
      <c r="A373" s="1033"/>
      <c r="B373" s="1033"/>
      <c r="C373" s="1033"/>
      <c r="F373" s="1034"/>
      <c r="G373" s="1033"/>
      <c r="H373" s="1033"/>
      <c r="I373" s="1033"/>
      <c r="J373" s="1033"/>
      <c r="K373" s="1035"/>
      <c r="L373" s="1035"/>
      <c r="M373" s="998"/>
      <c r="N373" s="998"/>
    </row>
    <row r="374" spans="1:14" ht="12.75">
      <c r="A374" s="1033"/>
      <c r="B374" s="1033"/>
      <c r="C374" s="1033"/>
      <c r="F374" s="1034"/>
      <c r="G374" s="1033"/>
      <c r="H374" s="1033"/>
      <c r="I374" s="1033"/>
      <c r="J374" s="1033"/>
      <c r="K374" s="1035"/>
      <c r="L374" s="1035"/>
      <c r="M374" s="998"/>
      <c r="N374" s="998"/>
    </row>
    <row r="375" spans="1:14" ht="12.75">
      <c r="A375" s="1033"/>
      <c r="B375" s="1033"/>
      <c r="C375" s="1033"/>
      <c r="F375" s="1034"/>
      <c r="G375" s="1033"/>
      <c r="H375" s="1033"/>
      <c r="I375" s="1033"/>
      <c r="J375" s="1033"/>
      <c r="K375" s="1035"/>
      <c r="L375" s="1035"/>
      <c r="M375" s="998"/>
      <c r="N375" s="998"/>
    </row>
    <row r="376" spans="1:14" ht="12.75">
      <c r="A376" s="1033"/>
      <c r="B376" s="1033"/>
      <c r="C376" s="1033"/>
      <c r="F376" s="1034"/>
      <c r="G376" s="1033"/>
      <c r="H376" s="1033"/>
      <c r="I376" s="1033"/>
      <c r="J376" s="1033"/>
      <c r="K376" s="1035"/>
      <c r="L376" s="1035"/>
      <c r="M376" s="998"/>
      <c r="N376" s="998"/>
    </row>
    <row r="377" spans="1:14" ht="12.75">
      <c r="A377" s="1033"/>
      <c r="B377" s="1033"/>
      <c r="C377" s="1033"/>
      <c r="F377" s="1034"/>
      <c r="G377" s="1033"/>
      <c r="H377" s="1033"/>
      <c r="I377" s="1033"/>
      <c r="J377" s="1033"/>
      <c r="K377" s="1035"/>
      <c r="L377" s="1035"/>
      <c r="M377" s="998"/>
      <c r="N377" s="998"/>
    </row>
    <row r="378" spans="1:14" ht="12.75">
      <c r="A378" s="1033"/>
      <c r="B378" s="1033"/>
      <c r="C378" s="1033"/>
      <c r="F378" s="1034"/>
      <c r="G378" s="1033"/>
      <c r="H378" s="1033"/>
      <c r="I378" s="1033"/>
      <c r="J378" s="1033"/>
      <c r="K378" s="1035"/>
      <c r="L378" s="1035"/>
      <c r="M378" s="998"/>
      <c r="N378" s="998"/>
    </row>
    <row r="379" spans="1:14" ht="12.75">
      <c r="A379" s="1033"/>
      <c r="B379" s="1033"/>
      <c r="C379" s="1033"/>
      <c r="F379" s="1034"/>
      <c r="G379" s="1033"/>
      <c r="H379" s="1033"/>
      <c r="I379" s="1033"/>
      <c r="J379" s="1033"/>
      <c r="K379" s="1035"/>
      <c r="L379" s="1035"/>
      <c r="M379" s="998"/>
      <c r="N379" s="998"/>
    </row>
    <row r="380" spans="1:14" ht="12.75">
      <c r="A380" s="1033"/>
      <c r="B380" s="1033"/>
      <c r="C380" s="1033"/>
      <c r="F380" s="1034"/>
      <c r="G380" s="1033"/>
      <c r="H380" s="1033"/>
      <c r="I380" s="1033"/>
      <c r="J380" s="1033"/>
      <c r="K380" s="1035"/>
      <c r="L380" s="1035"/>
      <c r="M380" s="998"/>
      <c r="N380" s="998"/>
    </row>
    <row r="381" spans="1:14" ht="12.75">
      <c r="A381" s="1033"/>
      <c r="B381" s="1033"/>
      <c r="C381" s="1033"/>
      <c r="F381" s="1034"/>
      <c r="G381" s="1033"/>
      <c r="H381" s="1033"/>
      <c r="I381" s="1033"/>
      <c r="J381" s="1033"/>
      <c r="K381" s="1035"/>
      <c r="L381" s="1035"/>
      <c r="M381" s="998"/>
      <c r="N381" s="998"/>
    </row>
    <row r="382" spans="1:14" ht="12.75">
      <c r="A382" s="1033"/>
      <c r="B382" s="1033"/>
      <c r="C382" s="1033"/>
      <c r="F382" s="1034"/>
      <c r="G382" s="1033"/>
      <c r="H382" s="1033"/>
      <c r="I382" s="1033"/>
      <c r="J382" s="1033"/>
      <c r="K382" s="1035"/>
      <c r="L382" s="1035"/>
      <c r="M382" s="998"/>
      <c r="N382" s="998"/>
    </row>
    <row r="383" spans="1:14" ht="12.75">
      <c r="A383" s="1033"/>
      <c r="B383" s="1033"/>
      <c r="C383" s="1033"/>
      <c r="F383" s="1034"/>
      <c r="G383" s="1033"/>
      <c r="H383" s="1033"/>
      <c r="I383" s="1033"/>
      <c r="J383" s="1033"/>
      <c r="K383" s="1035"/>
      <c r="L383" s="1035"/>
      <c r="M383" s="998"/>
      <c r="N383" s="998"/>
    </row>
    <row r="384" spans="1:14" ht="12.75">
      <c r="A384" s="1033"/>
      <c r="B384" s="1033"/>
      <c r="C384" s="1033"/>
      <c r="F384" s="1034"/>
      <c r="G384" s="1033"/>
      <c r="H384" s="1033"/>
      <c r="I384" s="1033"/>
      <c r="J384" s="1033"/>
      <c r="K384" s="1035"/>
      <c r="L384" s="1035"/>
      <c r="M384" s="998"/>
      <c r="N384" s="998"/>
    </row>
    <row r="385" spans="1:14" ht="12.75">
      <c r="A385" s="1033"/>
      <c r="B385" s="1033"/>
      <c r="C385" s="1033"/>
      <c r="F385" s="1034"/>
      <c r="G385" s="1033"/>
      <c r="H385" s="1033"/>
      <c r="I385" s="1033"/>
      <c r="J385" s="1033"/>
      <c r="K385" s="1035"/>
      <c r="L385" s="1035"/>
      <c r="M385" s="998"/>
      <c r="N385" s="998"/>
    </row>
    <row r="386" spans="1:14" ht="12.75">
      <c r="A386" s="1033"/>
      <c r="B386" s="1033"/>
      <c r="C386" s="1033"/>
      <c r="F386" s="1034"/>
      <c r="G386" s="1033"/>
      <c r="H386" s="1033"/>
      <c r="I386" s="1033"/>
      <c r="J386" s="1033"/>
      <c r="K386" s="1035"/>
      <c r="L386" s="1035"/>
      <c r="M386" s="998"/>
      <c r="N386" s="998"/>
    </row>
    <row r="387" spans="1:14" ht="12.75">
      <c r="A387" s="1033"/>
      <c r="B387" s="1033"/>
      <c r="C387" s="1033"/>
      <c r="F387" s="1034"/>
      <c r="G387" s="1033"/>
      <c r="H387" s="1033"/>
      <c r="I387" s="1033"/>
      <c r="J387" s="1033"/>
      <c r="K387" s="1035"/>
      <c r="L387" s="1035"/>
      <c r="M387" s="998"/>
      <c r="N387" s="998"/>
    </row>
    <row r="388" spans="1:14" ht="12.75">
      <c r="A388" s="1033"/>
      <c r="B388" s="1033"/>
      <c r="C388" s="1033"/>
      <c r="F388" s="1034"/>
      <c r="G388" s="1033"/>
      <c r="H388" s="1033"/>
      <c r="I388" s="1033"/>
      <c r="J388" s="1033"/>
      <c r="K388" s="1035"/>
      <c r="L388" s="1035"/>
      <c r="M388" s="998"/>
      <c r="N388" s="998"/>
    </row>
    <row r="389" spans="1:14" ht="12.75">
      <c r="A389" s="1033"/>
      <c r="B389" s="1033"/>
      <c r="C389" s="1033"/>
      <c r="F389" s="1034"/>
      <c r="G389" s="1033"/>
      <c r="H389" s="1033"/>
      <c r="I389" s="1033"/>
      <c r="J389" s="1033"/>
      <c r="K389" s="1035"/>
      <c r="L389" s="1035"/>
      <c r="M389" s="998"/>
      <c r="N389" s="998"/>
    </row>
    <row r="390" spans="1:14" ht="12.75">
      <c r="A390" s="1033"/>
      <c r="B390" s="1033"/>
      <c r="C390" s="1033"/>
      <c r="F390" s="1034"/>
      <c r="G390" s="1033"/>
      <c r="H390" s="1033"/>
      <c r="I390" s="1033"/>
      <c r="J390" s="1033"/>
      <c r="K390" s="1035"/>
      <c r="L390" s="1035"/>
      <c r="M390" s="998"/>
      <c r="N390" s="998"/>
    </row>
    <row r="391" spans="1:14" ht="12.75">
      <c r="A391" s="1033"/>
      <c r="B391" s="1033"/>
      <c r="C391" s="1033"/>
      <c r="F391" s="1034"/>
      <c r="G391" s="1033"/>
      <c r="H391" s="1033"/>
      <c r="I391" s="1033"/>
      <c r="J391" s="1033"/>
      <c r="K391" s="1035"/>
      <c r="L391" s="1035"/>
      <c r="M391" s="998"/>
      <c r="N391" s="998"/>
    </row>
    <row r="392" spans="1:14" ht="12.75">
      <c r="A392" s="1033"/>
      <c r="B392" s="1033"/>
      <c r="C392" s="1033"/>
      <c r="F392" s="1034"/>
      <c r="G392" s="1033"/>
      <c r="H392" s="1033"/>
      <c r="I392" s="1033"/>
      <c r="J392" s="1033"/>
      <c r="K392" s="1035"/>
      <c r="L392" s="1035"/>
      <c r="M392" s="998"/>
      <c r="N392" s="998"/>
    </row>
    <row r="393" spans="1:14" ht="12.75">
      <c r="A393" s="1033"/>
      <c r="B393" s="1033"/>
      <c r="C393" s="1033"/>
      <c r="F393" s="1034"/>
      <c r="G393" s="1033"/>
      <c r="H393" s="1033"/>
      <c r="I393" s="1033"/>
      <c r="J393" s="1033"/>
      <c r="K393" s="1035"/>
      <c r="L393" s="1035"/>
      <c r="M393" s="998"/>
      <c r="N393" s="998"/>
    </row>
    <row r="394" spans="1:14" ht="12.75">
      <c r="A394" s="1033"/>
      <c r="B394" s="1033"/>
      <c r="C394" s="1033"/>
      <c r="F394" s="1034"/>
      <c r="G394" s="1033"/>
      <c r="H394" s="1033"/>
      <c r="I394" s="1033"/>
      <c r="J394" s="1033"/>
      <c r="K394" s="1035"/>
      <c r="L394" s="1035"/>
      <c r="M394" s="998"/>
      <c r="N394" s="998"/>
    </row>
    <row r="395" spans="1:14" ht="12.75">
      <c r="A395" s="1033"/>
      <c r="B395" s="1033"/>
      <c r="C395" s="1033"/>
      <c r="F395" s="1034"/>
      <c r="G395" s="1033"/>
      <c r="H395" s="1033"/>
      <c r="I395" s="1033"/>
      <c r="J395" s="1033"/>
      <c r="K395" s="1035"/>
      <c r="L395" s="1035"/>
      <c r="M395" s="998"/>
      <c r="N395" s="998"/>
    </row>
    <row r="396" spans="1:14" ht="12.75">
      <c r="A396" s="1033"/>
      <c r="B396" s="1033"/>
      <c r="C396" s="1033"/>
      <c r="F396" s="1034"/>
      <c r="G396" s="1033"/>
      <c r="H396" s="1033"/>
      <c r="I396" s="1033"/>
      <c r="J396" s="1033"/>
      <c r="K396" s="1035"/>
      <c r="L396" s="1035"/>
      <c r="M396" s="998"/>
      <c r="N396" s="998"/>
    </row>
    <row r="397" spans="1:14" ht="12.75">
      <c r="A397" s="1033"/>
      <c r="B397" s="1033"/>
      <c r="C397" s="1033"/>
      <c r="F397" s="1034"/>
      <c r="G397" s="1033"/>
      <c r="H397" s="1033"/>
      <c r="I397" s="1033"/>
      <c r="J397" s="1033"/>
      <c r="K397" s="1035"/>
      <c r="L397" s="1035"/>
      <c r="M397" s="998"/>
      <c r="N397" s="998"/>
    </row>
    <row r="398" spans="1:14" ht="12.75">
      <c r="A398" s="1033"/>
      <c r="B398" s="1033"/>
      <c r="C398" s="1033"/>
      <c r="F398" s="1034"/>
      <c r="G398" s="1033"/>
      <c r="H398" s="1033"/>
      <c r="I398" s="1033"/>
      <c r="J398" s="1033"/>
      <c r="K398" s="1035"/>
      <c r="L398" s="1035"/>
      <c r="M398" s="998"/>
      <c r="N398" s="998"/>
    </row>
    <row r="399" spans="1:14" ht="12.75">
      <c r="A399" s="1033"/>
      <c r="B399" s="1033"/>
      <c r="C399" s="1033"/>
      <c r="F399" s="1034"/>
      <c r="G399" s="1033"/>
      <c r="H399" s="1033"/>
      <c r="I399" s="1033"/>
      <c r="J399" s="1033"/>
      <c r="K399" s="1035"/>
      <c r="L399" s="1035"/>
      <c r="M399" s="998"/>
      <c r="N399" s="998"/>
    </row>
    <row r="400" spans="1:14" ht="12.75">
      <c r="A400" s="1033"/>
      <c r="B400" s="1033"/>
      <c r="C400" s="1033"/>
      <c r="F400" s="1034"/>
      <c r="G400" s="1033"/>
      <c r="H400" s="1033"/>
      <c r="I400" s="1033"/>
      <c r="J400" s="1033"/>
      <c r="K400" s="1035"/>
      <c r="L400" s="1035"/>
      <c r="M400" s="998"/>
      <c r="N400" s="998"/>
    </row>
    <row r="401" spans="1:14" ht="12.75">
      <c r="A401" s="1033"/>
      <c r="B401" s="1033"/>
      <c r="C401" s="1033"/>
      <c r="F401" s="1034"/>
      <c r="G401" s="1033"/>
      <c r="H401" s="1033"/>
      <c r="I401" s="1033"/>
      <c r="J401" s="1033"/>
      <c r="K401" s="1035"/>
      <c r="L401" s="1035"/>
      <c r="M401" s="998"/>
      <c r="N401" s="998"/>
    </row>
    <row r="402" spans="1:14" ht="12.75">
      <c r="A402" s="1033"/>
      <c r="B402" s="1033"/>
      <c r="C402" s="1033"/>
      <c r="F402" s="1034"/>
      <c r="G402" s="1033"/>
      <c r="H402" s="1033"/>
      <c r="I402" s="1033"/>
      <c r="J402" s="1033"/>
      <c r="K402" s="1035"/>
      <c r="L402" s="1035"/>
      <c r="M402" s="998"/>
      <c r="N402" s="998"/>
    </row>
    <row r="403" spans="1:14" ht="12.75">
      <c r="A403" s="1033"/>
      <c r="B403" s="1033"/>
      <c r="C403" s="1033"/>
      <c r="F403" s="1034"/>
      <c r="G403" s="1033"/>
      <c r="H403" s="1033"/>
      <c r="I403" s="1033"/>
      <c r="J403" s="1033"/>
      <c r="K403" s="1035"/>
      <c r="L403" s="1035"/>
      <c r="M403" s="998"/>
      <c r="N403" s="998"/>
    </row>
    <row r="404" spans="1:14" ht="12.75">
      <c r="A404" s="1033"/>
      <c r="B404" s="1033"/>
      <c r="C404" s="1033"/>
      <c r="F404" s="1034"/>
      <c r="G404" s="1033"/>
      <c r="H404" s="1033"/>
      <c r="I404" s="1033"/>
      <c r="J404" s="1033"/>
      <c r="K404" s="1035"/>
      <c r="L404" s="1035"/>
      <c r="M404" s="998"/>
      <c r="N404" s="998"/>
    </row>
    <row r="405" spans="1:14" ht="12.75">
      <c r="A405" s="1033"/>
      <c r="B405" s="1033"/>
      <c r="C405" s="1033"/>
      <c r="F405" s="1034"/>
      <c r="G405" s="1033"/>
      <c r="H405" s="1033"/>
      <c r="I405" s="1033"/>
      <c r="J405" s="1033"/>
      <c r="K405" s="1035"/>
      <c r="L405" s="1035"/>
      <c r="M405" s="998"/>
      <c r="N405" s="998"/>
    </row>
    <row r="406" spans="1:14" ht="12.75">
      <c r="A406" s="1033"/>
      <c r="B406" s="1033"/>
      <c r="C406" s="1033"/>
      <c r="F406" s="1034"/>
      <c r="G406" s="1033"/>
      <c r="H406" s="1033"/>
      <c r="I406" s="1033"/>
      <c r="J406" s="1033"/>
      <c r="K406" s="1035"/>
      <c r="L406" s="1035"/>
      <c r="M406" s="998"/>
      <c r="N406" s="998"/>
    </row>
    <row r="407" spans="1:14" ht="12.75">
      <c r="A407" s="1033"/>
      <c r="B407" s="1033"/>
      <c r="C407" s="1033"/>
      <c r="F407" s="1034"/>
      <c r="G407" s="1033"/>
      <c r="H407" s="1033"/>
      <c r="I407" s="1033"/>
      <c r="J407" s="1033"/>
      <c r="K407" s="1035"/>
      <c r="L407" s="1035"/>
      <c r="M407" s="998"/>
      <c r="N407" s="998"/>
    </row>
    <row r="408" spans="1:14" ht="12.75">
      <c r="A408" s="1033"/>
      <c r="B408" s="1033"/>
      <c r="C408" s="1033"/>
      <c r="F408" s="1034"/>
      <c r="G408" s="1033"/>
      <c r="H408" s="1033"/>
      <c r="I408" s="1033"/>
      <c r="J408" s="1033"/>
      <c r="K408" s="1035"/>
      <c r="L408" s="1035"/>
      <c r="M408" s="998"/>
      <c r="N408" s="998"/>
    </row>
    <row r="409" spans="1:14" ht="12.75">
      <c r="A409" s="1033"/>
      <c r="B409" s="1033"/>
      <c r="C409" s="1033"/>
      <c r="F409" s="1034"/>
      <c r="G409" s="1033"/>
      <c r="H409" s="1033"/>
      <c r="I409" s="1033"/>
      <c r="J409" s="1033"/>
      <c r="K409" s="1035"/>
      <c r="L409" s="1035"/>
      <c r="M409" s="998"/>
      <c r="N409" s="998"/>
    </row>
    <row r="410" spans="1:14" ht="12.75">
      <c r="A410" s="1033"/>
      <c r="B410" s="1033"/>
      <c r="C410" s="1033"/>
      <c r="F410" s="1034"/>
      <c r="G410" s="1033"/>
      <c r="H410" s="1033"/>
      <c r="I410" s="1033"/>
      <c r="J410" s="1033"/>
      <c r="K410" s="1035"/>
      <c r="L410" s="1035"/>
      <c r="M410" s="998"/>
      <c r="N410" s="998"/>
    </row>
    <row r="411" spans="1:14" ht="12.75">
      <c r="A411" s="1033"/>
      <c r="B411" s="1033"/>
      <c r="C411" s="1033"/>
      <c r="F411" s="1034"/>
      <c r="G411" s="1033"/>
      <c r="H411" s="1033"/>
      <c r="I411" s="1033"/>
      <c r="J411" s="1033"/>
      <c r="K411" s="1035"/>
      <c r="L411" s="1035"/>
      <c r="M411" s="998"/>
      <c r="N411" s="998"/>
    </row>
    <row r="412" spans="1:14" ht="12.75">
      <c r="A412" s="1033"/>
      <c r="B412" s="1033"/>
      <c r="C412" s="1033"/>
      <c r="F412" s="1034"/>
      <c r="G412" s="1033"/>
      <c r="H412" s="1033"/>
      <c r="I412" s="1033"/>
      <c r="J412" s="1033"/>
      <c r="K412" s="1035"/>
      <c r="L412" s="1035"/>
      <c r="M412" s="998"/>
      <c r="N412" s="998"/>
    </row>
    <row r="413" spans="1:14" ht="12.75">
      <c r="A413" s="1033"/>
      <c r="B413" s="1033"/>
      <c r="C413" s="1033"/>
      <c r="F413" s="1034"/>
      <c r="G413" s="1033"/>
      <c r="H413" s="1033"/>
      <c r="I413" s="1033"/>
      <c r="J413" s="1033"/>
      <c r="K413" s="1035"/>
      <c r="L413" s="1035"/>
      <c r="M413" s="998"/>
      <c r="N413" s="998"/>
    </row>
    <row r="414" spans="1:14" ht="12.75">
      <c r="A414" s="1033"/>
      <c r="B414" s="1033"/>
      <c r="C414" s="1033"/>
      <c r="F414" s="1034"/>
      <c r="G414" s="1033"/>
      <c r="H414" s="1033"/>
      <c r="I414" s="1033"/>
      <c r="J414" s="1033"/>
      <c r="K414" s="1035"/>
      <c r="L414" s="1035"/>
      <c r="M414" s="998"/>
      <c r="N414" s="998"/>
    </row>
    <row r="415" spans="1:14" ht="12.75">
      <c r="A415" s="1033"/>
      <c r="B415" s="1033"/>
      <c r="C415" s="1033"/>
      <c r="F415" s="1034"/>
      <c r="G415" s="1033"/>
      <c r="H415" s="1033"/>
      <c r="I415" s="1033"/>
      <c r="J415" s="1033"/>
      <c r="K415" s="1035"/>
      <c r="L415" s="1035"/>
      <c r="M415" s="998"/>
      <c r="N415" s="998"/>
    </row>
    <row r="416" spans="1:14" ht="12.75">
      <c r="A416" s="1033"/>
      <c r="B416" s="1033"/>
      <c r="C416" s="1033"/>
      <c r="F416" s="1034"/>
      <c r="G416" s="1033"/>
      <c r="H416" s="1033"/>
      <c r="I416" s="1033"/>
      <c r="J416" s="1033"/>
      <c r="K416" s="1035"/>
      <c r="L416" s="1035"/>
      <c r="M416" s="998"/>
      <c r="N416" s="998"/>
    </row>
    <row r="417" spans="1:14" ht="12.75">
      <c r="A417" s="1033"/>
      <c r="B417" s="1033"/>
      <c r="C417" s="1033"/>
      <c r="F417" s="1034"/>
      <c r="G417" s="1033"/>
      <c r="H417" s="1033"/>
      <c r="I417" s="1033"/>
      <c r="J417" s="1033"/>
      <c r="K417" s="1035"/>
      <c r="L417" s="1035"/>
      <c r="M417" s="998"/>
      <c r="N417" s="998"/>
    </row>
    <row r="418" spans="1:14" ht="12.75">
      <c r="A418" s="1033"/>
      <c r="B418" s="1033"/>
      <c r="C418" s="1033"/>
      <c r="F418" s="1034"/>
      <c r="G418" s="1033"/>
      <c r="H418" s="1033"/>
      <c r="I418" s="1033"/>
      <c r="J418" s="1033"/>
      <c r="K418" s="1035"/>
      <c r="L418" s="1035"/>
      <c r="M418" s="998"/>
      <c r="N418" s="998"/>
    </row>
    <row r="419" spans="1:14" ht="12.75">
      <c r="A419" s="1033"/>
      <c r="B419" s="1033"/>
      <c r="C419" s="1033"/>
      <c r="F419" s="1034"/>
      <c r="G419" s="1033"/>
      <c r="H419" s="1033"/>
      <c r="I419" s="1033"/>
      <c r="J419" s="1033"/>
      <c r="K419" s="1035"/>
      <c r="L419" s="1035"/>
      <c r="M419" s="998"/>
      <c r="N419" s="998"/>
    </row>
    <row r="420" spans="1:14" ht="12.75">
      <c r="A420" s="1033"/>
      <c r="B420" s="1033"/>
      <c r="C420" s="1033"/>
      <c r="F420" s="1034"/>
      <c r="G420" s="1033"/>
      <c r="H420" s="1033"/>
      <c r="I420" s="1033"/>
      <c r="J420" s="1033"/>
      <c r="K420" s="1035"/>
      <c r="L420" s="1035"/>
      <c r="M420" s="998"/>
      <c r="N420" s="998"/>
    </row>
    <row r="421" spans="1:14" ht="12.75">
      <c r="A421" s="1033"/>
      <c r="B421" s="1033"/>
      <c r="C421" s="1033"/>
      <c r="F421" s="1034"/>
      <c r="G421" s="1033"/>
      <c r="H421" s="1033"/>
      <c r="I421" s="1033"/>
      <c r="J421" s="1033"/>
      <c r="K421" s="1035"/>
      <c r="L421" s="1035"/>
      <c r="M421" s="998"/>
      <c r="N421" s="998"/>
    </row>
    <row r="422" spans="1:14" ht="12.75">
      <c r="A422" s="1033"/>
      <c r="B422" s="1033"/>
      <c r="C422" s="1033"/>
      <c r="F422" s="1034"/>
      <c r="G422" s="1033"/>
      <c r="H422" s="1033"/>
      <c r="I422" s="1033"/>
      <c r="J422" s="1033"/>
      <c r="K422" s="1035"/>
      <c r="L422" s="1035"/>
      <c r="M422" s="998"/>
      <c r="N422" s="998"/>
    </row>
    <row r="423" spans="1:14" ht="12.75">
      <c r="A423" s="1033"/>
      <c r="B423" s="1033"/>
      <c r="C423" s="1033"/>
      <c r="F423" s="1034"/>
      <c r="G423" s="1033"/>
      <c r="H423" s="1033"/>
      <c r="I423" s="1033"/>
      <c r="J423" s="1033"/>
      <c r="K423" s="1035"/>
      <c r="L423" s="1035"/>
      <c r="M423" s="998"/>
      <c r="N423" s="998"/>
    </row>
    <row r="424" spans="1:14" ht="12.75">
      <c r="A424" s="1033"/>
      <c r="B424" s="1033"/>
      <c r="C424" s="1033"/>
      <c r="F424" s="1034"/>
      <c r="G424" s="1033"/>
      <c r="H424" s="1033"/>
      <c r="I424" s="1033"/>
      <c r="J424" s="1033"/>
      <c r="K424" s="1035"/>
      <c r="L424" s="1035"/>
      <c r="M424" s="998"/>
      <c r="N424" s="998"/>
    </row>
    <row r="425" spans="1:14" ht="12.75">
      <c r="A425" s="1033"/>
      <c r="B425" s="1033"/>
      <c r="C425" s="1033"/>
      <c r="F425" s="1034"/>
      <c r="G425" s="1033"/>
      <c r="H425" s="1033"/>
      <c r="I425" s="1033"/>
      <c r="J425" s="1033"/>
      <c r="K425" s="1035"/>
      <c r="L425" s="1035"/>
      <c r="M425" s="998"/>
      <c r="N425" s="998"/>
    </row>
    <row r="426" spans="1:14" ht="12.75">
      <c r="A426" s="1033"/>
      <c r="B426" s="1033"/>
      <c r="C426" s="1033"/>
      <c r="F426" s="1034"/>
      <c r="G426" s="1033"/>
      <c r="H426" s="1033"/>
      <c r="I426" s="1033"/>
      <c r="J426" s="1033"/>
      <c r="K426" s="1035"/>
      <c r="L426" s="1035"/>
      <c r="M426" s="998"/>
      <c r="N426" s="998"/>
    </row>
    <row r="427" spans="1:14" ht="12.75">
      <c r="A427" s="1033"/>
      <c r="B427" s="1033"/>
      <c r="C427" s="1033"/>
      <c r="F427" s="1034"/>
      <c r="G427" s="1033"/>
      <c r="H427" s="1033"/>
      <c r="I427" s="1033"/>
      <c r="J427" s="1033"/>
      <c r="K427" s="1035"/>
      <c r="L427" s="1035"/>
      <c r="M427" s="998"/>
      <c r="N427" s="998"/>
    </row>
    <row r="428" spans="1:14" ht="12.75">
      <c r="A428" s="1033"/>
      <c r="B428" s="1033"/>
      <c r="C428" s="1033"/>
      <c r="F428" s="1034"/>
      <c r="G428" s="1033"/>
      <c r="H428" s="1033"/>
      <c r="I428" s="1033"/>
      <c r="J428" s="1033"/>
      <c r="K428" s="1035"/>
      <c r="L428" s="1035"/>
      <c r="M428" s="998"/>
      <c r="N428" s="998"/>
    </row>
    <row r="429" spans="1:14" ht="12.75">
      <c r="A429" s="1033"/>
      <c r="B429" s="1033"/>
      <c r="C429" s="1033"/>
      <c r="F429" s="1034"/>
      <c r="G429" s="1033"/>
      <c r="H429" s="1033"/>
      <c r="I429" s="1033"/>
      <c r="J429" s="1033"/>
      <c r="K429" s="1035"/>
      <c r="L429" s="1035"/>
      <c r="M429" s="998"/>
      <c r="N429" s="998"/>
    </row>
    <row r="430" spans="1:14" ht="12.75">
      <c r="A430" s="1033"/>
      <c r="B430" s="1033"/>
      <c r="C430" s="1033"/>
      <c r="F430" s="1034"/>
      <c r="G430" s="1033"/>
      <c r="H430" s="1033"/>
      <c r="I430" s="1033"/>
      <c r="J430" s="1033"/>
      <c r="K430" s="1035"/>
      <c r="L430" s="1035"/>
      <c r="M430" s="998"/>
      <c r="N430" s="998"/>
    </row>
    <row r="431" spans="1:14" ht="12.75">
      <c r="A431" s="1033"/>
      <c r="B431" s="1033"/>
      <c r="C431" s="1033"/>
      <c r="F431" s="1034"/>
      <c r="G431" s="1033"/>
      <c r="H431" s="1033"/>
      <c r="I431" s="1033"/>
      <c r="J431" s="1033"/>
      <c r="K431" s="1035"/>
      <c r="L431" s="1035"/>
      <c r="M431" s="998"/>
      <c r="N431" s="998"/>
    </row>
    <row r="432" spans="1:14" ht="12.75">
      <c r="A432" s="1033"/>
      <c r="B432" s="1033"/>
      <c r="C432" s="1033"/>
      <c r="F432" s="1034"/>
      <c r="G432" s="1033"/>
      <c r="H432" s="1033"/>
      <c r="I432" s="1033"/>
      <c r="J432" s="1033"/>
      <c r="K432" s="1035"/>
      <c r="L432" s="1035"/>
      <c r="M432" s="998"/>
      <c r="N432" s="998"/>
    </row>
    <row r="433" spans="1:14" ht="12.75">
      <c r="A433" s="1033"/>
      <c r="B433" s="1033"/>
      <c r="C433" s="1033"/>
      <c r="F433" s="1034"/>
      <c r="G433" s="1033"/>
      <c r="H433" s="1033"/>
      <c r="I433" s="1033"/>
      <c r="J433" s="1033"/>
      <c r="K433" s="1035"/>
      <c r="L433" s="1035"/>
      <c r="M433" s="998"/>
      <c r="N433" s="998"/>
    </row>
    <row r="434" spans="1:14" ht="12.75">
      <c r="A434" s="1033"/>
      <c r="B434" s="1033"/>
      <c r="C434" s="1033"/>
      <c r="F434" s="1034"/>
      <c r="G434" s="1033"/>
      <c r="H434" s="1033"/>
      <c r="I434" s="1033"/>
      <c r="J434" s="1033"/>
      <c r="K434" s="1035"/>
      <c r="L434" s="1035"/>
      <c r="M434" s="998"/>
      <c r="N434" s="998"/>
    </row>
    <row r="435" spans="1:14" ht="12.75">
      <c r="A435" s="1033"/>
      <c r="B435" s="1033"/>
      <c r="C435" s="1033"/>
      <c r="F435" s="1034"/>
      <c r="G435" s="1033"/>
      <c r="H435" s="1033"/>
      <c r="I435" s="1033"/>
      <c r="J435" s="1033"/>
      <c r="K435" s="1035"/>
      <c r="L435" s="1035"/>
      <c r="M435" s="998"/>
      <c r="N435" s="998"/>
    </row>
    <row r="436" spans="1:14" ht="12.75">
      <c r="A436" s="1033"/>
      <c r="B436" s="1033"/>
      <c r="C436" s="1033"/>
      <c r="F436" s="1034"/>
      <c r="G436" s="1033"/>
      <c r="H436" s="1033"/>
      <c r="I436" s="1033"/>
      <c r="J436" s="1033"/>
      <c r="K436" s="1035"/>
      <c r="L436" s="1035"/>
      <c r="M436" s="998"/>
      <c r="N436" s="998"/>
    </row>
    <row r="437" spans="1:14" ht="12.75">
      <c r="A437" s="1033"/>
      <c r="B437" s="1033"/>
      <c r="C437" s="1033"/>
      <c r="F437" s="1034"/>
      <c r="G437" s="1033"/>
      <c r="H437" s="1033"/>
      <c r="I437" s="1033"/>
      <c r="J437" s="1033"/>
      <c r="K437" s="1035"/>
      <c r="L437" s="1035"/>
      <c r="M437" s="998"/>
      <c r="N437" s="998"/>
    </row>
    <row r="438" spans="1:14" ht="12.75">
      <c r="A438" s="1033"/>
      <c r="B438" s="1033"/>
      <c r="C438" s="1033"/>
      <c r="F438" s="1034"/>
      <c r="G438" s="1033"/>
      <c r="H438" s="1033"/>
      <c r="I438" s="1033"/>
      <c r="J438" s="1033"/>
      <c r="K438" s="1035"/>
      <c r="L438" s="1035"/>
      <c r="M438" s="998"/>
      <c r="N438" s="998"/>
    </row>
    <row r="439" spans="1:14" ht="12.75">
      <c r="A439" s="1033"/>
      <c r="B439" s="1033"/>
      <c r="C439" s="1033"/>
      <c r="F439" s="1034"/>
      <c r="G439" s="1033"/>
      <c r="H439" s="1033"/>
      <c r="I439" s="1033"/>
      <c r="J439" s="1033"/>
      <c r="K439" s="1035"/>
      <c r="L439" s="1035"/>
      <c r="M439" s="998"/>
      <c r="N439" s="998"/>
    </row>
    <row r="440" spans="1:14" ht="12.75">
      <c r="A440" s="1033"/>
      <c r="B440" s="1033"/>
      <c r="C440" s="1033"/>
      <c r="F440" s="1034"/>
      <c r="G440" s="1033"/>
      <c r="H440" s="1033"/>
      <c r="I440" s="1033"/>
      <c r="J440" s="1033"/>
      <c r="K440" s="1035"/>
      <c r="L440" s="1035"/>
      <c r="M440" s="998"/>
      <c r="N440" s="998"/>
    </row>
    <row r="441" spans="1:14" ht="12.75">
      <c r="A441" s="1033"/>
      <c r="B441" s="1033"/>
      <c r="C441" s="1033"/>
      <c r="F441" s="1034"/>
      <c r="G441" s="1033"/>
      <c r="H441" s="1033"/>
      <c r="I441" s="1033"/>
      <c r="J441" s="1033"/>
      <c r="K441" s="1035"/>
      <c r="L441" s="1035"/>
      <c r="M441" s="998"/>
      <c r="N441" s="998"/>
    </row>
    <row r="442" spans="1:14" ht="12.75">
      <c r="A442" s="1033"/>
      <c r="B442" s="1033"/>
      <c r="C442" s="1033"/>
      <c r="F442" s="1034"/>
      <c r="G442" s="1033"/>
      <c r="H442" s="1033"/>
      <c r="I442" s="1033"/>
      <c r="J442" s="1033"/>
      <c r="K442" s="1035"/>
      <c r="L442" s="1035"/>
      <c r="M442" s="998"/>
      <c r="N442" s="998"/>
    </row>
    <row r="443" spans="1:14" ht="12.75">
      <c r="A443" s="1033"/>
      <c r="B443" s="1033"/>
      <c r="C443" s="1033"/>
      <c r="F443" s="1034"/>
      <c r="G443" s="1033"/>
      <c r="H443" s="1033"/>
      <c r="I443" s="1033"/>
      <c r="J443" s="1033"/>
      <c r="K443" s="1035"/>
      <c r="L443" s="1035"/>
      <c r="M443" s="998"/>
      <c r="N443" s="998"/>
    </row>
    <row r="444" spans="1:14" ht="12.75">
      <c r="A444" s="1033"/>
      <c r="B444" s="1033"/>
      <c r="C444" s="1033"/>
      <c r="F444" s="1034"/>
      <c r="G444" s="1033"/>
      <c r="H444" s="1033"/>
      <c r="I444" s="1033"/>
      <c r="J444" s="1033"/>
      <c r="K444" s="1035"/>
      <c r="L444" s="1035"/>
      <c r="M444" s="998"/>
      <c r="N444" s="998"/>
    </row>
    <row r="445" spans="1:14" ht="12.75">
      <c r="A445" s="1033"/>
      <c r="B445" s="1033"/>
      <c r="C445" s="1033"/>
      <c r="F445" s="1034"/>
      <c r="G445" s="1033"/>
      <c r="H445" s="1033"/>
      <c r="I445" s="1033"/>
      <c r="J445" s="1033"/>
      <c r="K445" s="1035"/>
      <c r="L445" s="1035"/>
      <c r="M445" s="998"/>
      <c r="N445" s="998"/>
    </row>
    <row r="446" spans="1:14" ht="12.75">
      <c r="A446" s="1033"/>
      <c r="B446" s="1033"/>
      <c r="C446" s="1033"/>
      <c r="F446" s="1034"/>
      <c r="G446" s="1033"/>
      <c r="H446" s="1033"/>
      <c r="I446" s="1033"/>
      <c r="J446" s="1033"/>
      <c r="K446" s="1035"/>
      <c r="L446" s="1035"/>
      <c r="M446" s="998"/>
      <c r="N446" s="998"/>
    </row>
    <row r="447" spans="1:14" ht="12.75">
      <c r="A447" s="1033"/>
      <c r="B447" s="1033"/>
      <c r="C447" s="1033"/>
      <c r="F447" s="1034"/>
      <c r="G447" s="1033"/>
      <c r="H447" s="1033"/>
      <c r="I447" s="1033"/>
      <c r="J447" s="1033"/>
      <c r="K447" s="1035"/>
      <c r="L447" s="1035"/>
      <c r="M447" s="998"/>
      <c r="N447" s="998"/>
    </row>
    <row r="448" spans="1:14" ht="12.75">
      <c r="A448" s="1033"/>
      <c r="B448" s="1033"/>
      <c r="C448" s="1033"/>
      <c r="F448" s="1034"/>
      <c r="G448" s="1033"/>
      <c r="H448" s="1033"/>
      <c r="I448" s="1033"/>
      <c r="J448" s="1033"/>
      <c r="K448" s="1035"/>
      <c r="L448" s="1035"/>
      <c r="M448" s="998"/>
      <c r="N448" s="998"/>
    </row>
    <row r="449" spans="1:14" ht="12.75">
      <c r="A449" s="1033"/>
      <c r="B449" s="1033"/>
      <c r="C449" s="1033"/>
      <c r="F449" s="1034"/>
      <c r="G449" s="1033"/>
      <c r="H449" s="1033"/>
      <c r="I449" s="1033"/>
      <c r="J449" s="1033"/>
      <c r="K449" s="1035"/>
      <c r="L449" s="1035"/>
      <c r="M449" s="998"/>
      <c r="N449" s="998"/>
    </row>
    <row r="450" spans="1:14" ht="12.75">
      <c r="A450" s="1033"/>
      <c r="B450" s="1033"/>
      <c r="C450" s="1033"/>
      <c r="F450" s="1034"/>
      <c r="G450" s="1033"/>
      <c r="H450" s="1033"/>
      <c r="I450" s="1033"/>
      <c r="J450" s="1033"/>
      <c r="K450" s="1035"/>
      <c r="L450" s="1035"/>
      <c r="M450" s="998"/>
      <c r="N450" s="998"/>
    </row>
    <row r="451" spans="1:14" ht="12.75">
      <c r="A451" s="1033"/>
      <c r="B451" s="1033"/>
      <c r="C451" s="1033"/>
      <c r="F451" s="1034"/>
      <c r="G451" s="1033"/>
      <c r="H451" s="1033"/>
      <c r="I451" s="1033"/>
      <c r="J451" s="1033"/>
      <c r="K451" s="1035"/>
      <c r="L451" s="1035"/>
      <c r="M451" s="998"/>
      <c r="N451" s="998"/>
    </row>
    <row r="452" spans="1:14" ht="12.75">
      <c r="A452" s="1033"/>
      <c r="B452" s="1033"/>
      <c r="C452" s="1033"/>
      <c r="F452" s="1034"/>
      <c r="G452" s="1033"/>
      <c r="H452" s="1033"/>
      <c r="I452" s="1033"/>
      <c r="J452" s="1033"/>
      <c r="K452" s="1035"/>
      <c r="L452" s="1035"/>
      <c r="M452" s="998"/>
      <c r="N452" s="998"/>
    </row>
    <row r="453" spans="1:14" ht="12.75">
      <c r="A453" s="1033"/>
      <c r="B453" s="1033"/>
      <c r="C453" s="1033"/>
      <c r="F453" s="1034"/>
      <c r="G453" s="1033"/>
      <c r="H453" s="1033"/>
      <c r="I453" s="1033"/>
      <c r="J453" s="1033"/>
      <c r="K453" s="1035"/>
      <c r="L453" s="1035"/>
      <c r="M453" s="998"/>
      <c r="N453" s="998"/>
    </row>
    <row r="454" spans="1:14" ht="12.75">
      <c r="A454" s="1033"/>
      <c r="B454" s="1033"/>
      <c r="C454" s="1033"/>
      <c r="F454" s="1034"/>
      <c r="G454" s="1033"/>
      <c r="H454" s="1033"/>
      <c r="I454" s="1033"/>
      <c r="J454" s="1033"/>
      <c r="K454" s="1035"/>
      <c r="L454" s="1035"/>
      <c r="M454" s="998"/>
      <c r="N454" s="998"/>
    </row>
    <row r="455" spans="1:14" ht="12.75">
      <c r="A455" s="1033"/>
      <c r="B455" s="1033"/>
      <c r="C455" s="1033"/>
      <c r="F455" s="1034"/>
      <c r="G455" s="1033"/>
      <c r="H455" s="1033"/>
      <c r="I455" s="1033"/>
      <c r="J455" s="1033"/>
      <c r="K455" s="1035"/>
      <c r="L455" s="1035"/>
      <c r="M455" s="998"/>
      <c r="N455" s="998"/>
    </row>
    <row r="456" spans="1:14" ht="12.75">
      <c r="A456" s="1033"/>
      <c r="B456" s="1033"/>
      <c r="C456" s="1033"/>
      <c r="F456" s="1034"/>
      <c r="G456" s="1033"/>
      <c r="H456" s="1033"/>
      <c r="I456" s="1033"/>
      <c r="J456" s="1033"/>
      <c r="K456" s="1035"/>
      <c r="L456" s="1035"/>
      <c r="M456" s="998"/>
      <c r="N456" s="998"/>
    </row>
    <row r="457" spans="1:14" ht="12.75">
      <c r="A457" s="1033"/>
      <c r="B457" s="1033"/>
      <c r="C457" s="1033"/>
      <c r="F457" s="1034"/>
      <c r="G457" s="1033"/>
      <c r="H457" s="1033"/>
      <c r="I457" s="1033"/>
      <c r="J457" s="1033"/>
      <c r="K457" s="1035"/>
      <c r="L457" s="1035"/>
      <c r="M457" s="998"/>
      <c r="N457" s="998"/>
    </row>
    <row r="458" spans="1:14" ht="12.75">
      <c r="A458" s="1033"/>
      <c r="B458" s="1033"/>
      <c r="C458" s="1033"/>
      <c r="F458" s="1034"/>
      <c r="G458" s="1033"/>
      <c r="H458" s="1033"/>
      <c r="I458" s="1033"/>
      <c r="J458" s="1033"/>
      <c r="K458" s="1035"/>
      <c r="L458" s="1035"/>
      <c r="M458" s="998"/>
      <c r="N458" s="998"/>
    </row>
    <row r="459" spans="1:14" ht="12.75">
      <c r="A459" s="1033"/>
      <c r="B459" s="1033"/>
      <c r="C459" s="1033"/>
      <c r="F459" s="1034"/>
      <c r="G459" s="1033"/>
      <c r="H459" s="1033"/>
      <c r="I459" s="1033"/>
      <c r="J459" s="1033"/>
      <c r="K459" s="1035"/>
      <c r="L459" s="1035"/>
      <c r="M459" s="998"/>
      <c r="N459" s="998"/>
    </row>
    <row r="460" spans="1:14" ht="12.75">
      <c r="A460" s="1033"/>
      <c r="B460" s="1033"/>
      <c r="C460" s="1033"/>
      <c r="F460" s="1034"/>
      <c r="G460" s="1033"/>
      <c r="H460" s="1033"/>
      <c r="I460" s="1033"/>
      <c r="J460" s="1033"/>
      <c r="K460" s="1035"/>
      <c r="L460" s="1035"/>
      <c r="M460" s="998"/>
      <c r="N460" s="998"/>
    </row>
    <row r="461" spans="1:14" ht="12.75">
      <c r="A461" s="1033"/>
      <c r="B461" s="1033"/>
      <c r="C461" s="1033"/>
      <c r="F461" s="1034"/>
      <c r="G461" s="1033"/>
      <c r="H461" s="1033"/>
      <c r="I461" s="1033"/>
      <c r="J461" s="1033"/>
      <c r="K461" s="1035"/>
      <c r="L461" s="1035"/>
      <c r="M461" s="998"/>
      <c r="N461" s="998"/>
    </row>
    <row r="462" spans="1:14" ht="12.75">
      <c r="A462" s="1033"/>
      <c r="B462" s="1033"/>
      <c r="C462" s="1033"/>
      <c r="F462" s="1034"/>
      <c r="G462" s="1033"/>
      <c r="H462" s="1033"/>
      <c r="I462" s="1033"/>
      <c r="J462" s="1033"/>
      <c r="K462" s="1035"/>
      <c r="L462" s="1035"/>
      <c r="M462" s="998"/>
      <c r="N462" s="998"/>
    </row>
    <row r="463" spans="1:14" ht="12.75">
      <c r="A463" s="1033"/>
      <c r="B463" s="1033"/>
      <c r="C463" s="1033"/>
      <c r="F463" s="1034"/>
      <c r="G463" s="1033"/>
      <c r="H463" s="1033"/>
      <c r="I463" s="1033"/>
      <c r="J463" s="1033"/>
      <c r="K463" s="1035"/>
      <c r="L463" s="1035"/>
      <c r="M463" s="998"/>
      <c r="N463" s="998"/>
    </row>
    <row r="464" spans="1:14" ht="12.75">
      <c r="A464" s="1033"/>
      <c r="B464" s="1033"/>
      <c r="C464" s="1033"/>
      <c r="F464" s="1034"/>
      <c r="G464" s="1033"/>
      <c r="H464" s="1033"/>
      <c r="I464" s="1033"/>
      <c r="J464" s="1033"/>
      <c r="K464" s="1035"/>
      <c r="L464" s="1035"/>
      <c r="M464" s="998"/>
      <c r="N464" s="998"/>
    </row>
    <row r="465" spans="1:14" ht="12.75">
      <c r="A465" s="1033"/>
      <c r="B465" s="1033"/>
      <c r="C465" s="1033"/>
      <c r="F465" s="1034"/>
      <c r="G465" s="1033"/>
      <c r="H465" s="1033"/>
      <c r="I465" s="1033"/>
      <c r="J465" s="1033"/>
      <c r="K465" s="1035"/>
      <c r="L465" s="1035"/>
      <c r="M465" s="998"/>
      <c r="N465" s="998"/>
    </row>
    <row r="466" spans="1:14" ht="12.75">
      <c r="A466" s="1033"/>
      <c r="B466" s="1033"/>
      <c r="C466" s="1033"/>
      <c r="F466" s="1034"/>
      <c r="G466" s="1033"/>
      <c r="H466" s="1033"/>
      <c r="I466" s="1033"/>
      <c r="J466" s="1033"/>
      <c r="K466" s="1035"/>
      <c r="L466" s="1035"/>
      <c r="M466" s="998"/>
      <c r="N466" s="998"/>
    </row>
    <row r="467" spans="1:14" ht="12.75">
      <c r="A467" s="1033"/>
      <c r="B467" s="1033"/>
      <c r="C467" s="1033"/>
      <c r="F467" s="1034"/>
      <c r="G467" s="1033"/>
      <c r="H467" s="1033"/>
      <c r="I467" s="1033"/>
      <c r="J467" s="1033"/>
      <c r="K467" s="1035"/>
      <c r="L467" s="1035"/>
      <c r="M467" s="998"/>
      <c r="N467" s="998"/>
    </row>
    <row r="468" spans="1:14" ht="12.75">
      <c r="A468" s="1033"/>
      <c r="B468" s="1033"/>
      <c r="C468" s="1033"/>
      <c r="F468" s="1034"/>
      <c r="G468" s="1033"/>
      <c r="H468" s="1033"/>
      <c r="I468" s="1033"/>
      <c r="J468" s="1033"/>
      <c r="K468" s="1035"/>
      <c r="L468" s="1035"/>
      <c r="M468" s="998"/>
      <c r="N468" s="998"/>
    </row>
    <row r="469" spans="1:14" ht="12.75">
      <c r="A469" s="1033"/>
      <c r="B469" s="1033"/>
      <c r="C469" s="1033"/>
      <c r="F469" s="1034"/>
      <c r="G469" s="1033"/>
      <c r="H469" s="1033"/>
      <c r="I469" s="1033"/>
      <c r="J469" s="1033"/>
      <c r="K469" s="1035"/>
      <c r="L469" s="1035"/>
      <c r="M469" s="998"/>
      <c r="N469" s="998"/>
    </row>
    <row r="470" spans="1:14" ht="12.75">
      <c r="A470" s="1033"/>
      <c r="B470" s="1033"/>
      <c r="C470" s="1033"/>
      <c r="F470" s="1034"/>
      <c r="G470" s="1033"/>
      <c r="H470" s="1033"/>
      <c r="I470" s="1033"/>
      <c r="J470" s="1033"/>
      <c r="K470" s="1035"/>
      <c r="L470" s="1035"/>
      <c r="M470" s="998"/>
      <c r="N470" s="998"/>
    </row>
    <row r="471" spans="1:14" ht="12.75">
      <c r="A471" s="1033"/>
      <c r="B471" s="1033"/>
      <c r="C471" s="1033"/>
      <c r="F471" s="1034"/>
      <c r="G471" s="1033"/>
      <c r="H471" s="1033"/>
      <c r="I471" s="1033"/>
      <c r="J471" s="1033"/>
      <c r="K471" s="1035"/>
      <c r="L471" s="1035"/>
      <c r="M471" s="998"/>
      <c r="N471" s="998"/>
    </row>
    <row r="472" spans="1:14" ht="12.75">
      <c r="A472" s="1033"/>
      <c r="B472" s="1033"/>
      <c r="C472" s="1033"/>
      <c r="F472" s="1034"/>
      <c r="G472" s="1033"/>
      <c r="H472" s="1033"/>
      <c r="I472" s="1033"/>
      <c r="J472" s="1033"/>
      <c r="K472" s="1035"/>
      <c r="L472" s="1035"/>
      <c r="M472" s="998"/>
      <c r="N472" s="998"/>
    </row>
    <row r="473" spans="1:14" ht="12.75">
      <c r="A473" s="1033"/>
      <c r="B473" s="1033"/>
      <c r="C473" s="1033"/>
      <c r="F473" s="1034"/>
      <c r="G473" s="1033"/>
      <c r="H473" s="1033"/>
      <c r="I473" s="1033"/>
      <c r="J473" s="1033"/>
      <c r="K473" s="1035"/>
      <c r="L473" s="1035"/>
      <c r="M473" s="998"/>
      <c r="N473" s="998"/>
    </row>
    <row r="474" spans="1:14" ht="12.75">
      <c r="A474" s="1033"/>
      <c r="B474" s="1033"/>
      <c r="C474" s="1033"/>
      <c r="F474" s="1034"/>
      <c r="G474" s="1033"/>
      <c r="H474" s="1033"/>
      <c r="I474" s="1033"/>
      <c r="J474" s="1033"/>
      <c r="K474" s="1035"/>
      <c r="L474" s="1035"/>
      <c r="M474" s="998"/>
      <c r="N474" s="998"/>
    </row>
    <row r="475" spans="1:14" ht="12.75">
      <c r="A475" s="1033"/>
      <c r="B475" s="1033"/>
      <c r="C475" s="1033"/>
      <c r="F475" s="1034"/>
      <c r="G475" s="1033"/>
      <c r="H475" s="1033"/>
      <c r="I475" s="1033"/>
      <c r="J475" s="1033"/>
      <c r="K475" s="1035"/>
      <c r="L475" s="1035"/>
      <c r="M475" s="998"/>
      <c r="N475" s="998"/>
    </row>
    <row r="476" spans="1:14" ht="12.75">
      <c r="A476" s="1033"/>
      <c r="B476" s="1033"/>
      <c r="C476" s="1033"/>
      <c r="F476" s="1034"/>
      <c r="G476" s="1033"/>
      <c r="H476" s="1033"/>
      <c r="I476" s="1033"/>
      <c r="J476" s="1033"/>
      <c r="K476" s="1035"/>
      <c r="L476" s="1035"/>
      <c r="M476" s="998"/>
      <c r="N476" s="998"/>
    </row>
    <row r="477" spans="1:14" ht="12.75">
      <c r="A477" s="1033"/>
      <c r="B477" s="1033"/>
      <c r="C477" s="1033"/>
      <c r="F477" s="1034"/>
      <c r="G477" s="1033"/>
      <c r="H477" s="1033"/>
      <c r="I477" s="1033"/>
      <c r="J477" s="1033"/>
      <c r="K477" s="1035"/>
      <c r="L477" s="1035"/>
      <c r="M477" s="998"/>
      <c r="N477" s="998"/>
    </row>
    <row r="478" spans="1:14" ht="12.75">
      <c r="A478" s="1033"/>
      <c r="B478" s="1033"/>
      <c r="C478" s="1033"/>
      <c r="F478" s="1034"/>
      <c r="G478" s="1033"/>
      <c r="H478" s="1033"/>
      <c r="I478" s="1033"/>
      <c r="J478" s="1033"/>
      <c r="K478" s="1035"/>
      <c r="L478" s="1035"/>
      <c r="M478" s="998"/>
      <c r="N478" s="998"/>
    </row>
    <row r="479" spans="1:14" ht="12.75">
      <c r="A479" s="1033"/>
      <c r="B479" s="1033"/>
      <c r="C479" s="1033"/>
      <c r="F479" s="1034"/>
      <c r="G479" s="1033"/>
      <c r="H479" s="1033"/>
      <c r="I479" s="1033"/>
      <c r="J479" s="1033"/>
      <c r="K479" s="1035"/>
      <c r="L479" s="1035"/>
      <c r="M479" s="998"/>
      <c r="N479" s="998"/>
    </row>
    <row r="480" spans="1:14" ht="12.75">
      <c r="A480" s="1033"/>
      <c r="B480" s="1033"/>
      <c r="C480" s="1033"/>
      <c r="F480" s="1034"/>
      <c r="G480" s="1033"/>
      <c r="H480" s="1033"/>
      <c r="I480" s="1033"/>
      <c r="J480" s="1033"/>
      <c r="K480" s="1035"/>
      <c r="L480" s="1035"/>
      <c r="M480" s="998"/>
      <c r="N480" s="998"/>
    </row>
    <row r="481" spans="1:14" ht="12.75">
      <c r="A481" s="1033"/>
      <c r="B481" s="1033"/>
      <c r="C481" s="1033"/>
      <c r="F481" s="1034"/>
      <c r="G481" s="1033"/>
      <c r="H481" s="1033"/>
      <c r="I481" s="1033"/>
      <c r="J481" s="1033"/>
      <c r="K481" s="1035"/>
      <c r="L481" s="1035"/>
      <c r="M481" s="998"/>
      <c r="N481" s="998"/>
    </row>
    <row r="482" spans="1:14" ht="12.75">
      <c r="A482" s="1033"/>
      <c r="B482" s="1033"/>
      <c r="C482" s="1033"/>
      <c r="F482" s="1034"/>
      <c r="G482" s="1033"/>
      <c r="H482" s="1033"/>
      <c r="I482" s="1033"/>
      <c r="J482" s="1033"/>
      <c r="K482" s="1035"/>
      <c r="L482" s="1035"/>
      <c r="M482" s="998"/>
      <c r="N482" s="998"/>
    </row>
    <row r="483" spans="1:14" ht="12.75">
      <c r="A483" s="1033"/>
      <c r="B483" s="1033"/>
      <c r="C483" s="1033"/>
      <c r="F483" s="1034"/>
      <c r="G483" s="1033"/>
      <c r="H483" s="1033"/>
      <c r="I483" s="1033"/>
      <c r="J483" s="1033"/>
      <c r="K483" s="1035"/>
      <c r="L483" s="1035"/>
      <c r="M483" s="998"/>
      <c r="N483" s="998"/>
    </row>
    <row r="484" spans="1:14" ht="12.75">
      <c r="A484" s="1033"/>
      <c r="B484" s="1033"/>
      <c r="C484" s="1033"/>
      <c r="F484" s="1034"/>
      <c r="G484" s="1033"/>
      <c r="H484" s="1033"/>
      <c r="I484" s="1033"/>
      <c r="J484" s="1033"/>
      <c r="K484" s="1035"/>
      <c r="L484" s="1035"/>
      <c r="M484" s="998"/>
      <c r="N484" s="998"/>
    </row>
    <row r="485" spans="1:14" ht="12.75">
      <c r="A485" s="1033"/>
      <c r="B485" s="1033"/>
      <c r="C485" s="1033"/>
      <c r="F485" s="1034"/>
      <c r="G485" s="1033"/>
      <c r="H485" s="1033"/>
      <c r="I485" s="1033"/>
      <c r="J485" s="1033"/>
      <c r="K485" s="1035"/>
      <c r="L485" s="1035"/>
      <c r="M485" s="998"/>
      <c r="N485" s="998"/>
    </row>
    <row r="486" spans="1:14" ht="12.75">
      <c r="A486" s="1033"/>
      <c r="B486" s="1033"/>
      <c r="C486" s="1033"/>
      <c r="F486" s="1034"/>
      <c r="G486" s="1033"/>
      <c r="H486" s="1033"/>
      <c r="I486" s="1033"/>
      <c r="J486" s="1033"/>
      <c r="K486" s="1035"/>
      <c r="L486" s="1035"/>
      <c r="M486" s="998"/>
      <c r="N486" s="998"/>
    </row>
    <row r="487" spans="1:14" ht="12.75">
      <c r="A487" s="1033"/>
      <c r="B487" s="1033"/>
      <c r="C487" s="1033"/>
      <c r="F487" s="1034"/>
      <c r="G487" s="1033"/>
      <c r="H487" s="1033"/>
      <c r="I487" s="1033"/>
      <c r="J487" s="1033"/>
      <c r="K487" s="1035"/>
      <c r="L487" s="1035"/>
      <c r="M487" s="998"/>
      <c r="N487" s="998"/>
    </row>
    <row r="488" spans="1:14" ht="12.75">
      <c r="A488" s="1033"/>
      <c r="B488" s="1033"/>
      <c r="C488" s="1033"/>
      <c r="F488" s="1034"/>
      <c r="G488" s="1033"/>
      <c r="H488" s="1033"/>
      <c r="I488" s="1033"/>
      <c r="J488" s="1033"/>
      <c r="K488" s="1035"/>
      <c r="L488" s="1035"/>
      <c r="M488" s="998"/>
      <c r="N488" s="998"/>
    </row>
    <row r="489" spans="1:14" ht="12.75">
      <c r="A489" s="1033"/>
      <c r="B489" s="1033"/>
      <c r="C489" s="1033"/>
      <c r="F489" s="1034"/>
      <c r="G489" s="1033"/>
      <c r="H489" s="1033"/>
      <c r="I489" s="1033"/>
      <c r="J489" s="1033"/>
      <c r="K489" s="1035"/>
      <c r="L489" s="1035"/>
      <c r="M489" s="998"/>
      <c r="N489" s="998"/>
    </row>
    <row r="490" spans="1:14" ht="12.75">
      <c r="A490" s="1033"/>
      <c r="B490" s="1033"/>
      <c r="C490" s="1033"/>
      <c r="F490" s="1034"/>
      <c r="G490" s="1033"/>
      <c r="H490" s="1033"/>
      <c r="I490" s="1033"/>
      <c r="J490" s="1033"/>
      <c r="K490" s="1035"/>
      <c r="L490" s="1035"/>
      <c r="M490" s="998"/>
      <c r="N490" s="998"/>
    </row>
    <row r="491" spans="1:14" ht="12.75">
      <c r="A491" s="1033"/>
      <c r="B491" s="1033"/>
      <c r="C491" s="1033"/>
      <c r="F491" s="1034"/>
      <c r="G491" s="1033"/>
      <c r="H491" s="1033"/>
      <c r="I491" s="1033"/>
      <c r="J491" s="1033"/>
      <c r="K491" s="1035"/>
      <c r="L491" s="1035"/>
      <c r="M491" s="998"/>
      <c r="N491" s="998"/>
    </row>
    <row r="492" spans="1:14" ht="12.75">
      <c r="A492" s="1033"/>
      <c r="B492" s="1033"/>
      <c r="C492" s="1033"/>
      <c r="F492" s="1034"/>
      <c r="G492" s="1033"/>
      <c r="H492" s="1033"/>
      <c r="I492" s="1033"/>
      <c r="J492" s="1033"/>
      <c r="K492" s="1035"/>
      <c r="L492" s="1035"/>
      <c r="M492" s="998"/>
      <c r="N492" s="998"/>
    </row>
    <row r="493" spans="1:14" ht="12.75">
      <c r="A493" s="1033"/>
      <c r="B493" s="1033"/>
      <c r="C493" s="1033"/>
      <c r="F493" s="1034"/>
      <c r="G493" s="1033"/>
      <c r="H493" s="1033"/>
      <c r="I493" s="1033"/>
      <c r="J493" s="1033"/>
      <c r="K493" s="1035"/>
      <c r="L493" s="1035"/>
      <c r="M493" s="998"/>
      <c r="N493" s="998"/>
    </row>
    <row r="494" spans="1:14" ht="12.75">
      <c r="A494" s="1033"/>
      <c r="B494" s="1033"/>
      <c r="C494" s="1033"/>
      <c r="F494" s="1034"/>
      <c r="G494" s="1033"/>
      <c r="H494" s="1033"/>
      <c r="I494" s="1033"/>
      <c r="J494" s="1033"/>
      <c r="K494" s="1035"/>
      <c r="L494" s="1035"/>
      <c r="M494" s="998"/>
      <c r="N494" s="998"/>
    </row>
    <row r="495" spans="1:14" ht="12.75">
      <c r="A495" s="1033"/>
      <c r="B495" s="1033"/>
      <c r="C495" s="1033"/>
      <c r="F495" s="1034"/>
      <c r="G495" s="1033"/>
      <c r="H495" s="1033"/>
      <c r="I495" s="1033"/>
      <c r="J495" s="1033"/>
      <c r="K495" s="1035"/>
      <c r="L495" s="1035"/>
      <c r="M495" s="998"/>
      <c r="N495" s="998"/>
    </row>
    <row r="496" spans="1:14" ht="12.75">
      <c r="A496" s="1033"/>
      <c r="B496" s="1033"/>
      <c r="C496" s="1033"/>
      <c r="F496" s="1034"/>
      <c r="G496" s="1033"/>
      <c r="H496" s="1033"/>
      <c r="I496" s="1033"/>
      <c r="J496" s="1033"/>
      <c r="K496" s="1035"/>
      <c r="L496" s="1035"/>
      <c r="M496" s="998"/>
      <c r="N496" s="998"/>
    </row>
    <row r="497" spans="1:14" ht="12.75">
      <c r="A497" s="1033"/>
      <c r="B497" s="1033"/>
      <c r="C497" s="1033"/>
      <c r="F497" s="1034"/>
      <c r="G497" s="1033"/>
      <c r="H497" s="1033"/>
      <c r="I497" s="1033"/>
      <c r="J497" s="1033"/>
      <c r="K497" s="1035"/>
      <c r="L497" s="1035"/>
      <c r="M497" s="998"/>
      <c r="N497" s="998"/>
    </row>
    <row r="498" spans="1:14" ht="12.75">
      <c r="A498" s="1033"/>
      <c r="B498" s="1033"/>
      <c r="C498" s="1033"/>
      <c r="F498" s="1034"/>
      <c r="G498" s="1033"/>
      <c r="H498" s="1033"/>
      <c r="I498" s="1033"/>
      <c r="J498" s="1033"/>
      <c r="K498" s="1035"/>
      <c r="L498" s="1035"/>
      <c r="M498" s="998"/>
      <c r="N498" s="998"/>
    </row>
    <row r="499" spans="1:14" ht="12.75">
      <c r="A499" s="1033"/>
      <c r="B499" s="1033"/>
      <c r="C499" s="1033"/>
      <c r="F499" s="1034"/>
      <c r="G499" s="1033"/>
      <c r="H499" s="1033"/>
      <c r="I499" s="1033"/>
      <c r="J499" s="1033"/>
      <c r="K499" s="1035"/>
      <c r="L499" s="1035"/>
      <c r="M499" s="998"/>
      <c r="N499" s="998"/>
    </row>
    <row r="500" spans="1:14" ht="12.75">
      <c r="A500" s="1033"/>
      <c r="B500" s="1033"/>
      <c r="C500" s="1033"/>
      <c r="F500" s="1034"/>
      <c r="G500" s="1033"/>
      <c r="H500" s="1033"/>
      <c r="I500" s="1033"/>
      <c r="J500" s="1033"/>
      <c r="K500" s="1035"/>
      <c r="L500" s="1035"/>
      <c r="M500" s="998"/>
      <c r="N500" s="998"/>
    </row>
    <row r="501" spans="1:14" ht="12.75">
      <c r="A501" s="1033"/>
      <c r="B501" s="1033"/>
      <c r="C501" s="1033"/>
      <c r="F501" s="1034"/>
      <c r="G501" s="1033"/>
      <c r="H501" s="1033"/>
      <c r="I501" s="1033"/>
      <c r="J501" s="1033"/>
      <c r="K501" s="1035"/>
      <c r="L501" s="1035"/>
      <c r="M501" s="998"/>
      <c r="N501" s="998"/>
    </row>
    <row r="502" spans="1:14" ht="12.75">
      <c r="A502" s="1033"/>
      <c r="B502" s="1033"/>
      <c r="C502" s="1033"/>
      <c r="F502" s="1034"/>
      <c r="G502" s="1033"/>
      <c r="H502" s="1033"/>
      <c r="I502" s="1033"/>
      <c r="J502" s="1033"/>
      <c r="K502" s="1035"/>
      <c r="L502" s="1035"/>
      <c r="M502" s="998"/>
      <c r="N502" s="998"/>
    </row>
    <row r="503" spans="1:14" ht="12.75">
      <c r="A503" s="1033"/>
      <c r="B503" s="1033"/>
      <c r="C503" s="1033"/>
      <c r="F503" s="1034"/>
      <c r="G503" s="1033"/>
      <c r="H503" s="1033"/>
      <c r="I503" s="1033"/>
      <c r="J503" s="1033"/>
      <c r="K503" s="1035"/>
      <c r="L503" s="1035"/>
      <c r="M503" s="998"/>
      <c r="N503" s="998"/>
    </row>
    <row r="504" spans="1:14" ht="12.75">
      <c r="A504" s="1033"/>
      <c r="B504" s="1033"/>
      <c r="C504" s="1033"/>
      <c r="F504" s="1034"/>
      <c r="G504" s="1033"/>
      <c r="H504" s="1033"/>
      <c r="I504" s="1033"/>
      <c r="J504" s="1033"/>
      <c r="K504" s="1035"/>
      <c r="L504" s="1035"/>
      <c r="M504" s="998"/>
      <c r="N504" s="998"/>
    </row>
    <row r="505" spans="1:14" ht="12.75">
      <c r="A505" s="1033"/>
      <c r="B505" s="1033"/>
      <c r="C505" s="1033"/>
      <c r="F505" s="1034"/>
      <c r="G505" s="1033"/>
      <c r="H505" s="1033"/>
      <c r="I505" s="1033"/>
      <c r="J505" s="1033"/>
      <c r="K505" s="1035"/>
      <c r="L505" s="1035"/>
      <c r="M505" s="998"/>
      <c r="N505" s="998"/>
    </row>
    <row r="506" spans="1:14" ht="12.75">
      <c r="A506" s="1033"/>
      <c r="B506" s="1033"/>
      <c r="C506" s="1033"/>
      <c r="F506" s="1034"/>
      <c r="G506" s="1033"/>
      <c r="H506" s="1033"/>
      <c r="I506" s="1033"/>
      <c r="J506" s="1033"/>
      <c r="K506" s="1035"/>
      <c r="L506" s="1035"/>
      <c r="M506" s="998"/>
      <c r="N506" s="998"/>
    </row>
    <row r="507" spans="1:14" ht="12.75">
      <c r="A507" s="1033"/>
      <c r="B507" s="1033"/>
      <c r="C507" s="1033"/>
      <c r="F507" s="1034"/>
      <c r="G507" s="1033"/>
      <c r="H507" s="1033"/>
      <c r="I507" s="1033"/>
      <c r="J507" s="1033"/>
      <c r="K507" s="1035"/>
      <c r="L507" s="1035"/>
      <c r="M507" s="998"/>
      <c r="N507" s="998"/>
    </row>
    <row r="508" spans="1:14" ht="12.75">
      <c r="A508" s="1033"/>
      <c r="B508" s="1033"/>
      <c r="C508" s="1033"/>
      <c r="F508" s="1034"/>
      <c r="G508" s="1033"/>
      <c r="H508" s="1033"/>
      <c r="I508" s="1033"/>
      <c r="J508" s="1033"/>
      <c r="K508" s="1035"/>
      <c r="L508" s="1035"/>
      <c r="M508" s="998"/>
      <c r="N508" s="998"/>
    </row>
    <row r="509" spans="1:14" ht="12.75">
      <c r="A509" s="1033"/>
      <c r="B509" s="1033"/>
      <c r="C509" s="1033"/>
      <c r="F509" s="1034"/>
      <c r="G509" s="1033"/>
      <c r="H509" s="1033"/>
      <c r="I509" s="1033"/>
      <c r="J509" s="1033"/>
      <c r="K509" s="1035"/>
      <c r="L509" s="1035"/>
      <c r="M509" s="998"/>
      <c r="N509" s="998"/>
    </row>
    <row r="510" spans="1:14" ht="12.75">
      <c r="A510" s="1033"/>
      <c r="B510" s="1033"/>
      <c r="C510" s="1033"/>
      <c r="F510" s="1034"/>
      <c r="G510" s="1033"/>
      <c r="H510" s="1033"/>
      <c r="I510" s="1033"/>
      <c r="J510" s="1033"/>
      <c r="K510" s="1035"/>
      <c r="L510" s="1035"/>
      <c r="M510" s="998"/>
      <c r="N510" s="998"/>
    </row>
    <row r="511" spans="1:14" ht="12.75">
      <c r="A511" s="1033"/>
      <c r="B511" s="1033"/>
      <c r="C511" s="1033"/>
      <c r="F511" s="1034"/>
      <c r="G511" s="1033"/>
      <c r="H511" s="1033"/>
      <c r="I511" s="1033"/>
      <c r="J511" s="1033"/>
      <c r="K511" s="1035"/>
      <c r="L511" s="1035"/>
      <c r="M511" s="998"/>
      <c r="N511" s="998"/>
    </row>
    <row r="512" spans="1:14" ht="12.75">
      <c r="A512" s="1033"/>
      <c r="B512" s="1033"/>
      <c r="C512" s="1033"/>
      <c r="F512" s="1034"/>
      <c r="G512" s="1033"/>
      <c r="H512" s="1033"/>
      <c r="I512" s="1033"/>
      <c r="J512" s="1033"/>
      <c r="K512" s="1035"/>
      <c r="L512" s="1035"/>
      <c r="M512" s="998"/>
      <c r="N512" s="998"/>
    </row>
    <row r="513" spans="1:14" ht="12.75">
      <c r="A513" s="1033"/>
      <c r="B513" s="1033"/>
      <c r="C513" s="1033"/>
      <c r="F513" s="1034"/>
      <c r="G513" s="1033"/>
      <c r="H513" s="1033"/>
      <c r="I513" s="1033"/>
      <c r="J513" s="1033"/>
      <c r="K513" s="1035"/>
      <c r="L513" s="1035"/>
      <c r="M513" s="998"/>
      <c r="N513" s="998"/>
    </row>
    <row r="514" spans="1:14" ht="12.75">
      <c r="A514" s="1033"/>
      <c r="B514" s="1033"/>
      <c r="C514" s="1033"/>
      <c r="F514" s="1034"/>
      <c r="G514" s="1033"/>
      <c r="H514" s="1033"/>
      <c r="I514" s="1033"/>
      <c r="J514" s="1033"/>
      <c r="K514" s="1035"/>
      <c r="L514" s="1035"/>
      <c r="M514" s="998"/>
      <c r="N514" s="998"/>
    </row>
    <row r="515" spans="1:14" ht="12.75">
      <c r="A515" s="1033"/>
      <c r="B515" s="1033"/>
      <c r="C515" s="1033"/>
      <c r="F515" s="1034"/>
      <c r="G515" s="1033"/>
      <c r="H515" s="1033"/>
      <c r="I515" s="1033"/>
      <c r="J515" s="1033"/>
      <c r="K515" s="1035"/>
      <c r="L515" s="1035"/>
      <c r="M515" s="998"/>
      <c r="N515" s="998"/>
    </row>
    <row r="516" spans="1:14" ht="12.75">
      <c r="A516" s="1033"/>
      <c r="B516" s="1033"/>
      <c r="C516" s="1033"/>
      <c r="F516" s="1034"/>
      <c r="G516" s="1033"/>
      <c r="H516" s="1033"/>
      <c r="I516" s="1033"/>
      <c r="J516" s="1033"/>
      <c r="K516" s="1035"/>
      <c r="L516" s="1035"/>
      <c r="M516" s="998"/>
      <c r="N516" s="998"/>
    </row>
    <row r="517" spans="1:14" ht="12.75">
      <c r="A517" s="1033"/>
      <c r="B517" s="1033"/>
      <c r="C517" s="1033"/>
      <c r="F517" s="1034"/>
      <c r="G517" s="1033"/>
      <c r="H517" s="1033"/>
      <c r="I517" s="1033"/>
      <c r="J517" s="1033"/>
      <c r="K517" s="1035"/>
      <c r="L517" s="1035"/>
      <c r="M517" s="998"/>
      <c r="N517" s="998"/>
    </row>
    <row r="518" spans="1:14" ht="12.75">
      <c r="A518" s="1033"/>
      <c r="B518" s="1033"/>
      <c r="C518" s="1033"/>
      <c r="F518" s="1034"/>
      <c r="G518" s="1033"/>
      <c r="H518" s="1033"/>
      <c r="I518" s="1033"/>
      <c r="J518" s="1033"/>
      <c r="K518" s="1035"/>
      <c r="L518" s="1035"/>
      <c r="M518" s="998"/>
      <c r="N518" s="998"/>
    </row>
    <row r="519" spans="1:14" ht="12.75">
      <c r="A519" s="1033"/>
      <c r="B519" s="1033"/>
      <c r="C519" s="1033"/>
      <c r="F519" s="1034"/>
      <c r="G519" s="1033"/>
      <c r="H519" s="1033"/>
      <c r="I519" s="1033"/>
      <c r="J519" s="1033"/>
      <c r="K519" s="1035"/>
      <c r="L519" s="1035"/>
      <c r="M519" s="998"/>
      <c r="N519" s="998"/>
    </row>
    <row r="520" spans="1:14" ht="12.75">
      <c r="A520" s="1033"/>
      <c r="B520" s="1033"/>
      <c r="C520" s="1033"/>
      <c r="F520" s="1034"/>
      <c r="G520" s="1033"/>
      <c r="H520" s="1033"/>
      <c r="I520" s="1033"/>
      <c r="J520" s="1033"/>
      <c r="K520" s="1035"/>
      <c r="L520" s="1035"/>
      <c r="M520" s="998"/>
      <c r="N520" s="998"/>
    </row>
    <row r="521" spans="1:14" ht="12.75">
      <c r="A521" s="1033"/>
      <c r="B521" s="1033"/>
      <c r="C521" s="1033"/>
      <c r="F521" s="1034"/>
      <c r="G521" s="1033"/>
      <c r="H521" s="1033"/>
      <c r="I521" s="1033"/>
      <c r="J521" s="1033"/>
      <c r="K521" s="1035"/>
      <c r="L521" s="1035"/>
      <c r="M521" s="998"/>
      <c r="N521" s="998"/>
    </row>
    <row r="522" spans="1:14" ht="12.75">
      <c r="A522" s="1033"/>
      <c r="B522" s="1033"/>
      <c r="C522" s="1033"/>
      <c r="F522" s="1034"/>
      <c r="G522" s="1033"/>
      <c r="H522" s="1033"/>
      <c r="I522" s="1033"/>
      <c r="J522" s="1033"/>
      <c r="K522" s="1035"/>
      <c r="L522" s="1035"/>
      <c r="M522" s="998"/>
      <c r="N522" s="998"/>
    </row>
    <row r="523" spans="1:14" ht="12.75">
      <c r="A523" s="1033"/>
      <c r="B523" s="1033"/>
      <c r="C523" s="1033"/>
      <c r="F523" s="1034"/>
      <c r="G523" s="1033"/>
      <c r="H523" s="1033"/>
      <c r="I523" s="1033"/>
      <c r="J523" s="1033"/>
      <c r="K523" s="1035"/>
      <c r="L523" s="1035"/>
      <c r="M523" s="998"/>
      <c r="N523" s="998"/>
    </row>
    <row r="524" spans="1:14" ht="12.75">
      <c r="A524" s="1033"/>
      <c r="B524" s="1033"/>
      <c r="C524" s="1033"/>
      <c r="F524" s="1034"/>
      <c r="G524" s="1033"/>
      <c r="H524" s="1033"/>
      <c r="I524" s="1033"/>
      <c r="J524" s="1033"/>
      <c r="K524" s="1035"/>
      <c r="L524" s="1035"/>
      <c r="M524" s="998"/>
      <c r="N524" s="998"/>
    </row>
    <row r="525" spans="1:14" ht="12.75">
      <c r="A525" s="1033"/>
      <c r="B525" s="1033"/>
      <c r="C525" s="1033"/>
      <c r="F525" s="1034"/>
      <c r="G525" s="1033"/>
      <c r="H525" s="1033"/>
      <c r="I525" s="1033"/>
      <c r="J525" s="1033"/>
      <c r="K525" s="1035"/>
      <c r="L525" s="1035"/>
      <c r="M525" s="998"/>
      <c r="N525" s="998"/>
    </row>
    <row r="526" spans="1:14" ht="12.75">
      <c r="A526" s="1033"/>
      <c r="B526" s="1033"/>
      <c r="C526" s="1033"/>
      <c r="F526" s="1034"/>
      <c r="G526" s="1033"/>
      <c r="H526" s="1033"/>
      <c r="I526" s="1033"/>
      <c r="J526" s="1033"/>
      <c r="K526" s="1035"/>
      <c r="L526" s="1035"/>
      <c r="M526" s="998"/>
      <c r="N526" s="998"/>
    </row>
    <row r="527" spans="1:14" ht="12.75">
      <c r="A527" s="1033"/>
      <c r="B527" s="1033"/>
      <c r="C527" s="1033"/>
      <c r="F527" s="1034"/>
      <c r="G527" s="1033"/>
      <c r="H527" s="1033"/>
      <c r="I527" s="1033"/>
      <c r="J527" s="1033"/>
      <c r="K527" s="1035"/>
      <c r="L527" s="1035"/>
      <c r="M527" s="998"/>
      <c r="N527" s="998"/>
    </row>
    <row r="528" spans="1:14" ht="12.75">
      <c r="A528" s="1033"/>
      <c r="B528" s="1033"/>
      <c r="C528" s="1033"/>
      <c r="F528" s="1034"/>
      <c r="G528" s="1033"/>
      <c r="H528" s="1033"/>
      <c r="I528" s="1033"/>
      <c r="J528" s="1033"/>
      <c r="K528" s="1035"/>
      <c r="L528" s="1035"/>
      <c r="M528" s="998"/>
      <c r="N528" s="998"/>
    </row>
    <row r="529" spans="1:14" ht="12.75">
      <c r="A529" s="1033"/>
      <c r="B529" s="1033"/>
      <c r="C529" s="1033"/>
      <c r="F529" s="1034"/>
      <c r="G529" s="1033"/>
      <c r="H529" s="1033"/>
      <c r="I529" s="1033"/>
      <c r="J529" s="1033"/>
      <c r="K529" s="1035"/>
      <c r="L529" s="1035"/>
      <c r="M529" s="998"/>
      <c r="N529" s="998"/>
    </row>
    <row r="530" spans="1:14" ht="12.75">
      <c r="A530" s="1033"/>
      <c r="B530" s="1033"/>
      <c r="C530" s="1033"/>
      <c r="F530" s="1034"/>
      <c r="G530" s="1033"/>
      <c r="H530" s="1033"/>
      <c r="I530" s="1033"/>
      <c r="J530" s="1033"/>
      <c r="K530" s="1035"/>
      <c r="L530" s="1035"/>
      <c r="M530" s="998"/>
      <c r="N530" s="998"/>
    </row>
    <row r="531" spans="1:14" ht="12.75">
      <c r="A531" s="1033"/>
      <c r="B531" s="1033"/>
      <c r="C531" s="1033"/>
      <c r="F531" s="1034"/>
      <c r="G531" s="1033"/>
      <c r="H531" s="1033"/>
      <c r="I531" s="1033"/>
      <c r="J531" s="1033"/>
      <c r="K531" s="1035"/>
      <c r="L531" s="1035"/>
      <c r="M531" s="998"/>
      <c r="N531" s="998"/>
    </row>
    <row r="532" spans="1:14" ht="12.75">
      <c r="A532" s="1033"/>
      <c r="B532" s="1033"/>
      <c r="C532" s="1033"/>
      <c r="F532" s="1034"/>
      <c r="G532" s="1033"/>
      <c r="H532" s="1033"/>
      <c r="I532" s="1033"/>
      <c r="J532" s="1033"/>
      <c r="K532" s="1035"/>
      <c r="L532" s="1035"/>
      <c r="M532" s="998"/>
      <c r="N532" s="998"/>
    </row>
    <row r="533" spans="1:14" ht="12.75">
      <c r="A533" s="1033"/>
      <c r="B533" s="1033"/>
      <c r="C533" s="1033"/>
      <c r="F533" s="1034"/>
      <c r="G533" s="1033"/>
      <c r="H533" s="1033"/>
      <c r="I533" s="1033"/>
      <c r="J533" s="1033"/>
      <c r="K533" s="1035"/>
      <c r="L533" s="1035"/>
      <c r="M533" s="998"/>
      <c r="N533" s="998"/>
    </row>
    <row r="534" spans="1:14" ht="12.75">
      <c r="A534" s="1033"/>
      <c r="B534" s="1033"/>
      <c r="C534" s="1033"/>
      <c r="F534" s="1034"/>
      <c r="G534" s="1033"/>
      <c r="H534" s="1033"/>
      <c r="I534" s="1033"/>
      <c r="J534" s="1033"/>
      <c r="K534" s="1035"/>
      <c r="L534" s="1035"/>
      <c r="M534" s="998"/>
      <c r="N534" s="998"/>
    </row>
    <row r="535" spans="1:14" ht="12.75">
      <c r="A535" s="1033"/>
      <c r="B535" s="1033"/>
      <c r="C535" s="1033"/>
      <c r="F535" s="1034"/>
      <c r="G535" s="1033"/>
      <c r="H535" s="1033"/>
      <c r="I535" s="1033"/>
      <c r="J535" s="1033"/>
      <c r="K535" s="1035"/>
      <c r="L535" s="1035"/>
      <c r="M535" s="998"/>
      <c r="N535" s="998"/>
    </row>
    <row r="536" spans="1:14" ht="12.75">
      <c r="A536" s="1033"/>
      <c r="B536" s="1033"/>
      <c r="C536" s="1033"/>
      <c r="F536" s="1034"/>
      <c r="G536" s="1033"/>
      <c r="H536" s="1033"/>
      <c r="I536" s="1033"/>
      <c r="J536" s="1033"/>
      <c r="K536" s="1035"/>
      <c r="L536" s="1035"/>
      <c r="M536" s="998"/>
      <c r="N536" s="998"/>
    </row>
    <row r="537" spans="1:14" ht="12.75">
      <c r="A537" s="1033"/>
      <c r="B537" s="1033"/>
      <c r="C537" s="1033"/>
      <c r="F537" s="1034"/>
      <c r="G537" s="1033"/>
      <c r="H537" s="1033"/>
      <c r="I537" s="1033"/>
      <c r="J537" s="1033"/>
      <c r="K537" s="1035"/>
      <c r="L537" s="1035"/>
      <c r="M537" s="998"/>
      <c r="N537" s="998"/>
    </row>
    <row r="538" spans="1:14" ht="12.75">
      <c r="A538" s="1033"/>
      <c r="B538" s="1033"/>
      <c r="C538" s="1033"/>
      <c r="F538" s="1034"/>
      <c r="G538" s="1033"/>
      <c r="H538" s="1033"/>
      <c r="I538" s="1033"/>
      <c r="J538" s="1033"/>
      <c r="K538" s="1035"/>
      <c r="L538" s="1035"/>
      <c r="M538" s="998"/>
      <c r="N538" s="998"/>
    </row>
    <row r="539" spans="1:14" ht="12.75">
      <c r="A539" s="1033"/>
      <c r="B539" s="1033"/>
      <c r="C539" s="1033"/>
      <c r="F539" s="1034"/>
      <c r="G539" s="1033"/>
      <c r="H539" s="1033"/>
      <c r="I539" s="1033"/>
      <c r="J539" s="1033"/>
      <c r="K539" s="1035"/>
      <c r="L539" s="1035"/>
      <c r="M539" s="998"/>
      <c r="N539" s="998"/>
    </row>
    <row r="540" spans="1:14" ht="12.75">
      <c r="A540" s="1033"/>
      <c r="B540" s="1033"/>
      <c r="C540" s="1033"/>
      <c r="F540" s="1034"/>
      <c r="G540" s="1033"/>
      <c r="H540" s="1033"/>
      <c r="I540" s="1033"/>
      <c r="J540" s="1033"/>
      <c r="K540" s="1035"/>
      <c r="L540" s="1035"/>
      <c r="M540" s="998"/>
      <c r="N540" s="998"/>
    </row>
    <row r="541" spans="1:14" ht="12.75">
      <c r="A541" s="1033"/>
      <c r="B541" s="1033"/>
      <c r="C541" s="1033"/>
      <c r="F541" s="1034"/>
      <c r="G541" s="1033"/>
      <c r="H541" s="1033"/>
      <c r="I541" s="1033"/>
      <c r="J541" s="1033"/>
      <c r="K541" s="1035"/>
      <c r="L541" s="1035"/>
      <c r="M541" s="998"/>
      <c r="N541" s="998"/>
    </row>
    <row r="542" spans="1:14" ht="12.75">
      <c r="A542" s="1033"/>
      <c r="B542" s="1033"/>
      <c r="C542" s="1033"/>
      <c r="F542" s="1034"/>
      <c r="G542" s="1033"/>
      <c r="H542" s="1033"/>
      <c r="I542" s="1033"/>
      <c r="J542" s="1033"/>
      <c r="K542" s="1035"/>
      <c r="L542" s="1035"/>
      <c r="M542" s="998"/>
      <c r="N542" s="998"/>
    </row>
    <row r="543" spans="1:14" ht="12.75">
      <c r="A543" s="1033"/>
      <c r="B543" s="1033"/>
      <c r="C543" s="1033"/>
      <c r="F543" s="1034"/>
      <c r="G543" s="1033"/>
      <c r="H543" s="1033"/>
      <c r="I543" s="1033"/>
      <c r="J543" s="1033"/>
      <c r="K543" s="1035"/>
      <c r="L543" s="1035"/>
      <c r="M543" s="998"/>
      <c r="N543" s="998"/>
    </row>
    <row r="544" spans="1:14" ht="12.75">
      <c r="A544" s="1033"/>
      <c r="B544" s="1033"/>
      <c r="C544" s="1033"/>
      <c r="F544" s="1034"/>
      <c r="G544" s="1033"/>
      <c r="H544" s="1033"/>
      <c r="I544" s="1033"/>
      <c r="J544" s="1033"/>
      <c r="K544" s="1035"/>
      <c r="L544" s="1035"/>
      <c r="M544" s="998"/>
      <c r="N544" s="998"/>
    </row>
    <row r="545" spans="1:14" ht="12.75">
      <c r="A545" s="1033"/>
      <c r="B545" s="1033"/>
      <c r="C545" s="1033"/>
      <c r="F545" s="1034"/>
      <c r="G545" s="1033"/>
      <c r="H545" s="1033"/>
      <c r="I545" s="1033"/>
      <c r="J545" s="1033"/>
      <c r="K545" s="1035"/>
      <c r="L545" s="1035"/>
      <c r="M545" s="998"/>
      <c r="N545" s="998"/>
    </row>
    <row r="546" spans="1:14" ht="12.75">
      <c r="A546" s="1033"/>
      <c r="B546" s="1033"/>
      <c r="C546" s="1033"/>
      <c r="F546" s="1034"/>
      <c r="G546" s="1033"/>
      <c r="H546" s="1033"/>
      <c r="I546" s="1033"/>
      <c r="J546" s="1033"/>
      <c r="K546" s="1035"/>
      <c r="L546" s="1035"/>
      <c r="M546" s="998"/>
      <c r="N546" s="998"/>
    </row>
    <row r="547" spans="1:14" ht="12.75">
      <c r="A547" s="1033"/>
      <c r="B547" s="1033"/>
      <c r="C547" s="1033"/>
      <c r="F547" s="1034"/>
      <c r="G547" s="1033"/>
      <c r="H547" s="1033"/>
      <c r="I547" s="1033"/>
      <c r="J547" s="1033"/>
      <c r="K547" s="1035"/>
      <c r="L547" s="1035"/>
      <c r="M547" s="998"/>
      <c r="N547" s="998"/>
    </row>
    <row r="548" spans="1:14" ht="12.75">
      <c r="A548" s="1033"/>
      <c r="B548" s="1033"/>
      <c r="C548" s="1033"/>
      <c r="F548" s="1034"/>
      <c r="G548" s="1033"/>
      <c r="H548" s="1033"/>
      <c r="I548" s="1033"/>
      <c r="J548" s="1033"/>
      <c r="K548" s="1035"/>
      <c r="L548" s="1035"/>
      <c r="M548" s="998"/>
      <c r="N548" s="998"/>
    </row>
    <row r="549" spans="1:14" ht="12.75">
      <c r="A549" s="1033"/>
      <c r="B549" s="1033"/>
      <c r="C549" s="1033"/>
      <c r="F549" s="1034"/>
      <c r="G549" s="1033"/>
      <c r="H549" s="1033"/>
      <c r="I549" s="1033"/>
      <c r="J549" s="1033"/>
      <c r="K549" s="1035"/>
      <c r="L549" s="1035"/>
      <c r="M549" s="998"/>
      <c r="N549" s="998"/>
    </row>
    <row r="550" spans="1:14" ht="12.75">
      <c r="A550" s="1033"/>
      <c r="B550" s="1033"/>
      <c r="C550" s="1033"/>
      <c r="F550" s="1034"/>
      <c r="G550" s="1033"/>
      <c r="H550" s="1033"/>
      <c r="I550" s="1033"/>
      <c r="J550" s="1033"/>
      <c r="K550" s="1035"/>
      <c r="L550" s="1035"/>
      <c r="M550" s="998"/>
      <c r="N550" s="998"/>
    </row>
    <row r="551" spans="1:14" ht="12.75">
      <c r="A551" s="1033"/>
      <c r="B551" s="1033"/>
      <c r="C551" s="1033"/>
      <c r="F551" s="1034"/>
      <c r="G551" s="1033"/>
      <c r="H551" s="1033"/>
      <c r="I551" s="1033"/>
      <c r="J551" s="1033"/>
      <c r="K551" s="1035"/>
      <c r="L551" s="1035"/>
      <c r="M551" s="998"/>
      <c r="N551" s="998"/>
    </row>
    <row r="552" spans="1:14" ht="12.75">
      <c r="A552" s="1033"/>
      <c r="B552" s="1033"/>
      <c r="C552" s="1033"/>
      <c r="F552" s="1034"/>
      <c r="G552" s="1033"/>
      <c r="H552" s="1033"/>
      <c r="I552" s="1033"/>
      <c r="J552" s="1033"/>
      <c r="K552" s="1035"/>
      <c r="L552" s="1035"/>
      <c r="M552" s="998"/>
      <c r="N552" s="998"/>
    </row>
    <row r="553" spans="1:14" ht="12.75">
      <c r="A553" s="1033"/>
      <c r="B553" s="1033"/>
      <c r="C553" s="1033"/>
      <c r="F553" s="1034"/>
      <c r="G553" s="1033"/>
      <c r="H553" s="1033"/>
      <c r="I553" s="1033"/>
      <c r="J553" s="1033"/>
      <c r="K553" s="1035"/>
      <c r="L553" s="1035"/>
      <c r="M553" s="998"/>
      <c r="N553" s="998"/>
    </row>
    <row r="554" spans="1:14" ht="12.75">
      <c r="A554" s="1033"/>
      <c r="B554" s="1033"/>
      <c r="C554" s="1033"/>
      <c r="F554" s="1034"/>
      <c r="G554" s="1033"/>
      <c r="H554" s="1033"/>
      <c r="I554" s="1033"/>
      <c r="J554" s="1033"/>
      <c r="K554" s="1035"/>
      <c r="L554" s="1035"/>
      <c r="M554" s="998"/>
      <c r="N554" s="998"/>
    </row>
    <row r="555" spans="1:14" ht="12.75">
      <c r="A555" s="1033"/>
      <c r="B555" s="1033"/>
      <c r="C555" s="1033"/>
      <c r="F555" s="1034"/>
      <c r="G555" s="1033"/>
      <c r="H555" s="1033"/>
      <c r="I555" s="1033"/>
      <c r="J555" s="1033"/>
      <c r="K555" s="1035"/>
      <c r="L555" s="1035"/>
      <c r="M555" s="998"/>
      <c r="N555" s="998"/>
    </row>
    <row r="556" spans="1:14" ht="12.75">
      <c r="A556" s="1033"/>
      <c r="B556" s="1033"/>
      <c r="C556" s="1033"/>
      <c r="F556" s="1034"/>
      <c r="G556" s="1033"/>
      <c r="H556" s="1033"/>
      <c r="I556" s="1033"/>
      <c r="J556" s="1033"/>
      <c r="K556" s="1035"/>
      <c r="L556" s="1035"/>
      <c r="M556" s="998"/>
      <c r="N556" s="998"/>
    </row>
    <row r="557" spans="1:14" ht="12.75">
      <c r="A557" s="1033"/>
      <c r="B557" s="1033"/>
      <c r="C557" s="1033"/>
      <c r="F557" s="1034"/>
      <c r="G557" s="1033"/>
      <c r="H557" s="1033"/>
      <c r="I557" s="1033"/>
      <c r="J557" s="1033"/>
      <c r="K557" s="1035"/>
      <c r="L557" s="1035"/>
      <c r="M557" s="998"/>
      <c r="N557" s="998"/>
    </row>
    <row r="558" spans="1:14" ht="12.75">
      <c r="A558" s="1033"/>
      <c r="B558" s="1033"/>
      <c r="C558" s="1033"/>
      <c r="F558" s="1034"/>
      <c r="G558" s="1033"/>
      <c r="H558" s="1033"/>
      <c r="I558" s="1033"/>
      <c r="J558" s="1033"/>
      <c r="K558" s="1035"/>
      <c r="L558" s="1035"/>
      <c r="M558" s="998"/>
      <c r="N558" s="998"/>
    </row>
    <row r="559" spans="1:14" ht="12.75">
      <c r="A559" s="1033"/>
      <c r="B559" s="1033"/>
      <c r="C559" s="1033"/>
      <c r="F559" s="1034"/>
      <c r="G559" s="1033"/>
      <c r="H559" s="1033"/>
      <c r="I559" s="1033"/>
      <c r="J559" s="1033"/>
      <c r="K559" s="1035"/>
      <c r="L559" s="1035"/>
      <c r="M559" s="998"/>
      <c r="N559" s="998"/>
    </row>
    <row r="560" spans="1:14" ht="12.75">
      <c r="A560" s="1033"/>
      <c r="B560" s="1033"/>
      <c r="C560" s="1033"/>
      <c r="F560" s="1034"/>
      <c r="G560" s="1033"/>
      <c r="H560" s="1033"/>
      <c r="I560" s="1033"/>
      <c r="J560" s="1033"/>
      <c r="K560" s="1035"/>
      <c r="L560" s="1035"/>
      <c r="M560" s="998"/>
      <c r="N560" s="998"/>
    </row>
    <row r="561" spans="1:14" ht="12.75">
      <c r="A561" s="1033"/>
      <c r="B561" s="1033"/>
      <c r="C561" s="1033"/>
      <c r="F561" s="1034"/>
      <c r="G561" s="1033"/>
      <c r="H561" s="1033"/>
      <c r="I561" s="1033"/>
      <c r="J561" s="1033"/>
      <c r="K561" s="1035"/>
      <c r="L561" s="1035"/>
      <c r="M561" s="998"/>
      <c r="N561" s="998"/>
    </row>
    <row r="562" spans="1:14" ht="12.75">
      <c r="A562" s="1033"/>
      <c r="B562" s="1033"/>
      <c r="C562" s="1033"/>
      <c r="F562" s="1034"/>
      <c r="G562" s="1033"/>
      <c r="H562" s="1033"/>
      <c r="I562" s="1033"/>
      <c r="J562" s="1033"/>
      <c r="K562" s="1035"/>
      <c r="L562" s="1035"/>
      <c r="M562" s="998"/>
      <c r="N562" s="998"/>
    </row>
    <row r="563" spans="1:14" ht="12.75">
      <c r="A563" s="1033"/>
      <c r="B563" s="1033"/>
      <c r="C563" s="1033"/>
      <c r="F563" s="1034"/>
      <c r="G563" s="1033"/>
      <c r="H563" s="1033"/>
      <c r="I563" s="1033"/>
      <c r="J563" s="1033"/>
      <c r="K563" s="1035"/>
      <c r="L563" s="1035"/>
      <c r="M563" s="998"/>
      <c r="N563" s="998"/>
    </row>
    <row r="564" spans="1:14" ht="12.75">
      <c r="A564" s="1033"/>
      <c r="B564" s="1033"/>
      <c r="C564" s="1033"/>
      <c r="F564" s="1034"/>
      <c r="G564" s="1033"/>
      <c r="H564" s="1033"/>
      <c r="I564" s="1033"/>
      <c r="J564" s="1033"/>
      <c r="K564" s="1035"/>
      <c r="L564" s="1035"/>
      <c r="M564" s="998"/>
      <c r="N564" s="998"/>
    </row>
    <row r="565" spans="1:14" ht="12.75">
      <c r="A565" s="1033"/>
      <c r="B565" s="1033"/>
      <c r="C565" s="1033"/>
      <c r="F565" s="1034"/>
      <c r="G565" s="1033"/>
      <c r="H565" s="1033"/>
      <c r="I565" s="1033"/>
      <c r="J565" s="1033"/>
      <c r="K565" s="1035"/>
      <c r="L565" s="1035"/>
      <c r="M565" s="998"/>
      <c r="N565" s="998"/>
    </row>
    <row r="566" spans="1:14" ht="12.75">
      <c r="A566" s="1033"/>
      <c r="B566" s="1033"/>
      <c r="C566" s="1033"/>
      <c r="F566" s="1034"/>
      <c r="G566" s="1033"/>
      <c r="H566" s="1033"/>
      <c r="I566" s="1033"/>
      <c r="J566" s="1033"/>
      <c r="K566" s="1035"/>
      <c r="L566" s="1035"/>
      <c r="M566" s="998"/>
      <c r="N566" s="998"/>
    </row>
    <row r="567" spans="1:14" ht="12.75">
      <c r="A567" s="1033"/>
      <c r="B567" s="1033"/>
      <c r="C567" s="1033"/>
      <c r="F567" s="1034"/>
      <c r="G567" s="1033"/>
      <c r="H567" s="1033"/>
      <c r="I567" s="1033"/>
      <c r="J567" s="1033"/>
      <c r="K567" s="1035"/>
      <c r="L567" s="1035"/>
      <c r="M567" s="998"/>
      <c r="N567" s="998"/>
    </row>
    <row r="568" spans="1:14" ht="12.75">
      <c r="A568" s="1033"/>
      <c r="B568" s="1033"/>
      <c r="C568" s="1033"/>
      <c r="F568" s="1034"/>
      <c r="G568" s="1033"/>
      <c r="H568" s="1033"/>
      <c r="I568" s="1033"/>
      <c r="J568" s="1033"/>
      <c r="K568" s="1035"/>
      <c r="L568" s="1035"/>
      <c r="M568" s="998"/>
      <c r="N568" s="998"/>
    </row>
    <row r="569" spans="1:14" ht="12.75">
      <c r="A569" s="1033"/>
      <c r="B569" s="1033"/>
      <c r="C569" s="1033"/>
      <c r="F569" s="1034"/>
      <c r="G569" s="1033"/>
      <c r="H569" s="1033"/>
      <c r="I569" s="1033"/>
      <c r="J569" s="1033"/>
      <c r="K569" s="1035"/>
      <c r="L569" s="1035"/>
      <c r="M569" s="998"/>
      <c r="N569" s="998"/>
    </row>
    <row r="570" spans="1:14" ht="12.75">
      <c r="A570" s="1033"/>
      <c r="B570" s="1033"/>
      <c r="C570" s="1033"/>
      <c r="F570" s="1034"/>
      <c r="G570" s="1033"/>
      <c r="H570" s="1033"/>
      <c r="I570" s="1033"/>
      <c r="J570" s="1033"/>
      <c r="K570" s="1035"/>
      <c r="L570" s="1035"/>
      <c r="M570" s="998"/>
      <c r="N570" s="998"/>
    </row>
    <row r="571" spans="1:14" ht="12.75">
      <c r="A571" s="1033"/>
      <c r="B571" s="1033"/>
      <c r="C571" s="1033"/>
      <c r="F571" s="1034"/>
      <c r="G571" s="1033"/>
      <c r="H571" s="1033"/>
      <c r="I571" s="1033"/>
      <c r="J571" s="1033"/>
      <c r="K571" s="1035"/>
      <c r="L571" s="1035"/>
      <c r="M571" s="998"/>
      <c r="N571" s="998"/>
    </row>
    <row r="572" spans="1:14" ht="12.75">
      <c r="A572" s="1033"/>
      <c r="B572" s="1033"/>
      <c r="C572" s="1033"/>
      <c r="F572" s="1034"/>
      <c r="G572" s="1033"/>
      <c r="H572" s="1033"/>
      <c r="I572" s="1033"/>
      <c r="J572" s="1033"/>
      <c r="K572" s="1035"/>
      <c r="L572" s="1035"/>
      <c r="M572" s="998"/>
      <c r="N572" s="998"/>
    </row>
    <row r="573" spans="1:14" ht="12.75">
      <c r="A573" s="1033"/>
      <c r="B573" s="1033"/>
      <c r="C573" s="1033"/>
      <c r="F573" s="1034"/>
      <c r="G573" s="1033"/>
      <c r="H573" s="1033"/>
      <c r="I573" s="1033"/>
      <c r="J573" s="1033"/>
      <c r="K573" s="1035"/>
      <c r="L573" s="1035"/>
      <c r="M573" s="998"/>
      <c r="N573" s="998"/>
    </row>
    <row r="574" spans="1:14" ht="12.75">
      <c r="A574" s="1033"/>
      <c r="B574" s="1033"/>
      <c r="C574" s="1033"/>
      <c r="F574" s="1034"/>
      <c r="G574" s="1033"/>
      <c r="H574" s="1033"/>
      <c r="I574" s="1033"/>
      <c r="J574" s="1033"/>
      <c r="K574" s="1035"/>
      <c r="L574" s="1035"/>
      <c r="M574" s="998"/>
      <c r="N574" s="998"/>
    </row>
    <row r="575" spans="1:14" ht="12.75">
      <c r="A575" s="1033"/>
      <c r="B575" s="1033"/>
      <c r="C575" s="1033"/>
      <c r="F575" s="1034"/>
      <c r="G575" s="1033"/>
      <c r="H575" s="1033"/>
      <c r="I575" s="1033"/>
      <c r="J575" s="1033"/>
      <c r="K575" s="1035"/>
      <c r="L575" s="1035"/>
      <c r="M575" s="998"/>
      <c r="N575" s="998"/>
    </row>
    <row r="576" spans="1:14" ht="12.75">
      <c r="A576" s="1033"/>
      <c r="B576" s="1033"/>
      <c r="C576" s="1033"/>
      <c r="F576" s="1034"/>
      <c r="G576" s="1033"/>
      <c r="H576" s="1033"/>
      <c r="I576" s="1033"/>
      <c r="J576" s="1033"/>
      <c r="K576" s="1035"/>
      <c r="L576" s="1035"/>
      <c r="M576" s="998"/>
      <c r="N576" s="998"/>
    </row>
    <row r="577" spans="1:14" ht="12.75">
      <c r="A577" s="1033"/>
      <c r="B577" s="1033"/>
      <c r="C577" s="1033"/>
      <c r="F577" s="1034"/>
      <c r="G577" s="1033"/>
      <c r="H577" s="1033"/>
      <c r="I577" s="1033"/>
      <c r="J577" s="1033"/>
      <c r="K577" s="1035"/>
      <c r="L577" s="1035"/>
      <c r="M577" s="998"/>
      <c r="N577" s="998"/>
    </row>
    <row r="578" spans="1:14" ht="12.75">
      <c r="A578" s="1033"/>
      <c r="B578" s="1033"/>
      <c r="C578" s="1033"/>
      <c r="F578" s="1034"/>
      <c r="G578" s="1033"/>
      <c r="H578" s="1033"/>
      <c r="I578" s="1033"/>
      <c r="J578" s="1033"/>
      <c r="K578" s="1035"/>
      <c r="L578" s="1035"/>
      <c r="M578" s="998"/>
      <c r="N578" s="998"/>
    </row>
    <row r="579" spans="1:14" ht="12.75">
      <c r="A579" s="1033"/>
      <c r="B579" s="1033"/>
      <c r="C579" s="1033"/>
      <c r="F579" s="1034"/>
      <c r="G579" s="1033"/>
      <c r="H579" s="1033"/>
      <c r="I579" s="1033"/>
      <c r="J579" s="1033"/>
      <c r="K579" s="1035"/>
      <c r="L579" s="1035"/>
      <c r="M579" s="998"/>
      <c r="N579" s="998"/>
    </row>
    <row r="580" spans="1:14" ht="12.75">
      <c r="A580" s="1033"/>
      <c r="B580" s="1033"/>
      <c r="C580" s="1033"/>
      <c r="F580" s="1034"/>
      <c r="G580" s="1033"/>
      <c r="H580" s="1033"/>
      <c r="I580" s="1033"/>
      <c r="J580" s="1033"/>
      <c r="K580" s="1035"/>
      <c r="L580" s="1035"/>
      <c r="M580" s="998"/>
      <c r="N580" s="998"/>
    </row>
    <row r="581" spans="1:14" ht="12.75">
      <c r="A581" s="1033"/>
      <c r="B581" s="1033"/>
      <c r="C581" s="1033"/>
      <c r="F581" s="1034"/>
      <c r="G581" s="1033"/>
      <c r="H581" s="1033"/>
      <c r="I581" s="1033"/>
      <c r="J581" s="1033"/>
      <c r="K581" s="1035"/>
      <c r="L581" s="1035"/>
      <c r="M581" s="998"/>
      <c r="N581" s="998"/>
    </row>
    <row r="582" spans="1:14" ht="12.75">
      <c r="A582" s="1033"/>
      <c r="B582" s="1033"/>
      <c r="C582" s="1033"/>
      <c r="F582" s="1034"/>
      <c r="G582" s="1033"/>
      <c r="H582" s="1033"/>
      <c r="I582" s="1033"/>
      <c r="J582" s="1033"/>
      <c r="K582" s="1035"/>
      <c r="L582" s="1035"/>
      <c r="M582" s="998"/>
      <c r="N582" s="998"/>
    </row>
    <row r="583" spans="1:14" ht="12.75">
      <c r="A583" s="1033"/>
      <c r="B583" s="1033"/>
      <c r="C583" s="1033"/>
      <c r="F583" s="1034"/>
      <c r="G583" s="1033"/>
      <c r="H583" s="1033"/>
      <c r="I583" s="1033"/>
      <c r="J583" s="1033"/>
      <c r="K583" s="1035"/>
      <c r="L583" s="1035"/>
      <c r="M583" s="998"/>
      <c r="N583" s="998"/>
    </row>
    <row r="584" spans="1:14" ht="12.75">
      <c r="A584" s="1033"/>
      <c r="B584" s="1033"/>
      <c r="C584" s="1033"/>
      <c r="F584" s="1034"/>
      <c r="G584" s="1033"/>
      <c r="H584" s="1033"/>
      <c r="I584" s="1033"/>
      <c r="J584" s="1033"/>
      <c r="K584" s="1035"/>
      <c r="L584" s="1035"/>
      <c r="M584" s="998"/>
      <c r="N584" s="998"/>
    </row>
    <row r="585" spans="1:14" ht="12.75">
      <c r="A585" s="1033"/>
      <c r="B585" s="1033"/>
      <c r="C585" s="1033"/>
      <c r="F585" s="1034"/>
      <c r="G585" s="1033"/>
      <c r="H585" s="1033"/>
      <c r="I585" s="1033"/>
      <c r="J585" s="1033"/>
      <c r="K585" s="1035"/>
      <c r="L585" s="1035"/>
      <c r="M585" s="998"/>
      <c r="N585" s="998"/>
    </row>
    <row r="586" spans="1:14" ht="12.75">
      <c r="A586" s="1033"/>
      <c r="B586" s="1033"/>
      <c r="C586" s="1033"/>
      <c r="F586" s="1034"/>
      <c r="G586" s="1033"/>
      <c r="H586" s="1033"/>
      <c r="I586" s="1033"/>
      <c r="J586" s="1033"/>
      <c r="K586" s="1035"/>
      <c r="L586" s="1035"/>
      <c r="M586" s="998"/>
      <c r="N586" s="998"/>
    </row>
    <row r="587" spans="1:14" ht="12.75">
      <c r="A587" s="1033"/>
      <c r="B587" s="1033"/>
      <c r="C587" s="1033"/>
      <c r="F587" s="1034"/>
      <c r="G587" s="1033"/>
      <c r="H587" s="1033"/>
      <c r="I587" s="1033"/>
      <c r="J587" s="1033"/>
      <c r="K587" s="1035"/>
      <c r="L587" s="1035"/>
      <c r="M587" s="998"/>
      <c r="N587" s="998"/>
    </row>
    <row r="588" spans="1:14" ht="12.75">
      <c r="A588" s="1033"/>
      <c r="B588" s="1033"/>
      <c r="C588" s="1033"/>
      <c r="F588" s="1034"/>
      <c r="G588" s="1033"/>
      <c r="H588" s="1033"/>
      <c r="I588" s="1033"/>
      <c r="J588" s="1033"/>
      <c r="K588" s="1035"/>
      <c r="L588" s="1035"/>
      <c r="M588" s="998"/>
      <c r="N588" s="998"/>
    </row>
    <row r="589" spans="1:14" ht="12.75">
      <c r="A589" s="1033"/>
      <c r="B589" s="1033"/>
      <c r="C589" s="1033"/>
      <c r="F589" s="1034"/>
      <c r="G589" s="1033"/>
      <c r="H589" s="1033"/>
      <c r="I589" s="1033"/>
      <c r="J589" s="1033"/>
      <c r="K589" s="1035"/>
      <c r="L589" s="1035"/>
      <c r="M589" s="998"/>
      <c r="N589" s="998"/>
    </row>
    <row r="590" spans="1:14" ht="12.75">
      <c r="A590" s="1033"/>
      <c r="B590" s="1033"/>
      <c r="C590" s="1033"/>
      <c r="F590" s="1034"/>
      <c r="G590" s="1033"/>
      <c r="H590" s="1033"/>
      <c r="I590" s="1033"/>
      <c r="J590" s="1033"/>
      <c r="K590" s="1035"/>
      <c r="L590" s="1035"/>
      <c r="M590" s="998"/>
      <c r="N590" s="998"/>
    </row>
    <row r="591" spans="1:14" ht="12.75">
      <c r="A591" s="1033"/>
      <c r="B591" s="1033"/>
      <c r="C591" s="1033"/>
      <c r="F591" s="1034"/>
      <c r="G591" s="1033"/>
      <c r="H591" s="1033"/>
      <c r="I591" s="1033"/>
      <c r="J591" s="1033"/>
      <c r="K591" s="1035"/>
      <c r="L591" s="1035"/>
      <c r="M591" s="998"/>
      <c r="N591" s="998"/>
    </row>
    <row r="592" spans="1:14" ht="12.75">
      <c r="A592" s="1033"/>
      <c r="B592" s="1033"/>
      <c r="C592" s="1033"/>
      <c r="F592" s="1034"/>
      <c r="G592" s="1033"/>
      <c r="H592" s="1033"/>
      <c r="I592" s="1033"/>
      <c r="J592" s="1033"/>
      <c r="K592" s="1035"/>
      <c r="L592" s="1035"/>
      <c r="M592" s="998"/>
      <c r="N592" s="998"/>
    </row>
    <row r="593" spans="1:14" ht="12.75">
      <c r="A593" s="1033"/>
      <c r="B593" s="1033"/>
      <c r="C593" s="1033"/>
      <c r="F593" s="1034"/>
      <c r="G593" s="1033"/>
      <c r="H593" s="1033"/>
      <c r="I593" s="1033"/>
      <c r="J593" s="1033"/>
      <c r="K593" s="1035"/>
      <c r="L593" s="1035"/>
      <c r="M593" s="998"/>
      <c r="N593" s="998"/>
    </row>
    <row r="594" spans="1:14" ht="12.75">
      <c r="A594" s="1033"/>
      <c r="B594" s="1033"/>
      <c r="C594" s="1033"/>
      <c r="F594" s="1034"/>
      <c r="G594" s="1033"/>
      <c r="H594" s="1033"/>
      <c r="I594" s="1033"/>
      <c r="J594" s="1033"/>
      <c r="K594" s="1035"/>
      <c r="L594" s="1035"/>
      <c r="M594" s="998"/>
      <c r="N594" s="998"/>
    </row>
    <row r="595" spans="1:14" ht="12.75">
      <c r="A595" s="1033"/>
      <c r="B595" s="1033"/>
      <c r="C595" s="1033"/>
      <c r="F595" s="1034"/>
      <c r="G595" s="1033"/>
      <c r="H595" s="1033"/>
      <c r="I595" s="1033"/>
      <c r="J595" s="1033"/>
      <c r="K595" s="1035"/>
      <c r="L595" s="1035"/>
      <c r="M595" s="998"/>
      <c r="N595" s="998"/>
    </row>
    <row r="596" spans="1:14" ht="12.75">
      <c r="A596" s="1033"/>
      <c r="B596" s="1033"/>
      <c r="C596" s="1033"/>
      <c r="F596" s="1034"/>
      <c r="G596" s="1033"/>
      <c r="H596" s="1033"/>
      <c r="I596" s="1033"/>
      <c r="J596" s="1033"/>
      <c r="K596" s="1035"/>
      <c r="L596" s="1035"/>
      <c r="M596" s="998"/>
      <c r="N596" s="998"/>
    </row>
    <row r="597" spans="1:14" ht="12.75">
      <c r="A597" s="1033"/>
      <c r="B597" s="1033"/>
      <c r="C597" s="1033"/>
      <c r="F597" s="1034"/>
      <c r="G597" s="1033"/>
      <c r="H597" s="1033"/>
      <c r="I597" s="1033"/>
      <c r="J597" s="1033"/>
      <c r="K597" s="1035"/>
      <c r="L597" s="1035"/>
      <c r="M597" s="998"/>
      <c r="N597" s="998"/>
    </row>
    <row r="598" spans="1:14" ht="12.75">
      <c r="A598" s="1033"/>
      <c r="B598" s="1033"/>
      <c r="C598" s="1033"/>
      <c r="F598" s="1034"/>
      <c r="G598" s="1033"/>
      <c r="H598" s="1033"/>
      <c r="I598" s="1033"/>
      <c r="J598" s="1033"/>
      <c r="K598" s="1035"/>
      <c r="L598" s="1035"/>
      <c r="M598" s="998"/>
      <c r="N598" s="998"/>
    </row>
    <row r="599" spans="1:14" ht="12.75">
      <c r="A599" s="1033"/>
      <c r="B599" s="1033"/>
      <c r="C599" s="1033"/>
      <c r="F599" s="1034"/>
      <c r="G599" s="1033"/>
      <c r="H599" s="1033"/>
      <c r="I599" s="1033"/>
      <c r="J599" s="1033"/>
      <c r="K599" s="1035"/>
      <c r="L599" s="1035"/>
      <c r="M599" s="998"/>
      <c r="N599" s="998"/>
    </row>
    <row r="600" spans="1:14" ht="12.75">
      <c r="A600" s="1033"/>
      <c r="B600" s="1033"/>
      <c r="C600" s="1033"/>
      <c r="F600" s="1034"/>
      <c r="G600" s="1033"/>
      <c r="H600" s="1033"/>
      <c r="I600" s="1033"/>
      <c r="J600" s="1033"/>
      <c r="K600" s="1035"/>
      <c r="L600" s="1035"/>
      <c r="M600" s="998"/>
      <c r="N600" s="998"/>
    </row>
    <row r="601" spans="1:14" ht="12.75">
      <c r="A601" s="1033"/>
      <c r="B601" s="1033"/>
      <c r="C601" s="1033"/>
      <c r="F601" s="1034"/>
      <c r="G601" s="1033"/>
      <c r="H601" s="1033"/>
      <c r="I601" s="1033"/>
      <c r="J601" s="1033"/>
      <c r="K601" s="1035"/>
      <c r="L601" s="1035"/>
      <c r="M601" s="998"/>
      <c r="N601" s="998"/>
    </row>
    <row r="602" spans="1:14" ht="12.75">
      <c r="A602" s="1033"/>
      <c r="B602" s="1033"/>
      <c r="C602" s="1033"/>
      <c r="F602" s="1034"/>
      <c r="G602" s="1033"/>
      <c r="H602" s="1033"/>
      <c r="I602" s="1033"/>
      <c r="J602" s="1033"/>
      <c r="K602" s="1035"/>
      <c r="L602" s="1035"/>
      <c r="M602" s="998"/>
      <c r="N602" s="998"/>
    </row>
    <row r="603" spans="1:14" ht="12.75">
      <c r="A603" s="1033"/>
      <c r="B603" s="1033"/>
      <c r="C603" s="1033"/>
      <c r="F603" s="1034"/>
      <c r="G603" s="1033"/>
      <c r="H603" s="1033"/>
      <c r="I603" s="1033"/>
      <c r="J603" s="1033"/>
      <c r="K603" s="1035"/>
      <c r="L603" s="1035"/>
      <c r="M603" s="998"/>
      <c r="N603" s="998"/>
    </row>
    <row r="604" spans="1:14" ht="12.75">
      <c r="A604" s="1033"/>
      <c r="B604" s="1033"/>
      <c r="C604" s="1033"/>
      <c r="F604" s="1034"/>
      <c r="G604" s="1033"/>
      <c r="H604" s="1033"/>
      <c r="I604" s="1033"/>
      <c r="J604" s="1033"/>
      <c r="K604" s="1035"/>
      <c r="L604" s="1035"/>
      <c r="M604" s="998"/>
      <c r="N604" s="998"/>
    </row>
    <row r="605" spans="1:14" ht="12.75">
      <c r="A605" s="1033"/>
      <c r="B605" s="1033"/>
      <c r="C605" s="1033"/>
      <c r="F605" s="1034"/>
      <c r="G605" s="1033"/>
      <c r="H605" s="1033"/>
      <c r="I605" s="1033"/>
      <c r="J605" s="1033"/>
      <c r="K605" s="1035"/>
      <c r="L605" s="1035"/>
      <c r="M605" s="998"/>
      <c r="N605" s="998"/>
    </row>
    <row r="606" spans="1:14" ht="12.75">
      <c r="A606" s="1033"/>
      <c r="B606" s="1033"/>
      <c r="C606" s="1033"/>
      <c r="F606" s="1034"/>
      <c r="G606" s="1033"/>
      <c r="H606" s="1033"/>
      <c r="I606" s="1033"/>
      <c r="J606" s="1033"/>
      <c r="K606" s="1035"/>
      <c r="L606" s="1035"/>
      <c r="M606" s="998"/>
      <c r="N606" s="998"/>
    </row>
    <row r="607" spans="1:14" ht="12.75">
      <c r="A607" s="1033"/>
      <c r="B607" s="1033"/>
      <c r="C607" s="1033"/>
      <c r="F607" s="1034"/>
      <c r="G607" s="1033"/>
      <c r="H607" s="1033"/>
      <c r="I607" s="1033"/>
      <c r="J607" s="1033"/>
      <c r="K607" s="1035"/>
      <c r="L607" s="1035"/>
      <c r="M607" s="998"/>
      <c r="N607" s="998"/>
    </row>
    <row r="608" spans="1:14" ht="12.75">
      <c r="A608" s="1033"/>
      <c r="B608" s="1033"/>
      <c r="C608" s="1033"/>
      <c r="F608" s="1034"/>
      <c r="G608" s="1033"/>
      <c r="H608" s="1033"/>
      <c r="I608" s="1033"/>
      <c r="J608" s="1033"/>
      <c r="K608" s="1035"/>
      <c r="L608" s="1035"/>
      <c r="M608" s="998"/>
      <c r="N608" s="998"/>
    </row>
    <row r="609" spans="1:14" ht="12.75">
      <c r="A609" s="1033"/>
      <c r="B609" s="1033"/>
      <c r="C609" s="1033"/>
      <c r="F609" s="1034"/>
      <c r="G609" s="1033"/>
      <c r="H609" s="1033"/>
      <c r="I609" s="1033"/>
      <c r="J609" s="1033"/>
      <c r="K609" s="1035"/>
      <c r="L609" s="1035"/>
      <c r="M609" s="998"/>
      <c r="N609" s="998"/>
    </row>
    <row r="610" spans="1:14" ht="12.75">
      <c r="A610" s="1033"/>
      <c r="B610" s="1033"/>
      <c r="C610" s="1033"/>
      <c r="F610" s="1034"/>
      <c r="G610" s="1033"/>
      <c r="H610" s="1033"/>
      <c r="I610" s="1033"/>
      <c r="J610" s="1033"/>
      <c r="K610" s="1035"/>
      <c r="L610" s="1035"/>
      <c r="M610" s="998"/>
      <c r="N610" s="998"/>
    </row>
    <row r="611" spans="1:14" ht="12.75">
      <c r="A611" s="1033"/>
      <c r="B611" s="1033"/>
      <c r="C611" s="1033"/>
      <c r="F611" s="1034"/>
      <c r="G611" s="1033"/>
      <c r="H611" s="1033"/>
      <c r="I611" s="1033"/>
      <c r="J611" s="1033"/>
      <c r="K611" s="1035"/>
      <c r="L611" s="1035"/>
      <c r="M611" s="998"/>
      <c r="N611" s="998"/>
    </row>
    <row r="612" spans="1:14" ht="12.75">
      <c r="A612" s="1033"/>
      <c r="B612" s="1033"/>
      <c r="C612" s="1033"/>
      <c r="F612" s="1034"/>
      <c r="G612" s="1033"/>
      <c r="H612" s="1033"/>
      <c r="I612" s="1033"/>
      <c r="J612" s="1033"/>
      <c r="K612" s="1035"/>
      <c r="L612" s="1035"/>
      <c r="M612" s="998"/>
      <c r="N612" s="998"/>
    </row>
    <row r="613" spans="1:14" ht="12.75">
      <c r="A613" s="1033"/>
      <c r="B613" s="1033"/>
      <c r="C613" s="1033"/>
      <c r="F613" s="1034"/>
      <c r="G613" s="1033"/>
      <c r="H613" s="1033"/>
      <c r="I613" s="1033"/>
      <c r="J613" s="1033"/>
      <c r="K613" s="1035"/>
      <c r="L613" s="1035"/>
      <c r="M613" s="998"/>
      <c r="N613" s="998"/>
    </row>
    <row r="614" spans="1:14" ht="12.75">
      <c r="A614" s="1033"/>
      <c r="B614" s="1033"/>
      <c r="C614" s="1033"/>
      <c r="F614" s="1034"/>
      <c r="G614" s="1033"/>
      <c r="H614" s="1033"/>
      <c r="I614" s="1033"/>
      <c r="J614" s="1033"/>
      <c r="K614" s="1035"/>
      <c r="L614" s="1035"/>
      <c r="M614" s="998"/>
      <c r="N614" s="998"/>
    </row>
    <row r="615" spans="1:14" ht="12.75">
      <c r="A615" s="1033"/>
      <c r="B615" s="1033"/>
      <c r="C615" s="1033"/>
      <c r="F615" s="1034"/>
      <c r="G615" s="1033"/>
      <c r="H615" s="1033"/>
      <c r="I615" s="1033"/>
      <c r="J615" s="1033"/>
      <c r="K615" s="1035"/>
      <c r="L615" s="1035"/>
      <c r="M615" s="998"/>
      <c r="N615" s="998"/>
    </row>
    <row r="616" spans="1:14" ht="12.75">
      <c r="A616" s="1033"/>
      <c r="B616" s="1033"/>
      <c r="C616" s="1033"/>
      <c r="F616" s="1034"/>
      <c r="G616" s="1033"/>
      <c r="H616" s="1033"/>
      <c r="I616" s="1033"/>
      <c r="J616" s="1033"/>
      <c r="K616" s="1035"/>
      <c r="L616" s="1035"/>
      <c r="M616" s="998"/>
      <c r="N616" s="998"/>
    </row>
    <row r="617" spans="1:14" ht="12.75">
      <c r="A617" s="1033"/>
      <c r="B617" s="1033"/>
      <c r="C617" s="1033"/>
      <c r="F617" s="1034"/>
      <c r="G617" s="1033"/>
      <c r="H617" s="1033"/>
      <c r="I617" s="1033"/>
      <c r="J617" s="1033"/>
      <c r="K617" s="1035"/>
      <c r="L617" s="1035"/>
      <c r="M617" s="998"/>
      <c r="N617" s="998"/>
    </row>
    <row r="618" spans="1:14" ht="12.75">
      <c r="A618" s="1033"/>
      <c r="B618" s="1033"/>
      <c r="C618" s="1033"/>
      <c r="F618" s="1034"/>
      <c r="G618" s="1033"/>
      <c r="H618" s="1033"/>
      <c r="I618" s="1033"/>
      <c r="J618" s="1033"/>
      <c r="K618" s="1035"/>
      <c r="L618" s="1035"/>
      <c r="M618" s="998"/>
      <c r="N618" s="998"/>
    </row>
    <row r="619" spans="1:14" ht="12.75">
      <c r="A619" s="1033"/>
      <c r="B619" s="1033"/>
      <c r="C619" s="1033"/>
      <c r="F619" s="1034"/>
      <c r="G619" s="1033"/>
      <c r="H619" s="1033"/>
      <c r="I619" s="1033"/>
      <c r="J619" s="1033"/>
      <c r="K619" s="1035"/>
      <c r="L619" s="1035"/>
      <c r="M619" s="998"/>
      <c r="N619" s="998"/>
    </row>
    <row r="620" spans="1:14" ht="12.75">
      <c r="A620" s="1033"/>
      <c r="B620" s="1033"/>
      <c r="C620" s="1033"/>
      <c r="F620" s="1034"/>
      <c r="G620" s="1033"/>
      <c r="H620" s="1033"/>
      <c r="I620" s="1033"/>
      <c r="J620" s="1033"/>
      <c r="K620" s="1035"/>
      <c r="L620" s="1035"/>
      <c r="M620" s="998"/>
      <c r="N620" s="998"/>
    </row>
    <row r="621" spans="1:14" ht="12.75">
      <c r="A621" s="1033"/>
      <c r="B621" s="1033"/>
      <c r="C621" s="1033"/>
      <c r="F621" s="1034"/>
      <c r="G621" s="1033"/>
      <c r="H621" s="1033"/>
      <c r="I621" s="1033"/>
      <c r="J621" s="1033"/>
      <c r="K621" s="1035"/>
      <c r="L621" s="1035"/>
      <c r="M621" s="998"/>
      <c r="N621" s="998"/>
    </row>
    <row r="622" spans="1:14" ht="12.75">
      <c r="A622" s="1033"/>
      <c r="B622" s="1033"/>
      <c r="C622" s="1033"/>
      <c r="F622" s="1034"/>
      <c r="G622" s="1033"/>
      <c r="H622" s="1033"/>
      <c r="I622" s="1033"/>
      <c r="J622" s="1033"/>
      <c r="K622" s="1035"/>
      <c r="L622" s="1035"/>
      <c r="M622" s="998"/>
      <c r="N622" s="998"/>
    </row>
    <row r="623" spans="1:14" ht="12.75">
      <c r="A623" s="1033"/>
      <c r="B623" s="1033"/>
      <c r="C623" s="1033"/>
      <c r="F623" s="1034"/>
      <c r="G623" s="1033"/>
      <c r="H623" s="1033"/>
      <c r="I623" s="1033"/>
      <c r="J623" s="1033"/>
      <c r="K623" s="1035"/>
      <c r="L623" s="1035"/>
      <c r="M623" s="998"/>
      <c r="N623" s="998"/>
    </row>
    <row r="624" spans="1:14" ht="12.75">
      <c r="A624" s="1033"/>
      <c r="B624" s="1033"/>
      <c r="C624" s="1033"/>
      <c r="F624" s="1034"/>
      <c r="G624" s="1033"/>
      <c r="H624" s="1033"/>
      <c r="I624" s="1033"/>
      <c r="J624" s="1033"/>
      <c r="K624" s="1035"/>
      <c r="L624" s="1035"/>
      <c r="M624" s="998"/>
      <c r="N624" s="998"/>
    </row>
    <row r="625" spans="1:14" ht="12.75">
      <c r="A625" s="1033"/>
      <c r="B625" s="1033"/>
      <c r="C625" s="1033"/>
      <c r="F625" s="1034"/>
      <c r="G625" s="1033"/>
      <c r="H625" s="1033"/>
      <c r="I625" s="1033"/>
      <c r="J625" s="1033"/>
      <c r="K625" s="1035"/>
      <c r="L625" s="1035"/>
      <c r="M625" s="998"/>
      <c r="N625" s="998"/>
    </row>
    <row r="626" spans="1:14" ht="12.75">
      <c r="A626" s="1033"/>
      <c r="B626" s="1033"/>
      <c r="C626" s="1033"/>
      <c r="F626" s="1034"/>
      <c r="G626" s="1033"/>
      <c r="H626" s="1033"/>
      <c r="I626" s="1033"/>
      <c r="J626" s="1033"/>
      <c r="K626" s="1035"/>
      <c r="L626" s="1035"/>
      <c r="M626" s="998"/>
      <c r="N626" s="998"/>
    </row>
    <row r="627" spans="1:14" ht="12.75">
      <c r="A627" s="1033"/>
      <c r="B627" s="1033"/>
      <c r="C627" s="1033"/>
      <c r="F627" s="1034"/>
      <c r="G627" s="1033"/>
      <c r="H627" s="1033"/>
      <c r="I627" s="1033"/>
      <c r="J627" s="1033"/>
      <c r="K627" s="1035"/>
      <c r="L627" s="1035"/>
      <c r="M627" s="998"/>
      <c r="N627" s="998"/>
    </row>
    <row r="628" spans="1:14" ht="12.75">
      <c r="A628" s="1033"/>
      <c r="B628" s="1033"/>
      <c r="C628" s="1033"/>
      <c r="F628" s="1034"/>
      <c r="G628" s="1033"/>
      <c r="H628" s="1033"/>
      <c r="I628" s="1033"/>
      <c r="J628" s="1033"/>
      <c r="K628" s="1035"/>
      <c r="L628" s="1035"/>
      <c r="M628" s="998"/>
      <c r="N628" s="998"/>
    </row>
    <row r="629" spans="1:14" ht="12.75">
      <c r="A629" s="1033"/>
      <c r="B629" s="1033"/>
      <c r="C629" s="1033"/>
      <c r="F629" s="1034"/>
      <c r="G629" s="1033"/>
      <c r="H629" s="1033"/>
      <c r="I629" s="1033"/>
      <c r="J629" s="1033"/>
      <c r="K629" s="1035"/>
      <c r="L629" s="1035"/>
      <c r="M629" s="998"/>
      <c r="N629" s="998"/>
    </row>
    <row r="630" spans="1:14" ht="12.75">
      <c r="A630" s="1033"/>
      <c r="B630" s="1033"/>
      <c r="C630" s="1033"/>
      <c r="F630" s="1034"/>
      <c r="G630" s="1033"/>
      <c r="H630" s="1033"/>
      <c r="I630" s="1033"/>
      <c r="J630" s="1033"/>
      <c r="K630" s="1035"/>
      <c r="L630" s="1035"/>
      <c r="M630" s="998"/>
      <c r="N630" s="998"/>
    </row>
    <row r="631" spans="1:14" ht="12.75">
      <c r="A631" s="1033"/>
      <c r="B631" s="1033"/>
      <c r="C631" s="1033"/>
      <c r="F631" s="1034"/>
      <c r="G631" s="1033"/>
      <c r="H631" s="1033"/>
      <c r="I631" s="1033"/>
      <c r="J631" s="1033"/>
      <c r="K631" s="1035"/>
      <c r="L631" s="1035"/>
      <c r="M631" s="998"/>
      <c r="N631" s="998"/>
    </row>
    <row r="632" spans="1:14" ht="12.75">
      <c r="A632" s="1033"/>
      <c r="B632" s="1033"/>
      <c r="C632" s="1033"/>
      <c r="F632" s="1034"/>
      <c r="G632" s="1033"/>
      <c r="H632" s="1033"/>
      <c r="I632" s="1033"/>
      <c r="J632" s="1033"/>
      <c r="K632" s="1035"/>
      <c r="L632" s="1035"/>
      <c r="M632" s="998"/>
      <c r="N632" s="998"/>
    </row>
    <row r="633" spans="1:14" ht="12.75">
      <c r="A633" s="1033"/>
      <c r="B633" s="1033"/>
      <c r="C633" s="1033"/>
      <c r="F633" s="1034"/>
      <c r="G633" s="1033"/>
      <c r="H633" s="1033"/>
      <c r="I633" s="1033"/>
      <c r="J633" s="1033"/>
      <c r="K633" s="1035"/>
      <c r="L633" s="1035"/>
      <c r="M633" s="998"/>
      <c r="N633" s="998"/>
    </row>
    <row r="634" spans="1:14" ht="12.75">
      <c r="A634" s="1033"/>
      <c r="B634" s="1033"/>
      <c r="C634" s="1033"/>
      <c r="F634" s="1034"/>
      <c r="G634" s="1033"/>
      <c r="H634" s="1033"/>
      <c r="I634" s="1033"/>
      <c r="J634" s="1033"/>
      <c r="K634" s="1035"/>
      <c r="L634" s="1035"/>
      <c r="M634" s="998"/>
      <c r="N634" s="998"/>
    </row>
    <row r="635" spans="1:14" ht="12.75">
      <c r="A635" s="1033"/>
      <c r="B635" s="1033"/>
      <c r="C635" s="1033"/>
      <c r="F635" s="1034"/>
      <c r="G635" s="1033"/>
      <c r="H635" s="1033"/>
      <c r="I635" s="1033"/>
      <c r="J635" s="1033"/>
      <c r="K635" s="1035"/>
      <c r="L635" s="1035"/>
      <c r="M635" s="998"/>
      <c r="N635" s="998"/>
    </row>
    <row r="636" spans="1:14" ht="12.75">
      <c r="A636" s="1033"/>
      <c r="B636" s="1033"/>
      <c r="C636" s="1033"/>
      <c r="F636" s="1034"/>
      <c r="G636" s="1033"/>
      <c r="H636" s="1033"/>
      <c r="I636" s="1033"/>
      <c r="J636" s="1033"/>
      <c r="K636" s="1035"/>
      <c r="L636" s="1035"/>
      <c r="M636" s="998"/>
      <c r="N636" s="998"/>
    </row>
    <row r="637" spans="1:14" ht="12.75">
      <c r="A637" s="1033"/>
      <c r="B637" s="1033"/>
      <c r="C637" s="1033"/>
      <c r="F637" s="1034"/>
      <c r="G637" s="1033"/>
      <c r="H637" s="1033"/>
      <c r="I637" s="1033"/>
      <c r="J637" s="1033"/>
      <c r="K637" s="1035"/>
      <c r="L637" s="1035"/>
      <c r="M637" s="998"/>
      <c r="N637" s="998"/>
    </row>
    <row r="638" spans="1:14" ht="12.75">
      <c r="A638" s="1033"/>
      <c r="B638" s="1033"/>
      <c r="C638" s="1033"/>
      <c r="F638" s="1034"/>
      <c r="G638" s="1033"/>
      <c r="H638" s="1033"/>
      <c r="I638" s="1033"/>
      <c r="J638" s="1033"/>
      <c r="K638" s="1035"/>
      <c r="L638" s="1035"/>
      <c r="M638" s="998"/>
      <c r="N638" s="998"/>
    </row>
    <row r="639" spans="1:14" ht="12.75">
      <c r="A639" s="1033"/>
      <c r="B639" s="1033"/>
      <c r="C639" s="1033"/>
      <c r="F639" s="1034"/>
      <c r="G639" s="1033"/>
      <c r="H639" s="1033"/>
      <c r="I639" s="1033"/>
      <c r="J639" s="1033"/>
      <c r="K639" s="1035"/>
      <c r="L639" s="1035"/>
      <c r="M639" s="998"/>
      <c r="N639" s="998"/>
    </row>
    <row r="640" spans="1:14" ht="12.75">
      <c r="A640" s="1033"/>
      <c r="B640" s="1033"/>
      <c r="C640" s="1033"/>
      <c r="F640" s="1034"/>
      <c r="G640" s="1033"/>
      <c r="H640" s="1033"/>
      <c r="I640" s="1033"/>
      <c r="J640" s="1033"/>
      <c r="K640" s="1035"/>
      <c r="L640" s="1035"/>
      <c r="M640" s="998"/>
      <c r="N640" s="998"/>
    </row>
    <row r="641" spans="1:14" ht="12.75">
      <c r="A641" s="1033"/>
      <c r="B641" s="1033"/>
      <c r="C641" s="1033"/>
      <c r="F641" s="1034"/>
      <c r="G641" s="1033"/>
      <c r="H641" s="1033"/>
      <c r="I641" s="1033"/>
      <c r="J641" s="1033"/>
      <c r="K641" s="1035"/>
      <c r="L641" s="1035"/>
      <c r="M641" s="998"/>
      <c r="N641" s="998"/>
    </row>
    <row r="642" spans="1:14" ht="12.75">
      <c r="A642" s="1033"/>
      <c r="B642" s="1033"/>
      <c r="C642" s="1033"/>
      <c r="F642" s="1034"/>
      <c r="G642" s="1033"/>
      <c r="H642" s="1033"/>
      <c r="I642" s="1033"/>
      <c r="J642" s="1033"/>
      <c r="K642" s="1035"/>
      <c r="L642" s="1035"/>
      <c r="M642" s="998"/>
      <c r="N642" s="998"/>
    </row>
    <row r="643" spans="1:14" ht="12.75">
      <c r="A643" s="1033"/>
      <c r="B643" s="1033"/>
      <c r="C643" s="1033"/>
      <c r="F643" s="1034"/>
      <c r="G643" s="1033"/>
      <c r="H643" s="1033"/>
      <c r="I643" s="1033"/>
      <c r="J643" s="1033"/>
      <c r="K643" s="1035"/>
      <c r="L643" s="1035"/>
      <c r="M643" s="998"/>
      <c r="N643" s="998"/>
    </row>
    <row r="644" spans="1:14" ht="12.75">
      <c r="A644" s="1033"/>
      <c r="B644" s="1033"/>
      <c r="C644" s="1033"/>
      <c r="F644" s="1034"/>
      <c r="G644" s="1033"/>
      <c r="H644" s="1033"/>
      <c r="I644" s="1033"/>
      <c r="J644" s="1033"/>
      <c r="K644" s="1035"/>
      <c r="L644" s="1035"/>
      <c r="M644" s="998"/>
      <c r="N644" s="998"/>
    </row>
    <row r="645" spans="1:14" ht="12.75">
      <c r="A645" s="1033"/>
      <c r="B645" s="1033"/>
      <c r="C645" s="1033"/>
      <c r="F645" s="1034"/>
      <c r="G645" s="1033"/>
      <c r="H645" s="1033"/>
      <c r="I645" s="1033"/>
      <c r="J645" s="1033"/>
      <c r="K645" s="1035"/>
      <c r="L645" s="1035"/>
      <c r="M645" s="998"/>
      <c r="N645" s="998"/>
    </row>
    <row r="646" spans="1:14" ht="12.75">
      <c r="A646" s="1033"/>
      <c r="B646" s="1033"/>
      <c r="C646" s="1033"/>
      <c r="F646" s="1034"/>
      <c r="G646" s="1033"/>
      <c r="H646" s="1033"/>
      <c r="I646" s="1033"/>
      <c r="J646" s="1033"/>
      <c r="K646" s="1035"/>
      <c r="L646" s="1035"/>
      <c r="M646" s="998"/>
      <c r="N646" s="998"/>
    </row>
    <row r="647" spans="1:14" ht="12.75">
      <c r="A647" s="1033"/>
      <c r="B647" s="1033"/>
      <c r="C647" s="1033"/>
      <c r="F647" s="1034"/>
      <c r="G647" s="1033"/>
      <c r="H647" s="1033"/>
      <c r="I647" s="1033"/>
      <c r="J647" s="1033"/>
      <c r="K647" s="1035"/>
      <c r="L647" s="1035"/>
      <c r="M647" s="998"/>
      <c r="N647" s="998"/>
    </row>
    <row r="648" spans="1:14" ht="12.75">
      <c r="A648" s="1033"/>
      <c r="B648" s="1033"/>
      <c r="C648" s="1033"/>
      <c r="F648" s="1034"/>
      <c r="G648" s="1033"/>
      <c r="H648" s="1033"/>
      <c r="I648" s="1033"/>
      <c r="J648" s="1033"/>
      <c r="K648" s="1035"/>
      <c r="L648" s="1035"/>
      <c r="M648" s="998"/>
      <c r="N648" s="998"/>
    </row>
    <row r="649" spans="1:14" ht="12.75">
      <c r="A649" s="1033"/>
      <c r="B649" s="1033"/>
      <c r="C649" s="1033"/>
      <c r="F649" s="1034"/>
      <c r="G649" s="1033"/>
      <c r="H649" s="1033"/>
      <c r="I649" s="1033"/>
      <c r="J649" s="1033"/>
      <c r="K649" s="1035"/>
      <c r="L649" s="1035"/>
      <c r="M649" s="998"/>
      <c r="N649" s="998"/>
    </row>
    <row r="650" spans="1:14" ht="12.75">
      <c r="A650" s="1033"/>
      <c r="B650" s="1033"/>
      <c r="C650" s="1033"/>
      <c r="F650" s="1034"/>
      <c r="G650" s="1033"/>
      <c r="H650" s="1033"/>
      <c r="I650" s="1033"/>
      <c r="J650" s="1033"/>
      <c r="K650" s="1035"/>
      <c r="L650" s="1035"/>
      <c r="M650" s="998"/>
      <c r="N650" s="998"/>
    </row>
    <row r="651" spans="1:14" ht="12.75">
      <c r="A651" s="1033"/>
      <c r="B651" s="1033"/>
      <c r="C651" s="1033"/>
      <c r="F651" s="1034"/>
      <c r="G651" s="1033"/>
      <c r="H651" s="1033"/>
      <c r="I651" s="1033"/>
      <c r="J651" s="1033"/>
      <c r="K651" s="1035"/>
      <c r="L651" s="1035"/>
      <c r="M651" s="998"/>
      <c r="N651" s="998"/>
    </row>
    <row r="652" spans="1:14" ht="12.75">
      <c r="A652" s="1033"/>
      <c r="B652" s="1033"/>
      <c r="C652" s="1033"/>
      <c r="F652" s="1034"/>
      <c r="G652" s="1033"/>
      <c r="H652" s="1033"/>
      <c r="I652" s="1033"/>
      <c r="J652" s="1033"/>
      <c r="K652" s="1035"/>
      <c r="L652" s="1035"/>
      <c r="M652" s="998"/>
      <c r="N652" s="998"/>
    </row>
    <row r="653" spans="1:14" ht="12.75">
      <c r="A653" s="1033"/>
      <c r="B653" s="1033"/>
      <c r="C653" s="1033"/>
      <c r="F653" s="1034"/>
      <c r="G653" s="1033"/>
      <c r="H653" s="1033"/>
      <c r="I653" s="1033"/>
      <c r="J653" s="1033"/>
      <c r="K653" s="1035"/>
      <c r="L653" s="1035"/>
      <c r="M653" s="998"/>
      <c r="N653" s="998"/>
    </row>
    <row r="654" spans="1:14" ht="12.75">
      <c r="A654" s="1033"/>
      <c r="B654" s="1033"/>
      <c r="C654" s="1033"/>
      <c r="F654" s="1034"/>
      <c r="G654" s="1033"/>
      <c r="H654" s="1033"/>
      <c r="I654" s="1033"/>
      <c r="J654" s="1033"/>
      <c r="K654" s="1035"/>
      <c r="L654" s="1035"/>
      <c r="M654" s="998"/>
      <c r="N654" s="998"/>
    </row>
    <row r="655" spans="1:14" ht="12.75">
      <c r="A655" s="1033"/>
      <c r="B655" s="1033"/>
      <c r="C655" s="1033"/>
      <c r="F655" s="1034"/>
      <c r="G655" s="1033"/>
      <c r="H655" s="1033"/>
      <c r="I655" s="1033"/>
      <c r="J655" s="1033"/>
      <c r="K655" s="1035"/>
      <c r="L655" s="1035"/>
      <c r="M655" s="998"/>
      <c r="N655" s="998"/>
    </row>
    <row r="656" spans="1:14" ht="12.75">
      <c r="A656" s="1033"/>
      <c r="B656" s="1033"/>
      <c r="C656" s="1033"/>
      <c r="F656" s="1034"/>
      <c r="G656" s="1033"/>
      <c r="H656" s="1033"/>
      <c r="I656" s="1033"/>
      <c r="J656" s="1033"/>
      <c r="K656" s="1035"/>
      <c r="L656" s="1035"/>
      <c r="M656" s="998"/>
      <c r="N656" s="998"/>
    </row>
    <row r="657" spans="1:14" ht="12.75">
      <c r="A657" s="1033"/>
      <c r="B657" s="1033"/>
      <c r="C657" s="1033"/>
      <c r="F657" s="1034"/>
      <c r="G657" s="1033"/>
      <c r="H657" s="1033"/>
      <c r="I657" s="1033"/>
      <c r="J657" s="1033"/>
      <c r="K657" s="1035"/>
      <c r="L657" s="1035"/>
      <c r="M657" s="998"/>
      <c r="N657" s="998"/>
    </row>
    <row r="658" spans="1:14" ht="12.75">
      <c r="A658" s="1033"/>
      <c r="B658" s="1033"/>
      <c r="C658" s="1033"/>
      <c r="F658" s="1034"/>
      <c r="G658" s="1033"/>
      <c r="H658" s="1033"/>
      <c r="I658" s="1033"/>
      <c r="J658" s="1033"/>
      <c r="K658" s="1035"/>
      <c r="L658" s="1035"/>
      <c r="M658" s="998"/>
      <c r="N658" s="998"/>
    </row>
    <row r="659" spans="1:14" ht="12.75">
      <c r="A659" s="1033"/>
      <c r="B659" s="1033"/>
      <c r="C659" s="1033"/>
      <c r="F659" s="1034"/>
      <c r="G659" s="1033"/>
      <c r="H659" s="1033"/>
      <c r="I659" s="1033"/>
      <c r="J659" s="1033"/>
      <c r="K659" s="1035"/>
      <c r="L659" s="1035"/>
      <c r="M659" s="998"/>
      <c r="N659" s="998"/>
    </row>
    <row r="660" spans="1:14" ht="12.75">
      <c r="A660" s="1033"/>
      <c r="B660" s="1033"/>
      <c r="C660" s="1033"/>
      <c r="F660" s="1034"/>
      <c r="G660" s="1033"/>
      <c r="H660" s="1033"/>
      <c r="I660" s="1033"/>
      <c r="J660" s="1033"/>
      <c r="K660" s="1035"/>
      <c r="L660" s="1035"/>
      <c r="M660" s="998"/>
      <c r="N660" s="998"/>
    </row>
    <row r="661" spans="1:14" ht="12.75">
      <c r="A661" s="1033"/>
      <c r="B661" s="1033"/>
      <c r="C661" s="1033"/>
      <c r="F661" s="1034"/>
      <c r="G661" s="1033"/>
      <c r="H661" s="1033"/>
      <c r="I661" s="1033"/>
      <c r="J661" s="1033"/>
      <c r="K661" s="1035"/>
      <c r="L661" s="1035"/>
      <c r="M661" s="998"/>
      <c r="N661" s="998"/>
    </row>
    <row r="662" spans="1:14" ht="12.75">
      <c r="A662" s="1033"/>
      <c r="B662" s="1033"/>
      <c r="C662" s="1033"/>
      <c r="F662" s="1034"/>
      <c r="G662" s="1033"/>
      <c r="H662" s="1033"/>
      <c r="I662" s="1033"/>
      <c r="J662" s="1033"/>
      <c r="K662" s="1035"/>
      <c r="L662" s="1035"/>
      <c r="M662" s="998"/>
      <c r="N662" s="998"/>
    </row>
    <row r="663" spans="1:14" ht="12.75">
      <c r="A663" s="1033"/>
      <c r="B663" s="1033"/>
      <c r="C663" s="1033"/>
      <c r="F663" s="1034"/>
      <c r="G663" s="1033"/>
      <c r="H663" s="1033"/>
      <c r="I663" s="1033"/>
      <c r="J663" s="1033"/>
      <c r="K663" s="1035"/>
      <c r="L663" s="1035"/>
      <c r="M663" s="998"/>
      <c r="N663" s="998"/>
    </row>
    <row r="664" spans="1:14" ht="12.75">
      <c r="A664" s="1033"/>
      <c r="B664" s="1033"/>
      <c r="C664" s="1033"/>
      <c r="F664" s="1034"/>
      <c r="G664" s="1033"/>
      <c r="H664" s="1033"/>
      <c r="I664" s="1033"/>
      <c r="J664" s="1033"/>
      <c r="K664" s="1035"/>
      <c r="L664" s="1035"/>
      <c r="M664" s="998"/>
      <c r="N664" s="998"/>
    </row>
    <row r="665" spans="1:14" ht="12.75">
      <c r="A665" s="1033"/>
      <c r="B665" s="1033"/>
      <c r="C665" s="1033"/>
      <c r="F665" s="1034"/>
      <c r="G665" s="1033"/>
      <c r="H665" s="1033"/>
      <c r="I665" s="1033"/>
      <c r="J665" s="1033"/>
      <c r="K665" s="1035"/>
      <c r="L665" s="1035"/>
      <c r="M665" s="998"/>
      <c r="N665" s="998"/>
    </row>
    <row r="666" spans="1:14" ht="12.75">
      <c r="A666" s="1033"/>
      <c r="B666" s="1033"/>
      <c r="C666" s="1033"/>
      <c r="F666" s="1034"/>
      <c r="G666" s="1033"/>
      <c r="H666" s="1033"/>
      <c r="I666" s="1033"/>
      <c r="J666" s="1033"/>
      <c r="K666" s="1035"/>
      <c r="L666" s="1035"/>
      <c r="M666" s="998"/>
      <c r="N666" s="998"/>
    </row>
    <row r="667" spans="1:14" ht="12.75">
      <c r="A667" s="1033"/>
      <c r="B667" s="1033"/>
      <c r="C667" s="1033"/>
      <c r="F667" s="1034"/>
      <c r="G667" s="1033"/>
      <c r="H667" s="1033"/>
      <c r="I667" s="1033"/>
      <c r="J667" s="1033"/>
      <c r="K667" s="1035"/>
      <c r="L667" s="1035"/>
      <c r="M667" s="998"/>
      <c r="N667" s="998"/>
    </row>
    <row r="668" spans="1:14" ht="12.75">
      <c r="A668" s="1033"/>
      <c r="B668" s="1033"/>
      <c r="C668" s="1033"/>
      <c r="F668" s="1034"/>
      <c r="G668" s="1033"/>
      <c r="H668" s="1033"/>
      <c r="I668" s="1033"/>
      <c r="J668" s="1033"/>
      <c r="K668" s="1035"/>
      <c r="L668" s="1035"/>
      <c r="M668" s="998"/>
      <c r="N668" s="998"/>
    </row>
    <row r="669" spans="1:14" ht="12.75">
      <c r="A669" s="1033"/>
      <c r="B669" s="1033"/>
      <c r="C669" s="1033"/>
      <c r="F669" s="1034"/>
      <c r="G669" s="1033"/>
      <c r="H669" s="1033"/>
      <c r="I669" s="1033"/>
      <c r="J669" s="1033"/>
      <c r="K669" s="1035"/>
      <c r="L669" s="1035"/>
      <c r="M669" s="998"/>
      <c r="N669" s="998"/>
    </row>
    <row r="670" spans="1:14" ht="12.75">
      <c r="A670" s="1033"/>
      <c r="B670" s="1033"/>
      <c r="C670" s="1033"/>
      <c r="F670" s="1034"/>
      <c r="G670" s="1033"/>
      <c r="H670" s="1033"/>
      <c r="I670" s="1033"/>
      <c r="J670" s="1033"/>
      <c r="K670" s="1035"/>
      <c r="L670" s="1035"/>
      <c r="M670" s="998"/>
      <c r="N670" s="998"/>
    </row>
    <row r="671" spans="1:14" ht="12.75">
      <c r="A671" s="1033"/>
      <c r="B671" s="1033"/>
      <c r="C671" s="1033"/>
      <c r="F671" s="1034"/>
      <c r="G671" s="1033"/>
      <c r="H671" s="1033"/>
      <c r="I671" s="1033"/>
      <c r="J671" s="1033"/>
      <c r="K671" s="1035"/>
      <c r="L671" s="1035"/>
      <c r="M671" s="998"/>
      <c r="N671" s="998"/>
    </row>
    <row r="672" spans="1:14" ht="12.75">
      <c r="A672" s="1033"/>
      <c r="B672" s="1033"/>
      <c r="C672" s="1033"/>
      <c r="F672" s="1034"/>
      <c r="G672" s="1033"/>
      <c r="H672" s="1033"/>
      <c r="I672" s="1033"/>
      <c r="J672" s="1033"/>
      <c r="K672" s="1035"/>
      <c r="L672" s="1035"/>
      <c r="M672" s="998"/>
      <c r="N672" s="998"/>
    </row>
    <row r="673" spans="1:14" ht="12.75">
      <c r="A673" s="1033"/>
      <c r="B673" s="1033"/>
      <c r="C673" s="1033"/>
      <c r="F673" s="1034"/>
      <c r="G673" s="1033"/>
      <c r="H673" s="1033"/>
      <c r="I673" s="1033"/>
      <c r="J673" s="1033"/>
      <c r="K673" s="1035"/>
      <c r="L673" s="1035"/>
      <c r="M673" s="998"/>
      <c r="N673" s="998"/>
    </row>
    <row r="674" spans="1:14" ht="12.75">
      <c r="A674" s="1033"/>
      <c r="B674" s="1033"/>
      <c r="C674" s="1033"/>
      <c r="F674" s="1034"/>
      <c r="G674" s="1033"/>
      <c r="H674" s="1033"/>
      <c r="I674" s="1033"/>
      <c r="J674" s="1033"/>
      <c r="K674" s="1035"/>
      <c r="L674" s="1035"/>
      <c r="M674" s="998"/>
      <c r="N674" s="998"/>
    </row>
    <row r="675" spans="1:14" ht="12.75">
      <c r="A675" s="1033"/>
      <c r="B675" s="1033"/>
      <c r="C675" s="1033"/>
      <c r="F675" s="1034"/>
      <c r="G675" s="1033"/>
      <c r="H675" s="1033"/>
      <c r="I675" s="1033"/>
      <c r="J675" s="1033"/>
      <c r="K675" s="1035"/>
      <c r="L675" s="1035"/>
      <c r="M675" s="998"/>
      <c r="N675" s="998"/>
    </row>
    <row r="676" spans="1:14" ht="12.75">
      <c r="A676" s="1033"/>
      <c r="B676" s="1033"/>
      <c r="C676" s="1033"/>
      <c r="F676" s="1034"/>
      <c r="G676" s="1033"/>
      <c r="H676" s="1033"/>
      <c r="I676" s="1033"/>
      <c r="J676" s="1033"/>
      <c r="K676" s="1035"/>
      <c r="L676" s="1035"/>
      <c r="M676" s="998"/>
      <c r="N676" s="998"/>
    </row>
    <row r="677" spans="1:14" ht="12.75">
      <c r="A677" s="1033"/>
      <c r="B677" s="1033"/>
      <c r="C677" s="1033"/>
      <c r="F677" s="1034"/>
      <c r="G677" s="1033"/>
      <c r="H677" s="1033"/>
      <c r="I677" s="1033"/>
      <c r="J677" s="1033"/>
      <c r="K677" s="1035"/>
      <c r="L677" s="1035"/>
      <c r="M677" s="998"/>
      <c r="N677" s="998"/>
    </row>
    <row r="678" spans="1:14" ht="12.75">
      <c r="A678" s="1033"/>
      <c r="B678" s="1033"/>
      <c r="C678" s="1033"/>
      <c r="F678" s="1034"/>
      <c r="G678" s="1033"/>
      <c r="H678" s="1033"/>
      <c r="I678" s="1033"/>
      <c r="J678" s="1033"/>
      <c r="K678" s="1035"/>
      <c r="L678" s="1035"/>
      <c r="M678" s="998"/>
      <c r="N678" s="998"/>
    </row>
    <row r="679" spans="1:14" ht="12.75">
      <c r="A679" s="1033"/>
      <c r="B679" s="1033"/>
      <c r="C679" s="1033"/>
      <c r="F679" s="1034"/>
      <c r="G679" s="1033"/>
      <c r="H679" s="1033"/>
      <c r="I679" s="1033"/>
      <c r="J679" s="1033"/>
      <c r="K679" s="1035"/>
      <c r="L679" s="1035"/>
      <c r="M679" s="998"/>
      <c r="N679" s="998"/>
    </row>
    <row r="680" spans="1:14" ht="12.75">
      <c r="A680" s="1033"/>
      <c r="B680" s="1033"/>
      <c r="C680" s="1033"/>
      <c r="F680" s="1034"/>
      <c r="G680" s="1033"/>
      <c r="H680" s="1033"/>
      <c r="I680" s="1033"/>
      <c r="J680" s="1033"/>
      <c r="K680" s="1035"/>
      <c r="L680" s="1035"/>
      <c r="M680" s="998"/>
      <c r="N680" s="998"/>
    </row>
    <row r="681" spans="1:14" ht="12.75">
      <c r="A681" s="1033"/>
      <c r="B681" s="1033"/>
      <c r="C681" s="1033"/>
      <c r="F681" s="1034"/>
      <c r="G681" s="1033"/>
      <c r="H681" s="1033"/>
      <c r="I681" s="1033"/>
      <c r="J681" s="1033"/>
      <c r="K681" s="1035"/>
      <c r="L681" s="1035"/>
      <c r="M681" s="998"/>
      <c r="N681" s="998"/>
    </row>
    <row r="682" spans="1:14" ht="12.75">
      <c r="A682" s="1033"/>
      <c r="B682" s="1033"/>
      <c r="C682" s="1033"/>
      <c r="F682" s="1034"/>
      <c r="G682" s="1033"/>
      <c r="H682" s="1033"/>
      <c r="I682" s="1033"/>
      <c r="J682" s="1033"/>
      <c r="K682" s="1035"/>
      <c r="L682" s="1035"/>
      <c r="M682" s="998"/>
      <c r="N682" s="998"/>
    </row>
    <row r="683" spans="1:14" ht="12.75">
      <c r="A683" s="1033"/>
      <c r="B683" s="1033"/>
      <c r="C683" s="1033"/>
      <c r="F683" s="1034"/>
      <c r="G683" s="1033"/>
      <c r="H683" s="1033"/>
      <c r="I683" s="1033"/>
      <c r="J683" s="1033"/>
      <c r="K683" s="1035"/>
      <c r="L683" s="1035"/>
      <c r="M683" s="998"/>
      <c r="N683" s="998"/>
    </row>
    <row r="684" spans="1:14" ht="12.75">
      <c r="A684" s="1033"/>
      <c r="B684" s="1033"/>
      <c r="C684" s="1033"/>
      <c r="F684" s="1034"/>
      <c r="G684" s="1033"/>
      <c r="H684" s="1033"/>
      <c r="I684" s="1033"/>
      <c r="J684" s="1033"/>
      <c r="K684" s="1035"/>
      <c r="L684" s="1035"/>
      <c r="M684" s="998"/>
      <c r="N684" s="998"/>
    </row>
    <row r="685" spans="1:14" ht="12.75">
      <c r="A685" s="1033"/>
      <c r="B685" s="1033"/>
      <c r="C685" s="1033"/>
      <c r="F685" s="1034"/>
      <c r="G685" s="1033"/>
      <c r="H685" s="1033"/>
      <c r="I685" s="1033"/>
      <c r="J685" s="1033"/>
      <c r="K685" s="1035"/>
      <c r="L685" s="1035"/>
      <c r="M685" s="998"/>
      <c r="N685" s="998"/>
    </row>
    <row r="686" spans="1:14" ht="12.75">
      <c r="A686" s="1033"/>
      <c r="B686" s="1033"/>
      <c r="C686" s="1033"/>
      <c r="F686" s="1034"/>
      <c r="G686" s="1033"/>
      <c r="H686" s="1033"/>
      <c r="I686" s="1033"/>
      <c r="J686" s="1033"/>
      <c r="K686" s="1035"/>
      <c r="L686" s="1035"/>
      <c r="M686" s="998"/>
      <c r="N686" s="998"/>
    </row>
    <row r="687" spans="1:14" ht="12.75">
      <c r="A687" s="1033"/>
      <c r="B687" s="1033"/>
      <c r="C687" s="1033"/>
      <c r="F687" s="1034"/>
      <c r="G687" s="1033"/>
      <c r="H687" s="1033"/>
      <c r="I687" s="1033"/>
      <c r="J687" s="1033"/>
      <c r="K687" s="1035"/>
      <c r="L687" s="1035"/>
      <c r="M687" s="998"/>
      <c r="N687" s="998"/>
    </row>
    <row r="688" spans="1:14" ht="12.75">
      <c r="A688" s="1033"/>
      <c r="B688" s="1033"/>
      <c r="C688" s="1033"/>
      <c r="F688" s="1034"/>
      <c r="G688" s="1033"/>
      <c r="H688" s="1033"/>
      <c r="I688" s="1033"/>
      <c r="J688" s="1033"/>
      <c r="K688" s="1035"/>
      <c r="L688" s="1035"/>
      <c r="M688" s="998"/>
      <c r="N688" s="998"/>
    </row>
    <row r="689" spans="1:14" ht="12.75">
      <c r="A689" s="1033"/>
      <c r="B689" s="1033"/>
      <c r="C689" s="1033"/>
      <c r="F689" s="1034"/>
      <c r="G689" s="1033"/>
      <c r="H689" s="1033"/>
      <c r="I689" s="1033"/>
      <c r="J689" s="1033"/>
      <c r="K689" s="1035"/>
      <c r="L689" s="1035"/>
      <c r="M689" s="998"/>
      <c r="N689" s="998"/>
    </row>
    <row r="690" spans="1:14" ht="12.75">
      <c r="A690" s="1033"/>
      <c r="B690" s="1033"/>
      <c r="C690" s="1033"/>
      <c r="F690" s="1034"/>
      <c r="G690" s="1033"/>
      <c r="H690" s="1033"/>
      <c r="I690" s="1033"/>
      <c r="J690" s="1033"/>
      <c r="K690" s="1035"/>
      <c r="L690" s="1035"/>
      <c r="M690" s="998"/>
      <c r="N690" s="998"/>
    </row>
    <row r="691" spans="1:14" ht="12.75">
      <c r="A691" s="1033"/>
      <c r="B691" s="1033"/>
      <c r="C691" s="1033"/>
      <c r="F691" s="1034"/>
      <c r="G691" s="1033"/>
      <c r="H691" s="1033"/>
      <c r="I691" s="1033"/>
      <c r="J691" s="1033"/>
      <c r="K691" s="1035"/>
      <c r="L691" s="1035"/>
      <c r="M691" s="998"/>
      <c r="N691" s="998"/>
    </row>
    <row r="692" spans="1:14" ht="12.75">
      <c r="A692" s="1033"/>
      <c r="B692" s="1033"/>
      <c r="C692" s="1033"/>
      <c r="F692" s="1034"/>
      <c r="G692" s="1033"/>
      <c r="H692" s="1033"/>
      <c r="I692" s="1033"/>
      <c r="J692" s="1033"/>
      <c r="K692" s="1035"/>
      <c r="L692" s="1035"/>
      <c r="M692" s="998"/>
      <c r="N692" s="998"/>
    </row>
    <row r="693" spans="1:14" ht="12.75">
      <c r="A693" s="1033"/>
      <c r="B693" s="1033"/>
      <c r="C693" s="1033"/>
      <c r="F693" s="1034"/>
      <c r="G693" s="1033"/>
      <c r="H693" s="1033"/>
      <c r="I693" s="1033"/>
      <c r="J693" s="1033"/>
      <c r="K693" s="1035"/>
      <c r="L693" s="1035"/>
      <c r="M693" s="998"/>
      <c r="N693" s="998"/>
    </row>
    <row r="694" spans="1:14" ht="12.75">
      <c r="A694" s="1033"/>
      <c r="B694" s="1033"/>
      <c r="C694" s="1033"/>
      <c r="F694" s="1034"/>
      <c r="G694" s="1033"/>
      <c r="H694" s="1033"/>
      <c r="I694" s="1033"/>
      <c r="J694" s="1033"/>
      <c r="K694" s="1035"/>
      <c r="L694" s="1035"/>
      <c r="M694" s="998"/>
      <c r="N694" s="998"/>
    </row>
    <row r="695" spans="1:14" ht="12.75">
      <c r="A695" s="1033"/>
      <c r="B695" s="1033"/>
      <c r="C695" s="1033"/>
      <c r="F695" s="1034"/>
      <c r="G695" s="1033"/>
      <c r="H695" s="1033"/>
      <c r="I695" s="1033"/>
      <c r="J695" s="1033"/>
      <c r="K695" s="1035"/>
      <c r="L695" s="1035"/>
      <c r="M695" s="998"/>
      <c r="N695" s="998"/>
    </row>
    <row r="696" spans="1:14" ht="12.75">
      <c r="A696" s="1033"/>
      <c r="B696" s="1033"/>
      <c r="C696" s="1033"/>
      <c r="F696" s="1034"/>
      <c r="G696" s="1033"/>
      <c r="H696" s="1033"/>
      <c r="I696" s="1033"/>
      <c r="J696" s="1033"/>
      <c r="K696" s="1035"/>
      <c r="L696" s="1035"/>
      <c r="M696" s="998"/>
      <c r="N696" s="998"/>
    </row>
    <row r="697" spans="1:14" ht="12.75">
      <c r="A697" s="1033"/>
      <c r="B697" s="1033"/>
      <c r="C697" s="1033"/>
      <c r="F697" s="1034"/>
      <c r="G697" s="1033"/>
      <c r="H697" s="1033"/>
      <c r="I697" s="1033"/>
      <c r="J697" s="1033"/>
      <c r="K697" s="1035"/>
      <c r="L697" s="1035"/>
      <c r="M697" s="998"/>
      <c r="N697" s="998"/>
    </row>
    <row r="698" spans="1:14" ht="12.75">
      <c r="A698" s="1033"/>
      <c r="B698" s="1033"/>
      <c r="C698" s="1033"/>
      <c r="F698" s="1034"/>
      <c r="G698" s="1033"/>
      <c r="H698" s="1033"/>
      <c r="I698" s="1033"/>
      <c r="J698" s="1033"/>
      <c r="K698" s="1035"/>
      <c r="L698" s="1035"/>
      <c r="M698" s="998"/>
      <c r="N698" s="998"/>
    </row>
    <row r="699" spans="1:14" ht="12.75">
      <c r="A699" s="1033"/>
      <c r="B699" s="1033"/>
      <c r="C699" s="1033"/>
      <c r="F699" s="1034"/>
      <c r="G699" s="1033"/>
      <c r="H699" s="1033"/>
      <c r="I699" s="1033"/>
      <c r="J699" s="1033"/>
      <c r="K699" s="1035"/>
      <c r="L699" s="1035"/>
      <c r="M699" s="998"/>
      <c r="N699" s="998"/>
    </row>
    <row r="700" spans="1:14" ht="12.75">
      <c r="A700" s="1033"/>
      <c r="B700" s="1033"/>
      <c r="C700" s="1033"/>
      <c r="F700" s="1034"/>
      <c r="G700" s="1033"/>
      <c r="H700" s="1033"/>
      <c r="I700" s="1033"/>
      <c r="J700" s="1033"/>
      <c r="K700" s="1035"/>
      <c r="L700" s="1035"/>
      <c r="M700" s="998"/>
      <c r="N700" s="998"/>
    </row>
    <row r="701" spans="1:14" ht="12.75">
      <c r="A701" s="1033"/>
      <c r="B701" s="1033"/>
      <c r="C701" s="1033"/>
      <c r="F701" s="1034"/>
      <c r="G701" s="1033"/>
      <c r="H701" s="1033"/>
      <c r="I701" s="1033"/>
      <c r="J701" s="1033"/>
      <c r="K701" s="1035"/>
      <c r="L701" s="1035"/>
      <c r="M701" s="998"/>
      <c r="N701" s="998"/>
    </row>
    <row r="702" spans="1:14" ht="12.75">
      <c r="A702" s="1033"/>
      <c r="B702" s="1033"/>
      <c r="C702" s="1033"/>
      <c r="F702" s="1034"/>
      <c r="G702" s="1033"/>
      <c r="H702" s="1033"/>
      <c r="I702" s="1033"/>
      <c r="J702" s="1033"/>
      <c r="K702" s="1035"/>
      <c r="L702" s="1035"/>
      <c r="M702" s="998"/>
      <c r="N702" s="998"/>
    </row>
    <row r="703" spans="1:14" ht="12.75">
      <c r="A703" s="1033"/>
      <c r="B703" s="1033"/>
      <c r="C703" s="1033"/>
      <c r="F703" s="1034"/>
      <c r="G703" s="1033"/>
      <c r="H703" s="1033"/>
      <c r="I703" s="1033"/>
      <c r="J703" s="1033"/>
      <c r="K703" s="1035"/>
      <c r="L703" s="1035"/>
      <c r="M703" s="998"/>
      <c r="N703" s="998"/>
    </row>
    <row r="704" spans="1:14" ht="12.75">
      <c r="A704" s="1033"/>
      <c r="B704" s="1033"/>
      <c r="C704" s="1033"/>
      <c r="F704" s="1034"/>
      <c r="G704" s="1033"/>
      <c r="H704" s="1033"/>
      <c r="I704" s="1033"/>
      <c r="J704" s="1033"/>
      <c r="K704" s="1035"/>
      <c r="L704" s="1035"/>
      <c r="M704" s="998"/>
      <c r="N704" s="998"/>
    </row>
    <row r="705" spans="1:14" ht="12.75">
      <c r="A705" s="1033"/>
      <c r="B705" s="1033"/>
      <c r="C705" s="1033"/>
      <c r="F705" s="1034"/>
      <c r="G705" s="1033"/>
      <c r="H705" s="1033"/>
      <c r="I705" s="1033"/>
      <c r="J705" s="1033"/>
      <c r="K705" s="1035"/>
      <c r="L705" s="1035"/>
      <c r="M705" s="998"/>
      <c r="N705" s="998"/>
    </row>
    <row r="706" spans="1:14" ht="12.75">
      <c r="A706" s="1033"/>
      <c r="B706" s="1033"/>
      <c r="C706" s="1033"/>
      <c r="F706" s="1034"/>
      <c r="G706" s="1033"/>
      <c r="H706" s="1033"/>
      <c r="I706" s="1033"/>
      <c r="J706" s="1033"/>
      <c r="K706" s="1035"/>
      <c r="L706" s="1035"/>
      <c r="M706" s="998"/>
      <c r="N706" s="998"/>
    </row>
    <row r="707" spans="1:14" ht="12.75">
      <c r="A707" s="1033"/>
      <c r="B707" s="1033"/>
      <c r="C707" s="1033"/>
      <c r="F707" s="1034"/>
      <c r="G707" s="1033"/>
      <c r="H707" s="1033"/>
      <c r="I707" s="1033"/>
      <c r="J707" s="1033"/>
      <c r="K707" s="1035"/>
      <c r="L707" s="1035"/>
      <c r="M707" s="998"/>
      <c r="N707" s="998"/>
    </row>
    <row r="708" spans="1:14" ht="12.75">
      <c r="A708" s="1033"/>
      <c r="B708" s="1033"/>
      <c r="C708" s="1033"/>
      <c r="F708" s="1034"/>
      <c r="G708" s="1033"/>
      <c r="H708" s="1033"/>
      <c r="I708" s="1033"/>
      <c r="J708" s="1033"/>
      <c r="K708" s="1035"/>
      <c r="L708" s="1035"/>
      <c r="M708" s="998"/>
      <c r="N708" s="998"/>
    </row>
    <row r="709" spans="1:14" ht="12.75">
      <c r="A709" s="1033"/>
      <c r="B709" s="1033"/>
      <c r="C709" s="1033"/>
      <c r="F709" s="1034"/>
      <c r="G709" s="1033"/>
      <c r="H709" s="1033"/>
      <c r="I709" s="1033"/>
      <c r="J709" s="1033"/>
      <c r="K709" s="1035"/>
      <c r="L709" s="1035"/>
      <c r="M709" s="998"/>
      <c r="N709" s="998"/>
    </row>
    <row r="710" spans="1:14" ht="12.75">
      <c r="A710" s="1033"/>
      <c r="B710" s="1033"/>
      <c r="C710" s="1033"/>
      <c r="F710" s="1034"/>
      <c r="G710" s="1033"/>
      <c r="H710" s="1033"/>
      <c r="I710" s="1033"/>
      <c r="J710" s="1033"/>
      <c r="K710" s="1035"/>
      <c r="L710" s="1035"/>
      <c r="M710" s="998"/>
      <c r="N710" s="998"/>
    </row>
    <row r="711" spans="1:14" ht="12.75">
      <c r="A711" s="1033"/>
      <c r="B711" s="1033"/>
      <c r="C711" s="1033"/>
      <c r="F711" s="1034"/>
      <c r="G711" s="1033"/>
      <c r="H711" s="1033"/>
      <c r="I711" s="1033"/>
      <c r="J711" s="1033"/>
      <c r="K711" s="1035"/>
      <c r="L711" s="1035"/>
      <c r="M711" s="998"/>
      <c r="N711" s="998"/>
    </row>
    <row r="712" spans="1:14" ht="12.75">
      <c r="A712" s="1033"/>
      <c r="B712" s="1033"/>
      <c r="C712" s="1033"/>
      <c r="F712" s="1034"/>
      <c r="G712" s="1033"/>
      <c r="H712" s="1033"/>
      <c r="I712" s="1033"/>
      <c r="J712" s="1033"/>
      <c r="K712" s="1035"/>
      <c r="L712" s="1035"/>
      <c r="M712" s="998"/>
      <c r="N712" s="998"/>
    </row>
    <row r="713" spans="1:14" ht="12.75">
      <c r="A713" s="1033"/>
      <c r="B713" s="1033"/>
      <c r="C713" s="1033"/>
      <c r="F713" s="1034"/>
      <c r="G713" s="1033"/>
      <c r="H713" s="1033"/>
      <c r="I713" s="1033"/>
      <c r="J713" s="1033"/>
      <c r="K713" s="1035"/>
      <c r="L713" s="1035"/>
      <c r="M713" s="998"/>
      <c r="N713" s="998"/>
    </row>
    <row r="714" spans="1:14" ht="12.75">
      <c r="A714" s="1033"/>
      <c r="B714" s="1033"/>
      <c r="C714" s="1033"/>
      <c r="F714" s="1034"/>
      <c r="G714" s="1033"/>
      <c r="H714" s="1033"/>
      <c r="I714" s="1033"/>
      <c r="J714" s="1033"/>
      <c r="K714" s="1035"/>
      <c r="L714" s="1035"/>
      <c r="M714" s="998"/>
      <c r="N714" s="998"/>
    </row>
    <row r="715" spans="1:14" ht="12.75">
      <c r="A715" s="1033"/>
      <c r="B715" s="1033"/>
      <c r="C715" s="1033"/>
      <c r="F715" s="1034"/>
      <c r="G715" s="1033"/>
      <c r="H715" s="1033"/>
      <c r="I715" s="1033"/>
      <c r="J715" s="1033"/>
      <c r="K715" s="1035"/>
      <c r="L715" s="1035"/>
      <c r="M715" s="998"/>
      <c r="N715" s="998"/>
    </row>
    <row r="716" spans="1:14" ht="12.75">
      <c r="A716" s="1033"/>
      <c r="B716" s="1033"/>
      <c r="C716" s="1033"/>
      <c r="F716" s="1034"/>
      <c r="G716" s="1033"/>
      <c r="H716" s="1033"/>
      <c r="I716" s="1033"/>
      <c r="J716" s="1033"/>
      <c r="K716" s="1035"/>
      <c r="L716" s="1035"/>
      <c r="M716" s="998"/>
      <c r="N716" s="998"/>
    </row>
    <row r="717" spans="1:14" ht="12.75">
      <c r="A717" s="1033"/>
      <c r="B717" s="1033"/>
      <c r="C717" s="1033"/>
      <c r="F717" s="1034"/>
      <c r="G717" s="1033"/>
      <c r="H717" s="1033"/>
      <c r="I717" s="1033"/>
      <c r="J717" s="1033"/>
      <c r="K717" s="1035"/>
      <c r="L717" s="1035"/>
      <c r="M717" s="998"/>
      <c r="N717" s="998"/>
    </row>
    <row r="718" spans="1:14" ht="12.75">
      <c r="A718" s="1033"/>
      <c r="B718" s="1033"/>
      <c r="C718" s="1033"/>
      <c r="F718" s="1034"/>
      <c r="G718" s="1033"/>
      <c r="H718" s="1033"/>
      <c r="I718" s="1033"/>
      <c r="J718" s="1033"/>
      <c r="K718" s="1035"/>
      <c r="L718" s="1035"/>
      <c r="M718" s="998"/>
      <c r="N718" s="998"/>
    </row>
    <row r="719" spans="1:14" ht="12.75">
      <c r="A719" s="1033"/>
      <c r="B719" s="1033"/>
      <c r="C719" s="1033"/>
      <c r="F719" s="1034"/>
      <c r="G719" s="1033"/>
      <c r="H719" s="1033"/>
      <c r="I719" s="1033"/>
      <c r="J719" s="1033"/>
      <c r="K719" s="1035"/>
      <c r="L719" s="1035"/>
      <c r="M719" s="998"/>
      <c r="N719" s="998"/>
    </row>
    <row r="720" spans="1:14" ht="12.75">
      <c r="A720" s="1033"/>
      <c r="B720" s="1033"/>
      <c r="C720" s="1033"/>
      <c r="F720" s="1034"/>
      <c r="G720" s="1033"/>
      <c r="H720" s="1033"/>
      <c r="I720" s="1033"/>
      <c r="J720" s="1033"/>
      <c r="K720" s="1035"/>
      <c r="L720" s="1035"/>
      <c r="M720" s="998"/>
      <c r="N720" s="998"/>
    </row>
    <row r="721" spans="1:14" ht="12.75">
      <c r="A721" s="1033"/>
      <c r="B721" s="1033"/>
      <c r="C721" s="1033"/>
      <c r="F721" s="1034"/>
      <c r="G721" s="1033"/>
      <c r="H721" s="1033"/>
      <c r="I721" s="1033"/>
      <c r="J721" s="1033"/>
      <c r="K721" s="1035"/>
      <c r="L721" s="1035"/>
      <c r="M721" s="998"/>
      <c r="N721" s="998"/>
    </row>
    <row r="722" spans="1:14" ht="12.75">
      <c r="A722" s="1033"/>
      <c r="B722" s="1033"/>
      <c r="C722" s="1033"/>
      <c r="F722" s="1034"/>
      <c r="G722" s="1033"/>
      <c r="H722" s="1033"/>
      <c r="I722" s="1033"/>
      <c r="J722" s="1033"/>
      <c r="K722" s="1035"/>
      <c r="L722" s="1035"/>
      <c r="M722" s="998"/>
      <c r="N722" s="998"/>
    </row>
    <row r="723" spans="1:14" ht="12.75">
      <c r="A723" s="1033"/>
      <c r="B723" s="1033"/>
      <c r="C723" s="1033"/>
      <c r="F723" s="1034"/>
      <c r="G723" s="1033"/>
      <c r="H723" s="1033"/>
      <c r="I723" s="1033"/>
      <c r="J723" s="1033"/>
      <c r="K723" s="1035"/>
      <c r="L723" s="1035"/>
      <c r="M723" s="998"/>
      <c r="N723" s="998"/>
    </row>
    <row r="724" spans="1:14" ht="12.75">
      <c r="A724" s="1033"/>
      <c r="B724" s="1033"/>
      <c r="C724" s="1033"/>
      <c r="F724" s="1034"/>
      <c r="G724" s="1033"/>
      <c r="H724" s="1033"/>
      <c r="I724" s="1033"/>
      <c r="J724" s="1033"/>
      <c r="K724" s="1035"/>
      <c r="L724" s="1035"/>
      <c r="M724" s="998"/>
      <c r="N724" s="998"/>
    </row>
    <row r="725" spans="1:14" ht="12.75">
      <c r="A725" s="1033"/>
      <c r="B725" s="1033"/>
      <c r="C725" s="1033"/>
      <c r="F725" s="1034"/>
      <c r="G725" s="1033"/>
      <c r="H725" s="1033"/>
      <c r="I725" s="1033"/>
      <c r="J725" s="1033"/>
      <c r="K725" s="1035"/>
      <c r="L725" s="1035"/>
      <c r="M725" s="998"/>
      <c r="N725" s="998"/>
    </row>
    <row r="726" spans="1:14" ht="12.75">
      <c r="A726" s="1033"/>
      <c r="B726" s="1033"/>
      <c r="C726" s="1033"/>
      <c r="F726" s="1034"/>
      <c r="G726" s="1033"/>
      <c r="H726" s="1033"/>
      <c r="I726" s="1033"/>
      <c r="J726" s="1033"/>
      <c r="K726" s="1035"/>
      <c r="L726" s="1035"/>
      <c r="M726" s="998"/>
      <c r="N726" s="998"/>
    </row>
    <row r="727" spans="1:14" ht="12.75">
      <c r="A727" s="1033"/>
      <c r="B727" s="1033"/>
      <c r="C727" s="1033"/>
      <c r="F727" s="1034"/>
      <c r="G727" s="1033"/>
      <c r="H727" s="1033"/>
      <c r="I727" s="1033"/>
      <c r="J727" s="1033"/>
      <c r="K727" s="1035"/>
      <c r="L727" s="1035"/>
      <c r="M727" s="998"/>
      <c r="N727" s="998"/>
    </row>
    <row r="728" spans="1:14" ht="12.75">
      <c r="A728" s="1033"/>
      <c r="B728" s="1033"/>
      <c r="C728" s="1033"/>
      <c r="F728" s="1034"/>
      <c r="G728" s="1033"/>
      <c r="H728" s="1033"/>
      <c r="I728" s="1033"/>
      <c r="J728" s="1033"/>
      <c r="K728" s="1035"/>
      <c r="L728" s="1035"/>
      <c r="M728" s="998"/>
      <c r="N728" s="998"/>
    </row>
    <row r="729" spans="1:14" ht="12.75">
      <c r="A729" s="1033"/>
      <c r="B729" s="1033"/>
      <c r="C729" s="1033"/>
      <c r="F729" s="1034"/>
      <c r="G729" s="1033"/>
      <c r="H729" s="1033"/>
      <c r="I729" s="1033"/>
      <c r="J729" s="1033"/>
      <c r="K729" s="1035"/>
      <c r="L729" s="1035"/>
      <c r="M729" s="998"/>
      <c r="N729" s="998"/>
    </row>
    <row r="730" spans="1:14" ht="12.75">
      <c r="A730" s="1033"/>
      <c r="B730" s="1033"/>
      <c r="C730" s="1033"/>
      <c r="F730" s="1034"/>
      <c r="G730" s="1033"/>
      <c r="H730" s="1033"/>
      <c r="I730" s="1033"/>
      <c r="J730" s="1033"/>
      <c r="K730" s="1035"/>
      <c r="L730" s="1035"/>
      <c r="M730" s="998"/>
      <c r="N730" s="998"/>
    </row>
    <row r="731" spans="1:14" ht="12.75">
      <c r="A731" s="1033"/>
      <c r="B731" s="1033"/>
      <c r="C731" s="1033"/>
      <c r="F731" s="1034"/>
      <c r="G731" s="1033"/>
      <c r="H731" s="1033"/>
      <c r="I731" s="1033"/>
      <c r="J731" s="1033"/>
      <c r="K731" s="1035"/>
      <c r="L731" s="1035"/>
      <c r="M731" s="998"/>
      <c r="N731" s="998"/>
    </row>
    <row r="732" spans="1:14" ht="12.75">
      <c r="A732" s="1033"/>
      <c r="B732" s="1033"/>
      <c r="C732" s="1033"/>
      <c r="F732" s="1034"/>
      <c r="G732" s="1033"/>
      <c r="H732" s="1033"/>
      <c r="I732" s="1033"/>
      <c r="J732" s="1033"/>
      <c r="K732" s="1035"/>
      <c r="L732" s="1035"/>
      <c r="M732" s="998"/>
      <c r="N732" s="998"/>
    </row>
    <row r="733" spans="1:14" ht="12.75">
      <c r="A733" s="1033"/>
      <c r="B733" s="1033"/>
      <c r="C733" s="1033"/>
      <c r="F733" s="1034"/>
      <c r="G733" s="1033"/>
      <c r="H733" s="1033"/>
      <c r="I733" s="1033"/>
      <c r="J733" s="1033"/>
      <c r="K733" s="1035"/>
      <c r="L733" s="1035"/>
      <c r="M733" s="998"/>
      <c r="N733" s="998"/>
    </row>
    <row r="734" spans="1:14" ht="12.75">
      <c r="A734" s="1033"/>
      <c r="B734" s="1033"/>
      <c r="C734" s="1033"/>
      <c r="F734" s="1034"/>
      <c r="G734" s="1033"/>
      <c r="H734" s="1033"/>
      <c r="I734" s="1033"/>
      <c r="J734" s="1033"/>
      <c r="K734" s="1035"/>
      <c r="L734" s="1035"/>
      <c r="M734" s="998"/>
      <c r="N734" s="998"/>
    </row>
    <row r="735" spans="1:14" ht="12.75">
      <c r="A735" s="1033"/>
      <c r="B735" s="1033"/>
      <c r="C735" s="1033"/>
      <c r="F735" s="1034"/>
      <c r="G735" s="1033"/>
      <c r="H735" s="1033"/>
      <c r="I735" s="1033"/>
      <c r="J735" s="1033"/>
      <c r="K735" s="1035"/>
      <c r="L735" s="1035"/>
      <c r="M735" s="998"/>
      <c r="N735" s="998"/>
    </row>
    <row r="736" spans="1:14" ht="12.75">
      <c r="A736" s="1033"/>
      <c r="B736" s="1033"/>
      <c r="C736" s="1033"/>
      <c r="F736" s="1034"/>
      <c r="G736" s="1033"/>
      <c r="H736" s="1033"/>
      <c r="I736" s="1033"/>
      <c r="J736" s="1033"/>
      <c r="K736" s="1035"/>
      <c r="L736" s="1035"/>
      <c r="M736" s="998"/>
      <c r="N736" s="998"/>
    </row>
    <row r="737" spans="1:14" ht="12.75">
      <c r="A737" s="1033"/>
      <c r="B737" s="1033"/>
      <c r="C737" s="1033"/>
      <c r="F737" s="1034"/>
      <c r="G737" s="1033"/>
      <c r="H737" s="1033"/>
      <c r="I737" s="1033"/>
      <c r="J737" s="1033"/>
      <c r="K737" s="1035"/>
      <c r="L737" s="1035"/>
      <c r="M737" s="998"/>
      <c r="N737" s="998"/>
    </row>
    <row r="738" spans="1:14" ht="12.75">
      <c r="A738" s="1033"/>
      <c r="B738" s="1033"/>
      <c r="C738" s="1033"/>
      <c r="F738" s="1034"/>
      <c r="G738" s="1033"/>
      <c r="H738" s="1033"/>
      <c r="I738" s="1033"/>
      <c r="J738" s="1033"/>
      <c r="K738" s="1035"/>
      <c r="L738" s="1035"/>
      <c r="M738" s="998"/>
      <c r="N738" s="998"/>
    </row>
    <row r="739" spans="1:14" ht="12.75">
      <c r="A739" s="1033"/>
      <c r="B739" s="1033"/>
      <c r="C739" s="1033"/>
      <c r="F739" s="1034"/>
      <c r="G739" s="1033"/>
      <c r="H739" s="1033"/>
      <c r="I739" s="1033"/>
      <c r="J739" s="1033"/>
      <c r="K739" s="1035"/>
      <c r="L739" s="1035"/>
      <c r="M739" s="998"/>
      <c r="N739" s="998"/>
    </row>
    <row r="740" spans="1:14" ht="12.75">
      <c r="A740" s="1033"/>
      <c r="B740" s="1033"/>
      <c r="C740" s="1033"/>
      <c r="F740" s="1034"/>
      <c r="G740" s="1033"/>
      <c r="H740" s="1033"/>
      <c r="I740" s="1033"/>
      <c r="J740" s="1033"/>
      <c r="K740" s="1035"/>
      <c r="L740" s="1035"/>
      <c r="M740" s="998"/>
      <c r="N740" s="998"/>
    </row>
    <row r="741" spans="1:14" ht="12.75">
      <c r="A741" s="1033"/>
      <c r="B741" s="1033"/>
      <c r="C741" s="1033"/>
      <c r="F741" s="1034"/>
      <c r="G741" s="1033"/>
      <c r="H741" s="1033"/>
      <c r="I741" s="1033"/>
      <c r="J741" s="1033"/>
      <c r="K741" s="1035"/>
      <c r="L741" s="1035"/>
      <c r="M741" s="998"/>
      <c r="N741" s="998"/>
    </row>
    <row r="742" spans="1:14" ht="12.75">
      <c r="A742" s="1033"/>
      <c r="B742" s="1033"/>
      <c r="C742" s="1033"/>
      <c r="F742" s="1034"/>
      <c r="G742" s="1033"/>
      <c r="H742" s="1033"/>
      <c r="I742" s="1033"/>
      <c r="J742" s="1033"/>
      <c r="K742" s="1035"/>
      <c r="L742" s="1035"/>
      <c r="M742" s="998"/>
      <c r="N742" s="998"/>
    </row>
    <row r="743" spans="1:14" ht="12.75">
      <c r="A743" s="1033"/>
      <c r="B743" s="1033"/>
      <c r="C743" s="1033"/>
      <c r="F743" s="1034"/>
      <c r="G743" s="1033"/>
      <c r="H743" s="1033"/>
      <c r="I743" s="1033"/>
      <c r="J743" s="1033"/>
      <c r="K743" s="1035"/>
      <c r="L743" s="1035"/>
      <c r="M743" s="998"/>
      <c r="N743" s="998"/>
    </row>
    <row r="744" spans="1:14" ht="12.75">
      <c r="A744" s="1033"/>
      <c r="B744" s="1033"/>
      <c r="C744" s="1033"/>
      <c r="F744" s="1034"/>
      <c r="G744" s="1033"/>
      <c r="H744" s="1033"/>
      <c r="I744" s="1033"/>
      <c r="J744" s="1033"/>
      <c r="K744" s="1035"/>
      <c r="L744" s="1035"/>
      <c r="M744" s="998"/>
      <c r="N744" s="998"/>
    </row>
    <row r="745" spans="1:14" ht="12.75">
      <c r="A745" s="1033"/>
      <c r="B745" s="1033"/>
      <c r="C745" s="1033"/>
      <c r="F745" s="1034"/>
      <c r="G745" s="1033"/>
      <c r="H745" s="1033"/>
      <c r="I745" s="1033"/>
      <c r="J745" s="1033"/>
      <c r="K745" s="1035"/>
      <c r="L745" s="1035"/>
      <c r="M745" s="998"/>
      <c r="N745" s="998"/>
    </row>
    <row r="746" spans="1:14" ht="12.75">
      <c r="A746" s="1033"/>
      <c r="B746" s="1033"/>
      <c r="C746" s="1033"/>
      <c r="F746" s="1034"/>
      <c r="G746" s="1033"/>
      <c r="H746" s="1033"/>
      <c r="I746" s="1033"/>
      <c r="J746" s="1033"/>
      <c r="K746" s="1035"/>
      <c r="L746" s="1035"/>
      <c r="M746" s="998"/>
      <c r="N746" s="998"/>
    </row>
    <row r="747" spans="1:14" ht="12.75">
      <c r="A747" s="1033"/>
      <c r="B747" s="1033"/>
      <c r="C747" s="1033"/>
      <c r="F747" s="1034"/>
      <c r="G747" s="1033"/>
      <c r="H747" s="1033"/>
      <c r="I747" s="1033"/>
      <c r="J747" s="1033"/>
      <c r="K747" s="1035"/>
      <c r="L747" s="1035"/>
      <c r="M747" s="998"/>
      <c r="N747" s="998"/>
    </row>
    <row r="748" spans="1:14" ht="12.75">
      <c r="A748" s="1033"/>
      <c r="B748" s="1033"/>
      <c r="C748" s="1033"/>
      <c r="F748" s="1034"/>
      <c r="G748" s="1033"/>
      <c r="H748" s="1033"/>
      <c r="I748" s="1033"/>
      <c r="J748" s="1033"/>
      <c r="K748" s="1035"/>
      <c r="L748" s="1035"/>
      <c r="M748" s="998"/>
      <c r="N748" s="998"/>
    </row>
    <row r="749" spans="1:14" ht="12.75">
      <c r="A749" s="1033"/>
      <c r="B749" s="1033"/>
      <c r="C749" s="1033"/>
      <c r="F749" s="1034"/>
      <c r="G749" s="1033"/>
      <c r="H749" s="1033"/>
      <c r="I749" s="1033"/>
      <c r="J749" s="1033"/>
      <c r="K749" s="1035"/>
      <c r="L749" s="1035"/>
      <c r="M749" s="998"/>
      <c r="N749" s="998"/>
    </row>
    <row r="750" spans="1:14" ht="12.75">
      <c r="A750" s="1033"/>
      <c r="B750" s="1033"/>
      <c r="C750" s="1033"/>
      <c r="F750" s="1034"/>
      <c r="G750" s="1033"/>
      <c r="H750" s="1033"/>
      <c r="I750" s="1033"/>
      <c r="J750" s="1033"/>
      <c r="K750" s="1035"/>
      <c r="L750" s="1035"/>
      <c r="M750" s="998"/>
      <c r="N750" s="998"/>
    </row>
    <row r="751" spans="1:14" ht="12.75">
      <c r="A751" s="1033"/>
      <c r="B751" s="1033"/>
      <c r="C751" s="1033"/>
      <c r="F751" s="1034"/>
      <c r="G751" s="1033"/>
      <c r="H751" s="1033"/>
      <c r="I751" s="1033"/>
      <c r="J751" s="1033"/>
      <c r="K751" s="1035"/>
      <c r="L751" s="1035"/>
      <c r="M751" s="998"/>
      <c r="N751" s="998"/>
    </row>
    <row r="752" spans="1:14" ht="12.75">
      <c r="A752" s="1033"/>
      <c r="B752" s="1033"/>
      <c r="C752" s="1033"/>
      <c r="F752" s="1034"/>
      <c r="G752" s="1033"/>
      <c r="H752" s="1033"/>
      <c r="I752" s="1033"/>
      <c r="J752" s="1033"/>
      <c r="K752" s="1035"/>
      <c r="L752" s="1035"/>
      <c r="M752" s="998"/>
      <c r="N752" s="998"/>
    </row>
    <row r="753" spans="1:14" ht="12.75">
      <c r="A753" s="1033"/>
      <c r="B753" s="1033"/>
      <c r="C753" s="1033"/>
      <c r="F753" s="1034"/>
      <c r="G753" s="1033"/>
      <c r="H753" s="1033"/>
      <c r="I753" s="1033"/>
      <c r="J753" s="1033"/>
      <c r="K753" s="1035"/>
      <c r="L753" s="1035"/>
      <c r="M753" s="998"/>
      <c r="N753" s="998"/>
    </row>
    <row r="754" spans="1:14" ht="12.75">
      <c r="A754" s="1033"/>
      <c r="B754" s="1033"/>
      <c r="C754" s="1033"/>
      <c r="F754" s="1034"/>
      <c r="G754" s="1033"/>
      <c r="H754" s="1033"/>
      <c r="I754" s="1033"/>
      <c r="J754" s="1033"/>
      <c r="K754" s="1035"/>
      <c r="L754" s="1035"/>
      <c r="M754" s="998"/>
      <c r="N754" s="998"/>
    </row>
    <row r="755" spans="1:14" ht="12.75">
      <c r="A755" s="1033"/>
      <c r="B755" s="1033"/>
      <c r="C755" s="1033"/>
      <c r="F755" s="1034"/>
      <c r="G755" s="1033"/>
      <c r="H755" s="1033"/>
      <c r="I755" s="1033"/>
      <c r="J755" s="1033"/>
      <c r="K755" s="1035"/>
      <c r="L755" s="1035"/>
      <c r="M755" s="998"/>
      <c r="N755" s="998"/>
    </row>
    <row r="756" spans="1:14" ht="12.75">
      <c r="A756" s="1033"/>
      <c r="B756" s="1033"/>
      <c r="C756" s="1033"/>
      <c r="F756" s="1034"/>
      <c r="G756" s="1033"/>
      <c r="H756" s="1033"/>
      <c r="I756" s="1033"/>
      <c r="J756" s="1033"/>
      <c r="K756" s="1035"/>
      <c r="L756" s="1035"/>
      <c r="M756" s="998"/>
      <c r="N756" s="998"/>
    </row>
    <row r="757" spans="1:14" ht="12.75">
      <c r="A757" s="1033"/>
      <c r="B757" s="1033"/>
      <c r="C757" s="1033"/>
      <c r="F757" s="1034"/>
      <c r="G757" s="1033"/>
      <c r="H757" s="1033"/>
      <c r="I757" s="1033"/>
      <c r="J757" s="1033"/>
      <c r="K757" s="1035"/>
      <c r="L757" s="1035"/>
      <c r="M757" s="998"/>
      <c r="N757" s="998"/>
    </row>
    <row r="758" spans="1:14" ht="12.75">
      <c r="A758" s="1033"/>
      <c r="B758" s="1033"/>
      <c r="C758" s="1033"/>
      <c r="F758" s="1034"/>
      <c r="G758" s="1033"/>
      <c r="H758" s="1033"/>
      <c r="I758" s="1033"/>
      <c r="J758" s="1033"/>
      <c r="K758" s="1035"/>
      <c r="L758" s="1035"/>
      <c r="M758" s="998"/>
      <c r="N758" s="998"/>
    </row>
    <row r="759" spans="1:14" ht="12.75">
      <c r="A759" s="1033"/>
      <c r="B759" s="1033"/>
      <c r="C759" s="1033"/>
      <c r="F759" s="1034"/>
      <c r="G759" s="1033"/>
      <c r="H759" s="1033"/>
      <c r="I759" s="1033"/>
      <c r="J759" s="1033"/>
      <c r="K759" s="1035"/>
      <c r="L759" s="1035"/>
      <c r="M759" s="998"/>
      <c r="N759" s="998"/>
    </row>
    <row r="760" spans="1:14" ht="12.75">
      <c r="A760" s="1033"/>
      <c r="B760" s="1033"/>
      <c r="C760" s="1033"/>
      <c r="F760" s="1034"/>
      <c r="G760" s="1033"/>
      <c r="H760" s="1033"/>
      <c r="I760" s="1033"/>
      <c r="J760" s="1033"/>
      <c r="K760" s="1035"/>
      <c r="L760" s="1035"/>
      <c r="M760" s="998"/>
      <c r="N760" s="998"/>
    </row>
    <row r="761" spans="1:14" ht="12.75">
      <c r="A761" s="1033"/>
      <c r="B761" s="1033"/>
      <c r="C761" s="1033"/>
      <c r="F761" s="1034"/>
      <c r="G761" s="1033"/>
      <c r="H761" s="1033"/>
      <c r="I761" s="1033"/>
      <c r="J761" s="1033"/>
      <c r="K761" s="1035"/>
      <c r="L761" s="1035"/>
      <c r="M761" s="998"/>
      <c r="N761" s="998"/>
    </row>
    <row r="762" spans="1:14" ht="12.75">
      <c r="A762" s="1033"/>
      <c r="B762" s="1033"/>
      <c r="C762" s="1033"/>
      <c r="F762" s="1034"/>
      <c r="G762" s="1033"/>
      <c r="H762" s="1033"/>
      <c r="I762" s="1033"/>
      <c r="J762" s="1033"/>
      <c r="K762" s="1035"/>
      <c r="L762" s="1035"/>
      <c r="M762" s="998"/>
      <c r="N762" s="998"/>
    </row>
    <row r="763" spans="1:14" ht="12.75">
      <c r="A763" s="1033"/>
      <c r="B763" s="1033"/>
      <c r="C763" s="1033"/>
      <c r="F763" s="1034"/>
      <c r="G763" s="1033"/>
      <c r="H763" s="1033"/>
      <c r="I763" s="1033"/>
      <c r="J763" s="1033"/>
      <c r="K763" s="1035"/>
      <c r="L763" s="1035"/>
      <c r="M763" s="998"/>
      <c r="N763" s="998"/>
    </row>
    <row r="764" spans="1:14" ht="12.75">
      <c r="A764" s="1033"/>
      <c r="B764" s="1033"/>
      <c r="C764" s="1033"/>
      <c r="F764" s="1034"/>
      <c r="G764" s="1033"/>
      <c r="H764" s="1033"/>
      <c r="I764" s="1033"/>
      <c r="J764" s="1033"/>
      <c r="K764" s="1035"/>
      <c r="L764" s="1035"/>
      <c r="M764" s="998"/>
      <c r="N764" s="998"/>
    </row>
    <row r="765" spans="1:14" ht="12.75">
      <c r="A765" s="1033"/>
      <c r="B765" s="1033"/>
      <c r="C765" s="1033"/>
      <c r="F765" s="1034"/>
      <c r="G765" s="1033"/>
      <c r="H765" s="1033"/>
      <c r="I765" s="1033"/>
      <c r="J765" s="1033"/>
      <c r="K765" s="1035"/>
      <c r="L765" s="1035"/>
      <c r="M765" s="998"/>
      <c r="N765" s="998"/>
    </row>
    <row r="766" spans="1:14" ht="12.75">
      <c r="A766" s="1033"/>
      <c r="B766" s="1033"/>
      <c r="C766" s="1033"/>
      <c r="F766" s="1034"/>
      <c r="G766" s="1033"/>
      <c r="H766" s="1033"/>
      <c r="I766" s="1033"/>
      <c r="J766" s="1033"/>
      <c r="K766" s="1035"/>
      <c r="L766" s="1035"/>
      <c r="M766" s="998"/>
      <c r="N766" s="998"/>
    </row>
    <row r="767" spans="1:14" ht="12.75">
      <c r="A767" s="1033"/>
      <c r="B767" s="1033"/>
      <c r="C767" s="1033"/>
      <c r="F767" s="1034"/>
      <c r="G767" s="1033"/>
      <c r="H767" s="1033"/>
      <c r="I767" s="1033"/>
      <c r="J767" s="1033"/>
      <c r="K767" s="1035"/>
      <c r="L767" s="1035"/>
      <c r="M767" s="998"/>
      <c r="N767" s="998"/>
    </row>
    <row r="768" spans="1:14" ht="12.75">
      <c r="A768" s="1033"/>
      <c r="B768" s="1033"/>
      <c r="C768" s="1033"/>
      <c r="F768" s="1034"/>
      <c r="G768" s="1033"/>
      <c r="H768" s="1033"/>
      <c r="I768" s="1033"/>
      <c r="J768" s="1033"/>
      <c r="K768" s="1035"/>
      <c r="L768" s="1035"/>
      <c r="M768" s="998"/>
      <c r="N768" s="998"/>
    </row>
    <row r="769" spans="1:14" ht="12.75">
      <c r="A769" s="1033"/>
      <c r="B769" s="1033"/>
      <c r="C769" s="1033"/>
      <c r="F769" s="1034"/>
      <c r="G769" s="1033"/>
      <c r="H769" s="1033"/>
      <c r="I769" s="1033"/>
      <c r="J769" s="1033"/>
      <c r="K769" s="1035"/>
      <c r="L769" s="1035"/>
      <c r="M769" s="998"/>
      <c r="N769" s="998"/>
    </row>
    <row r="770" spans="1:14" ht="12.75">
      <c r="A770" s="1033"/>
      <c r="B770" s="1033"/>
      <c r="C770" s="1033"/>
      <c r="F770" s="1034"/>
      <c r="G770" s="1033"/>
      <c r="H770" s="1033"/>
      <c r="I770" s="1033"/>
      <c r="J770" s="1033"/>
      <c r="K770" s="1035"/>
      <c r="L770" s="1035"/>
      <c r="M770" s="998"/>
      <c r="N770" s="998"/>
    </row>
    <row r="771" spans="1:14" ht="12.75">
      <c r="A771" s="1033"/>
      <c r="B771" s="1033"/>
      <c r="C771" s="1033"/>
      <c r="F771" s="1034"/>
      <c r="G771" s="1033"/>
      <c r="H771" s="1033"/>
      <c r="I771" s="1033"/>
      <c r="J771" s="1033"/>
      <c r="K771" s="1035"/>
      <c r="L771" s="1035"/>
      <c r="M771" s="998"/>
      <c r="N771" s="998"/>
    </row>
    <row r="772" spans="1:14" ht="12.75">
      <c r="A772" s="1033"/>
      <c r="B772" s="1033"/>
      <c r="C772" s="1033"/>
      <c r="F772" s="1034"/>
      <c r="G772" s="1033"/>
      <c r="H772" s="1033"/>
      <c r="I772" s="1033"/>
      <c r="J772" s="1033"/>
      <c r="K772" s="1035"/>
      <c r="L772" s="1035"/>
      <c r="M772" s="998"/>
      <c r="N772" s="998"/>
    </row>
    <row r="773" spans="1:14" ht="12.75">
      <c r="A773" s="1033"/>
      <c r="B773" s="1033"/>
      <c r="C773" s="1033"/>
      <c r="F773" s="1034"/>
      <c r="G773" s="1033"/>
      <c r="H773" s="1033"/>
      <c r="I773" s="1033"/>
      <c r="J773" s="1033"/>
      <c r="K773" s="1035"/>
      <c r="L773" s="1035"/>
      <c r="M773" s="998"/>
      <c r="N773" s="998"/>
    </row>
    <row r="774" spans="1:14" ht="12.75">
      <c r="A774" s="1033"/>
      <c r="B774" s="1033"/>
      <c r="C774" s="1033"/>
      <c r="F774" s="1034"/>
      <c r="G774" s="1033"/>
      <c r="H774" s="1033"/>
      <c r="I774" s="1033"/>
      <c r="J774" s="1033"/>
      <c r="K774" s="1035"/>
      <c r="L774" s="1035"/>
      <c r="M774" s="998"/>
      <c r="N774" s="998"/>
    </row>
    <row r="775" spans="1:14" ht="12.75">
      <c r="A775" s="1033"/>
      <c r="B775" s="1033"/>
      <c r="C775" s="1033"/>
      <c r="F775" s="1034"/>
      <c r="G775" s="1033"/>
      <c r="H775" s="1033"/>
      <c r="I775" s="1033"/>
      <c r="J775" s="1033"/>
      <c r="K775" s="1035"/>
      <c r="L775" s="1035"/>
      <c r="M775" s="998"/>
      <c r="N775" s="998"/>
    </row>
    <row r="776" spans="1:14" ht="12.75">
      <c r="A776" s="1033"/>
      <c r="B776" s="1033"/>
      <c r="C776" s="1033"/>
      <c r="F776" s="1034"/>
      <c r="G776" s="1033"/>
      <c r="H776" s="1033"/>
      <c r="I776" s="1033"/>
      <c r="J776" s="1033"/>
      <c r="K776" s="1035"/>
      <c r="L776" s="1035"/>
      <c r="M776" s="998"/>
      <c r="N776" s="998"/>
    </row>
    <row r="777" spans="1:14" ht="12.75">
      <c r="A777" s="1033"/>
      <c r="B777" s="1033"/>
      <c r="C777" s="1033"/>
      <c r="F777" s="1034"/>
      <c r="G777" s="1033"/>
      <c r="H777" s="1033"/>
      <c r="I777" s="1033"/>
      <c r="J777" s="1033"/>
      <c r="K777" s="1035"/>
      <c r="L777" s="1035"/>
      <c r="M777" s="998"/>
      <c r="N777" s="998"/>
    </row>
    <row r="778" spans="1:14" ht="12.75">
      <c r="A778" s="1033"/>
      <c r="B778" s="1033"/>
      <c r="C778" s="1033"/>
      <c r="F778" s="1034"/>
      <c r="G778" s="1033"/>
      <c r="H778" s="1033"/>
      <c r="I778" s="1033"/>
      <c r="J778" s="1033"/>
      <c r="K778" s="1035"/>
      <c r="L778" s="1035"/>
      <c r="M778" s="998"/>
      <c r="N778" s="998"/>
    </row>
    <row r="779" spans="1:14" ht="12.75">
      <c r="A779" s="1033"/>
      <c r="B779" s="1033"/>
      <c r="C779" s="1033"/>
      <c r="F779" s="1034"/>
      <c r="G779" s="1033"/>
      <c r="H779" s="1033"/>
      <c r="I779" s="1033"/>
      <c r="J779" s="1033"/>
      <c r="K779" s="1035"/>
      <c r="L779" s="1035"/>
      <c r="M779" s="998"/>
      <c r="N779" s="998"/>
    </row>
    <row r="780" spans="1:14" ht="12.75">
      <c r="A780" s="1033"/>
      <c r="B780" s="1033"/>
      <c r="C780" s="1033"/>
      <c r="F780" s="1034"/>
      <c r="G780" s="1033"/>
      <c r="H780" s="1033"/>
      <c r="I780" s="1033"/>
      <c r="J780" s="1033"/>
      <c r="K780" s="1035"/>
      <c r="L780" s="1035"/>
      <c r="M780" s="998"/>
      <c r="N780" s="998"/>
    </row>
    <row r="781" spans="1:14" ht="12.75">
      <c r="A781" s="1033"/>
      <c r="B781" s="1033"/>
      <c r="C781" s="1033"/>
      <c r="F781" s="1034"/>
      <c r="G781" s="1033"/>
      <c r="H781" s="1033"/>
      <c r="I781" s="1033"/>
      <c r="J781" s="1033"/>
      <c r="K781" s="1035"/>
      <c r="L781" s="1035"/>
      <c r="M781" s="998"/>
      <c r="N781" s="998"/>
    </row>
    <row r="782" spans="1:14" ht="12.75">
      <c r="A782" s="1033"/>
      <c r="B782" s="1033"/>
      <c r="C782" s="1033"/>
      <c r="F782" s="1034"/>
      <c r="G782" s="1033"/>
      <c r="H782" s="1033"/>
      <c r="I782" s="1033"/>
      <c r="J782" s="1033"/>
      <c r="K782" s="1035"/>
      <c r="L782" s="1035"/>
      <c r="M782" s="998"/>
      <c r="N782" s="998"/>
    </row>
    <row r="783" spans="1:14" ht="12.75">
      <c r="A783" s="1033"/>
      <c r="B783" s="1033"/>
      <c r="C783" s="1033"/>
      <c r="F783" s="1034"/>
      <c r="G783" s="1033"/>
      <c r="H783" s="1033"/>
      <c r="I783" s="1033"/>
      <c r="J783" s="1033"/>
      <c r="K783" s="1035"/>
      <c r="L783" s="1035"/>
      <c r="M783" s="998"/>
      <c r="N783" s="998"/>
    </row>
    <row r="784" spans="1:14" ht="12.75">
      <c r="A784" s="1033"/>
      <c r="B784" s="1033"/>
      <c r="C784" s="1033"/>
      <c r="F784" s="1034"/>
      <c r="G784" s="1033"/>
      <c r="H784" s="1033"/>
      <c r="I784" s="1033"/>
      <c r="J784" s="1033"/>
      <c r="K784" s="1035"/>
      <c r="L784" s="1035"/>
      <c r="M784" s="998"/>
      <c r="N784" s="998"/>
    </row>
    <row r="785" spans="1:14" ht="12.75">
      <c r="A785" s="1033"/>
      <c r="B785" s="1033"/>
      <c r="C785" s="1033"/>
      <c r="F785" s="1034"/>
      <c r="G785" s="1033"/>
      <c r="H785" s="1033"/>
      <c r="I785" s="1033"/>
      <c r="J785" s="1033"/>
      <c r="K785" s="1035"/>
      <c r="L785" s="1035"/>
      <c r="M785" s="998"/>
      <c r="N785" s="998"/>
    </row>
    <row r="786" spans="1:14" ht="12.75">
      <c r="A786" s="1033"/>
      <c r="B786" s="1033"/>
      <c r="C786" s="1033"/>
      <c r="F786" s="1034"/>
      <c r="G786" s="1033"/>
      <c r="H786" s="1033"/>
      <c r="I786" s="1033"/>
      <c r="J786" s="1033"/>
      <c r="K786" s="1035"/>
      <c r="L786" s="1035"/>
      <c r="M786" s="998"/>
      <c r="N786" s="998"/>
    </row>
    <row r="787" spans="1:14" ht="12.75">
      <c r="A787" s="1033"/>
      <c r="B787" s="1033"/>
      <c r="C787" s="1033"/>
      <c r="F787" s="1034"/>
      <c r="G787" s="1033"/>
      <c r="H787" s="1033"/>
      <c r="I787" s="1033"/>
      <c r="J787" s="1033"/>
      <c r="K787" s="1035"/>
      <c r="L787" s="1035"/>
      <c r="M787" s="998"/>
      <c r="N787" s="998"/>
    </row>
    <row r="788" spans="1:14" ht="12.75">
      <c r="A788" s="1033"/>
      <c r="B788" s="1033"/>
      <c r="C788" s="1033"/>
      <c r="F788" s="1034"/>
      <c r="G788" s="1033"/>
      <c r="H788" s="1033"/>
      <c r="I788" s="1033"/>
      <c r="J788" s="1033"/>
      <c r="K788" s="1035"/>
      <c r="L788" s="1035"/>
      <c r="M788" s="998"/>
      <c r="N788" s="998"/>
    </row>
    <row r="789" spans="1:14" ht="12.75">
      <c r="A789" s="1033"/>
      <c r="B789" s="1033"/>
      <c r="C789" s="1033"/>
      <c r="F789" s="1034"/>
      <c r="G789" s="1033"/>
      <c r="H789" s="1033"/>
      <c r="I789" s="1033"/>
      <c r="J789" s="1033"/>
      <c r="K789" s="1035"/>
      <c r="L789" s="1035"/>
      <c r="M789" s="998"/>
      <c r="N789" s="998"/>
    </row>
    <row r="790" spans="1:14" ht="12.75">
      <c r="A790" s="1033"/>
      <c r="B790" s="1033"/>
      <c r="C790" s="1033"/>
      <c r="F790" s="1034"/>
      <c r="G790" s="1033"/>
      <c r="H790" s="1033"/>
      <c r="I790" s="1033"/>
      <c r="J790" s="1033"/>
      <c r="K790" s="1035"/>
      <c r="L790" s="1035"/>
      <c r="M790" s="998"/>
      <c r="N790" s="998"/>
    </row>
    <row r="791" spans="1:14" ht="12.75">
      <c r="A791" s="1033"/>
      <c r="B791" s="1033"/>
      <c r="C791" s="1033"/>
      <c r="F791" s="1034"/>
      <c r="G791" s="1033"/>
      <c r="H791" s="1033"/>
      <c r="I791" s="1033"/>
      <c r="J791" s="1033"/>
      <c r="K791" s="1035"/>
      <c r="L791" s="1035"/>
      <c r="M791" s="998"/>
      <c r="N791" s="998"/>
    </row>
    <row r="792" spans="1:14" ht="12.75">
      <c r="A792" s="1033"/>
      <c r="B792" s="1033"/>
      <c r="C792" s="1033"/>
      <c r="F792" s="1034"/>
      <c r="G792" s="1033"/>
      <c r="H792" s="1033"/>
      <c r="I792" s="1033"/>
      <c r="J792" s="1033"/>
      <c r="K792" s="1035"/>
      <c r="L792" s="1035"/>
      <c r="M792" s="998"/>
      <c r="N792" s="998"/>
    </row>
    <row r="793" spans="1:14" ht="12.75">
      <c r="A793" s="1033"/>
      <c r="B793" s="1033"/>
      <c r="C793" s="1033"/>
      <c r="F793" s="1034"/>
      <c r="G793" s="1033"/>
      <c r="H793" s="1033"/>
      <c r="I793" s="1033"/>
      <c r="J793" s="1033"/>
      <c r="K793" s="1035"/>
      <c r="L793" s="1035"/>
      <c r="M793" s="998"/>
      <c r="N793" s="998"/>
    </row>
    <row r="794" spans="1:14" ht="12.75">
      <c r="A794" s="1033"/>
      <c r="B794" s="1033"/>
      <c r="C794" s="1033"/>
      <c r="F794" s="1034"/>
      <c r="G794" s="1033"/>
      <c r="H794" s="1033"/>
      <c r="I794" s="1033"/>
      <c r="J794" s="1033"/>
      <c r="K794" s="1035"/>
      <c r="L794" s="1035"/>
      <c r="M794" s="998"/>
      <c r="N794" s="998"/>
    </row>
    <row r="795" spans="1:14" ht="12.75">
      <c r="A795" s="1033"/>
      <c r="B795" s="1033"/>
      <c r="C795" s="1033"/>
      <c r="F795" s="1034"/>
      <c r="G795" s="1033"/>
      <c r="H795" s="1033"/>
      <c r="I795" s="1033"/>
      <c r="J795" s="1033"/>
      <c r="K795" s="1035"/>
      <c r="L795" s="1035"/>
      <c r="M795" s="998"/>
      <c r="N795" s="998"/>
    </row>
    <row r="796" spans="1:14" ht="12.75">
      <c r="A796" s="1033"/>
      <c r="B796" s="1033"/>
      <c r="C796" s="1033"/>
      <c r="F796" s="1034"/>
      <c r="G796" s="1033"/>
      <c r="H796" s="1033"/>
      <c r="I796" s="1033"/>
      <c r="J796" s="1033"/>
      <c r="K796" s="1035"/>
      <c r="L796" s="1035"/>
      <c r="M796" s="998"/>
      <c r="N796" s="998"/>
    </row>
    <row r="797" spans="1:14" ht="12.75">
      <c r="A797" s="1033"/>
      <c r="B797" s="1033"/>
      <c r="C797" s="1033"/>
      <c r="F797" s="1034"/>
      <c r="G797" s="1033"/>
      <c r="H797" s="1033"/>
      <c r="I797" s="1033"/>
      <c r="J797" s="1033"/>
      <c r="K797" s="1035"/>
      <c r="L797" s="1035"/>
      <c r="M797" s="998"/>
      <c r="N797" s="998"/>
    </row>
    <row r="798" spans="1:14" ht="12.75">
      <c r="A798" s="1033"/>
      <c r="B798" s="1033"/>
      <c r="C798" s="1033"/>
      <c r="F798" s="1034"/>
      <c r="G798" s="1033"/>
      <c r="H798" s="1033"/>
      <c r="I798" s="1033"/>
      <c r="J798" s="1033"/>
      <c r="K798" s="1035"/>
      <c r="L798" s="1035"/>
      <c r="M798" s="998"/>
      <c r="N798" s="998"/>
    </row>
    <row r="799" spans="1:14" ht="12.75">
      <c r="A799" s="1033"/>
      <c r="B799" s="1033"/>
      <c r="C799" s="1033"/>
      <c r="F799" s="1034"/>
      <c r="G799" s="1033"/>
      <c r="H799" s="1033"/>
      <c r="I799" s="1033"/>
      <c r="J799" s="1033"/>
      <c r="K799" s="1035"/>
      <c r="L799" s="1035"/>
      <c r="M799" s="998"/>
      <c r="N799" s="998"/>
    </row>
    <row r="800" spans="1:14" ht="12.75">
      <c r="A800" s="1033"/>
      <c r="B800" s="1033"/>
      <c r="C800" s="1033"/>
      <c r="F800" s="1034"/>
      <c r="G800" s="1033"/>
      <c r="H800" s="1033"/>
      <c r="I800" s="1033"/>
      <c r="J800" s="1033"/>
      <c r="K800" s="1035"/>
      <c r="L800" s="1035"/>
      <c r="M800" s="998"/>
      <c r="N800" s="998"/>
    </row>
    <row r="801" spans="1:14" ht="12.75">
      <c r="A801" s="1033"/>
      <c r="B801" s="1033"/>
      <c r="C801" s="1033"/>
      <c r="F801" s="1034"/>
      <c r="G801" s="1033"/>
      <c r="H801" s="1033"/>
      <c r="I801" s="1033"/>
      <c r="J801" s="1033"/>
      <c r="K801" s="1035"/>
      <c r="L801" s="1035"/>
      <c r="M801" s="998"/>
      <c r="N801" s="998"/>
    </row>
    <row r="802" spans="1:14" ht="12.75">
      <c r="A802" s="1033"/>
      <c r="B802" s="1033"/>
      <c r="C802" s="1033"/>
      <c r="F802" s="1034"/>
      <c r="G802" s="1033"/>
      <c r="H802" s="1033"/>
      <c r="I802" s="1033"/>
      <c r="J802" s="1033"/>
      <c r="K802" s="1035"/>
      <c r="L802" s="1035"/>
      <c r="M802" s="998"/>
      <c r="N802" s="998"/>
    </row>
    <row r="803" spans="1:14" ht="12.75">
      <c r="A803" s="1033"/>
      <c r="B803" s="1033"/>
      <c r="C803" s="1033"/>
      <c r="F803" s="1034"/>
      <c r="G803" s="1033"/>
      <c r="H803" s="1033"/>
      <c r="I803" s="1033"/>
      <c r="J803" s="1033"/>
      <c r="K803" s="1035"/>
      <c r="L803" s="1035"/>
      <c r="M803" s="998"/>
      <c r="N803" s="998"/>
    </row>
    <row r="804" spans="1:14" ht="12.75">
      <c r="A804" s="1033"/>
      <c r="B804" s="1033"/>
      <c r="C804" s="1033"/>
      <c r="F804" s="1034"/>
      <c r="G804" s="1033"/>
      <c r="H804" s="1033"/>
      <c r="I804" s="1033"/>
      <c r="J804" s="1033"/>
      <c r="K804" s="1035"/>
      <c r="L804" s="1035"/>
      <c r="M804" s="998"/>
      <c r="N804" s="998"/>
    </row>
    <row r="805" spans="1:14" ht="12.75">
      <c r="A805" s="1033"/>
      <c r="B805" s="1033"/>
      <c r="C805" s="1033"/>
      <c r="F805" s="1034"/>
      <c r="G805" s="1033"/>
      <c r="H805" s="1033"/>
      <c r="I805" s="1033"/>
      <c r="J805" s="1033"/>
      <c r="K805" s="1035"/>
      <c r="L805" s="1035"/>
      <c r="M805" s="998"/>
      <c r="N805" s="998"/>
    </row>
    <row r="806" spans="1:14" ht="12.75">
      <c r="A806" s="1033"/>
      <c r="B806" s="1033"/>
      <c r="C806" s="1033"/>
      <c r="F806" s="1034"/>
      <c r="G806" s="1033"/>
      <c r="H806" s="1033"/>
      <c r="I806" s="1033"/>
      <c r="J806" s="1033"/>
      <c r="K806" s="1035"/>
      <c r="L806" s="1035"/>
      <c r="M806" s="998"/>
      <c r="N806" s="998"/>
    </row>
    <row r="807" spans="1:14" ht="12.75">
      <c r="A807" s="1033"/>
      <c r="B807" s="1033"/>
      <c r="C807" s="1033"/>
      <c r="F807" s="1034"/>
      <c r="G807" s="1033"/>
      <c r="H807" s="1033"/>
      <c r="I807" s="1033"/>
      <c r="J807" s="1033"/>
      <c r="K807" s="1035"/>
      <c r="L807" s="1035"/>
      <c r="M807" s="998"/>
      <c r="N807" s="998"/>
    </row>
    <row r="808" spans="1:14" ht="12.75">
      <c r="A808" s="1033"/>
      <c r="B808" s="1033"/>
      <c r="C808" s="1033"/>
      <c r="F808" s="1034"/>
      <c r="G808" s="1033"/>
      <c r="H808" s="1033"/>
      <c r="I808" s="1033"/>
      <c r="J808" s="1033"/>
      <c r="K808" s="1035"/>
      <c r="L808" s="1035"/>
      <c r="M808" s="998"/>
      <c r="N808" s="998"/>
    </row>
    <row r="809" spans="1:14" ht="12.75">
      <c r="A809" s="1033"/>
      <c r="B809" s="1033"/>
      <c r="C809" s="1033"/>
      <c r="F809" s="1034"/>
      <c r="G809" s="1033"/>
      <c r="H809" s="1033"/>
      <c r="I809" s="1033"/>
      <c r="J809" s="1033"/>
      <c r="K809" s="1035"/>
      <c r="L809" s="1035"/>
      <c r="M809" s="998"/>
      <c r="N809" s="998"/>
    </row>
    <row r="810" spans="1:14" ht="12.75">
      <c r="A810" s="1033"/>
      <c r="B810" s="1033"/>
      <c r="C810" s="1033"/>
      <c r="F810" s="1034"/>
      <c r="G810" s="1033"/>
      <c r="H810" s="1033"/>
      <c r="I810" s="1033"/>
      <c r="J810" s="1033"/>
      <c r="K810" s="1035"/>
      <c r="L810" s="1035"/>
      <c r="M810" s="998"/>
      <c r="N810" s="998"/>
    </row>
    <row r="811" spans="1:14" ht="12.75">
      <c r="A811" s="1033"/>
      <c r="B811" s="1033"/>
      <c r="C811" s="1033"/>
      <c r="F811" s="1034"/>
      <c r="G811" s="1033"/>
      <c r="H811" s="1033"/>
      <c r="I811" s="1033"/>
      <c r="J811" s="1033"/>
      <c r="K811" s="1035"/>
      <c r="L811" s="1035"/>
      <c r="M811" s="998"/>
      <c r="N811" s="998"/>
    </row>
    <row r="812" spans="1:14" ht="12.75">
      <c r="A812" s="1033"/>
      <c r="B812" s="1033"/>
      <c r="C812" s="1033"/>
      <c r="F812" s="1034"/>
      <c r="G812" s="1033"/>
      <c r="H812" s="1033"/>
      <c r="I812" s="1033"/>
      <c r="J812" s="1033"/>
      <c r="K812" s="1035"/>
      <c r="L812" s="1035"/>
      <c r="M812" s="998"/>
      <c r="N812" s="998"/>
    </row>
    <row r="813" spans="1:14" ht="12.75">
      <c r="A813" s="1033"/>
      <c r="B813" s="1033"/>
      <c r="C813" s="1033"/>
      <c r="F813" s="1034"/>
      <c r="G813" s="1033"/>
      <c r="H813" s="1033"/>
      <c r="I813" s="1033"/>
      <c r="J813" s="1033"/>
      <c r="K813" s="1035"/>
      <c r="L813" s="1035"/>
      <c r="M813" s="998"/>
      <c r="N813" s="998"/>
    </row>
    <row r="814" spans="1:14" ht="12.75">
      <c r="A814" s="1033"/>
      <c r="B814" s="1033"/>
      <c r="C814" s="1033"/>
      <c r="F814" s="1034"/>
      <c r="G814" s="1033"/>
      <c r="H814" s="1033"/>
      <c r="I814" s="1033"/>
      <c r="J814" s="1033"/>
      <c r="K814" s="1035"/>
      <c r="L814" s="1035"/>
      <c r="M814" s="998"/>
      <c r="N814" s="998"/>
    </row>
    <row r="815" spans="1:14" ht="12.75">
      <c r="A815" s="1033"/>
      <c r="B815" s="1033"/>
      <c r="C815" s="1033"/>
      <c r="F815" s="1034"/>
      <c r="G815" s="1033"/>
      <c r="H815" s="1033"/>
      <c r="I815" s="1033"/>
      <c r="J815" s="1033"/>
      <c r="K815" s="1035"/>
      <c r="L815" s="1035"/>
      <c r="M815" s="998"/>
      <c r="N815" s="998"/>
    </row>
    <row r="816" spans="1:14" ht="12.75">
      <c r="A816" s="1033"/>
      <c r="B816" s="1033"/>
      <c r="C816" s="1033"/>
      <c r="F816" s="1034"/>
      <c r="G816" s="1033"/>
      <c r="H816" s="1033"/>
      <c r="I816" s="1033"/>
      <c r="J816" s="1033"/>
      <c r="K816" s="1035"/>
      <c r="L816" s="1035"/>
      <c r="M816" s="998"/>
      <c r="N816" s="998"/>
    </row>
    <row r="817" spans="1:14" ht="12.75">
      <c r="A817" s="1033"/>
      <c r="B817" s="1033"/>
      <c r="C817" s="1033"/>
      <c r="F817" s="1034"/>
      <c r="G817" s="1033"/>
      <c r="H817" s="1033"/>
      <c r="I817" s="1033"/>
      <c r="J817" s="1033"/>
      <c r="K817" s="1035"/>
      <c r="L817" s="1035"/>
      <c r="M817" s="998"/>
      <c r="N817" s="998"/>
    </row>
    <row r="818" spans="1:14" ht="12.75">
      <c r="A818" s="1033"/>
      <c r="B818" s="1033"/>
      <c r="C818" s="1033"/>
      <c r="F818" s="1034"/>
      <c r="G818" s="1033"/>
      <c r="H818" s="1033"/>
      <c r="I818" s="1033"/>
      <c r="J818" s="1033"/>
      <c r="K818" s="1035"/>
      <c r="L818" s="1035"/>
      <c r="M818" s="998"/>
      <c r="N818" s="998"/>
    </row>
    <row r="819" spans="1:14" ht="12.75">
      <c r="A819" s="1033"/>
      <c r="B819" s="1033"/>
      <c r="C819" s="1033"/>
      <c r="F819" s="1034"/>
      <c r="G819" s="1033"/>
      <c r="H819" s="1033"/>
      <c r="I819" s="1033"/>
      <c r="J819" s="1033"/>
      <c r="K819" s="1035"/>
      <c r="L819" s="1035"/>
      <c r="M819" s="998"/>
      <c r="N819" s="998"/>
    </row>
    <row r="820" spans="1:14" ht="12.75">
      <c r="A820" s="1033"/>
      <c r="B820" s="1033"/>
      <c r="C820" s="1033"/>
      <c r="F820" s="1034"/>
      <c r="G820" s="1033"/>
      <c r="H820" s="1033"/>
      <c r="I820" s="1033"/>
      <c r="J820" s="1033"/>
      <c r="K820" s="1035"/>
      <c r="L820" s="1035"/>
      <c r="M820" s="998"/>
      <c r="N820" s="998"/>
    </row>
    <row r="821" spans="1:14" ht="12.75">
      <c r="A821" s="1033"/>
      <c r="B821" s="1033"/>
      <c r="C821" s="1033"/>
      <c r="F821" s="1034"/>
      <c r="G821" s="1033"/>
      <c r="H821" s="1033"/>
      <c r="I821" s="1033"/>
      <c r="J821" s="1033"/>
      <c r="K821" s="1035"/>
      <c r="L821" s="1035"/>
      <c r="M821" s="998"/>
      <c r="N821" s="998"/>
    </row>
    <row r="822" spans="1:14" ht="12.75">
      <c r="A822" s="1033"/>
      <c r="B822" s="1033"/>
      <c r="C822" s="1033"/>
      <c r="F822" s="1034"/>
      <c r="G822" s="1033"/>
      <c r="H822" s="1033"/>
      <c r="I822" s="1033"/>
      <c r="J822" s="1033"/>
      <c r="K822" s="1035"/>
      <c r="L822" s="1035"/>
      <c r="M822" s="998"/>
      <c r="N822" s="998"/>
    </row>
    <row r="823" spans="1:14" ht="12.75">
      <c r="A823" s="1033"/>
      <c r="B823" s="1033"/>
      <c r="C823" s="1033"/>
      <c r="F823" s="1034"/>
      <c r="G823" s="1033"/>
      <c r="H823" s="1033"/>
      <c r="I823" s="1033"/>
      <c r="J823" s="1033"/>
      <c r="K823" s="1035"/>
      <c r="L823" s="1035"/>
      <c r="M823" s="998"/>
      <c r="N823" s="998"/>
    </row>
    <row r="824" spans="1:14" ht="12.75">
      <c r="A824" s="1033"/>
      <c r="B824" s="1033"/>
      <c r="C824" s="1033"/>
      <c r="F824" s="1034"/>
      <c r="G824" s="1033"/>
      <c r="H824" s="1033"/>
      <c r="I824" s="1033"/>
      <c r="J824" s="1033"/>
      <c r="K824" s="1035"/>
      <c r="L824" s="1035"/>
      <c r="M824" s="998"/>
      <c r="N824" s="998"/>
    </row>
    <row r="825" spans="1:14" ht="12.75">
      <c r="A825" s="1033"/>
      <c r="B825" s="1033"/>
      <c r="C825" s="1033"/>
      <c r="F825" s="1034"/>
      <c r="G825" s="1033"/>
      <c r="H825" s="1033"/>
      <c r="I825" s="1033"/>
      <c r="J825" s="1033"/>
      <c r="K825" s="1035"/>
      <c r="L825" s="1035"/>
      <c r="M825" s="998"/>
      <c r="N825" s="998"/>
    </row>
    <row r="826" spans="1:14" ht="12.75">
      <c r="A826" s="1033"/>
      <c r="B826" s="1033"/>
      <c r="C826" s="1033"/>
      <c r="F826" s="1034"/>
      <c r="G826" s="1033"/>
      <c r="H826" s="1033"/>
      <c r="I826" s="1033"/>
      <c r="J826" s="1033"/>
      <c r="K826" s="1035"/>
      <c r="L826" s="1035"/>
      <c r="M826" s="998"/>
      <c r="N826" s="998"/>
    </row>
    <row r="827" spans="1:14" ht="12.75">
      <c r="A827" s="1033"/>
      <c r="B827" s="1033"/>
      <c r="C827" s="1033"/>
      <c r="F827" s="1034"/>
      <c r="G827" s="1033"/>
      <c r="H827" s="1033"/>
      <c r="I827" s="1033"/>
      <c r="J827" s="1033"/>
      <c r="K827" s="1035"/>
      <c r="L827" s="1035"/>
      <c r="M827" s="998"/>
      <c r="N827" s="998"/>
    </row>
    <row r="828" spans="1:14" ht="12.75">
      <c r="A828" s="1033"/>
      <c r="B828" s="1033"/>
      <c r="C828" s="1033"/>
      <c r="F828" s="1034"/>
      <c r="G828" s="1033"/>
      <c r="H828" s="1033"/>
      <c r="I828" s="1033"/>
      <c r="J828" s="1033"/>
      <c r="K828" s="1035"/>
      <c r="L828" s="1035"/>
      <c r="M828" s="998"/>
      <c r="N828" s="998"/>
    </row>
    <row r="829" spans="1:14" ht="12.75">
      <c r="A829" s="1033"/>
      <c r="B829" s="1033"/>
      <c r="C829" s="1033"/>
      <c r="F829" s="1034"/>
      <c r="G829" s="1033"/>
      <c r="H829" s="1033"/>
      <c r="I829" s="1033"/>
      <c r="J829" s="1033"/>
      <c r="K829" s="1035"/>
      <c r="L829" s="1035"/>
      <c r="M829" s="998"/>
      <c r="N829" s="998"/>
    </row>
    <row r="830" spans="1:14" ht="12.75">
      <c r="A830" s="1033"/>
      <c r="B830" s="1033"/>
      <c r="C830" s="1033"/>
      <c r="F830" s="1034"/>
      <c r="G830" s="1033"/>
      <c r="H830" s="1033"/>
      <c r="I830" s="1033"/>
      <c r="J830" s="1033"/>
      <c r="K830" s="1035"/>
      <c r="L830" s="1035"/>
      <c r="M830" s="998"/>
      <c r="N830" s="998"/>
    </row>
    <row r="831" spans="1:14" ht="12.75">
      <c r="A831" s="1033"/>
      <c r="B831" s="1033"/>
      <c r="C831" s="1033"/>
      <c r="F831" s="1034"/>
      <c r="G831" s="1033"/>
      <c r="H831" s="1033"/>
      <c r="I831" s="1033"/>
      <c r="J831" s="1033"/>
      <c r="K831" s="1035"/>
      <c r="L831" s="1035"/>
      <c r="M831" s="998"/>
      <c r="N831" s="998"/>
    </row>
    <row r="832" spans="1:14" ht="12.75">
      <c r="A832" s="1033"/>
      <c r="B832" s="1033"/>
      <c r="C832" s="1033"/>
      <c r="F832" s="1034"/>
      <c r="G832" s="1033"/>
      <c r="H832" s="1033"/>
      <c r="I832" s="1033"/>
      <c r="J832" s="1033"/>
      <c r="K832" s="1035"/>
      <c r="L832" s="1035"/>
      <c r="M832" s="998"/>
      <c r="N832" s="998"/>
    </row>
    <row r="833" spans="1:14" ht="12.75">
      <c r="A833" s="1033"/>
      <c r="B833" s="1033"/>
      <c r="C833" s="1033"/>
      <c r="F833" s="1034"/>
      <c r="G833" s="1033"/>
      <c r="H833" s="1033"/>
      <c r="I833" s="1033"/>
      <c r="J833" s="1033"/>
      <c r="K833" s="1035"/>
      <c r="L833" s="1035"/>
      <c r="M833" s="998"/>
      <c r="N833" s="998"/>
    </row>
    <row r="834" spans="1:14" ht="12.75">
      <c r="A834" s="1033"/>
      <c r="B834" s="1033"/>
      <c r="C834" s="1033"/>
      <c r="F834" s="1034"/>
      <c r="G834" s="1033"/>
      <c r="H834" s="1033"/>
      <c r="I834" s="1033"/>
      <c r="J834" s="1033"/>
      <c r="K834" s="1035"/>
      <c r="L834" s="1035"/>
      <c r="M834" s="998"/>
      <c r="N834" s="998"/>
    </row>
    <row r="835" spans="1:14" ht="12.75">
      <c r="A835" s="1033"/>
      <c r="B835" s="1033"/>
      <c r="C835" s="1033"/>
      <c r="F835" s="1034"/>
      <c r="G835" s="1033"/>
      <c r="H835" s="1033"/>
      <c r="I835" s="1033"/>
      <c r="J835" s="1033"/>
      <c r="K835" s="1035"/>
      <c r="L835" s="1035"/>
      <c r="M835" s="998"/>
      <c r="N835" s="998"/>
    </row>
    <row r="836" spans="1:14" ht="12.75">
      <c r="A836" s="1033"/>
      <c r="B836" s="1033"/>
      <c r="C836" s="1033"/>
      <c r="F836" s="1034"/>
      <c r="G836" s="1033"/>
      <c r="H836" s="1033"/>
      <c r="I836" s="1033"/>
      <c r="J836" s="1033"/>
      <c r="K836" s="1035"/>
      <c r="L836" s="1035"/>
      <c r="M836" s="998"/>
      <c r="N836" s="998"/>
    </row>
    <row r="837" spans="1:14" ht="12.75">
      <c r="A837" s="1033"/>
      <c r="B837" s="1033"/>
      <c r="C837" s="1033"/>
      <c r="F837" s="1034"/>
      <c r="G837" s="1033"/>
      <c r="H837" s="1033"/>
      <c r="I837" s="1033"/>
      <c r="J837" s="1033"/>
      <c r="K837" s="1035"/>
      <c r="L837" s="1035"/>
      <c r="M837" s="998"/>
      <c r="N837" s="998"/>
    </row>
    <row r="838" spans="1:14" ht="12.75">
      <c r="A838" s="1033"/>
      <c r="B838" s="1033"/>
      <c r="C838" s="1033"/>
      <c r="F838" s="1034"/>
      <c r="G838" s="1033"/>
      <c r="H838" s="1033"/>
      <c r="I838" s="1033"/>
      <c r="J838" s="1033"/>
      <c r="K838" s="1035"/>
      <c r="L838" s="1035"/>
      <c r="M838" s="998"/>
      <c r="N838" s="998"/>
    </row>
    <row r="839" spans="1:14" ht="12.75">
      <c r="A839" s="1033"/>
      <c r="B839" s="1033"/>
      <c r="C839" s="1033"/>
      <c r="F839" s="1034"/>
      <c r="G839" s="1033"/>
      <c r="H839" s="1033"/>
      <c r="I839" s="1033"/>
      <c r="J839" s="1033"/>
      <c r="K839" s="1035"/>
      <c r="L839" s="1035"/>
      <c r="M839" s="998"/>
      <c r="N839" s="998"/>
    </row>
    <row r="840" spans="1:14" ht="12.75">
      <c r="A840" s="1033"/>
      <c r="B840" s="1033"/>
      <c r="C840" s="1033"/>
      <c r="F840" s="1034"/>
      <c r="G840" s="1033"/>
      <c r="H840" s="1033"/>
      <c r="I840" s="1033"/>
      <c r="J840" s="1033"/>
      <c r="K840" s="1035"/>
      <c r="L840" s="1035"/>
      <c r="M840" s="998"/>
      <c r="N840" s="998"/>
    </row>
    <row r="841" spans="1:14" ht="12.75">
      <c r="A841" s="1033"/>
      <c r="B841" s="1033"/>
      <c r="C841" s="1033"/>
      <c r="F841" s="1034"/>
      <c r="G841" s="1033"/>
      <c r="H841" s="1033"/>
      <c r="I841" s="1033"/>
      <c r="J841" s="1033"/>
      <c r="K841" s="1035"/>
      <c r="L841" s="1035"/>
      <c r="M841" s="998"/>
      <c r="N841" s="998"/>
    </row>
    <row r="842" spans="1:14" ht="12.75">
      <c r="A842" s="1033"/>
      <c r="B842" s="1033"/>
      <c r="C842" s="1033"/>
      <c r="F842" s="1034"/>
      <c r="G842" s="1033"/>
      <c r="H842" s="1033"/>
      <c r="I842" s="1033"/>
      <c r="J842" s="1033"/>
      <c r="K842" s="1035"/>
      <c r="L842" s="1035"/>
      <c r="M842" s="998"/>
      <c r="N842" s="998"/>
    </row>
    <row r="843" spans="1:14" ht="12.75">
      <c r="A843" s="1033"/>
      <c r="B843" s="1033"/>
      <c r="C843" s="1033"/>
      <c r="F843" s="1034"/>
      <c r="G843" s="1033"/>
      <c r="H843" s="1033"/>
      <c r="I843" s="1033"/>
      <c r="J843" s="1033"/>
      <c r="K843" s="1035"/>
      <c r="L843" s="1035"/>
      <c r="M843" s="998"/>
      <c r="N843" s="998"/>
    </row>
    <row r="844" spans="1:14" ht="12.75">
      <c r="A844" s="1033"/>
      <c r="B844" s="1033"/>
      <c r="C844" s="1033"/>
      <c r="F844" s="1034"/>
      <c r="G844" s="1033"/>
      <c r="H844" s="1033"/>
      <c r="I844" s="1033"/>
      <c r="J844" s="1033"/>
      <c r="K844" s="1035"/>
      <c r="L844" s="1035"/>
      <c r="M844" s="998"/>
      <c r="N844" s="998"/>
    </row>
    <row r="845" spans="1:14" ht="12.75">
      <c r="A845" s="1033"/>
      <c r="B845" s="1033"/>
      <c r="C845" s="1033"/>
      <c r="F845" s="1034"/>
      <c r="G845" s="1033"/>
      <c r="H845" s="1033"/>
      <c r="I845" s="1033"/>
      <c r="J845" s="1033"/>
      <c r="K845" s="1035"/>
      <c r="L845" s="1035"/>
      <c r="M845" s="998"/>
      <c r="N845" s="998"/>
    </row>
    <row r="846" spans="1:14" ht="12.75">
      <c r="A846" s="1033"/>
      <c r="B846" s="1033"/>
      <c r="C846" s="1033"/>
      <c r="F846" s="1034"/>
      <c r="G846" s="1033"/>
      <c r="H846" s="1033"/>
      <c r="I846" s="1033"/>
      <c r="J846" s="1033"/>
      <c r="K846" s="1035"/>
      <c r="L846" s="1035"/>
      <c r="M846" s="998"/>
      <c r="N846" s="998"/>
    </row>
    <row r="847" spans="1:14" ht="12.75">
      <c r="A847" s="1033"/>
      <c r="B847" s="1033"/>
      <c r="C847" s="1033"/>
      <c r="F847" s="1034"/>
      <c r="G847" s="1033"/>
      <c r="H847" s="1033"/>
      <c r="I847" s="1033"/>
      <c r="J847" s="1033"/>
      <c r="K847" s="1035"/>
      <c r="L847" s="1035"/>
      <c r="M847" s="998"/>
      <c r="N847" s="998"/>
    </row>
    <row r="848" spans="1:14" ht="12.75">
      <c r="A848" s="1033"/>
      <c r="B848" s="1033"/>
      <c r="C848" s="1033"/>
      <c r="F848" s="1034"/>
      <c r="G848" s="1033"/>
      <c r="H848" s="1033"/>
      <c r="I848" s="1033"/>
      <c r="J848" s="1033"/>
      <c r="K848" s="1035"/>
      <c r="L848" s="1035"/>
      <c r="M848" s="998"/>
      <c r="N848" s="998"/>
    </row>
    <row r="849" spans="1:14" ht="12.75">
      <c r="A849" s="1033"/>
      <c r="B849" s="1033"/>
      <c r="C849" s="1033"/>
      <c r="F849" s="1034"/>
      <c r="G849" s="1033"/>
      <c r="H849" s="1033"/>
      <c r="I849" s="1033"/>
      <c r="J849" s="1033"/>
      <c r="K849" s="1035"/>
      <c r="L849" s="1035"/>
      <c r="M849" s="998"/>
      <c r="N849" s="998"/>
    </row>
    <row r="850" spans="1:14" ht="12.75">
      <c r="A850" s="1033"/>
      <c r="B850" s="1033"/>
      <c r="C850" s="1033"/>
      <c r="F850" s="1034"/>
      <c r="G850" s="1033"/>
      <c r="H850" s="1033"/>
      <c r="I850" s="1033"/>
      <c r="J850" s="1033"/>
      <c r="K850" s="1035"/>
      <c r="L850" s="1035"/>
      <c r="M850" s="998"/>
      <c r="N850" s="998"/>
    </row>
    <row r="851" spans="1:14" ht="12.75">
      <c r="A851" s="1033"/>
      <c r="B851" s="1033"/>
      <c r="C851" s="1033"/>
      <c r="F851" s="1034"/>
      <c r="G851" s="1033"/>
      <c r="H851" s="1033"/>
      <c r="I851" s="1033"/>
      <c r="J851" s="1033"/>
      <c r="K851" s="1035"/>
      <c r="L851" s="1035"/>
      <c r="M851" s="998"/>
      <c r="N851" s="998"/>
    </row>
    <row r="852" spans="1:14" ht="12.75">
      <c r="A852" s="1033"/>
      <c r="B852" s="1033"/>
      <c r="C852" s="1033"/>
      <c r="F852" s="1034"/>
      <c r="G852" s="1033"/>
      <c r="H852" s="1033"/>
      <c r="I852" s="1033"/>
      <c r="J852" s="1033"/>
      <c r="K852" s="1035"/>
      <c r="L852" s="1035"/>
      <c r="M852" s="998"/>
      <c r="N852" s="998"/>
    </row>
    <row r="853" spans="1:14" ht="12.75">
      <c r="A853" s="1033"/>
      <c r="B853" s="1033"/>
      <c r="C853" s="1033"/>
      <c r="F853" s="1034"/>
      <c r="G853" s="1033"/>
      <c r="H853" s="1033"/>
      <c r="I853" s="1033"/>
      <c r="J853" s="1033"/>
      <c r="K853" s="1035"/>
      <c r="L853" s="1035"/>
      <c r="M853" s="998"/>
      <c r="N853" s="998"/>
    </row>
    <row r="854" spans="1:14" ht="12.75">
      <c r="A854" s="1033"/>
      <c r="B854" s="1033"/>
      <c r="C854" s="1033"/>
      <c r="F854" s="1034"/>
      <c r="G854" s="1033"/>
      <c r="H854" s="1033"/>
      <c r="I854" s="1033"/>
      <c r="J854" s="1033"/>
      <c r="K854" s="1035"/>
      <c r="L854" s="1035"/>
      <c r="M854" s="998"/>
      <c r="N854" s="998"/>
    </row>
    <row r="855" spans="1:14" ht="12.75">
      <c r="A855" s="1033"/>
      <c r="B855" s="1033"/>
      <c r="C855" s="1033"/>
      <c r="F855" s="1034"/>
      <c r="G855" s="1033"/>
      <c r="H855" s="1033"/>
      <c r="I855" s="1033"/>
      <c r="J855" s="1033"/>
      <c r="K855" s="1035"/>
      <c r="L855" s="1035"/>
      <c r="M855" s="998"/>
      <c r="N855" s="998"/>
    </row>
    <row r="856" spans="1:14" ht="12.75">
      <c r="A856" s="1033"/>
      <c r="B856" s="1033"/>
      <c r="C856" s="1033"/>
      <c r="F856" s="1034"/>
      <c r="G856" s="1033"/>
      <c r="H856" s="1033"/>
      <c r="I856" s="1033"/>
      <c r="J856" s="1033"/>
      <c r="K856" s="1035"/>
      <c r="L856" s="1035"/>
      <c r="M856" s="998"/>
      <c r="N856" s="998"/>
    </row>
    <row r="857" spans="1:14" ht="12.75">
      <c r="A857" s="1033"/>
      <c r="B857" s="1033"/>
      <c r="C857" s="1033"/>
      <c r="F857" s="1034"/>
      <c r="G857" s="1033"/>
      <c r="H857" s="1033"/>
      <c r="I857" s="1033"/>
      <c r="J857" s="1033"/>
      <c r="K857" s="1035"/>
      <c r="L857" s="1035"/>
      <c r="M857" s="998"/>
      <c r="N857" s="998"/>
    </row>
    <row r="858" spans="1:14" ht="12.75">
      <c r="A858" s="1033"/>
      <c r="B858" s="1033"/>
      <c r="C858" s="1033"/>
      <c r="F858" s="1034"/>
      <c r="G858" s="1033"/>
      <c r="H858" s="1033"/>
      <c r="I858" s="1033"/>
      <c r="J858" s="1033"/>
      <c r="K858" s="1035"/>
      <c r="L858" s="1035"/>
      <c r="M858" s="998"/>
      <c r="N858" s="998"/>
    </row>
    <row r="859" spans="1:14" ht="12.75">
      <c r="A859" s="1033"/>
      <c r="B859" s="1033"/>
      <c r="C859" s="1033"/>
      <c r="F859" s="1034"/>
      <c r="G859" s="1033"/>
      <c r="H859" s="1033"/>
      <c r="I859" s="1033"/>
      <c r="J859" s="1033"/>
      <c r="K859" s="1035"/>
      <c r="L859" s="1035"/>
      <c r="M859" s="998"/>
      <c r="N859" s="998"/>
    </row>
    <row r="860" spans="1:14" ht="12.75">
      <c r="A860" s="1033"/>
      <c r="B860" s="1033"/>
      <c r="C860" s="1033"/>
      <c r="F860" s="1034"/>
      <c r="G860" s="1033"/>
      <c r="H860" s="1033"/>
      <c r="I860" s="1033"/>
      <c r="J860" s="1033"/>
      <c r="K860" s="1035"/>
      <c r="L860" s="1035"/>
      <c r="M860" s="998"/>
      <c r="N860" s="998"/>
    </row>
    <row r="861" spans="1:14" ht="12.75">
      <c r="A861" s="1033"/>
      <c r="B861" s="1033"/>
      <c r="C861" s="1033"/>
      <c r="F861" s="1034"/>
      <c r="G861" s="1033"/>
      <c r="H861" s="1033"/>
      <c r="I861" s="1033"/>
      <c r="J861" s="1033"/>
      <c r="K861" s="1035"/>
      <c r="L861" s="1035"/>
      <c r="M861" s="998"/>
      <c r="N861" s="998"/>
    </row>
    <row r="862" spans="1:14" ht="12.75">
      <c r="A862" s="1033"/>
      <c r="B862" s="1033"/>
      <c r="C862" s="1033"/>
      <c r="F862" s="1034"/>
      <c r="G862" s="1033"/>
      <c r="H862" s="1033"/>
      <c r="I862" s="1033"/>
      <c r="J862" s="1033"/>
      <c r="K862" s="1035"/>
      <c r="L862" s="1035"/>
      <c r="M862" s="998"/>
      <c r="N862" s="998"/>
    </row>
    <row r="863" spans="1:14" ht="12.75">
      <c r="A863" s="1033"/>
      <c r="B863" s="1033"/>
      <c r="C863" s="1033"/>
      <c r="F863" s="1034"/>
      <c r="G863" s="1033"/>
      <c r="H863" s="1033"/>
      <c r="I863" s="1033"/>
      <c r="J863" s="1033"/>
      <c r="K863" s="1035"/>
      <c r="L863" s="1035"/>
      <c r="M863" s="998"/>
      <c r="N863" s="998"/>
    </row>
    <row r="864" spans="1:14" ht="12.75">
      <c r="A864" s="1033"/>
      <c r="B864" s="1033"/>
      <c r="C864" s="1033"/>
      <c r="F864" s="1034"/>
      <c r="G864" s="1033"/>
      <c r="H864" s="1033"/>
      <c r="I864" s="1033"/>
      <c r="J864" s="1033"/>
      <c r="K864" s="1035"/>
      <c r="L864" s="1035"/>
      <c r="M864" s="998"/>
      <c r="N864" s="998"/>
    </row>
    <row r="865" spans="1:14" ht="12.75">
      <c r="A865" s="1033"/>
      <c r="B865" s="1033"/>
      <c r="C865" s="1033"/>
      <c r="F865" s="1034"/>
      <c r="G865" s="1033"/>
      <c r="H865" s="1033"/>
      <c r="I865" s="1033"/>
      <c r="J865" s="1033"/>
      <c r="K865" s="1035"/>
      <c r="L865" s="1035"/>
      <c r="M865" s="998"/>
      <c r="N865" s="998"/>
    </row>
    <row r="866" spans="1:14" ht="12.75">
      <c r="A866" s="1033"/>
      <c r="B866" s="1033"/>
      <c r="C866" s="1033"/>
      <c r="F866" s="1034"/>
      <c r="G866" s="1033"/>
      <c r="H866" s="1033"/>
      <c r="I866" s="1033"/>
      <c r="J866" s="1033"/>
      <c r="K866" s="1035"/>
      <c r="L866" s="1035"/>
      <c r="M866" s="998"/>
      <c r="N866" s="998"/>
    </row>
    <row r="867" spans="1:14" ht="12.75">
      <c r="A867" s="1033"/>
      <c r="B867" s="1033"/>
      <c r="C867" s="1033"/>
      <c r="F867" s="1034"/>
      <c r="G867" s="1033"/>
      <c r="H867" s="1033"/>
      <c r="I867" s="1033"/>
      <c r="J867" s="1033"/>
      <c r="K867" s="1035"/>
      <c r="L867" s="1035"/>
      <c r="M867" s="998"/>
      <c r="N867" s="998"/>
    </row>
    <row r="868" spans="1:14" ht="12.75">
      <c r="A868" s="1033"/>
      <c r="B868" s="1033"/>
      <c r="C868" s="1033"/>
      <c r="F868" s="1034"/>
      <c r="G868" s="1033"/>
      <c r="H868" s="1033"/>
      <c r="I868" s="1033"/>
      <c r="J868" s="1033"/>
      <c r="K868" s="1035"/>
      <c r="L868" s="1035"/>
      <c r="M868" s="998"/>
      <c r="N868" s="998"/>
    </row>
    <row r="869" spans="1:14" ht="12.75">
      <c r="A869" s="1033"/>
      <c r="B869" s="1033"/>
      <c r="C869" s="1033"/>
      <c r="F869" s="1034"/>
      <c r="G869" s="1033"/>
      <c r="H869" s="1033"/>
      <c r="I869" s="1033"/>
      <c r="J869" s="1033"/>
      <c r="K869" s="1035"/>
      <c r="L869" s="1035"/>
      <c r="M869" s="998"/>
      <c r="N869" s="998"/>
    </row>
    <row r="870" spans="1:14" ht="12.75">
      <c r="A870" s="1033"/>
      <c r="B870" s="1033"/>
      <c r="C870" s="1033"/>
      <c r="F870" s="1034"/>
      <c r="G870" s="1033"/>
      <c r="H870" s="1033"/>
      <c r="I870" s="1033"/>
      <c r="J870" s="1033"/>
      <c r="K870" s="1035"/>
      <c r="L870" s="1035"/>
      <c r="M870" s="998"/>
      <c r="N870" s="998"/>
    </row>
    <row r="871" spans="1:14" ht="12.75">
      <c r="A871" s="1033"/>
      <c r="B871" s="1033"/>
      <c r="C871" s="1033"/>
      <c r="F871" s="1034"/>
      <c r="G871" s="1033"/>
      <c r="H871" s="1033"/>
      <c r="I871" s="1033"/>
      <c r="J871" s="1033"/>
      <c r="K871" s="1035"/>
      <c r="L871" s="1035"/>
      <c r="M871" s="998"/>
      <c r="N871" s="998"/>
    </row>
    <row r="872" spans="1:14" ht="12.75">
      <c r="A872" s="1033"/>
      <c r="B872" s="1033"/>
      <c r="C872" s="1033"/>
      <c r="F872" s="1034"/>
      <c r="G872" s="1033"/>
      <c r="H872" s="1033"/>
      <c r="I872" s="1033"/>
      <c r="J872" s="1033"/>
      <c r="K872" s="1035"/>
      <c r="L872" s="1035"/>
      <c r="M872" s="998"/>
      <c r="N872" s="998"/>
    </row>
    <row r="873" spans="1:14" ht="12.75">
      <c r="A873" s="1033"/>
      <c r="B873" s="1033"/>
      <c r="C873" s="1033"/>
      <c r="F873" s="1034"/>
      <c r="G873" s="1033"/>
      <c r="H873" s="1033"/>
      <c r="I873" s="1033"/>
      <c r="J873" s="1033"/>
      <c r="K873" s="1035"/>
      <c r="L873" s="1035"/>
      <c r="M873" s="998"/>
      <c r="N873" s="998"/>
    </row>
    <row r="874" spans="1:14" ht="12.75">
      <c r="A874" s="1033"/>
      <c r="B874" s="1033"/>
      <c r="C874" s="1033"/>
      <c r="F874" s="1034"/>
      <c r="G874" s="1033"/>
      <c r="H874" s="1033"/>
      <c r="I874" s="1033"/>
      <c r="J874" s="1033"/>
      <c r="K874" s="1035"/>
      <c r="L874" s="1035"/>
      <c r="M874" s="998"/>
      <c r="N874" s="998"/>
    </row>
    <row r="875" spans="1:14" ht="12.75">
      <c r="A875" s="1033"/>
      <c r="B875" s="1033"/>
      <c r="C875" s="1033"/>
      <c r="F875" s="1034"/>
      <c r="G875" s="1033"/>
      <c r="H875" s="1033"/>
      <c r="I875" s="1033"/>
      <c r="J875" s="1033"/>
      <c r="K875" s="1035"/>
      <c r="L875" s="1035"/>
      <c r="M875" s="998"/>
      <c r="N875" s="998"/>
    </row>
    <row r="876" spans="1:14" ht="12.75">
      <c r="A876" s="1033"/>
      <c r="B876" s="1033"/>
      <c r="C876" s="1033"/>
      <c r="F876" s="1034"/>
      <c r="G876" s="1033"/>
      <c r="H876" s="1033"/>
      <c r="I876" s="1033"/>
      <c r="J876" s="1033"/>
      <c r="K876" s="1035"/>
      <c r="L876" s="1035"/>
      <c r="M876" s="998"/>
      <c r="N876" s="998"/>
    </row>
    <row r="877" spans="1:14" ht="12.75">
      <c r="A877" s="1033"/>
      <c r="B877" s="1033"/>
      <c r="C877" s="1033"/>
      <c r="F877" s="1034"/>
      <c r="G877" s="1033"/>
      <c r="H877" s="1033"/>
      <c r="I877" s="1033"/>
      <c r="J877" s="1033"/>
      <c r="K877" s="1035"/>
      <c r="L877" s="1035"/>
      <c r="M877" s="998"/>
      <c r="N877" s="998"/>
    </row>
    <row r="878" spans="1:14" ht="12.75">
      <c r="A878" s="1033"/>
      <c r="B878" s="1033"/>
      <c r="C878" s="1033"/>
      <c r="F878" s="1034"/>
      <c r="G878" s="1033"/>
      <c r="H878" s="1033"/>
      <c r="I878" s="1033"/>
      <c r="J878" s="1033"/>
      <c r="K878" s="1035"/>
      <c r="L878" s="1035"/>
      <c r="M878" s="998"/>
      <c r="N878" s="998"/>
    </row>
    <row r="879" spans="1:14" ht="12.75">
      <c r="A879" s="1033"/>
      <c r="B879" s="1033"/>
      <c r="C879" s="1033"/>
      <c r="F879" s="1034"/>
      <c r="G879" s="1033"/>
      <c r="H879" s="1033"/>
      <c r="I879" s="1033"/>
      <c r="J879" s="1033"/>
      <c r="K879" s="1035"/>
      <c r="L879" s="1035"/>
      <c r="M879" s="998"/>
      <c r="N879" s="998"/>
    </row>
    <row r="880" spans="1:14" ht="12.75">
      <c r="A880" s="1033"/>
      <c r="B880" s="1033"/>
      <c r="C880" s="1033"/>
      <c r="F880" s="1034"/>
      <c r="G880" s="1033"/>
      <c r="H880" s="1033"/>
      <c r="I880" s="1033"/>
      <c r="J880" s="1033"/>
      <c r="K880" s="1035"/>
      <c r="L880" s="1035"/>
      <c r="M880" s="998"/>
      <c r="N880" s="998"/>
    </row>
    <row r="881" spans="1:14" ht="12.75">
      <c r="A881" s="1033"/>
      <c r="B881" s="1033"/>
      <c r="C881" s="1033"/>
      <c r="F881" s="1034"/>
      <c r="G881" s="1033"/>
      <c r="H881" s="1033"/>
      <c r="I881" s="1033"/>
      <c r="J881" s="1033"/>
      <c r="K881" s="1035"/>
      <c r="L881" s="1035"/>
      <c r="M881" s="998"/>
      <c r="N881" s="998"/>
    </row>
    <row r="882" spans="1:14" ht="12.75">
      <c r="A882" s="1033"/>
      <c r="B882" s="1033"/>
      <c r="C882" s="1033"/>
      <c r="F882" s="1034"/>
      <c r="G882" s="1033"/>
      <c r="H882" s="1033"/>
      <c r="I882" s="1033"/>
      <c r="J882" s="1033"/>
      <c r="K882" s="1035"/>
      <c r="L882" s="1035"/>
      <c r="M882" s="998"/>
      <c r="N882" s="998"/>
    </row>
    <row r="883" spans="1:14" ht="12.75">
      <c r="A883" s="1033"/>
      <c r="B883" s="1033"/>
      <c r="C883" s="1033"/>
      <c r="F883" s="1034"/>
      <c r="G883" s="1033"/>
      <c r="H883" s="1033"/>
      <c r="I883" s="1033"/>
      <c r="J883" s="1033"/>
      <c r="K883" s="1035"/>
      <c r="L883" s="1035"/>
      <c r="M883" s="998"/>
      <c r="N883" s="998"/>
    </row>
    <row r="884" spans="1:14" ht="12.75">
      <c r="A884" s="1033"/>
      <c r="B884" s="1033"/>
      <c r="C884" s="1033"/>
      <c r="F884" s="1034"/>
      <c r="G884" s="1033"/>
      <c r="H884" s="1033"/>
      <c r="I884" s="1033"/>
      <c r="J884" s="1033"/>
      <c r="K884" s="1035"/>
      <c r="L884" s="1035"/>
      <c r="M884" s="998"/>
      <c r="N884" s="998"/>
    </row>
    <row r="885" spans="1:14" ht="12.75">
      <c r="A885" s="1033"/>
      <c r="B885" s="1033"/>
      <c r="C885" s="1033"/>
      <c r="F885" s="1034"/>
      <c r="G885" s="1033"/>
      <c r="H885" s="1033"/>
      <c r="I885" s="1033"/>
      <c r="J885" s="1033"/>
      <c r="K885" s="1035"/>
      <c r="L885" s="1035"/>
      <c r="M885" s="998"/>
      <c r="N885" s="998"/>
    </row>
    <row r="886" spans="1:14" ht="12.75">
      <c r="A886" s="1033"/>
      <c r="B886" s="1033"/>
      <c r="C886" s="1033"/>
      <c r="F886" s="1034"/>
      <c r="G886" s="1033"/>
      <c r="H886" s="1033"/>
      <c r="I886" s="1033"/>
      <c r="J886" s="1033"/>
      <c r="K886" s="1035"/>
      <c r="L886" s="1035"/>
      <c r="M886" s="998"/>
      <c r="N886" s="998"/>
    </row>
    <row r="887" spans="1:14" ht="12.75">
      <c r="A887" s="1033"/>
      <c r="B887" s="1033"/>
      <c r="C887" s="1033"/>
      <c r="F887" s="1034"/>
      <c r="G887" s="1033"/>
      <c r="H887" s="1033"/>
      <c r="I887" s="1033"/>
      <c r="J887" s="1033"/>
      <c r="K887" s="1035"/>
      <c r="L887" s="1035"/>
      <c r="M887" s="998"/>
      <c r="N887" s="998"/>
    </row>
    <row r="888" spans="1:14" ht="12.75">
      <c r="A888" s="1033"/>
      <c r="B888" s="1033"/>
      <c r="C888" s="1033"/>
      <c r="F888" s="1034"/>
      <c r="G888" s="1033"/>
      <c r="H888" s="1033"/>
      <c r="I888" s="1033"/>
      <c r="J888" s="1033"/>
      <c r="K888" s="1035"/>
      <c r="L888" s="1035"/>
      <c r="M888" s="998"/>
      <c r="N888" s="998"/>
    </row>
    <row r="889" spans="1:14" ht="12.75">
      <c r="A889" s="1033"/>
      <c r="B889" s="1033"/>
      <c r="C889" s="1033"/>
      <c r="F889" s="1034"/>
      <c r="G889" s="1033"/>
      <c r="H889" s="1033"/>
      <c r="I889" s="1033"/>
      <c r="J889" s="1033"/>
      <c r="K889" s="1035"/>
      <c r="L889" s="1035"/>
      <c r="M889" s="998"/>
      <c r="N889" s="998"/>
    </row>
    <row r="890" spans="1:14" ht="12.75">
      <c r="A890" s="1033"/>
      <c r="B890" s="1033"/>
      <c r="C890" s="1033"/>
      <c r="F890" s="1034"/>
      <c r="G890" s="1033"/>
      <c r="H890" s="1033"/>
      <c r="I890" s="1033"/>
      <c r="J890" s="1033"/>
      <c r="K890" s="1035"/>
      <c r="L890" s="1035"/>
      <c r="M890" s="998"/>
      <c r="N890" s="998"/>
    </row>
    <row r="891" spans="1:14" ht="12.75">
      <c r="A891" s="1033"/>
      <c r="B891" s="1033"/>
      <c r="C891" s="1033"/>
      <c r="F891" s="1034"/>
      <c r="G891" s="1033"/>
      <c r="H891" s="1033"/>
      <c r="I891" s="1033"/>
      <c r="J891" s="1033"/>
      <c r="K891" s="1035"/>
      <c r="L891" s="1035"/>
      <c r="M891" s="998"/>
      <c r="N891" s="998"/>
    </row>
    <row r="892" spans="1:14" ht="12.75">
      <c r="A892" s="1033"/>
      <c r="B892" s="1033"/>
      <c r="C892" s="1033"/>
      <c r="F892" s="1034"/>
      <c r="G892" s="1033"/>
      <c r="H892" s="1033"/>
      <c r="I892" s="1033"/>
      <c r="J892" s="1033"/>
      <c r="K892" s="1035"/>
      <c r="L892" s="1035"/>
      <c r="M892" s="998"/>
      <c r="N892" s="998"/>
    </row>
    <row r="893" spans="1:14" ht="12.75">
      <c r="A893" s="1033"/>
      <c r="B893" s="1033"/>
      <c r="C893" s="1033"/>
      <c r="F893" s="1034"/>
      <c r="G893" s="1033"/>
      <c r="H893" s="1033"/>
      <c r="I893" s="1033"/>
      <c r="J893" s="1033"/>
      <c r="K893" s="1035"/>
      <c r="L893" s="1035"/>
      <c r="M893" s="998"/>
      <c r="N893" s="998"/>
    </row>
    <row r="894" spans="1:14" ht="12.75">
      <c r="A894" s="1033"/>
      <c r="B894" s="1033"/>
      <c r="C894" s="1033"/>
      <c r="F894" s="1034"/>
      <c r="G894" s="1033"/>
      <c r="H894" s="1033"/>
      <c r="I894" s="1033"/>
      <c r="J894" s="1033"/>
      <c r="K894" s="1035"/>
      <c r="L894" s="1035"/>
      <c r="M894" s="998"/>
      <c r="N894" s="998"/>
    </row>
    <row r="895" spans="1:14" ht="12.75">
      <c r="A895" s="1033"/>
      <c r="B895" s="1033"/>
      <c r="C895" s="1033"/>
      <c r="F895" s="1034"/>
      <c r="G895" s="1033"/>
      <c r="H895" s="1033"/>
      <c r="I895" s="1033"/>
      <c r="J895" s="1033"/>
      <c r="K895" s="1035"/>
      <c r="L895" s="1035"/>
      <c r="M895" s="998"/>
      <c r="N895" s="998"/>
    </row>
    <row r="896" spans="1:14" ht="12.75">
      <c r="A896" s="1033"/>
      <c r="B896" s="1033"/>
      <c r="C896" s="1033"/>
      <c r="F896" s="1034"/>
      <c r="G896" s="1033"/>
      <c r="H896" s="1033"/>
      <c r="I896" s="1033"/>
      <c r="J896" s="1033"/>
      <c r="K896" s="1035"/>
      <c r="L896" s="1035"/>
      <c r="M896" s="998"/>
      <c r="N896" s="998"/>
    </row>
    <row r="897" spans="1:14" ht="12.75">
      <c r="A897" s="1033"/>
      <c r="B897" s="1033"/>
      <c r="C897" s="1033"/>
      <c r="F897" s="1034"/>
      <c r="G897" s="1033"/>
      <c r="H897" s="1033"/>
      <c r="I897" s="1033"/>
      <c r="J897" s="1033"/>
      <c r="K897" s="1035"/>
      <c r="L897" s="1035"/>
      <c r="M897" s="998"/>
      <c r="N897" s="998"/>
    </row>
    <row r="898" spans="1:14" ht="12.75">
      <c r="A898" s="1033"/>
      <c r="B898" s="1033"/>
      <c r="C898" s="1033"/>
      <c r="F898" s="1034"/>
      <c r="G898" s="1033"/>
      <c r="H898" s="1033"/>
      <c r="I898" s="1033"/>
      <c r="J898" s="1033"/>
      <c r="K898" s="1035"/>
      <c r="L898" s="1035"/>
      <c r="M898" s="998"/>
      <c r="N898" s="998"/>
    </row>
    <row r="899" spans="1:14" ht="12.75">
      <c r="A899" s="1033"/>
      <c r="B899" s="1033"/>
      <c r="C899" s="1033"/>
      <c r="F899" s="1034"/>
      <c r="G899" s="1033"/>
      <c r="H899" s="1033"/>
      <c r="I899" s="1033"/>
      <c r="J899" s="1033"/>
      <c r="K899" s="1035"/>
      <c r="L899" s="1035"/>
      <c r="M899" s="998"/>
      <c r="N899" s="998"/>
    </row>
    <row r="900" spans="1:14" ht="12.75">
      <c r="A900" s="1033"/>
      <c r="B900" s="1033"/>
      <c r="C900" s="1033"/>
      <c r="F900" s="1034"/>
      <c r="G900" s="1033"/>
      <c r="H900" s="1033"/>
      <c r="I900" s="1033"/>
      <c r="J900" s="1033"/>
      <c r="K900" s="1035"/>
      <c r="L900" s="1035"/>
      <c r="M900" s="998"/>
      <c r="N900" s="998"/>
    </row>
    <row r="901" spans="1:14" ht="12.75">
      <c r="A901" s="1033"/>
      <c r="B901" s="1033"/>
      <c r="C901" s="1033"/>
      <c r="F901" s="1034"/>
      <c r="G901" s="1033"/>
      <c r="H901" s="1033"/>
      <c r="I901" s="1033"/>
      <c r="J901" s="1033"/>
      <c r="K901" s="1035"/>
      <c r="L901" s="1035"/>
      <c r="M901" s="998"/>
      <c r="N901" s="998"/>
    </row>
    <row r="902" spans="1:14" ht="12.75">
      <c r="A902" s="1033"/>
      <c r="B902" s="1033"/>
      <c r="C902" s="1033"/>
      <c r="F902" s="1034"/>
      <c r="G902" s="1033"/>
      <c r="H902" s="1033"/>
      <c r="I902" s="1033"/>
      <c r="J902" s="1033"/>
      <c r="K902" s="1035"/>
      <c r="L902" s="1035"/>
      <c r="M902" s="998"/>
      <c r="N902" s="998"/>
    </row>
    <row r="903" spans="1:14" ht="12.75">
      <c r="A903" s="1033"/>
      <c r="B903" s="1033"/>
      <c r="C903" s="1033"/>
      <c r="F903" s="1034"/>
      <c r="G903" s="1033"/>
      <c r="H903" s="1033"/>
      <c r="I903" s="1033"/>
      <c r="J903" s="1033"/>
      <c r="K903" s="1035"/>
      <c r="L903" s="1035"/>
      <c r="M903" s="998"/>
      <c r="N903" s="998"/>
    </row>
    <row r="904" spans="1:14" ht="12.75">
      <c r="A904" s="1033"/>
      <c r="B904" s="1033"/>
      <c r="C904" s="1033"/>
      <c r="F904" s="1034"/>
      <c r="G904" s="1033"/>
      <c r="H904" s="1033"/>
      <c r="I904" s="1033"/>
      <c r="J904" s="1033"/>
      <c r="K904" s="1035"/>
      <c r="L904" s="1035"/>
      <c r="M904" s="998"/>
      <c r="N904" s="998"/>
    </row>
    <row r="905" spans="1:14" ht="12.75">
      <c r="A905" s="1033"/>
      <c r="B905" s="1033"/>
      <c r="C905" s="1033"/>
      <c r="F905" s="1034"/>
      <c r="G905" s="1033"/>
      <c r="H905" s="1033"/>
      <c r="I905" s="1033"/>
      <c r="J905" s="1033"/>
      <c r="K905" s="1035"/>
      <c r="L905" s="1035"/>
      <c r="M905" s="998"/>
      <c r="N905" s="998"/>
    </row>
    <row r="906" spans="1:14" ht="12.75">
      <c r="A906" s="1033"/>
      <c r="B906" s="1033"/>
      <c r="C906" s="1033"/>
      <c r="F906" s="1034"/>
      <c r="G906" s="1033"/>
      <c r="H906" s="1033"/>
      <c r="I906" s="1033"/>
      <c r="J906" s="1033"/>
      <c r="K906" s="1035"/>
      <c r="L906" s="1035"/>
      <c r="M906" s="998"/>
      <c r="N906" s="998"/>
    </row>
    <row r="907" spans="1:14" ht="12.75">
      <c r="A907" s="1033"/>
      <c r="B907" s="1033"/>
      <c r="C907" s="1033"/>
      <c r="F907" s="1034"/>
      <c r="G907" s="1033"/>
      <c r="H907" s="1033"/>
      <c r="I907" s="1033"/>
      <c r="J907" s="1033"/>
      <c r="K907" s="1035"/>
      <c r="L907" s="1035"/>
      <c r="M907" s="998"/>
      <c r="N907" s="998"/>
    </row>
    <row r="908" spans="1:14" ht="12.75">
      <c r="A908" s="1033"/>
      <c r="B908" s="1033"/>
      <c r="C908" s="1033"/>
      <c r="F908" s="1034"/>
      <c r="G908" s="1033"/>
      <c r="H908" s="1033"/>
      <c r="I908" s="1033"/>
      <c r="J908" s="1033"/>
      <c r="K908" s="1035"/>
      <c r="L908" s="1035"/>
      <c r="M908" s="998"/>
      <c r="N908" s="998"/>
    </row>
    <row r="909" spans="1:14" ht="12.75">
      <c r="A909" s="1033"/>
      <c r="B909" s="1033"/>
      <c r="C909" s="1033"/>
      <c r="F909" s="1034"/>
      <c r="G909" s="1033"/>
      <c r="H909" s="1033"/>
      <c r="I909" s="1033"/>
      <c r="J909" s="1033"/>
      <c r="K909" s="1035"/>
      <c r="L909" s="1035"/>
      <c r="M909" s="998"/>
      <c r="N909" s="998"/>
    </row>
    <row r="910" spans="1:14" ht="12.75">
      <c r="A910" s="1033"/>
      <c r="B910" s="1033"/>
      <c r="C910" s="1033"/>
      <c r="F910" s="1034"/>
      <c r="G910" s="1033"/>
      <c r="H910" s="1033"/>
      <c r="I910" s="1033"/>
      <c r="J910" s="1033"/>
      <c r="K910" s="1035"/>
      <c r="L910" s="1035"/>
      <c r="M910" s="998"/>
      <c r="N910" s="998"/>
    </row>
    <row r="911" spans="1:14" ht="12.75">
      <c r="A911" s="1033"/>
      <c r="B911" s="1033"/>
      <c r="C911" s="1033"/>
      <c r="F911" s="1034"/>
      <c r="G911" s="1033"/>
      <c r="H911" s="1033"/>
      <c r="I911" s="1033"/>
      <c r="J911" s="1033"/>
      <c r="K911" s="1035"/>
      <c r="L911" s="1035"/>
      <c r="M911" s="998"/>
      <c r="N911" s="998"/>
    </row>
    <row r="912" spans="1:14" ht="12.75">
      <c r="A912" s="1033"/>
      <c r="B912" s="1033"/>
      <c r="C912" s="1033"/>
      <c r="F912" s="1034"/>
      <c r="G912" s="1033"/>
      <c r="H912" s="1033"/>
      <c r="I912" s="1033"/>
      <c r="J912" s="1033"/>
      <c r="K912" s="1035"/>
      <c r="L912" s="1035"/>
      <c r="M912" s="998"/>
      <c r="N912" s="998"/>
    </row>
    <row r="913" spans="1:14" ht="12.75">
      <c r="A913" s="1033"/>
      <c r="B913" s="1033"/>
      <c r="C913" s="1033"/>
      <c r="F913" s="1034"/>
      <c r="G913" s="1033"/>
      <c r="H913" s="1033"/>
      <c r="I913" s="1033"/>
      <c r="J913" s="1033"/>
      <c r="K913" s="1035"/>
      <c r="L913" s="1035"/>
      <c r="M913" s="998"/>
      <c r="N913" s="998"/>
    </row>
    <row r="914" spans="1:14" ht="12.75">
      <c r="A914" s="1033"/>
      <c r="B914" s="1033"/>
      <c r="C914" s="1033"/>
      <c r="F914" s="1034"/>
      <c r="G914" s="1033"/>
      <c r="H914" s="1033"/>
      <c r="I914" s="1033"/>
      <c r="J914" s="1033"/>
      <c r="K914" s="1035"/>
      <c r="L914" s="1035"/>
      <c r="M914" s="998"/>
      <c r="N914" s="998"/>
    </row>
    <row r="915" spans="1:14" ht="12.75">
      <c r="A915" s="1033"/>
      <c r="B915" s="1033"/>
      <c r="C915" s="1033"/>
      <c r="F915" s="1034"/>
      <c r="G915" s="1033"/>
      <c r="H915" s="1033"/>
      <c r="I915" s="1033"/>
      <c r="J915" s="1033"/>
      <c r="K915" s="1035"/>
      <c r="L915" s="1035"/>
      <c r="M915" s="998"/>
      <c r="N915" s="998"/>
    </row>
    <row r="916" spans="1:14" ht="12.75">
      <c r="A916" s="1033"/>
      <c r="B916" s="1033"/>
      <c r="C916" s="1033"/>
      <c r="F916" s="1034"/>
      <c r="G916" s="1033"/>
      <c r="H916" s="1033"/>
      <c r="I916" s="1033"/>
      <c r="J916" s="1033"/>
      <c r="K916" s="1035"/>
      <c r="L916" s="1035"/>
      <c r="M916" s="998"/>
      <c r="N916" s="998"/>
    </row>
    <row r="917" spans="1:14" ht="12.75">
      <c r="A917" s="1033"/>
      <c r="B917" s="1033"/>
      <c r="C917" s="1033"/>
      <c r="F917" s="1034"/>
      <c r="G917" s="1033"/>
      <c r="H917" s="1033"/>
      <c r="I917" s="1033"/>
      <c r="J917" s="1033"/>
      <c r="K917" s="1035"/>
      <c r="L917" s="1035"/>
      <c r="M917" s="998"/>
      <c r="N917" s="998"/>
    </row>
    <row r="918" spans="1:14" ht="12.75">
      <c r="A918" s="1033"/>
      <c r="B918" s="1033"/>
      <c r="C918" s="1033"/>
      <c r="F918" s="1034"/>
      <c r="G918" s="1033"/>
      <c r="H918" s="1033"/>
      <c r="I918" s="1033"/>
      <c r="J918" s="1033"/>
      <c r="K918" s="1035"/>
      <c r="L918" s="1035"/>
      <c r="M918" s="998"/>
      <c r="N918" s="998"/>
    </row>
    <row r="919" spans="1:14" ht="12.75">
      <c r="A919" s="1033"/>
      <c r="B919" s="1033"/>
      <c r="C919" s="1033"/>
      <c r="F919" s="1034"/>
      <c r="G919" s="1033"/>
      <c r="H919" s="1033"/>
      <c r="I919" s="1033"/>
      <c r="J919" s="1033"/>
      <c r="K919" s="1035"/>
      <c r="L919" s="1035"/>
      <c r="M919" s="998"/>
      <c r="N919" s="998"/>
    </row>
    <row r="920" spans="1:14" ht="12.75">
      <c r="A920" s="1033"/>
      <c r="B920" s="1033"/>
      <c r="C920" s="1033"/>
      <c r="F920" s="1034"/>
      <c r="G920" s="1033"/>
      <c r="H920" s="1033"/>
      <c r="I920" s="1033"/>
      <c r="J920" s="1033"/>
      <c r="K920" s="1035"/>
      <c r="L920" s="1035"/>
      <c r="M920" s="998"/>
      <c r="N920" s="998"/>
    </row>
    <row r="921" spans="1:14" ht="12.75">
      <c r="A921" s="1033"/>
      <c r="B921" s="1033"/>
      <c r="C921" s="1033"/>
      <c r="F921" s="1034"/>
      <c r="G921" s="1033"/>
      <c r="H921" s="1033"/>
      <c r="I921" s="1033"/>
      <c r="J921" s="1033"/>
      <c r="K921" s="1035"/>
      <c r="L921" s="1035"/>
      <c r="M921" s="998"/>
      <c r="N921" s="998"/>
    </row>
    <row r="922" spans="1:14" ht="12.75">
      <c r="A922" s="1033"/>
      <c r="B922" s="1033"/>
      <c r="C922" s="1033"/>
      <c r="F922" s="1034"/>
      <c r="G922" s="1033"/>
      <c r="H922" s="1033"/>
      <c r="I922" s="1033"/>
      <c r="J922" s="1033"/>
      <c r="K922" s="1035"/>
      <c r="L922" s="1035"/>
      <c r="M922" s="998"/>
      <c r="N922" s="998"/>
    </row>
    <row r="923" spans="1:14" ht="12.75">
      <c r="A923" s="1033"/>
      <c r="B923" s="1033"/>
      <c r="C923" s="1033"/>
      <c r="F923" s="1034"/>
      <c r="G923" s="1033"/>
      <c r="H923" s="1033"/>
      <c r="I923" s="1033"/>
      <c r="J923" s="1033"/>
      <c r="K923" s="1035"/>
      <c r="L923" s="1035"/>
      <c r="M923" s="998"/>
      <c r="N923" s="998"/>
    </row>
    <row r="924" spans="1:14" ht="12.75">
      <c r="A924" s="1033"/>
      <c r="B924" s="1033"/>
      <c r="C924" s="1033"/>
      <c r="F924" s="1034"/>
      <c r="G924" s="1033"/>
      <c r="H924" s="1033"/>
      <c r="I924" s="1033"/>
      <c r="J924" s="1033"/>
      <c r="K924" s="1035"/>
      <c r="L924" s="1035"/>
      <c r="M924" s="998"/>
      <c r="N924" s="998"/>
    </row>
    <row r="925" spans="1:14" ht="12.75">
      <c r="A925" s="1033"/>
      <c r="B925" s="1033"/>
      <c r="C925" s="1033"/>
      <c r="F925" s="1034"/>
      <c r="G925" s="1033"/>
      <c r="H925" s="1033"/>
      <c r="I925" s="1033"/>
      <c r="J925" s="1033"/>
      <c r="K925" s="1035"/>
      <c r="L925" s="1035"/>
      <c r="M925" s="998"/>
      <c r="N925" s="998"/>
    </row>
    <row r="926" spans="1:14" ht="12.75">
      <c r="A926" s="1033"/>
      <c r="B926" s="1033"/>
      <c r="C926" s="1033"/>
      <c r="F926" s="1034"/>
      <c r="G926" s="1033"/>
      <c r="H926" s="1033"/>
      <c r="I926" s="1033"/>
      <c r="J926" s="1033"/>
      <c r="K926" s="1035"/>
      <c r="L926" s="1035"/>
      <c r="M926" s="998"/>
      <c r="N926" s="998"/>
    </row>
    <row r="927" spans="1:14" ht="12.75">
      <c r="A927" s="1033"/>
      <c r="B927" s="1033"/>
      <c r="C927" s="1033"/>
      <c r="F927" s="1034"/>
      <c r="G927" s="1033"/>
      <c r="H927" s="1033"/>
      <c r="I927" s="1033"/>
      <c r="J927" s="1033"/>
      <c r="K927" s="1035"/>
      <c r="L927" s="1035"/>
      <c r="M927" s="998"/>
      <c r="N927" s="998"/>
    </row>
    <row r="928" spans="1:14" ht="12.75">
      <c r="A928" s="1033"/>
      <c r="B928" s="1033"/>
      <c r="C928" s="1033"/>
      <c r="F928" s="1034"/>
      <c r="G928" s="1033"/>
      <c r="H928" s="1033"/>
      <c r="I928" s="1033"/>
      <c r="J928" s="1033"/>
      <c r="K928" s="1035"/>
      <c r="L928" s="1035"/>
      <c r="M928" s="998"/>
      <c r="N928" s="998"/>
    </row>
    <row r="929" spans="1:14" ht="12.75">
      <c r="A929" s="1033"/>
      <c r="B929" s="1033"/>
      <c r="C929" s="1033"/>
      <c r="F929" s="1034"/>
      <c r="G929" s="1033"/>
      <c r="H929" s="1033"/>
      <c r="I929" s="1033"/>
      <c r="J929" s="1033"/>
      <c r="K929" s="1035"/>
      <c r="L929" s="1035"/>
      <c r="M929" s="998"/>
      <c r="N929" s="998"/>
    </row>
    <row r="930" spans="1:14" ht="12.75">
      <c r="A930" s="1033"/>
      <c r="B930" s="1033"/>
      <c r="C930" s="1033"/>
      <c r="F930" s="1034"/>
      <c r="G930" s="1033"/>
      <c r="H930" s="1033"/>
      <c r="I930" s="1033"/>
      <c r="J930" s="1033"/>
      <c r="K930" s="1035"/>
      <c r="L930" s="1035"/>
      <c r="M930" s="998"/>
      <c r="N930" s="998"/>
    </row>
    <row r="931" spans="1:14" ht="12.75">
      <c r="A931" s="1033"/>
      <c r="B931" s="1033"/>
      <c r="C931" s="1033"/>
      <c r="F931" s="1034"/>
      <c r="G931" s="1033"/>
      <c r="H931" s="1033"/>
      <c r="I931" s="1033"/>
      <c r="J931" s="1033"/>
      <c r="K931" s="1035"/>
      <c r="L931" s="1035"/>
      <c r="M931" s="998"/>
      <c r="N931" s="998"/>
    </row>
    <row r="932" spans="1:14" ht="12.75">
      <c r="A932" s="1033"/>
      <c r="B932" s="1033"/>
      <c r="C932" s="1033"/>
      <c r="F932" s="1034"/>
      <c r="G932" s="1033"/>
      <c r="H932" s="1033"/>
      <c r="I932" s="1033"/>
      <c r="J932" s="1033"/>
      <c r="K932" s="1035"/>
      <c r="L932" s="1035"/>
      <c r="M932" s="998"/>
      <c r="N932" s="998"/>
    </row>
    <row r="933" spans="1:14" ht="12.75">
      <c r="A933" s="1033"/>
      <c r="B933" s="1033"/>
      <c r="C933" s="1033"/>
      <c r="F933" s="1034"/>
      <c r="G933" s="1033"/>
      <c r="H933" s="1033"/>
      <c r="I933" s="1033"/>
      <c r="J933" s="1033"/>
      <c r="K933" s="1035"/>
      <c r="L933" s="1035"/>
      <c r="M933" s="998"/>
      <c r="N933" s="998"/>
    </row>
    <row r="934" spans="1:14" ht="12.75">
      <c r="A934" s="1033"/>
      <c r="B934" s="1033"/>
      <c r="C934" s="1033"/>
      <c r="F934" s="1034"/>
      <c r="G934" s="1033"/>
      <c r="H934" s="1033"/>
      <c r="I934" s="1033"/>
      <c r="J934" s="1033"/>
      <c r="K934" s="1035"/>
      <c r="L934" s="1035"/>
      <c r="M934" s="998"/>
      <c r="N934" s="998"/>
    </row>
    <row r="935" spans="1:14" ht="12.75">
      <c r="A935" s="1033"/>
      <c r="B935" s="1033"/>
      <c r="C935" s="1033"/>
      <c r="F935" s="1034"/>
      <c r="G935" s="1033"/>
      <c r="H935" s="1033"/>
      <c r="I935" s="1033"/>
      <c r="J935" s="1033"/>
      <c r="K935" s="1035"/>
      <c r="L935" s="1035"/>
      <c r="M935" s="998"/>
      <c r="N935" s="998"/>
    </row>
    <row r="936" spans="1:14" ht="12.75">
      <c r="A936" s="1033"/>
      <c r="B936" s="1033"/>
      <c r="C936" s="1033"/>
      <c r="F936" s="1034"/>
      <c r="G936" s="1033"/>
      <c r="H936" s="1033"/>
      <c r="I936" s="1033"/>
      <c r="J936" s="1033"/>
      <c r="K936" s="1035"/>
      <c r="L936" s="1035"/>
      <c r="M936" s="998"/>
      <c r="N936" s="998"/>
    </row>
    <row r="937" spans="1:14" ht="12.75">
      <c r="A937" s="1033"/>
      <c r="B937" s="1033"/>
      <c r="C937" s="1033"/>
      <c r="F937" s="1034"/>
      <c r="G937" s="1033"/>
      <c r="H937" s="1033"/>
      <c r="I937" s="1033"/>
      <c r="J937" s="1033"/>
      <c r="K937" s="1035"/>
      <c r="L937" s="1035"/>
      <c r="M937" s="998"/>
      <c r="N937" s="998"/>
    </row>
    <row r="938" spans="1:14" ht="12.75">
      <c r="A938" s="1033"/>
      <c r="B938" s="1033"/>
      <c r="C938" s="1033"/>
      <c r="F938" s="1034"/>
      <c r="G938" s="1033"/>
      <c r="H938" s="1033"/>
      <c r="I938" s="1033"/>
      <c r="J938" s="1033"/>
      <c r="K938" s="1035"/>
      <c r="L938" s="1035"/>
      <c r="M938" s="998"/>
      <c r="N938" s="998"/>
    </row>
    <row r="939" spans="1:14" ht="12.75">
      <c r="A939" s="1033"/>
      <c r="B939" s="1033"/>
      <c r="C939" s="1033"/>
      <c r="F939" s="1034"/>
      <c r="G939" s="1033"/>
      <c r="H939" s="1033"/>
      <c r="I939" s="1033"/>
      <c r="J939" s="1033"/>
      <c r="K939" s="1035"/>
      <c r="L939" s="1035"/>
      <c r="M939" s="998"/>
      <c r="N939" s="998"/>
    </row>
    <row r="940" spans="1:14" ht="12.75">
      <c r="A940" s="1033"/>
      <c r="B940" s="1033"/>
      <c r="C940" s="1033"/>
      <c r="F940" s="1034"/>
      <c r="G940" s="1033"/>
      <c r="H940" s="1033"/>
      <c r="I940" s="1033"/>
      <c r="J940" s="1033"/>
      <c r="K940" s="1035"/>
      <c r="L940" s="1035"/>
      <c r="M940" s="998"/>
      <c r="N940" s="998"/>
    </row>
    <row r="941" spans="1:14" ht="12.75">
      <c r="A941" s="1033"/>
      <c r="B941" s="1033"/>
      <c r="C941" s="1033"/>
      <c r="F941" s="1034"/>
      <c r="G941" s="1033"/>
      <c r="H941" s="1033"/>
      <c r="I941" s="1033"/>
      <c r="J941" s="1033"/>
      <c r="K941" s="1035"/>
      <c r="L941" s="1035"/>
      <c r="M941" s="998"/>
      <c r="N941" s="998"/>
    </row>
    <row r="942" spans="1:14" ht="12.75">
      <c r="A942" s="1033"/>
      <c r="B942" s="1033"/>
      <c r="C942" s="1033"/>
      <c r="F942" s="1034"/>
      <c r="G942" s="1033"/>
      <c r="H942" s="1033"/>
      <c r="I942" s="1033"/>
      <c r="J942" s="1033"/>
      <c r="K942" s="1035"/>
      <c r="L942" s="1035"/>
      <c r="M942" s="998"/>
      <c r="N942" s="998"/>
    </row>
    <row r="943" spans="1:14" ht="12.75">
      <c r="A943" s="1033"/>
      <c r="B943" s="1033"/>
      <c r="C943" s="1033"/>
      <c r="F943" s="1034"/>
      <c r="G943" s="1033"/>
      <c r="H943" s="1033"/>
      <c r="I943" s="1033"/>
      <c r="J943" s="1033"/>
      <c r="K943" s="1035"/>
      <c r="L943" s="1035"/>
      <c r="M943" s="998"/>
      <c r="N943" s="998"/>
    </row>
    <row r="944" spans="1:14" ht="12.75">
      <c r="A944" s="1033"/>
      <c r="B944" s="1033"/>
      <c r="C944" s="1033"/>
      <c r="F944" s="1034"/>
      <c r="G944" s="1033"/>
      <c r="H944" s="1033"/>
      <c r="I944" s="1033"/>
      <c r="J944" s="1033"/>
      <c r="K944" s="1035"/>
      <c r="L944" s="1035"/>
      <c r="M944" s="998"/>
      <c r="N944" s="998"/>
    </row>
    <row r="945" spans="1:14" ht="12.75">
      <c r="A945" s="1033"/>
      <c r="B945" s="1033"/>
      <c r="C945" s="1033"/>
      <c r="F945" s="1034"/>
      <c r="G945" s="1033"/>
      <c r="H945" s="1033"/>
      <c r="I945" s="1033"/>
      <c r="J945" s="1033"/>
      <c r="K945" s="1035"/>
      <c r="L945" s="1035"/>
      <c r="M945" s="998"/>
      <c r="N945" s="998"/>
    </row>
    <row r="946" spans="1:14" ht="12.75">
      <c r="A946" s="1033"/>
      <c r="B946" s="1033"/>
      <c r="C946" s="1033"/>
      <c r="F946" s="1034"/>
      <c r="G946" s="1033"/>
      <c r="H946" s="1033"/>
      <c r="I946" s="1033"/>
      <c r="J946" s="1033"/>
      <c r="K946" s="1035"/>
      <c r="L946" s="1035"/>
      <c r="M946" s="998"/>
      <c r="N946" s="998"/>
    </row>
    <row r="947" spans="1:14" ht="12.75">
      <c r="A947" s="1033"/>
      <c r="B947" s="1033"/>
      <c r="C947" s="1033"/>
      <c r="F947" s="1034"/>
      <c r="G947" s="1033"/>
      <c r="H947" s="1033"/>
      <c r="I947" s="1033"/>
      <c r="J947" s="1033"/>
      <c r="K947" s="1035"/>
      <c r="L947" s="1035"/>
      <c r="M947" s="998"/>
      <c r="N947" s="998"/>
    </row>
    <row r="948" spans="1:14" ht="12.75">
      <c r="A948" s="1033"/>
      <c r="B948" s="1033"/>
      <c r="C948" s="1033"/>
      <c r="F948" s="1034"/>
      <c r="G948" s="1033"/>
      <c r="H948" s="1033"/>
      <c r="I948" s="1033"/>
      <c r="J948" s="1033"/>
      <c r="K948" s="1035"/>
      <c r="L948" s="1035"/>
      <c r="M948" s="998"/>
      <c r="N948" s="998"/>
    </row>
    <row r="949" spans="1:14" ht="12.75">
      <c r="A949" s="1033"/>
      <c r="B949" s="1033"/>
      <c r="C949" s="1033"/>
      <c r="F949" s="1034"/>
      <c r="G949" s="1033"/>
      <c r="H949" s="1033"/>
      <c r="I949" s="1033"/>
      <c r="J949" s="1033"/>
      <c r="K949" s="1035"/>
      <c r="L949" s="1035"/>
      <c r="M949" s="998"/>
      <c r="N949" s="998"/>
    </row>
    <row r="950" spans="1:14" ht="12.75">
      <c r="A950" s="1033"/>
      <c r="B950" s="1033"/>
      <c r="C950" s="1033"/>
      <c r="F950" s="1034"/>
      <c r="G950" s="1033"/>
      <c r="H950" s="1033"/>
      <c r="I950" s="1033"/>
      <c r="J950" s="1033"/>
      <c r="K950" s="1035"/>
      <c r="L950" s="1035"/>
      <c r="M950" s="998"/>
      <c r="N950" s="998"/>
    </row>
    <row r="951" spans="1:14" ht="12.75">
      <c r="A951" s="1033"/>
      <c r="B951" s="1033"/>
      <c r="C951" s="1033"/>
      <c r="F951" s="1034"/>
      <c r="G951" s="1033"/>
      <c r="H951" s="1033"/>
      <c r="I951" s="1033"/>
      <c r="J951" s="1033"/>
      <c r="K951" s="1035"/>
      <c r="L951" s="1035"/>
      <c r="M951" s="998"/>
      <c r="N951" s="998"/>
    </row>
    <row r="952" spans="1:14" ht="12.75">
      <c r="A952" s="1033"/>
      <c r="B952" s="1033"/>
      <c r="C952" s="1033"/>
      <c r="F952" s="1034"/>
      <c r="G952" s="1033"/>
      <c r="H952" s="1033"/>
      <c r="I952" s="1033"/>
      <c r="J952" s="1033"/>
      <c r="K952" s="1035"/>
      <c r="L952" s="1035"/>
      <c r="M952" s="998"/>
      <c r="N952" s="998"/>
    </row>
    <row r="953" spans="1:14" ht="12.75">
      <c r="A953" s="1033"/>
      <c r="B953" s="1033"/>
      <c r="C953" s="1033"/>
      <c r="F953" s="1034"/>
      <c r="G953" s="1033"/>
      <c r="H953" s="1033"/>
      <c r="I953" s="1033"/>
      <c r="J953" s="1033"/>
      <c r="K953" s="1035"/>
      <c r="L953" s="1035"/>
      <c r="M953" s="998"/>
      <c r="N953" s="998"/>
    </row>
    <row r="954" spans="1:14" ht="12.75">
      <c r="A954" s="1033"/>
      <c r="B954" s="1033"/>
      <c r="C954" s="1033"/>
      <c r="F954" s="1034"/>
      <c r="G954" s="1033"/>
      <c r="H954" s="1033"/>
      <c r="I954" s="1033"/>
      <c r="J954" s="1033"/>
      <c r="K954" s="1035"/>
      <c r="L954" s="1035"/>
      <c r="M954" s="998"/>
      <c r="N954" s="998"/>
    </row>
    <row r="955" spans="1:14" ht="12.75">
      <c r="A955" s="1033"/>
      <c r="B955" s="1033"/>
      <c r="C955" s="1033"/>
      <c r="F955" s="1034"/>
      <c r="G955" s="1033"/>
      <c r="H955" s="1033"/>
      <c r="I955" s="1033"/>
      <c r="J955" s="1033"/>
      <c r="K955" s="1035"/>
      <c r="L955" s="1035"/>
      <c r="M955" s="998"/>
      <c r="N955" s="998"/>
    </row>
    <row r="956" spans="1:14" ht="12.75">
      <c r="A956" s="1033"/>
      <c r="B956" s="1033"/>
      <c r="C956" s="1033"/>
      <c r="F956" s="1034"/>
      <c r="G956" s="1033"/>
      <c r="H956" s="1033"/>
      <c r="I956" s="1033"/>
      <c r="J956" s="1033"/>
      <c r="K956" s="1035"/>
      <c r="L956" s="1035"/>
      <c r="M956" s="998"/>
      <c r="N956" s="998"/>
    </row>
    <row r="957" spans="1:14" ht="12.75">
      <c r="A957" s="1033"/>
      <c r="B957" s="1033"/>
      <c r="C957" s="1033"/>
      <c r="F957" s="1034"/>
      <c r="G957" s="1033"/>
      <c r="H957" s="1033"/>
      <c r="I957" s="1033"/>
      <c r="J957" s="1033"/>
      <c r="K957" s="1035"/>
      <c r="L957" s="1035"/>
      <c r="M957" s="998"/>
      <c r="N957" s="998"/>
    </row>
    <row r="958" spans="1:14" ht="12.75">
      <c r="A958" s="1033"/>
      <c r="B958" s="1033"/>
      <c r="C958" s="1033"/>
      <c r="F958" s="1034"/>
      <c r="G958" s="1033"/>
      <c r="H958" s="1033"/>
      <c r="I958" s="1033"/>
      <c r="J958" s="1033"/>
      <c r="K958" s="1035"/>
      <c r="L958" s="1035"/>
      <c r="M958" s="998"/>
      <c r="N958" s="998"/>
    </row>
    <row r="959" spans="1:14" ht="12.75">
      <c r="A959" s="1033"/>
      <c r="B959" s="1033"/>
      <c r="C959" s="1033"/>
      <c r="F959" s="1034"/>
      <c r="G959" s="1033"/>
      <c r="H959" s="1033"/>
      <c r="I959" s="1033"/>
      <c r="J959" s="1033"/>
      <c r="K959" s="1035"/>
      <c r="L959" s="1035"/>
      <c r="M959" s="998"/>
      <c r="N959" s="998"/>
    </row>
    <row r="960" spans="1:14" ht="12.75">
      <c r="A960" s="1033"/>
      <c r="B960" s="1033"/>
      <c r="C960" s="1033"/>
      <c r="F960" s="1034"/>
      <c r="G960" s="1033"/>
      <c r="H960" s="1033"/>
      <c r="I960" s="1033"/>
      <c r="J960" s="1033"/>
      <c r="K960" s="1035"/>
      <c r="L960" s="1035"/>
      <c r="M960" s="998"/>
      <c r="N960" s="998"/>
    </row>
    <row r="961" spans="1:14" ht="12.75">
      <c r="A961" s="1033"/>
      <c r="B961" s="1033"/>
      <c r="C961" s="1033"/>
      <c r="F961" s="1034"/>
      <c r="G961" s="1033"/>
      <c r="H961" s="1033"/>
      <c r="I961" s="1033"/>
      <c r="J961" s="1033"/>
      <c r="K961" s="1035"/>
      <c r="L961" s="1035"/>
      <c r="M961" s="998"/>
      <c r="N961" s="998"/>
    </row>
    <row r="962" spans="1:14" ht="12.75">
      <c r="A962" s="1033"/>
      <c r="B962" s="1033"/>
      <c r="C962" s="1033"/>
      <c r="F962" s="1034"/>
      <c r="G962" s="1033"/>
      <c r="H962" s="1033"/>
      <c r="I962" s="1033"/>
      <c r="J962" s="1033"/>
      <c r="K962" s="1035"/>
      <c r="L962" s="1035"/>
      <c r="M962" s="998"/>
      <c r="N962" s="998"/>
    </row>
    <row r="963" spans="1:14" ht="12.75">
      <c r="A963" s="1033"/>
      <c r="B963" s="1033"/>
      <c r="C963" s="1033"/>
      <c r="F963" s="1034"/>
      <c r="G963" s="1033"/>
      <c r="H963" s="1033"/>
      <c r="I963" s="1033"/>
      <c r="J963" s="1033"/>
      <c r="K963" s="1035"/>
      <c r="L963" s="1035"/>
      <c r="M963" s="998"/>
      <c r="N963" s="998"/>
    </row>
    <row r="964" spans="1:14" ht="12.75">
      <c r="A964" s="1033"/>
      <c r="B964" s="1033"/>
      <c r="C964" s="1033"/>
      <c r="F964" s="1034"/>
      <c r="G964" s="1033"/>
      <c r="H964" s="1033"/>
      <c r="I964" s="1033"/>
      <c r="J964" s="1033"/>
      <c r="K964" s="1035"/>
      <c r="L964" s="1035"/>
      <c r="M964" s="998"/>
      <c r="N964" s="998"/>
    </row>
    <row r="965" spans="1:14" ht="12.75">
      <c r="A965" s="1033"/>
      <c r="B965" s="1033"/>
      <c r="C965" s="1033"/>
      <c r="F965" s="1034"/>
      <c r="G965" s="1033"/>
      <c r="H965" s="1033"/>
      <c r="I965" s="1033"/>
      <c r="J965" s="1033"/>
      <c r="K965" s="1035"/>
      <c r="L965" s="1035"/>
      <c r="M965" s="998"/>
      <c r="N965" s="998"/>
    </row>
    <row r="966" spans="1:14" ht="12.75">
      <c r="A966" s="1033"/>
      <c r="B966" s="1033"/>
      <c r="C966" s="1033"/>
      <c r="F966" s="1034"/>
      <c r="G966" s="1033"/>
      <c r="H966" s="1033"/>
      <c r="I966" s="1033"/>
      <c r="J966" s="1033"/>
      <c r="K966" s="1035"/>
      <c r="L966" s="1035"/>
      <c r="M966" s="998"/>
      <c r="N966" s="998"/>
    </row>
    <row r="967" spans="1:14" ht="12.75">
      <c r="A967" s="1033"/>
      <c r="B967" s="1033"/>
      <c r="C967" s="1033"/>
      <c r="F967" s="1034"/>
      <c r="G967" s="1033"/>
      <c r="H967" s="1033"/>
      <c r="I967" s="1033"/>
      <c r="J967" s="1033"/>
      <c r="K967" s="1035"/>
      <c r="L967" s="1035"/>
      <c r="M967" s="998"/>
      <c r="N967" s="998"/>
    </row>
    <row r="968" spans="1:14" ht="12.75">
      <c r="A968" s="1033"/>
      <c r="B968" s="1033"/>
      <c r="C968" s="1033"/>
      <c r="F968" s="1034"/>
      <c r="G968" s="1033"/>
      <c r="H968" s="1033"/>
      <c r="I968" s="1033"/>
      <c r="J968" s="1033"/>
      <c r="K968" s="1035"/>
      <c r="L968" s="1035"/>
      <c r="M968" s="998"/>
      <c r="N968" s="998"/>
    </row>
    <row r="969" spans="1:14" ht="12.75">
      <c r="A969" s="1033"/>
      <c r="B969" s="1033"/>
      <c r="C969" s="1033"/>
      <c r="F969" s="1034"/>
      <c r="G969" s="1033"/>
      <c r="H969" s="1033"/>
      <c r="I969" s="1033"/>
      <c r="J969" s="1033"/>
      <c r="K969" s="1035"/>
      <c r="L969" s="1035"/>
      <c r="M969" s="998"/>
      <c r="N969" s="998"/>
    </row>
    <row r="970" spans="1:14" ht="12.75">
      <c r="A970" s="1033"/>
      <c r="B970" s="1033"/>
      <c r="C970" s="1033"/>
      <c r="F970" s="1034"/>
      <c r="G970" s="1033"/>
      <c r="H970" s="1033"/>
      <c r="I970" s="1033"/>
      <c r="J970" s="1033"/>
      <c r="K970" s="1035"/>
      <c r="L970" s="1035"/>
      <c r="M970" s="998"/>
      <c r="N970" s="998"/>
    </row>
    <row r="971" spans="1:14" ht="12.75">
      <c r="A971" s="1033"/>
      <c r="B971" s="1033"/>
      <c r="C971" s="1033"/>
      <c r="F971" s="1034"/>
      <c r="G971" s="1033"/>
      <c r="H971" s="1033"/>
      <c r="I971" s="1033"/>
      <c r="J971" s="1033"/>
      <c r="K971" s="1035"/>
      <c r="L971" s="1035"/>
      <c r="M971" s="998"/>
      <c r="N971" s="998"/>
    </row>
    <row r="972" spans="1:14" ht="12.75">
      <c r="A972" s="1033"/>
      <c r="B972" s="1033"/>
      <c r="C972" s="1033"/>
      <c r="F972" s="1034"/>
      <c r="G972" s="1033"/>
      <c r="H972" s="1033"/>
      <c r="I972" s="1033"/>
      <c r="J972" s="1033"/>
      <c r="K972" s="1035"/>
      <c r="L972" s="1035"/>
      <c r="M972" s="998"/>
      <c r="N972" s="998"/>
    </row>
    <row r="973" spans="1:14" ht="12.75">
      <c r="A973" s="1033"/>
      <c r="B973" s="1033"/>
      <c r="C973" s="1033"/>
      <c r="F973" s="1034"/>
      <c r="G973" s="1033"/>
      <c r="H973" s="1033"/>
      <c r="I973" s="1033"/>
      <c r="J973" s="1033"/>
      <c r="K973" s="1035"/>
      <c r="L973" s="1035"/>
      <c r="M973" s="998"/>
      <c r="N973" s="998"/>
    </row>
    <row r="974" spans="1:14" ht="12.75">
      <c r="A974" s="1033"/>
      <c r="B974" s="1033"/>
      <c r="C974" s="1033"/>
      <c r="F974" s="1034"/>
      <c r="G974" s="1033"/>
      <c r="H974" s="1033"/>
      <c r="I974" s="1033"/>
      <c r="J974" s="1033"/>
      <c r="K974" s="1035"/>
      <c r="L974" s="1035"/>
      <c r="M974" s="998"/>
      <c r="N974" s="998"/>
    </row>
    <row r="975" spans="1:14" ht="12.75">
      <c r="A975" s="1033"/>
      <c r="B975" s="1033"/>
      <c r="C975" s="1033"/>
      <c r="F975" s="1034"/>
      <c r="G975" s="1033"/>
      <c r="H975" s="1033"/>
      <c r="I975" s="1033"/>
      <c r="J975" s="1033"/>
      <c r="K975" s="1035"/>
      <c r="L975" s="1035"/>
      <c r="M975" s="998"/>
      <c r="N975" s="998"/>
    </row>
    <row r="976" spans="1:14" ht="12.75">
      <c r="A976" s="1033"/>
      <c r="B976" s="1033"/>
      <c r="C976" s="1033"/>
      <c r="F976" s="1034"/>
      <c r="G976" s="1033"/>
      <c r="H976" s="1033"/>
      <c r="I976" s="1033"/>
      <c r="J976" s="1033"/>
      <c r="K976" s="1035"/>
      <c r="L976" s="1035"/>
      <c r="M976" s="998"/>
      <c r="N976" s="998"/>
    </row>
    <row r="977" spans="1:14" ht="12.75">
      <c r="A977" s="1033"/>
      <c r="B977" s="1033"/>
      <c r="C977" s="1033"/>
      <c r="F977" s="1034"/>
      <c r="G977" s="1033"/>
      <c r="H977" s="1033"/>
      <c r="I977" s="1033"/>
      <c r="J977" s="1033"/>
      <c r="K977" s="1035"/>
      <c r="L977" s="1035"/>
      <c r="M977" s="998"/>
      <c r="N977" s="998"/>
    </row>
    <row r="978" spans="1:14" ht="12.75">
      <c r="A978" s="1033"/>
      <c r="B978" s="1033"/>
      <c r="C978" s="1033"/>
      <c r="F978" s="1034"/>
      <c r="G978" s="1033"/>
      <c r="H978" s="1033"/>
      <c r="I978" s="1033"/>
      <c r="J978" s="1033"/>
      <c r="K978" s="1035"/>
      <c r="L978" s="1035"/>
      <c r="M978" s="998"/>
      <c r="N978" s="998"/>
    </row>
    <row r="979" spans="1:14" ht="12.75">
      <c r="A979" s="1033"/>
      <c r="B979" s="1033"/>
      <c r="C979" s="1033"/>
      <c r="F979" s="1034"/>
      <c r="G979" s="1033"/>
      <c r="H979" s="1033"/>
      <c r="I979" s="1033"/>
      <c r="J979" s="1033"/>
      <c r="K979" s="1035"/>
      <c r="L979" s="1035"/>
      <c r="M979" s="998"/>
      <c r="N979" s="998"/>
    </row>
    <row r="980" spans="1:14" ht="12.75">
      <c r="A980" s="1033"/>
      <c r="B980" s="1033"/>
      <c r="C980" s="1033"/>
      <c r="F980" s="1034"/>
      <c r="G980" s="1033"/>
      <c r="H980" s="1033"/>
      <c r="I980" s="1033"/>
      <c r="J980" s="1033"/>
      <c r="K980" s="1035"/>
      <c r="L980" s="1035"/>
      <c r="M980" s="998"/>
      <c r="N980" s="998"/>
    </row>
    <row r="981" spans="1:14" ht="12.75">
      <c r="A981" s="1033"/>
      <c r="B981" s="1033"/>
      <c r="C981" s="1033"/>
      <c r="F981" s="1034"/>
      <c r="G981" s="1033"/>
      <c r="H981" s="1033"/>
      <c r="I981" s="1033"/>
      <c r="J981" s="1033"/>
      <c r="K981" s="1035"/>
      <c r="L981" s="1035"/>
      <c r="M981" s="998"/>
      <c r="N981" s="998"/>
    </row>
    <row r="982" spans="1:14" ht="12.75">
      <c r="A982" s="1033"/>
      <c r="B982" s="1033"/>
      <c r="C982" s="1033"/>
      <c r="F982" s="1034"/>
      <c r="G982" s="1033"/>
      <c r="H982" s="1033"/>
      <c r="I982" s="1033"/>
      <c r="J982" s="1033"/>
      <c r="K982" s="1035"/>
      <c r="L982" s="1035"/>
      <c r="M982" s="998"/>
      <c r="N982" s="998"/>
    </row>
    <row r="983" spans="1:14" ht="12.75">
      <c r="A983" s="1033"/>
      <c r="B983" s="1033"/>
      <c r="C983" s="1033"/>
      <c r="F983" s="1034"/>
      <c r="G983" s="1033"/>
      <c r="H983" s="1033"/>
      <c r="I983" s="1033"/>
      <c r="J983" s="1033"/>
      <c r="K983" s="1035"/>
      <c r="L983" s="1035"/>
      <c r="M983" s="998"/>
      <c r="N983" s="998"/>
    </row>
    <row r="984" spans="1:14" ht="12.75">
      <c r="A984" s="1033"/>
      <c r="B984" s="1033"/>
      <c r="C984" s="1033"/>
      <c r="F984" s="1034"/>
      <c r="G984" s="1033"/>
      <c r="H984" s="1033"/>
      <c r="I984" s="1033"/>
      <c r="J984" s="1033"/>
      <c r="K984" s="1035"/>
      <c r="L984" s="1035"/>
      <c r="M984" s="998"/>
      <c r="N984" s="998"/>
    </row>
    <row r="985" spans="1:14" ht="12.75">
      <c r="A985" s="1033"/>
      <c r="B985" s="1033"/>
      <c r="C985" s="1033"/>
      <c r="F985" s="1034"/>
      <c r="G985" s="1033"/>
      <c r="H985" s="1033"/>
      <c r="I985" s="1033"/>
      <c r="J985" s="1033"/>
      <c r="K985" s="1035"/>
      <c r="L985" s="1035"/>
      <c r="M985" s="998"/>
      <c r="N985" s="998"/>
    </row>
    <row r="986" spans="1:14" ht="12.75">
      <c r="A986" s="1033"/>
      <c r="B986" s="1033"/>
      <c r="C986" s="1033"/>
      <c r="F986" s="1034"/>
      <c r="G986" s="1033"/>
      <c r="H986" s="1033"/>
      <c r="I986" s="1033"/>
      <c r="J986" s="1033"/>
      <c r="K986" s="1035"/>
      <c r="L986" s="1035"/>
      <c r="M986" s="998"/>
      <c r="N986" s="998"/>
    </row>
    <row r="987" spans="1:14" ht="12.75">
      <c r="A987" s="1033"/>
      <c r="B987" s="1033"/>
      <c r="C987" s="1033"/>
      <c r="F987" s="1034"/>
      <c r="G987" s="1033"/>
      <c r="H987" s="1033"/>
      <c r="I987" s="1033"/>
      <c r="J987" s="1033"/>
      <c r="K987" s="1035"/>
      <c r="L987" s="1035"/>
      <c r="M987" s="998"/>
      <c r="N987" s="998"/>
    </row>
    <row r="988" spans="1:14" ht="12.75">
      <c r="A988" s="1033"/>
      <c r="B988" s="1033"/>
      <c r="C988" s="1033"/>
      <c r="F988" s="1034"/>
      <c r="G988" s="1033"/>
      <c r="H988" s="1033"/>
      <c r="I988" s="1033"/>
      <c r="J988" s="1033"/>
      <c r="K988" s="1035"/>
      <c r="L988" s="1035"/>
      <c r="M988" s="998"/>
      <c r="N988" s="998"/>
    </row>
    <row r="989" spans="1:14" ht="12.75">
      <c r="A989" s="1033"/>
      <c r="B989" s="1033"/>
      <c r="C989" s="1033"/>
      <c r="F989" s="1034"/>
      <c r="G989" s="1033"/>
      <c r="H989" s="1033"/>
      <c r="I989" s="1033"/>
      <c r="J989" s="1033"/>
      <c r="K989" s="1035"/>
      <c r="L989" s="1035"/>
      <c r="M989" s="998"/>
      <c r="N989" s="998"/>
    </row>
    <row r="990" spans="1:14" ht="12.75">
      <c r="A990" s="1033"/>
      <c r="B990" s="1033"/>
      <c r="C990" s="1033"/>
      <c r="F990" s="1034"/>
      <c r="G990" s="1033"/>
      <c r="H990" s="1033"/>
      <c r="I990" s="1033"/>
      <c r="J990" s="1033"/>
      <c r="K990" s="1035"/>
      <c r="L990" s="1035"/>
      <c r="M990" s="998"/>
      <c r="N990" s="998"/>
    </row>
    <row r="991" spans="1:14" ht="12.75">
      <c r="A991" s="1033"/>
      <c r="B991" s="1033"/>
      <c r="C991" s="1033"/>
      <c r="F991" s="1034"/>
      <c r="G991" s="1033"/>
      <c r="H991" s="1033"/>
      <c r="I991" s="1033"/>
      <c r="J991" s="1033"/>
      <c r="K991" s="1035"/>
      <c r="L991" s="1035"/>
      <c r="M991" s="998"/>
      <c r="N991" s="998"/>
    </row>
    <row r="992" spans="1:14" ht="12.75">
      <c r="A992" s="1033"/>
      <c r="B992" s="1033"/>
      <c r="C992" s="1033"/>
      <c r="F992" s="1034"/>
      <c r="G992" s="1033"/>
      <c r="H992" s="1033"/>
      <c r="I992" s="1033"/>
      <c r="J992" s="1033"/>
      <c r="K992" s="1035"/>
      <c r="L992" s="1035"/>
      <c r="M992" s="998"/>
      <c r="N992" s="998"/>
    </row>
    <row r="993" spans="1:14" ht="12.75">
      <c r="A993" s="1033"/>
      <c r="B993" s="1033"/>
      <c r="C993" s="1033"/>
      <c r="F993" s="1034"/>
      <c r="G993" s="1033"/>
      <c r="H993" s="1033"/>
      <c r="I993" s="1033"/>
      <c r="J993" s="1033"/>
      <c r="K993" s="1035"/>
      <c r="L993" s="1035"/>
      <c r="M993" s="998"/>
      <c r="N993" s="998"/>
    </row>
    <row r="994" spans="1:14" ht="12.75">
      <c r="A994" s="1033"/>
      <c r="B994" s="1033"/>
      <c r="C994" s="1033"/>
      <c r="F994" s="1034"/>
      <c r="G994" s="1033"/>
      <c r="H994" s="1033"/>
      <c r="I994" s="1033"/>
      <c r="J994" s="1033"/>
      <c r="K994" s="1035"/>
      <c r="L994" s="1035"/>
      <c r="M994" s="998"/>
      <c r="N994" s="998"/>
    </row>
    <row r="995" spans="1:14" ht="12.75">
      <c r="A995" s="1033"/>
      <c r="B995" s="1033"/>
      <c r="C995" s="1033"/>
      <c r="F995" s="1034"/>
      <c r="G995" s="1033"/>
      <c r="H995" s="1033"/>
      <c r="I995" s="1033"/>
      <c r="J995" s="1033"/>
      <c r="K995" s="1035"/>
      <c r="L995" s="1035"/>
      <c r="M995" s="998"/>
      <c r="N995" s="998"/>
    </row>
    <row r="996" spans="1:14" ht="12.75">
      <c r="A996" s="1033"/>
      <c r="B996" s="1033"/>
      <c r="C996" s="1033"/>
      <c r="F996" s="1034"/>
      <c r="G996" s="1033"/>
      <c r="H996" s="1033"/>
      <c r="I996" s="1033"/>
      <c r="J996" s="1033"/>
      <c r="K996" s="1035"/>
      <c r="L996" s="1035"/>
      <c r="M996" s="998"/>
      <c r="N996" s="998"/>
    </row>
    <row r="997" spans="1:14" ht="12.75">
      <c r="A997" s="1033"/>
      <c r="B997" s="1033"/>
      <c r="C997" s="1033"/>
      <c r="F997" s="1034"/>
      <c r="G997" s="1033"/>
      <c r="H997" s="1033"/>
      <c r="I997" s="1033"/>
      <c r="J997" s="1033"/>
      <c r="K997" s="1035"/>
      <c r="L997" s="1035"/>
      <c r="M997" s="998"/>
      <c r="N997" s="998"/>
    </row>
    <row r="998" spans="1:14" ht="12.75">
      <c r="A998" s="1033"/>
      <c r="B998" s="1033"/>
      <c r="C998" s="1033"/>
      <c r="F998" s="1034"/>
      <c r="G998" s="1033"/>
      <c r="H998" s="1033"/>
      <c r="I998" s="1033"/>
      <c r="J998" s="1033"/>
      <c r="K998" s="1035"/>
      <c r="L998" s="1035"/>
      <c r="M998" s="998"/>
      <c r="N998" s="998"/>
    </row>
    <row r="999" spans="1:14" ht="12.75">
      <c r="A999" s="1033"/>
      <c r="B999" s="1033"/>
      <c r="C999" s="1033"/>
      <c r="F999" s="1034"/>
      <c r="G999" s="1033"/>
      <c r="H999" s="1033"/>
      <c r="I999" s="1033"/>
      <c r="J999" s="1033"/>
      <c r="K999" s="1035"/>
      <c r="L999" s="1035"/>
      <c r="M999" s="998"/>
      <c r="N999" s="998"/>
    </row>
    <row r="1000" spans="1:14" ht="12.75">
      <c r="A1000" s="1033"/>
      <c r="B1000" s="1033"/>
      <c r="C1000" s="1033"/>
      <c r="F1000" s="1034"/>
      <c r="G1000" s="1033"/>
      <c r="H1000" s="1033"/>
      <c r="I1000" s="1033"/>
      <c r="J1000" s="1033"/>
      <c r="K1000" s="1035"/>
      <c r="L1000" s="1035"/>
      <c r="M1000" s="998"/>
      <c r="N1000" s="998"/>
    </row>
    <row r="1001" spans="1:14" ht="12.75">
      <c r="A1001" s="1033"/>
      <c r="B1001" s="1033"/>
      <c r="C1001" s="1033"/>
      <c r="F1001" s="1034"/>
      <c r="G1001" s="1033"/>
      <c r="H1001" s="1033"/>
      <c r="I1001" s="1033"/>
      <c r="J1001" s="1033"/>
      <c r="K1001" s="1035"/>
      <c r="L1001" s="1035"/>
      <c r="M1001" s="998"/>
      <c r="N1001" s="998"/>
    </row>
    <row r="1002" spans="1:14" ht="12.75">
      <c r="A1002" s="1033"/>
      <c r="B1002" s="1033"/>
      <c r="C1002" s="1033"/>
      <c r="F1002" s="1034"/>
      <c r="G1002" s="1033"/>
      <c r="H1002" s="1033"/>
      <c r="I1002" s="1033"/>
      <c r="J1002" s="1033"/>
      <c r="K1002" s="1035"/>
      <c r="L1002" s="1035"/>
      <c r="M1002" s="998"/>
      <c r="N1002" s="998"/>
    </row>
    <row r="1003" spans="1:14" ht="12.75">
      <c r="A1003" s="1033"/>
      <c r="B1003" s="1033"/>
      <c r="C1003" s="1033"/>
      <c r="F1003" s="1034"/>
      <c r="G1003" s="1033"/>
      <c r="H1003" s="1033"/>
      <c r="I1003" s="1033"/>
      <c r="J1003" s="1033"/>
      <c r="K1003" s="1035"/>
      <c r="L1003" s="1035"/>
      <c r="M1003" s="998"/>
      <c r="N1003" s="998"/>
    </row>
    <row r="1004" spans="1:14" ht="12.75">
      <c r="A1004" s="1033"/>
      <c r="B1004" s="1033"/>
      <c r="C1004" s="1033"/>
      <c r="F1004" s="1034"/>
      <c r="G1004" s="1033"/>
      <c r="H1004" s="1033"/>
      <c r="I1004" s="1033"/>
      <c r="J1004" s="1033"/>
      <c r="K1004" s="1035"/>
      <c r="L1004" s="1035"/>
      <c r="M1004" s="998"/>
      <c r="N1004" s="998"/>
    </row>
    <row r="1005" spans="1:14" ht="12.75">
      <c r="A1005" s="1033"/>
      <c r="B1005" s="1033"/>
      <c r="C1005" s="1033"/>
      <c r="F1005" s="1034"/>
      <c r="G1005" s="1033"/>
      <c r="H1005" s="1033"/>
      <c r="I1005" s="1033"/>
      <c r="J1005" s="1033"/>
      <c r="K1005" s="1035"/>
      <c r="L1005" s="1035"/>
      <c r="M1005" s="998"/>
      <c r="N1005" s="998"/>
    </row>
    <row r="1006" spans="1:14" ht="12.75">
      <c r="A1006" s="1033"/>
      <c r="B1006" s="1033"/>
      <c r="C1006" s="1033"/>
      <c r="F1006" s="1034"/>
      <c r="G1006" s="1033"/>
      <c r="H1006" s="1033"/>
      <c r="I1006" s="1033"/>
      <c r="J1006" s="1033"/>
      <c r="K1006" s="1035"/>
      <c r="L1006" s="1035"/>
      <c r="M1006" s="998"/>
      <c r="N1006" s="998"/>
    </row>
    <row r="1007" spans="1:14" ht="12.75">
      <c r="A1007" s="1033"/>
      <c r="B1007" s="1033"/>
      <c r="C1007" s="1033"/>
      <c r="F1007" s="1034"/>
      <c r="G1007" s="1033"/>
      <c r="H1007" s="1033"/>
      <c r="I1007" s="1033"/>
      <c r="J1007" s="1033"/>
      <c r="K1007" s="1035"/>
      <c r="L1007" s="1035"/>
      <c r="M1007" s="998"/>
      <c r="N1007" s="998"/>
    </row>
    <row r="1008" spans="1:14" ht="12.75">
      <c r="A1008" s="1033"/>
      <c r="B1008" s="1033"/>
      <c r="C1008" s="1033"/>
      <c r="F1008" s="1034"/>
      <c r="G1008" s="1033"/>
      <c r="H1008" s="1033"/>
      <c r="I1008" s="1033"/>
      <c r="J1008" s="1033"/>
      <c r="K1008" s="1035"/>
      <c r="L1008" s="1035"/>
      <c r="M1008" s="998"/>
      <c r="N1008" s="998"/>
    </row>
    <row r="1009" spans="1:14" ht="12.75">
      <c r="A1009" s="1033"/>
      <c r="B1009" s="1033"/>
      <c r="C1009" s="1033"/>
      <c r="F1009" s="1034"/>
      <c r="G1009" s="1033"/>
      <c r="H1009" s="1033"/>
      <c r="I1009" s="1033"/>
      <c r="J1009" s="1033"/>
      <c r="K1009" s="1035"/>
      <c r="L1009" s="1035"/>
      <c r="M1009" s="998"/>
      <c r="N1009" s="998"/>
    </row>
    <row r="1010" spans="1:14" ht="12.75">
      <c r="A1010" s="1033"/>
      <c r="B1010" s="1033"/>
      <c r="C1010" s="1033"/>
      <c r="F1010" s="1034"/>
      <c r="G1010" s="1033"/>
      <c r="H1010" s="1033"/>
      <c r="I1010" s="1033"/>
      <c r="J1010" s="1033"/>
      <c r="K1010" s="1035"/>
      <c r="L1010" s="1035"/>
      <c r="M1010" s="998"/>
      <c r="N1010" s="998"/>
    </row>
    <row r="1011" spans="1:14" ht="12.75">
      <c r="A1011" s="1033"/>
      <c r="B1011" s="1033"/>
      <c r="C1011" s="1033"/>
      <c r="F1011" s="1034"/>
      <c r="G1011" s="1033"/>
      <c r="H1011" s="1033"/>
      <c r="I1011" s="1033"/>
      <c r="J1011" s="1033"/>
      <c r="K1011" s="1035"/>
      <c r="L1011" s="1035"/>
      <c r="M1011" s="998"/>
      <c r="N1011" s="998"/>
    </row>
    <row r="1012" spans="1:14" ht="12.75">
      <c r="A1012" s="1033"/>
      <c r="B1012" s="1033"/>
      <c r="C1012" s="1033"/>
      <c r="F1012" s="1034"/>
      <c r="G1012" s="1033"/>
      <c r="H1012" s="1033"/>
      <c r="I1012" s="1033"/>
      <c r="J1012" s="1033"/>
      <c r="K1012" s="1035"/>
      <c r="L1012" s="1035"/>
      <c r="M1012" s="998"/>
      <c r="N1012" s="998"/>
    </row>
    <row r="1013" spans="1:14" ht="12.75">
      <c r="A1013" s="1033"/>
      <c r="B1013" s="1033"/>
      <c r="C1013" s="1033"/>
      <c r="F1013" s="1034"/>
      <c r="G1013" s="1033"/>
      <c r="H1013" s="1033"/>
      <c r="I1013" s="1033"/>
      <c r="J1013" s="1033"/>
      <c r="K1013" s="1035"/>
      <c r="L1013" s="1035"/>
      <c r="M1013" s="998"/>
      <c r="N1013" s="998"/>
    </row>
    <row r="1014" spans="1:14" ht="12.75">
      <c r="A1014" s="1033"/>
      <c r="B1014" s="1033"/>
      <c r="C1014" s="1033"/>
      <c r="F1014" s="1034"/>
      <c r="G1014" s="1033"/>
      <c r="H1014" s="1033"/>
      <c r="I1014" s="1033"/>
      <c r="J1014" s="1033"/>
      <c r="K1014" s="1035"/>
      <c r="L1014" s="1035"/>
      <c r="M1014" s="998"/>
      <c r="N1014" s="998"/>
    </row>
    <row r="1015" spans="1:14" ht="12.75">
      <c r="A1015" s="1033"/>
      <c r="B1015" s="1033"/>
      <c r="C1015" s="1033"/>
      <c r="F1015" s="1034"/>
      <c r="G1015" s="1033"/>
      <c r="H1015" s="1033"/>
      <c r="I1015" s="1033"/>
      <c r="J1015" s="1033"/>
      <c r="K1015" s="1035"/>
      <c r="L1015" s="1035"/>
      <c r="M1015" s="998"/>
      <c r="N1015" s="998"/>
    </row>
    <row r="1016" spans="1:14" ht="12.75">
      <c r="A1016" s="1033"/>
      <c r="B1016" s="1033"/>
      <c r="C1016" s="1033"/>
      <c r="F1016" s="1034"/>
      <c r="G1016" s="1033"/>
      <c r="H1016" s="1033"/>
      <c r="I1016" s="1033"/>
      <c r="J1016" s="1033"/>
      <c r="K1016" s="1035"/>
      <c r="L1016" s="1035"/>
      <c r="M1016" s="998"/>
      <c r="N1016" s="998"/>
    </row>
    <row r="1017" spans="1:14" ht="12.75">
      <c r="A1017" s="1033"/>
      <c r="B1017" s="1033"/>
      <c r="C1017" s="1033"/>
      <c r="F1017" s="1034"/>
      <c r="G1017" s="1033"/>
      <c r="H1017" s="1033"/>
      <c r="I1017" s="1033"/>
      <c r="J1017" s="1033"/>
      <c r="K1017" s="1035"/>
      <c r="L1017" s="1035"/>
      <c r="M1017" s="998"/>
      <c r="N1017" s="998"/>
    </row>
    <row r="1018" spans="1:14" ht="12.75">
      <c r="A1018" s="1033"/>
      <c r="B1018" s="1033"/>
      <c r="C1018" s="1033"/>
      <c r="F1018" s="1034"/>
      <c r="G1018" s="1033"/>
      <c r="H1018" s="1033"/>
      <c r="I1018" s="1033"/>
      <c r="J1018" s="1033"/>
      <c r="K1018" s="1035"/>
      <c r="L1018" s="1035"/>
      <c r="M1018" s="998"/>
      <c r="N1018" s="998"/>
    </row>
    <row r="1019" spans="1:14" ht="12.75">
      <c r="A1019" s="1033"/>
      <c r="B1019" s="1033"/>
      <c r="C1019" s="1033"/>
      <c r="F1019" s="1034"/>
      <c r="G1019" s="1033"/>
      <c r="H1019" s="1033"/>
      <c r="I1019" s="1033"/>
      <c r="J1019" s="1033"/>
      <c r="K1019" s="1035"/>
      <c r="L1019" s="1035"/>
      <c r="M1019" s="998"/>
      <c r="N1019" s="998"/>
    </row>
  </sheetData>
  <autoFilter ref="A1:M69" xr:uid="{4AAF514C-A51D-40AE-8D41-3E0FEF3809C4}">
    <filterColumn colId="0">
      <colorFilter dxfId="23"/>
    </filterColumn>
    <sortState ref="A2:M69">
      <sortCondition ref="A2:A69"/>
    </sortState>
  </autoFilter>
  <hyperlinks>
    <hyperlink ref="E6" r:id="rId1" xr:uid="{0608F20F-85A3-46D1-9D51-2D5DE8C1F464}"/>
    <hyperlink ref="E7" r:id="rId2" xr:uid="{8E2DD774-97A1-4BD9-872A-EC3B813FB2F6}"/>
    <hyperlink ref="E13" r:id="rId3" xr:uid="{38E75920-AE73-4204-B885-FE69D40FB0D1}"/>
    <hyperlink ref="E14" r:id="rId4" xr:uid="{0AE6B1A9-FE78-4EBC-B5EA-0258930BE74A}"/>
    <hyperlink ref="E18" r:id="rId5" xr:uid="{86A81E9B-9356-422E-AB10-DC2D26566CD5}"/>
    <hyperlink ref="E8" r:id="rId6" xr:uid="{3D90354E-65C8-4D2E-A6DA-8BD70E7F37F1}"/>
    <hyperlink ref="E9" r:id="rId7" xr:uid="{5C790097-D567-412C-A9BE-782FA0DAEEB4}"/>
    <hyperlink ref="E32" r:id="rId8" xr:uid="{A29D8389-F4A8-4747-AAAC-C2FFCEA8A5C1}"/>
    <hyperlink ref="E11" r:id="rId9" xr:uid="{AD0E713A-7725-4228-B53A-AEF53B05D901}"/>
    <hyperlink ref="E35" r:id="rId10" xr:uid="{658056E3-71C5-48AA-8BE7-12D1B3139AA0}"/>
    <hyperlink ref="E39" r:id="rId11" xr:uid="{8A874D76-C9A0-48B3-8656-61AC31604525}"/>
    <hyperlink ref="E44" r:id="rId12" xr:uid="{1234672F-F3A2-4158-B0C8-B33BD625E52B}"/>
    <hyperlink ref="E49" r:id="rId13" xr:uid="{0A3694C5-33BC-44FC-B2D4-03030919D46D}"/>
    <hyperlink ref="E17" r:id="rId14" xr:uid="{3CC1E2BA-DF8D-4693-BCCA-3F19A46D4F96}"/>
    <hyperlink ref="E64" r:id="rId15" xr:uid="{66DEF6C6-4EA8-4D7E-90ED-4BB722F69A8B}"/>
    <hyperlink ref="E5" r:id="rId16" xr:uid="{AEAE4D53-D45B-497A-94A7-23F44304648D}"/>
    <hyperlink ref="E66" r:id="rId17" xr:uid="{A5703611-BED6-42D4-8C37-F4862F8804E1}"/>
    <hyperlink ref="E21" r:id="rId18" xr:uid="{7D8A353E-19A0-4632-9090-F5AFB972261F}"/>
    <hyperlink ref="E22" r:id="rId19" xr:uid="{F4F1A119-431F-4733-AA5C-E5D9B19B67BA}"/>
    <hyperlink ref="E56" r:id="rId20" xr:uid="{85CF1B48-9F93-4D94-8828-122B3EAEBFCC}"/>
    <hyperlink ref="E28" r:id="rId21" xr:uid="{B585B86B-8F1D-4485-8664-43CDB2379AF9}"/>
    <hyperlink ref="E25" r:id="rId22" xr:uid="{B32CA831-B9E5-43E9-9F84-215F5C0D74D1}"/>
    <hyperlink ref="E26" r:id="rId23" xr:uid="{B4AF5F56-FFA9-4283-A754-6F8AE1213EC1}"/>
    <hyperlink ref="E27" r:id="rId24" xr:uid="{B98D45DB-E674-49F6-9378-AB81936EE352}"/>
    <hyperlink ref="E30" r:id="rId25" xr:uid="{6F1EB202-C055-4B17-9B29-21540A5954A3}"/>
    <hyperlink ref="E65" r:id="rId26" xr:uid="{656122BD-D51E-4F6B-8557-D37F9F6F9B9D}"/>
    <hyperlink ref="E46" r:id="rId27" xr:uid="{0C90C9E1-EA00-4FE1-A2D7-733B197253EC}"/>
    <hyperlink ref="E3" r:id="rId28" xr:uid="{AFE52309-7896-4F84-9AD5-4607B8AF41E1}"/>
    <hyperlink ref="E10" r:id="rId29" xr:uid="{EEA0479F-1DBD-4D11-B900-AEC55F9159F5}"/>
    <hyperlink ref="E52" r:id="rId30" xr:uid="{3D2678E9-775E-4032-B714-CA5CE59DB859}"/>
    <hyperlink ref="E59" r:id="rId31" xr:uid="{493C8004-27BB-4A62-A6C2-99BA952894DB}"/>
    <hyperlink ref="E16" r:id="rId32" xr:uid="{DF7CA5EE-5EBB-4E61-9924-6FB309FA365C}"/>
    <hyperlink ref="E31" r:id="rId33" xr:uid="{148665CE-18F9-48E6-9BA2-1400B41044CE}"/>
    <hyperlink ref="E33" r:id="rId34" xr:uid="{E5C7B222-E17D-4427-8FF9-0B5FA4EB76FE}"/>
    <hyperlink ref="E20" r:id="rId35" xr:uid="{5C1B6F5F-738B-40DE-B218-D7AD23DF917F}"/>
    <hyperlink ref="E62" r:id="rId36" xr:uid="{EFE961E5-5FCE-4C1A-B416-8B72BFB09CAE}"/>
    <hyperlink ref="E57" r:id="rId37" xr:uid="{B450A033-8981-4DDA-A672-FE0BF14D463C}"/>
    <hyperlink ref="E23" r:id="rId38" xr:uid="{AA277663-AA81-4669-9D4E-AE39467121F1}"/>
    <hyperlink ref="E58" r:id="rId39" xr:uid="{64DE71E4-327A-4107-9314-B36723F681C8}"/>
    <hyperlink ref="E67" r:id="rId40" xr:uid="{CBECF9E0-D4EC-4DB3-B70A-4E1C8322CC53}"/>
    <hyperlink ref="E70" r:id="rId41" xr:uid="{22173C6F-6DB0-461E-BC6B-01C000C0B212}"/>
    <hyperlink ref="E12" r:id="rId42" xr:uid="{4B43295A-B5DF-4CAE-BD23-91F7A96E6590}"/>
    <hyperlink ref="E38" r:id="rId43" xr:uid="{DE695AA8-BB77-4665-A1DE-A4B870533A3D}"/>
    <hyperlink ref="E71" r:id="rId44" display="mailto:kevin@klein-consultingservices.com" xr:uid="{1172FF1E-3B2B-40EE-8F42-79F764E7DD98}"/>
  </hyperlinks>
  <pageMargins left="0.7" right="0.7" top="0.75" bottom="0.75" header="0.3" footer="0.3"/>
  <pageSetup orientation="portrait" r:id="rId45"/>
  <legacyDrawing r:id="rId46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240ED-BBC6-447E-B389-D0BF644C1965}">
  <sheetPr codeName="Sheet363"/>
  <dimension ref="A1:G39"/>
  <sheetViews>
    <sheetView workbookViewId="0">
      <selection activeCell="B9" sqref="B9"/>
    </sheetView>
  </sheetViews>
  <sheetFormatPr defaultRowHeight="15"/>
  <cols>
    <col min="1" max="1" width="20.42578125" bestFit="1" customWidth="1"/>
    <col min="2" max="2" width="59.140625" customWidth="1"/>
    <col min="3" max="3" width="24.85546875" customWidth="1"/>
    <col min="4" max="4" width="12.28515625" bestFit="1" customWidth="1"/>
    <col min="5" max="5" width="30.5703125" style="1125" bestFit="1" customWidth="1"/>
    <col min="6" max="6" width="11" bestFit="1" customWidth="1"/>
    <col min="7" max="7" width="11.28515625" bestFit="1" customWidth="1"/>
  </cols>
  <sheetData>
    <row r="1" spans="1:7" ht="48" thickBot="1">
      <c r="A1" s="1040" t="s">
        <v>77</v>
      </c>
      <c r="B1" s="1041" t="s">
        <v>336</v>
      </c>
      <c r="C1" s="1041" t="s">
        <v>337</v>
      </c>
      <c r="D1" s="1041" t="s">
        <v>751</v>
      </c>
      <c r="E1" s="1113" t="s">
        <v>338</v>
      </c>
      <c r="F1" s="1041" t="s">
        <v>339</v>
      </c>
      <c r="G1" s="1042" t="s">
        <v>340</v>
      </c>
    </row>
    <row r="2" spans="1:7">
      <c r="A2" s="991" t="s">
        <v>185</v>
      </c>
      <c r="B2" s="992" t="s">
        <v>496</v>
      </c>
      <c r="C2" s="992" t="s">
        <v>497</v>
      </c>
      <c r="D2" s="993" t="s">
        <v>498</v>
      </c>
      <c r="E2" s="1114" t="s">
        <v>499</v>
      </c>
      <c r="F2" s="995">
        <v>316608001</v>
      </c>
      <c r="G2" s="996" t="s">
        <v>500</v>
      </c>
    </row>
    <row r="3" spans="1:7">
      <c r="A3" s="1017" t="s">
        <v>330</v>
      </c>
      <c r="B3" s="1018" t="s">
        <v>614</v>
      </c>
      <c r="C3" s="1018" t="s">
        <v>615</v>
      </c>
      <c r="D3" s="1019" t="s">
        <v>616</v>
      </c>
      <c r="E3" s="1115" t="s">
        <v>617</v>
      </c>
      <c r="F3" s="1031">
        <v>320829001</v>
      </c>
      <c r="G3" s="1021" t="s">
        <v>618</v>
      </c>
    </row>
    <row r="4" spans="1:7">
      <c r="A4" s="991" t="s">
        <v>164</v>
      </c>
      <c r="B4" s="992" t="s">
        <v>501</v>
      </c>
      <c r="C4" s="992" t="s">
        <v>502</v>
      </c>
      <c r="D4" s="993" t="s">
        <v>503</v>
      </c>
      <c r="E4" s="1114" t="s">
        <v>504</v>
      </c>
      <c r="F4" s="995">
        <v>316538002</v>
      </c>
      <c r="G4" s="996" t="s">
        <v>505</v>
      </c>
    </row>
    <row r="5" spans="1:7">
      <c r="A5" s="991" t="s">
        <v>51</v>
      </c>
      <c r="B5" s="992" t="s">
        <v>421</v>
      </c>
      <c r="C5" s="992" t="s">
        <v>422</v>
      </c>
      <c r="D5" s="993" t="s">
        <v>423</v>
      </c>
      <c r="E5" s="1116" t="s">
        <v>424</v>
      </c>
      <c r="F5" s="995">
        <v>261969001</v>
      </c>
      <c r="G5" s="996" t="s">
        <v>425</v>
      </c>
    </row>
    <row r="6" spans="1:7">
      <c r="A6" s="991" t="s">
        <v>62</v>
      </c>
      <c r="B6" s="992" t="s">
        <v>346</v>
      </c>
      <c r="C6" s="992" t="s">
        <v>347</v>
      </c>
      <c r="D6" s="993" t="s">
        <v>348</v>
      </c>
      <c r="E6" s="1116" t="s">
        <v>349</v>
      </c>
      <c r="F6" s="995">
        <v>316231001</v>
      </c>
      <c r="G6" s="996" t="s">
        <v>350</v>
      </c>
    </row>
    <row r="7" spans="1:7">
      <c r="A7" s="991" t="s">
        <v>12</v>
      </c>
      <c r="B7" s="999" t="s">
        <v>353</v>
      </c>
      <c r="C7" s="1000" t="s">
        <v>354</v>
      </c>
      <c r="D7" s="1001" t="s">
        <v>355</v>
      </c>
      <c r="E7" s="1117" t="s">
        <v>356</v>
      </c>
      <c r="F7" s="995">
        <v>316236003</v>
      </c>
      <c r="G7" s="996" t="s">
        <v>357</v>
      </c>
    </row>
    <row r="8" spans="1:7">
      <c r="A8" s="1017" t="s">
        <v>331</v>
      </c>
      <c r="B8" s="1018" t="s">
        <v>641</v>
      </c>
      <c r="C8" s="1018" t="s">
        <v>623</v>
      </c>
      <c r="D8" s="1019" t="s">
        <v>624</v>
      </c>
      <c r="E8" s="1118" t="s">
        <v>625</v>
      </c>
      <c r="F8" s="1107">
        <v>320807001</v>
      </c>
      <c r="G8" s="1021" t="s">
        <v>642</v>
      </c>
    </row>
    <row r="9" spans="1:7">
      <c r="A9" s="991" t="s">
        <v>67</v>
      </c>
      <c r="B9" s="992" t="s">
        <v>358</v>
      </c>
      <c r="C9" s="992" t="s">
        <v>359</v>
      </c>
      <c r="D9" s="993" t="s">
        <v>360</v>
      </c>
      <c r="E9" s="1116" t="s">
        <v>361</v>
      </c>
      <c r="F9" s="995">
        <v>316392001</v>
      </c>
      <c r="G9" s="996" t="s">
        <v>362</v>
      </c>
    </row>
    <row r="10" spans="1:7">
      <c r="A10" s="991" t="s">
        <v>64</v>
      </c>
      <c r="B10" s="992" t="s">
        <v>364</v>
      </c>
      <c r="C10" s="992" t="s">
        <v>365</v>
      </c>
      <c r="D10" s="993" t="s">
        <v>366</v>
      </c>
      <c r="E10" s="1116" t="s">
        <v>367</v>
      </c>
      <c r="F10" s="1012">
        <v>316245001</v>
      </c>
      <c r="G10" s="996" t="s">
        <v>368</v>
      </c>
    </row>
    <row r="11" spans="1:7">
      <c r="A11" s="1017" t="s">
        <v>576</v>
      </c>
      <c r="B11" s="1018" t="s">
        <v>577</v>
      </c>
      <c r="C11" s="1018" t="s">
        <v>578</v>
      </c>
      <c r="D11" s="1019" t="s">
        <v>579</v>
      </c>
      <c r="E11" s="1119" t="s">
        <v>580</v>
      </c>
      <c r="F11" s="1108">
        <v>316951001</v>
      </c>
      <c r="G11" s="1021" t="s">
        <v>581</v>
      </c>
    </row>
    <row r="12" spans="1:7">
      <c r="A12" s="1017" t="s">
        <v>334</v>
      </c>
      <c r="B12" s="1018" t="s">
        <v>647</v>
      </c>
      <c r="C12" s="1018" t="s">
        <v>632</v>
      </c>
      <c r="D12" s="1019" t="s">
        <v>633</v>
      </c>
      <c r="E12" s="1120" t="s">
        <v>634</v>
      </c>
      <c r="F12" s="1110">
        <v>320776001</v>
      </c>
      <c r="G12" s="1021" t="s">
        <v>648</v>
      </c>
    </row>
    <row r="13" spans="1:7">
      <c r="A13" s="991" t="s">
        <v>63</v>
      </c>
      <c r="B13" s="992" t="s">
        <v>369</v>
      </c>
      <c r="C13" s="992" t="s">
        <v>370</v>
      </c>
      <c r="D13" s="993" t="s">
        <v>371</v>
      </c>
      <c r="E13" s="1116" t="s">
        <v>372</v>
      </c>
      <c r="F13" s="995">
        <v>316459001</v>
      </c>
      <c r="G13" s="996" t="s">
        <v>373</v>
      </c>
    </row>
    <row r="14" spans="1:7">
      <c r="A14" s="991" t="s">
        <v>78</v>
      </c>
      <c r="B14" s="992" t="s">
        <v>374</v>
      </c>
      <c r="C14" s="992" t="s">
        <v>375</v>
      </c>
      <c r="D14" s="993" t="s">
        <v>732</v>
      </c>
      <c r="E14" s="1116" t="s">
        <v>376</v>
      </c>
      <c r="F14" s="995">
        <v>316550001</v>
      </c>
      <c r="G14" s="996" t="s">
        <v>377</v>
      </c>
    </row>
    <row r="15" spans="1:7">
      <c r="A15" s="1043" t="s">
        <v>684</v>
      </c>
      <c r="B15" s="1044" t="s">
        <v>664</v>
      </c>
      <c r="C15" s="1044" t="s">
        <v>651</v>
      </c>
      <c r="D15" s="1045" t="s">
        <v>652</v>
      </c>
      <c r="E15" s="1121" t="s">
        <v>653</v>
      </c>
      <c r="F15" s="1046">
        <v>321008001</v>
      </c>
      <c r="G15" s="1047" t="s">
        <v>679</v>
      </c>
    </row>
    <row r="16" spans="1:7">
      <c r="A16" s="1126" t="s">
        <v>750</v>
      </c>
      <c r="B16" s="992" t="s">
        <v>487</v>
      </c>
      <c r="C16" s="992" t="s">
        <v>488</v>
      </c>
      <c r="D16" s="993" t="s">
        <v>489</v>
      </c>
      <c r="E16" s="1116" t="s">
        <v>490</v>
      </c>
      <c r="F16" s="1106">
        <v>316514001</v>
      </c>
      <c r="G16" s="996" t="s">
        <v>491</v>
      </c>
    </row>
    <row r="17" spans="1:7">
      <c r="A17" s="991" t="s">
        <v>53</v>
      </c>
      <c r="B17" s="992" t="s">
        <v>462</v>
      </c>
      <c r="C17" s="992" t="s">
        <v>463</v>
      </c>
      <c r="D17" s="993" t="s">
        <v>715</v>
      </c>
      <c r="E17" s="1116" t="s">
        <v>464</v>
      </c>
      <c r="F17" s="1015">
        <v>232152001</v>
      </c>
      <c r="G17" s="996" t="s">
        <v>465</v>
      </c>
    </row>
    <row r="18" spans="1:7">
      <c r="A18" s="991" t="s">
        <v>171</v>
      </c>
      <c r="B18" s="992" t="s">
        <v>447</v>
      </c>
      <c r="C18" s="992" t="s">
        <v>448</v>
      </c>
      <c r="D18" s="993" t="s">
        <v>449</v>
      </c>
      <c r="E18" s="1116" t="s">
        <v>450</v>
      </c>
      <c r="F18" s="1013">
        <v>316420001</v>
      </c>
      <c r="G18" s="996" t="s">
        <v>451</v>
      </c>
    </row>
    <row r="19" spans="1:7">
      <c r="A19" s="1100" t="s">
        <v>335</v>
      </c>
      <c r="B19" s="1101" t="s">
        <v>649</v>
      </c>
      <c r="C19" s="1101" t="s">
        <v>635</v>
      </c>
      <c r="D19" s="1102" t="s">
        <v>636</v>
      </c>
      <c r="E19" s="1122" t="s">
        <v>637</v>
      </c>
      <c r="F19" s="1110">
        <v>320804001</v>
      </c>
      <c r="G19" s="1021" t="s">
        <v>650</v>
      </c>
    </row>
    <row r="20" spans="1:7" ht="15.75">
      <c r="A20" s="1016" t="s">
        <v>44</v>
      </c>
      <c r="B20" s="1000" t="s">
        <v>387</v>
      </c>
      <c r="C20" s="1000" t="s">
        <v>388</v>
      </c>
      <c r="D20" s="1014" t="s">
        <v>389</v>
      </c>
      <c r="E20" s="1117" t="s">
        <v>390</v>
      </c>
      <c r="F20" s="1038">
        <v>316395001</v>
      </c>
      <c r="G20" s="996" t="s">
        <v>391</v>
      </c>
    </row>
    <row r="21" spans="1:7">
      <c r="A21" s="1000" t="s">
        <v>143</v>
      </c>
      <c r="B21" s="992" t="s">
        <v>466</v>
      </c>
      <c r="C21" s="992" t="s">
        <v>467</v>
      </c>
      <c r="D21" s="993" t="s">
        <v>468</v>
      </c>
      <c r="E21" s="1116" t="s">
        <v>469</v>
      </c>
      <c r="F21" s="1013">
        <v>316418001</v>
      </c>
      <c r="G21" s="996" t="s">
        <v>470</v>
      </c>
    </row>
    <row r="22" spans="1:7">
      <c r="A22" s="991" t="s">
        <v>66</v>
      </c>
      <c r="B22" s="992" t="s">
        <v>392</v>
      </c>
      <c r="C22" s="992" t="s">
        <v>393</v>
      </c>
      <c r="D22" s="993" t="s">
        <v>394</v>
      </c>
      <c r="E22" s="1116" t="s">
        <v>395</v>
      </c>
      <c r="F22" s="1013">
        <v>316314001</v>
      </c>
      <c r="G22" s="996" t="s">
        <v>396</v>
      </c>
    </row>
    <row r="23" spans="1:7">
      <c r="A23" s="991" t="s">
        <v>65</v>
      </c>
      <c r="B23" s="992" t="s">
        <v>397</v>
      </c>
      <c r="C23" s="992" t="s">
        <v>398</v>
      </c>
      <c r="D23" s="993" t="s">
        <v>399</v>
      </c>
      <c r="E23" s="1116" t="s">
        <v>400</v>
      </c>
      <c r="F23" s="995">
        <v>316311001</v>
      </c>
      <c r="G23" s="996" t="s">
        <v>401</v>
      </c>
    </row>
    <row r="24" spans="1:7">
      <c r="A24" s="991" t="s">
        <v>82</v>
      </c>
      <c r="B24" s="992" t="s">
        <v>402</v>
      </c>
      <c r="C24" s="992" t="s">
        <v>370</v>
      </c>
      <c r="D24" s="993" t="s">
        <v>403</v>
      </c>
      <c r="E24" s="1116" t="s">
        <v>404</v>
      </c>
      <c r="F24" s="995">
        <v>316265001</v>
      </c>
      <c r="G24" s="996" t="s">
        <v>405</v>
      </c>
    </row>
    <row r="25" spans="1:7">
      <c r="A25" s="1017" t="s">
        <v>329</v>
      </c>
      <c r="B25" s="1018" t="s">
        <v>639</v>
      </c>
      <c r="C25" s="1018" t="s">
        <v>620</v>
      </c>
      <c r="D25" s="1019" t="s">
        <v>621</v>
      </c>
      <c r="E25" s="1115" t="s">
        <v>622</v>
      </c>
      <c r="F25" s="1031">
        <v>320795001</v>
      </c>
      <c r="G25" s="1021" t="s">
        <v>640</v>
      </c>
    </row>
    <row r="26" spans="1:7" ht="15.75">
      <c r="A26" s="991" t="s">
        <v>184</v>
      </c>
      <c r="B26" s="992" t="s">
        <v>406</v>
      </c>
      <c r="C26" s="992" t="s">
        <v>407</v>
      </c>
      <c r="D26" s="993" t="s">
        <v>408</v>
      </c>
      <c r="E26" s="1116" t="s">
        <v>409</v>
      </c>
      <c r="F26" s="1109">
        <v>316682001</v>
      </c>
      <c r="G26" s="996" t="s">
        <v>410</v>
      </c>
    </row>
    <row r="27" spans="1:7">
      <c r="A27" s="1017" t="s">
        <v>332</v>
      </c>
      <c r="B27" s="1018" t="s">
        <v>643</v>
      </c>
      <c r="C27" s="1018" t="s">
        <v>626</v>
      </c>
      <c r="D27" s="1019" t="s">
        <v>627</v>
      </c>
      <c r="E27" s="1115" t="s">
        <v>628</v>
      </c>
      <c r="F27" s="1031">
        <v>320848001</v>
      </c>
      <c r="G27" s="1021" t="s">
        <v>644</v>
      </c>
    </row>
    <row r="28" spans="1:7">
      <c r="A28" s="991" t="s">
        <v>189</v>
      </c>
      <c r="B28" s="992" t="s">
        <v>442</v>
      </c>
      <c r="C28" s="992" t="s">
        <v>443</v>
      </c>
      <c r="D28" s="993" t="s">
        <v>444</v>
      </c>
      <c r="E28" s="1116" t="s">
        <v>445</v>
      </c>
      <c r="F28" s="995">
        <v>316298001</v>
      </c>
      <c r="G28" s="996" t="s">
        <v>446</v>
      </c>
    </row>
    <row r="29" spans="1:7" ht="36.75">
      <c r="A29" s="1043" t="s">
        <v>654</v>
      </c>
      <c r="B29" s="1056" t="s">
        <v>739</v>
      </c>
      <c r="C29" s="1062" t="s">
        <v>690</v>
      </c>
      <c r="D29" s="1045" t="s">
        <v>689</v>
      </c>
      <c r="E29" s="1121" t="s">
        <v>655</v>
      </c>
      <c r="F29" s="1046">
        <v>321052001</v>
      </c>
      <c r="G29" s="1047" t="s">
        <v>680</v>
      </c>
    </row>
    <row r="30" spans="1:7">
      <c r="A30" s="1017" t="s">
        <v>333</v>
      </c>
      <c r="B30" s="1018" t="s">
        <v>645</v>
      </c>
      <c r="C30" s="1018" t="s">
        <v>629</v>
      </c>
      <c r="D30" s="1019" t="s">
        <v>630</v>
      </c>
      <c r="E30" s="1115" t="s">
        <v>631</v>
      </c>
      <c r="F30" s="1031">
        <v>320853001</v>
      </c>
      <c r="G30" s="1021" t="s">
        <v>646</v>
      </c>
    </row>
    <row r="31" spans="1:7" ht="30">
      <c r="A31" s="1043" t="s">
        <v>737</v>
      </c>
      <c r="B31" s="1056" t="s">
        <v>738</v>
      </c>
      <c r="C31" s="1044" t="s">
        <v>656</v>
      </c>
      <c r="D31" s="1045" t="s">
        <v>657</v>
      </c>
      <c r="E31" s="1123" t="s">
        <v>658</v>
      </c>
      <c r="F31" s="1046">
        <v>321194001</v>
      </c>
      <c r="G31" s="1047" t="s">
        <v>741</v>
      </c>
    </row>
    <row r="32" spans="1:7">
      <c r="A32" s="1017" t="s">
        <v>276</v>
      </c>
      <c r="B32" s="1018" t="s">
        <v>594</v>
      </c>
      <c r="C32" s="1018" t="s">
        <v>595</v>
      </c>
      <c r="D32" s="1019" t="s">
        <v>698</v>
      </c>
      <c r="E32" s="1124" t="s">
        <v>596</v>
      </c>
      <c r="F32" s="1020">
        <v>317122001</v>
      </c>
      <c r="G32" s="1021" t="s">
        <v>597</v>
      </c>
    </row>
    <row r="33" spans="1:7">
      <c r="A33" s="1043" t="s">
        <v>659</v>
      </c>
      <c r="B33" s="1044" t="s">
        <v>683</v>
      </c>
      <c r="C33" s="1044" t="s">
        <v>660</v>
      </c>
      <c r="D33" s="1045" t="s">
        <v>661</v>
      </c>
      <c r="E33" s="1121" t="s">
        <v>662</v>
      </c>
      <c r="F33" s="1046">
        <v>321055001</v>
      </c>
      <c r="G33" s="1047" t="s">
        <v>749</v>
      </c>
    </row>
    <row r="34" spans="1:7">
      <c r="A34" s="1017" t="s">
        <v>272</v>
      </c>
      <c r="B34" s="1018" t="s">
        <v>549</v>
      </c>
      <c r="C34" s="1018" t="s">
        <v>550</v>
      </c>
      <c r="D34" s="1019" t="s">
        <v>551</v>
      </c>
      <c r="E34" s="1124" t="s">
        <v>552</v>
      </c>
      <c r="F34" s="1020">
        <v>316832001</v>
      </c>
      <c r="G34" s="1021" t="s">
        <v>553</v>
      </c>
    </row>
    <row r="35" spans="1:7">
      <c r="A35" s="991" t="s">
        <v>45</v>
      </c>
      <c r="B35" s="992" t="s">
        <v>416</v>
      </c>
      <c r="C35" s="992" t="s">
        <v>417</v>
      </c>
      <c r="D35" s="993" t="s">
        <v>418</v>
      </c>
      <c r="E35" s="1116" t="s">
        <v>419</v>
      </c>
      <c r="F35" s="995">
        <v>282759001</v>
      </c>
      <c r="G35" s="996" t="s">
        <v>420</v>
      </c>
    </row>
    <row r="36" spans="1:7">
      <c r="A36" s="991" t="s">
        <v>144</v>
      </c>
      <c r="B36" s="992" t="s">
        <v>482</v>
      </c>
      <c r="C36" s="992" t="s">
        <v>483</v>
      </c>
      <c r="D36" s="993" t="s">
        <v>484</v>
      </c>
      <c r="E36" s="1116" t="s">
        <v>485</v>
      </c>
      <c r="F36" s="995">
        <v>316438001</v>
      </c>
      <c r="G36" s="996" t="s">
        <v>486</v>
      </c>
    </row>
    <row r="37" spans="1:7">
      <c r="A37" s="991" t="s">
        <v>70</v>
      </c>
      <c r="B37" s="992" t="s">
        <v>426</v>
      </c>
      <c r="C37" s="992" t="s">
        <v>427</v>
      </c>
      <c r="D37" s="993" t="s">
        <v>428</v>
      </c>
      <c r="E37" s="1116" t="s">
        <v>429</v>
      </c>
      <c r="F37" s="995">
        <v>316270001</v>
      </c>
      <c r="G37" s="996" t="s">
        <v>430</v>
      </c>
    </row>
    <row r="38" spans="1:7">
      <c r="A38" s="1017" t="s">
        <v>522</v>
      </c>
      <c r="B38" s="1018" t="s">
        <v>523</v>
      </c>
      <c r="C38" s="1018" t="s">
        <v>524</v>
      </c>
      <c r="D38" s="1019" t="s">
        <v>525</v>
      </c>
      <c r="E38" s="1124" t="s">
        <v>526</v>
      </c>
      <c r="F38" s="1020">
        <v>316983001</v>
      </c>
      <c r="G38" s="1021" t="s">
        <v>527</v>
      </c>
    </row>
    <row r="39" spans="1:7">
      <c r="A39" s="1017" t="s">
        <v>244</v>
      </c>
      <c r="B39" s="1018" t="s">
        <v>560</v>
      </c>
      <c r="C39" s="1018" t="s">
        <v>561</v>
      </c>
      <c r="D39" s="1019" t="s">
        <v>562</v>
      </c>
      <c r="E39" s="1124" t="s">
        <v>563</v>
      </c>
      <c r="F39" s="1020">
        <v>317173001</v>
      </c>
      <c r="G39" s="1021" t="s">
        <v>564</v>
      </c>
    </row>
  </sheetData>
  <hyperlinks>
    <hyperlink ref="E6" r:id="rId1" xr:uid="{328BCC3C-B3BC-4F8D-8415-A2A75EEC113A}"/>
    <hyperlink ref="E7" r:id="rId2" xr:uid="{49A7B9BE-BB14-4279-BD91-939977624D69}"/>
    <hyperlink ref="E5" r:id="rId3" xr:uid="{CDA222EC-0DD9-403A-AF9F-88C51C996E24}"/>
    <hyperlink ref="E3" r:id="rId4" xr:uid="{65B96B36-1F43-4D47-95E0-2C19DB05D8A4}"/>
    <hyperlink ref="E8" r:id="rId5" xr:uid="{BCCA716C-3633-43EE-B546-9A48E2055B73}"/>
    <hyperlink ref="E9" r:id="rId6" xr:uid="{A9289D6D-FC55-4834-B9EA-6E72CA1E768E}"/>
    <hyperlink ref="E10" r:id="rId7" xr:uid="{9E03FD1C-22B1-4A16-9DC8-1E5FE4AC3E27}"/>
    <hyperlink ref="E12" r:id="rId8" xr:uid="{F251C84C-8920-49BA-B4D3-59B01433A530}"/>
    <hyperlink ref="E13" r:id="rId9" xr:uid="{B32B03FC-AAA8-4630-8B9A-823B1A395898}"/>
    <hyperlink ref="E15" r:id="rId10" xr:uid="{97E26EB3-D190-4C40-AD34-B6F747FBD0EA}"/>
    <hyperlink ref="E18" r:id="rId11" xr:uid="{FC8DE148-C1F3-4DE8-B76C-E0B955264D24}"/>
    <hyperlink ref="E17" r:id="rId12" xr:uid="{B1AEDEFB-38F2-4449-9C3F-FE13911E6B90}"/>
    <hyperlink ref="E20" r:id="rId13" xr:uid="{1E37ECA7-3701-4FE1-ACBD-26E9DBE2C31B}"/>
    <hyperlink ref="E19" r:id="rId14" xr:uid="{1DE6AA66-3EAA-4D81-980E-477AEAAC2B1C}"/>
    <hyperlink ref="E22" r:id="rId15" xr:uid="{E20A551A-DEE3-4D79-83C8-613D1E1616D8}"/>
    <hyperlink ref="E23" r:id="rId16" xr:uid="{0D9A35A0-4720-4F3E-B0A2-0A68775C12AE}"/>
    <hyperlink ref="E24" r:id="rId17" xr:uid="{FC74664A-E0A7-472E-BD3A-15DF9085F663}"/>
    <hyperlink ref="E25" r:id="rId18" xr:uid="{931A3423-29C4-4A4B-A462-158392F31927}"/>
    <hyperlink ref="E26" r:id="rId19" xr:uid="{10AD2FF9-FB7E-4EBC-A420-3241AB69C84D}"/>
    <hyperlink ref="E27" r:id="rId20" xr:uid="{F42907D6-706E-45B5-A04B-8B499647A70E}"/>
    <hyperlink ref="E35" r:id="rId21" xr:uid="{49DE7776-B019-4A47-B278-822627EB6E98}"/>
    <hyperlink ref="E37" r:id="rId22" xr:uid="{0643F590-A7BE-4F1A-AA7F-3CF0E3845440}"/>
    <hyperlink ref="E28" r:id="rId23" xr:uid="{CF1C3788-1731-47FC-9A55-9D4D737004C4}"/>
    <hyperlink ref="E36" r:id="rId24" xr:uid="{8ABA49C1-EEBF-479B-94A2-B0822AEFA7AC}"/>
    <hyperlink ref="E30" r:id="rId25" xr:uid="{4CAFBC51-C7BF-4FC2-9B20-4922098121B2}"/>
    <hyperlink ref="E33" r:id="rId26" xr:uid="{A84C46DE-8590-450E-A06F-2230E384698C}"/>
    <hyperlink ref="E29" r:id="rId27" xr:uid="{EAA9C1E0-31D7-45C1-BD77-1273CE493691}"/>
  </hyperlink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158FA-EC16-4BD4-A94E-4DBCA7558DE1}">
  <sheetPr codeName="Sheet364"/>
  <dimension ref="A1:C120"/>
  <sheetViews>
    <sheetView topLeftCell="A88" workbookViewId="0">
      <selection activeCell="B116" sqref="B116"/>
    </sheetView>
  </sheetViews>
  <sheetFormatPr defaultRowHeight="15"/>
  <cols>
    <col min="1" max="1" width="13.85546875" bestFit="1" customWidth="1"/>
    <col min="3" max="3" width="9.140625" style="1176"/>
  </cols>
  <sheetData>
    <row r="1" spans="1:3" ht="15.75">
      <c r="A1" s="1183" t="s">
        <v>842</v>
      </c>
      <c r="B1" s="1183" t="s">
        <v>843</v>
      </c>
      <c r="C1" s="1184" t="s">
        <v>844</v>
      </c>
    </row>
    <row r="2" spans="1:3">
      <c r="A2" s="1177">
        <v>44980</v>
      </c>
      <c r="B2" s="1178">
        <v>40</v>
      </c>
      <c r="C2" s="1179">
        <f>B2*9.5</f>
        <v>380</v>
      </c>
    </row>
    <row r="3" spans="1:3">
      <c r="A3" s="1177">
        <v>44981</v>
      </c>
      <c r="B3" s="1178">
        <v>12</v>
      </c>
      <c r="C3" s="1179">
        <f t="shared" ref="C3:C66" si="0">B3*9.5</f>
        <v>114</v>
      </c>
    </row>
    <row r="4" spans="1:3">
      <c r="A4" s="1177">
        <v>44982</v>
      </c>
      <c r="B4" s="1178">
        <v>0</v>
      </c>
      <c r="C4" s="1179">
        <f t="shared" si="0"/>
        <v>0</v>
      </c>
    </row>
    <row r="5" spans="1:3">
      <c r="A5" s="1177">
        <v>44983</v>
      </c>
      <c r="B5" s="1178">
        <v>1</v>
      </c>
      <c r="C5" s="1179">
        <f t="shared" si="0"/>
        <v>9.5</v>
      </c>
    </row>
    <row r="6" spans="1:3">
      <c r="A6" s="1177">
        <v>44984</v>
      </c>
      <c r="B6" s="1178">
        <v>7</v>
      </c>
      <c r="C6" s="1179">
        <f t="shared" si="0"/>
        <v>66.5</v>
      </c>
    </row>
    <row r="7" spans="1:3">
      <c r="A7" s="1177">
        <v>44985</v>
      </c>
      <c r="B7" s="1178">
        <v>0</v>
      </c>
      <c r="C7" s="1179">
        <f t="shared" si="0"/>
        <v>0</v>
      </c>
    </row>
    <row r="8" spans="1:3" s="934" customFormat="1">
      <c r="A8" s="1188" t="s">
        <v>848</v>
      </c>
      <c r="B8" s="1222">
        <f>SUM(B2:B7)</f>
        <v>60</v>
      </c>
      <c r="C8" s="1199">
        <f>SUM(C2:C7)</f>
        <v>570</v>
      </c>
    </row>
    <row r="9" spans="1:3">
      <c r="A9" s="1180">
        <v>44986</v>
      </c>
      <c r="B9" s="1181">
        <v>16</v>
      </c>
      <c r="C9" s="1182">
        <f t="shared" si="0"/>
        <v>152</v>
      </c>
    </row>
    <row r="10" spans="1:3">
      <c r="A10" s="1180">
        <v>44987</v>
      </c>
      <c r="B10" s="1181">
        <v>35</v>
      </c>
      <c r="C10" s="1182">
        <f t="shared" si="0"/>
        <v>332.5</v>
      </c>
    </row>
    <row r="11" spans="1:3">
      <c r="A11" s="1180">
        <v>44988</v>
      </c>
      <c r="B11" s="1181">
        <v>0</v>
      </c>
      <c r="C11" s="1182">
        <f t="shared" si="0"/>
        <v>0</v>
      </c>
    </row>
    <row r="12" spans="1:3">
      <c r="A12" s="1180">
        <v>44989</v>
      </c>
      <c r="B12" s="1181">
        <v>9</v>
      </c>
      <c r="C12" s="1182">
        <f t="shared" si="0"/>
        <v>85.5</v>
      </c>
    </row>
    <row r="13" spans="1:3">
      <c r="A13" s="1180">
        <v>44990</v>
      </c>
      <c r="B13" s="1181">
        <v>4</v>
      </c>
      <c r="C13" s="1182">
        <f t="shared" si="0"/>
        <v>38</v>
      </c>
    </row>
    <row r="14" spans="1:3">
      <c r="A14" s="1180">
        <v>44991</v>
      </c>
      <c r="B14" s="1181">
        <v>4</v>
      </c>
      <c r="C14" s="1182">
        <f t="shared" si="0"/>
        <v>38</v>
      </c>
    </row>
    <row r="15" spans="1:3">
      <c r="A15" s="1180">
        <v>44992</v>
      </c>
      <c r="B15" s="1181">
        <v>0</v>
      </c>
      <c r="C15" s="1182">
        <f t="shared" si="0"/>
        <v>0</v>
      </c>
    </row>
    <row r="16" spans="1:3">
      <c r="A16" s="1180">
        <v>44993</v>
      </c>
      <c r="B16" s="1181">
        <v>22</v>
      </c>
      <c r="C16" s="1182">
        <f t="shared" si="0"/>
        <v>209</v>
      </c>
    </row>
    <row r="17" spans="1:3">
      <c r="A17" s="1180">
        <v>44994</v>
      </c>
      <c r="B17" s="1181">
        <v>22</v>
      </c>
      <c r="C17" s="1182">
        <f t="shared" si="0"/>
        <v>209</v>
      </c>
    </row>
    <row r="18" spans="1:3">
      <c r="A18" s="1180">
        <v>44995</v>
      </c>
      <c r="B18" s="1181">
        <v>2</v>
      </c>
      <c r="C18" s="1182">
        <f t="shared" si="0"/>
        <v>19</v>
      </c>
    </row>
    <row r="19" spans="1:3">
      <c r="A19" s="1180">
        <v>44996</v>
      </c>
      <c r="B19" s="1181">
        <v>0</v>
      </c>
      <c r="C19" s="1182">
        <f t="shared" si="0"/>
        <v>0</v>
      </c>
    </row>
    <row r="20" spans="1:3">
      <c r="A20" s="1180">
        <v>44997</v>
      </c>
      <c r="B20" s="1181">
        <v>0</v>
      </c>
      <c r="C20" s="1182">
        <f t="shared" si="0"/>
        <v>0</v>
      </c>
    </row>
    <row r="21" spans="1:3">
      <c r="A21" s="1180">
        <v>44998</v>
      </c>
      <c r="B21" s="1181">
        <v>12</v>
      </c>
      <c r="C21" s="1182">
        <f t="shared" si="0"/>
        <v>114</v>
      </c>
    </row>
    <row r="22" spans="1:3">
      <c r="A22" s="1180">
        <v>44999</v>
      </c>
      <c r="B22" s="1181">
        <v>8</v>
      </c>
      <c r="C22" s="1182">
        <f t="shared" si="0"/>
        <v>76</v>
      </c>
    </row>
    <row r="23" spans="1:3">
      <c r="A23" s="1180">
        <v>45000</v>
      </c>
      <c r="B23" s="1181">
        <v>9</v>
      </c>
      <c r="C23" s="1182">
        <f t="shared" si="0"/>
        <v>85.5</v>
      </c>
    </row>
    <row r="24" spans="1:3">
      <c r="A24" s="1180">
        <v>45001</v>
      </c>
      <c r="B24" s="1181">
        <v>11</v>
      </c>
      <c r="C24" s="1182">
        <f t="shared" si="0"/>
        <v>104.5</v>
      </c>
    </row>
    <row r="25" spans="1:3">
      <c r="A25" s="1180">
        <v>45002</v>
      </c>
      <c r="B25" s="1181">
        <v>0</v>
      </c>
      <c r="C25" s="1182">
        <f t="shared" si="0"/>
        <v>0</v>
      </c>
    </row>
    <row r="26" spans="1:3">
      <c r="A26" s="1180">
        <v>45003</v>
      </c>
      <c r="B26" s="1181">
        <v>0</v>
      </c>
      <c r="C26" s="1182">
        <f t="shared" si="0"/>
        <v>0</v>
      </c>
    </row>
    <row r="27" spans="1:3">
      <c r="A27" s="1180">
        <v>45004</v>
      </c>
      <c r="B27" s="1181">
        <v>2</v>
      </c>
      <c r="C27" s="1182">
        <f t="shared" si="0"/>
        <v>19</v>
      </c>
    </row>
    <row r="28" spans="1:3">
      <c r="A28" s="1180">
        <v>45005</v>
      </c>
      <c r="B28" s="1181">
        <v>23</v>
      </c>
      <c r="C28" s="1182">
        <f t="shared" si="0"/>
        <v>218.5</v>
      </c>
    </row>
    <row r="29" spans="1:3">
      <c r="A29" s="1180">
        <v>45006</v>
      </c>
      <c r="B29" s="1181">
        <v>11</v>
      </c>
      <c r="C29" s="1182">
        <f t="shared" si="0"/>
        <v>104.5</v>
      </c>
    </row>
    <row r="30" spans="1:3">
      <c r="A30" s="1180">
        <v>45007</v>
      </c>
      <c r="B30" s="1181">
        <v>22</v>
      </c>
      <c r="C30" s="1182">
        <f t="shared" si="0"/>
        <v>209</v>
      </c>
    </row>
    <row r="31" spans="1:3">
      <c r="A31" s="1180">
        <v>45008</v>
      </c>
      <c r="B31" s="1181">
        <v>50</v>
      </c>
      <c r="C31" s="1182">
        <f t="shared" si="0"/>
        <v>475</v>
      </c>
    </row>
    <row r="32" spans="1:3">
      <c r="A32" s="1180">
        <v>45009</v>
      </c>
      <c r="B32" s="1181">
        <v>0</v>
      </c>
      <c r="C32" s="1182">
        <f t="shared" si="0"/>
        <v>0</v>
      </c>
    </row>
    <row r="33" spans="1:3">
      <c r="A33" s="1180">
        <v>45010</v>
      </c>
      <c r="B33" s="1181">
        <v>0</v>
      </c>
      <c r="C33" s="1182">
        <f t="shared" si="0"/>
        <v>0</v>
      </c>
    </row>
    <row r="34" spans="1:3">
      <c r="A34" s="1180">
        <v>45011</v>
      </c>
      <c r="B34" s="1181">
        <v>0</v>
      </c>
      <c r="C34" s="1182">
        <f t="shared" si="0"/>
        <v>0</v>
      </c>
    </row>
    <row r="35" spans="1:3">
      <c r="A35" s="1180">
        <v>45012</v>
      </c>
      <c r="B35" s="1181">
        <v>0</v>
      </c>
      <c r="C35" s="1182">
        <f t="shared" si="0"/>
        <v>0</v>
      </c>
    </row>
    <row r="36" spans="1:3">
      <c r="A36" s="1180">
        <v>45013</v>
      </c>
      <c r="B36" s="1181">
        <v>0</v>
      </c>
      <c r="C36" s="1182">
        <f t="shared" si="0"/>
        <v>0</v>
      </c>
    </row>
    <row r="37" spans="1:3">
      <c r="A37" s="1180">
        <v>45014</v>
      </c>
      <c r="B37" s="1181">
        <v>0</v>
      </c>
      <c r="C37" s="1182">
        <f t="shared" si="0"/>
        <v>0</v>
      </c>
    </row>
    <row r="38" spans="1:3">
      <c r="A38" s="1180">
        <v>45015</v>
      </c>
      <c r="B38" s="1181">
        <v>0</v>
      </c>
      <c r="C38" s="1182">
        <f t="shared" si="0"/>
        <v>0</v>
      </c>
    </row>
    <row r="39" spans="1:3">
      <c r="A39" s="1180">
        <v>45016</v>
      </c>
      <c r="B39" s="1181">
        <v>0</v>
      </c>
      <c r="C39" s="1182">
        <f t="shared" si="0"/>
        <v>0</v>
      </c>
    </row>
    <row r="40" spans="1:3" s="934" customFormat="1">
      <c r="A40" s="1189" t="s">
        <v>849</v>
      </c>
      <c r="B40" s="1223">
        <f>SUM(B9:B39)</f>
        <v>262</v>
      </c>
      <c r="C40" s="1217">
        <f>SUM(C9:C39)</f>
        <v>2489</v>
      </c>
    </row>
    <row r="41" spans="1:3">
      <c r="A41" s="1185">
        <v>45017</v>
      </c>
      <c r="B41" s="1186">
        <v>0</v>
      </c>
      <c r="C41" s="1187">
        <f t="shared" si="0"/>
        <v>0</v>
      </c>
    </row>
    <row r="42" spans="1:3">
      <c r="A42" s="1185">
        <v>45018</v>
      </c>
      <c r="B42" s="1186">
        <v>0</v>
      </c>
      <c r="C42" s="1187">
        <f t="shared" si="0"/>
        <v>0</v>
      </c>
    </row>
    <row r="43" spans="1:3">
      <c r="A43" s="1185">
        <v>45019</v>
      </c>
      <c r="B43" s="1186">
        <v>0</v>
      </c>
      <c r="C43" s="1187">
        <f t="shared" si="0"/>
        <v>0</v>
      </c>
    </row>
    <row r="44" spans="1:3">
      <c r="A44" s="1185">
        <v>45020</v>
      </c>
      <c r="B44" s="1186">
        <v>0</v>
      </c>
      <c r="C44" s="1187">
        <f t="shared" si="0"/>
        <v>0</v>
      </c>
    </row>
    <row r="45" spans="1:3">
      <c r="A45" s="1185">
        <v>45021</v>
      </c>
      <c r="B45" s="1186">
        <v>0</v>
      </c>
      <c r="C45" s="1187">
        <f t="shared" si="0"/>
        <v>0</v>
      </c>
    </row>
    <row r="46" spans="1:3">
      <c r="A46" s="1185">
        <v>45022</v>
      </c>
      <c r="B46" s="1186">
        <v>6</v>
      </c>
      <c r="C46" s="1187">
        <f t="shared" si="0"/>
        <v>57</v>
      </c>
    </row>
    <row r="47" spans="1:3">
      <c r="A47" s="1185">
        <v>45023</v>
      </c>
      <c r="B47" s="1186">
        <v>0</v>
      </c>
      <c r="C47" s="1187">
        <f t="shared" si="0"/>
        <v>0</v>
      </c>
    </row>
    <row r="48" spans="1:3">
      <c r="A48" s="1185">
        <v>45024</v>
      </c>
      <c r="B48" s="1186">
        <v>1</v>
      </c>
      <c r="C48" s="1187">
        <f t="shared" si="0"/>
        <v>9.5</v>
      </c>
    </row>
    <row r="49" spans="1:3">
      <c r="A49" s="1185">
        <v>45025</v>
      </c>
      <c r="B49" s="1186">
        <v>0</v>
      </c>
      <c r="C49" s="1187">
        <f t="shared" si="0"/>
        <v>0</v>
      </c>
    </row>
    <row r="50" spans="1:3">
      <c r="A50" s="1185">
        <v>45026</v>
      </c>
      <c r="B50" s="1186">
        <v>0</v>
      </c>
      <c r="C50" s="1187">
        <f t="shared" si="0"/>
        <v>0</v>
      </c>
    </row>
    <row r="51" spans="1:3">
      <c r="A51" s="1185">
        <v>45027</v>
      </c>
      <c r="B51" s="1186">
        <v>0</v>
      </c>
      <c r="C51" s="1187">
        <f t="shared" si="0"/>
        <v>0</v>
      </c>
    </row>
    <row r="52" spans="1:3">
      <c r="A52" s="1185">
        <v>45028</v>
      </c>
      <c r="B52" s="1186">
        <v>0</v>
      </c>
      <c r="C52" s="1187">
        <f t="shared" si="0"/>
        <v>0</v>
      </c>
    </row>
    <row r="53" spans="1:3">
      <c r="A53" s="1185">
        <v>45029</v>
      </c>
      <c r="B53" s="1186">
        <v>0</v>
      </c>
      <c r="C53" s="1187">
        <f t="shared" si="0"/>
        <v>0</v>
      </c>
    </row>
    <row r="54" spans="1:3">
      <c r="A54" s="1185">
        <v>45030</v>
      </c>
      <c r="B54" s="1186">
        <v>0</v>
      </c>
      <c r="C54" s="1187">
        <f t="shared" si="0"/>
        <v>0</v>
      </c>
    </row>
    <row r="55" spans="1:3">
      <c r="A55" s="1185">
        <v>45031</v>
      </c>
      <c r="B55" s="1186">
        <v>0</v>
      </c>
      <c r="C55" s="1187">
        <f t="shared" si="0"/>
        <v>0</v>
      </c>
    </row>
    <row r="56" spans="1:3">
      <c r="A56" s="1185">
        <v>45032</v>
      </c>
      <c r="B56" s="1186">
        <v>0</v>
      </c>
      <c r="C56" s="1187">
        <f t="shared" si="0"/>
        <v>0</v>
      </c>
    </row>
    <row r="57" spans="1:3">
      <c r="A57" s="1185">
        <v>45033</v>
      </c>
      <c r="B57" s="1186">
        <v>1</v>
      </c>
      <c r="C57" s="1187">
        <f t="shared" si="0"/>
        <v>9.5</v>
      </c>
    </row>
    <row r="58" spans="1:3">
      <c r="A58" s="1185">
        <v>45034</v>
      </c>
      <c r="B58" s="1186">
        <v>0</v>
      </c>
      <c r="C58" s="1187">
        <f t="shared" si="0"/>
        <v>0</v>
      </c>
    </row>
    <row r="59" spans="1:3">
      <c r="A59" s="1185">
        <v>45035</v>
      </c>
      <c r="B59" s="1186">
        <v>1</v>
      </c>
      <c r="C59" s="1187">
        <f t="shared" si="0"/>
        <v>9.5</v>
      </c>
    </row>
    <row r="60" spans="1:3">
      <c r="A60" s="1185">
        <v>45036</v>
      </c>
      <c r="B60" s="1186">
        <v>0</v>
      </c>
      <c r="C60" s="1187">
        <f t="shared" si="0"/>
        <v>0</v>
      </c>
    </row>
    <row r="61" spans="1:3">
      <c r="A61" s="1185">
        <v>45037</v>
      </c>
      <c r="B61" s="1186">
        <v>0</v>
      </c>
      <c r="C61" s="1187">
        <f t="shared" si="0"/>
        <v>0</v>
      </c>
    </row>
    <row r="62" spans="1:3">
      <c r="A62" s="1185">
        <v>45038</v>
      </c>
      <c r="B62" s="1186">
        <v>0</v>
      </c>
      <c r="C62" s="1187">
        <f t="shared" si="0"/>
        <v>0</v>
      </c>
    </row>
    <row r="63" spans="1:3">
      <c r="A63" s="1185">
        <v>45039</v>
      </c>
      <c r="B63" s="1186">
        <v>0</v>
      </c>
      <c r="C63" s="1187">
        <f t="shared" si="0"/>
        <v>0</v>
      </c>
    </row>
    <row r="64" spans="1:3">
      <c r="A64" s="1185">
        <v>45040</v>
      </c>
      <c r="B64" s="1186">
        <v>0</v>
      </c>
      <c r="C64" s="1187">
        <f t="shared" si="0"/>
        <v>0</v>
      </c>
    </row>
    <row r="65" spans="1:3">
      <c r="A65" s="1185">
        <v>45041</v>
      </c>
      <c r="B65" s="1186">
        <v>0</v>
      </c>
      <c r="C65" s="1187">
        <f t="shared" si="0"/>
        <v>0</v>
      </c>
    </row>
    <row r="66" spans="1:3">
      <c r="A66" s="1185">
        <v>45042</v>
      </c>
      <c r="B66" s="1186">
        <v>0</v>
      </c>
      <c r="C66" s="1187">
        <f t="shared" si="0"/>
        <v>0</v>
      </c>
    </row>
    <row r="67" spans="1:3">
      <c r="A67" s="1185">
        <v>45043</v>
      </c>
      <c r="B67" s="1186">
        <v>0</v>
      </c>
      <c r="C67" s="1187">
        <f t="shared" ref="C67:C120" si="1">B67*9.5</f>
        <v>0</v>
      </c>
    </row>
    <row r="68" spans="1:3">
      <c r="A68" s="1185">
        <v>45044</v>
      </c>
      <c r="B68" s="1186">
        <v>0</v>
      </c>
      <c r="C68" s="1187">
        <f t="shared" si="1"/>
        <v>0</v>
      </c>
    </row>
    <row r="69" spans="1:3">
      <c r="A69" s="1185">
        <v>45045</v>
      </c>
      <c r="B69" s="1186">
        <v>0</v>
      </c>
      <c r="C69" s="1187">
        <f t="shared" si="1"/>
        <v>0</v>
      </c>
    </row>
    <row r="70" spans="1:3">
      <c r="A70" s="1185">
        <v>45046</v>
      </c>
      <c r="B70" s="1186">
        <v>0</v>
      </c>
      <c r="C70" s="1187">
        <f t="shared" si="1"/>
        <v>0</v>
      </c>
    </row>
    <row r="71" spans="1:3">
      <c r="A71" s="1190" t="s">
        <v>850</v>
      </c>
      <c r="B71" s="1233">
        <f>SUM(B41:B70)</f>
        <v>9</v>
      </c>
      <c r="C71" s="1234">
        <f>SUM(C41:C70)</f>
        <v>85.5</v>
      </c>
    </row>
    <row r="72" spans="1:3">
      <c r="A72" s="1238">
        <v>45047</v>
      </c>
      <c r="B72" s="1239">
        <v>0</v>
      </c>
      <c r="C72" s="1240">
        <f t="shared" si="1"/>
        <v>0</v>
      </c>
    </row>
    <row r="73" spans="1:3">
      <c r="A73" s="1238">
        <v>45048</v>
      </c>
      <c r="B73" s="1239">
        <v>2</v>
      </c>
      <c r="C73" s="1240">
        <f t="shared" si="1"/>
        <v>19</v>
      </c>
    </row>
    <row r="74" spans="1:3">
      <c r="A74" s="1238">
        <v>45049</v>
      </c>
      <c r="B74" s="1239">
        <v>2</v>
      </c>
      <c r="C74" s="1240">
        <f t="shared" si="1"/>
        <v>19</v>
      </c>
    </row>
    <row r="75" spans="1:3">
      <c r="A75" s="1238">
        <v>45050</v>
      </c>
      <c r="B75" s="1239">
        <v>1</v>
      </c>
      <c r="C75" s="1240">
        <f t="shared" si="1"/>
        <v>9.5</v>
      </c>
    </row>
    <row r="76" spans="1:3">
      <c r="A76" s="1238">
        <v>45051</v>
      </c>
      <c r="B76" s="1239">
        <v>0</v>
      </c>
      <c r="C76" s="1240">
        <f t="shared" si="1"/>
        <v>0</v>
      </c>
    </row>
    <row r="77" spans="1:3">
      <c r="A77" s="1238">
        <v>45052</v>
      </c>
      <c r="B77" s="1239">
        <v>0</v>
      </c>
      <c r="C77" s="1240">
        <f t="shared" si="1"/>
        <v>0</v>
      </c>
    </row>
    <row r="78" spans="1:3">
      <c r="A78" s="1238">
        <v>45053</v>
      </c>
      <c r="B78" s="1239">
        <v>0</v>
      </c>
      <c r="C78" s="1240">
        <f t="shared" si="1"/>
        <v>0</v>
      </c>
    </row>
    <row r="79" spans="1:3">
      <c r="A79" s="1238">
        <v>45054</v>
      </c>
      <c r="B79" s="1239">
        <v>0</v>
      </c>
      <c r="C79" s="1240">
        <f t="shared" si="1"/>
        <v>0</v>
      </c>
    </row>
    <row r="80" spans="1:3">
      <c r="A80" s="1238">
        <v>45055</v>
      </c>
      <c r="B80" s="1239">
        <v>0</v>
      </c>
      <c r="C80" s="1240">
        <f t="shared" si="1"/>
        <v>0</v>
      </c>
    </row>
    <row r="81" spans="1:3">
      <c r="A81" s="1238">
        <v>45056</v>
      </c>
      <c r="B81" s="1239">
        <v>0</v>
      </c>
      <c r="C81" s="1240">
        <f t="shared" si="1"/>
        <v>0</v>
      </c>
    </row>
    <row r="82" spans="1:3">
      <c r="A82" s="1238">
        <v>45057</v>
      </c>
      <c r="B82" s="1239">
        <v>0</v>
      </c>
      <c r="C82" s="1240">
        <f t="shared" si="1"/>
        <v>0</v>
      </c>
    </row>
    <row r="83" spans="1:3">
      <c r="A83" s="1238">
        <v>45058</v>
      </c>
      <c r="B83" s="1239">
        <v>0</v>
      </c>
      <c r="C83" s="1240">
        <f t="shared" si="1"/>
        <v>0</v>
      </c>
    </row>
    <row r="84" spans="1:3">
      <c r="A84" s="1238">
        <v>45059</v>
      </c>
      <c r="B84" s="1239">
        <v>0</v>
      </c>
      <c r="C84" s="1240">
        <f t="shared" si="1"/>
        <v>0</v>
      </c>
    </row>
    <row r="85" spans="1:3">
      <c r="A85" s="1238">
        <v>45060</v>
      </c>
      <c r="B85" s="1239">
        <v>0</v>
      </c>
      <c r="C85" s="1240">
        <f t="shared" si="1"/>
        <v>0</v>
      </c>
    </row>
    <row r="86" spans="1:3">
      <c r="A86" s="1238">
        <v>45061</v>
      </c>
      <c r="B86" s="1239">
        <v>0</v>
      </c>
      <c r="C86" s="1240">
        <f t="shared" si="1"/>
        <v>0</v>
      </c>
    </row>
    <row r="87" spans="1:3">
      <c r="A87" s="1238">
        <v>45062</v>
      </c>
      <c r="B87" s="1239">
        <v>0</v>
      </c>
      <c r="C87" s="1240">
        <f t="shared" si="1"/>
        <v>0</v>
      </c>
    </row>
    <row r="88" spans="1:3">
      <c r="A88" s="1238">
        <v>45063</v>
      </c>
      <c r="B88" s="1239">
        <v>0</v>
      </c>
      <c r="C88" s="1240">
        <f t="shared" si="1"/>
        <v>0</v>
      </c>
    </row>
    <row r="89" spans="1:3">
      <c r="A89" s="1238">
        <v>45064</v>
      </c>
      <c r="B89" s="1239">
        <v>0</v>
      </c>
      <c r="C89" s="1240">
        <f t="shared" si="1"/>
        <v>0</v>
      </c>
    </row>
    <row r="90" spans="1:3">
      <c r="A90" s="1238">
        <v>45065</v>
      </c>
      <c r="B90" s="1239">
        <v>0</v>
      </c>
      <c r="C90" s="1240">
        <f t="shared" si="1"/>
        <v>0</v>
      </c>
    </row>
    <row r="91" spans="1:3">
      <c r="A91" s="1238">
        <v>45066</v>
      </c>
      <c r="B91" s="1239">
        <v>0</v>
      </c>
      <c r="C91" s="1240">
        <f t="shared" si="1"/>
        <v>0</v>
      </c>
    </row>
    <row r="92" spans="1:3">
      <c r="A92" s="1238">
        <v>45067</v>
      </c>
      <c r="B92" s="1239">
        <v>0</v>
      </c>
      <c r="C92" s="1240">
        <f t="shared" si="1"/>
        <v>0</v>
      </c>
    </row>
    <row r="93" spans="1:3">
      <c r="A93" s="1238">
        <v>45068</v>
      </c>
      <c r="B93" s="1239">
        <v>0</v>
      </c>
      <c r="C93" s="1240">
        <f t="shared" si="1"/>
        <v>0</v>
      </c>
    </row>
    <row r="94" spans="1:3">
      <c r="A94" s="1238">
        <v>45069</v>
      </c>
      <c r="B94" s="1239">
        <v>0</v>
      </c>
      <c r="C94" s="1240">
        <f t="shared" si="1"/>
        <v>0</v>
      </c>
    </row>
    <row r="95" spans="1:3">
      <c r="A95" s="1238">
        <v>45070</v>
      </c>
      <c r="B95" s="1239">
        <v>1</v>
      </c>
      <c r="C95" s="1240">
        <f t="shared" si="1"/>
        <v>9.5</v>
      </c>
    </row>
    <row r="96" spans="1:3">
      <c r="A96" s="1238">
        <v>45071</v>
      </c>
      <c r="B96" s="1239">
        <v>0</v>
      </c>
      <c r="C96" s="1240">
        <f t="shared" si="1"/>
        <v>0</v>
      </c>
    </row>
    <row r="97" spans="1:3">
      <c r="A97" s="1238">
        <v>45072</v>
      </c>
      <c r="B97" s="1239">
        <v>0</v>
      </c>
      <c r="C97" s="1240">
        <f t="shared" si="1"/>
        <v>0</v>
      </c>
    </row>
    <row r="98" spans="1:3">
      <c r="A98" s="1238">
        <v>45073</v>
      </c>
      <c r="B98" s="1239">
        <v>0</v>
      </c>
      <c r="C98" s="1240">
        <f t="shared" si="1"/>
        <v>0</v>
      </c>
    </row>
    <row r="99" spans="1:3">
      <c r="A99" s="1238">
        <v>45074</v>
      </c>
      <c r="B99" s="1239">
        <v>0</v>
      </c>
      <c r="C99" s="1240">
        <f t="shared" si="1"/>
        <v>0</v>
      </c>
    </row>
    <row r="100" spans="1:3">
      <c r="A100" s="1238">
        <v>45075</v>
      </c>
      <c r="B100" s="1239">
        <v>0</v>
      </c>
      <c r="C100" s="1240">
        <f t="shared" si="1"/>
        <v>0</v>
      </c>
    </row>
    <row r="101" spans="1:3">
      <c r="A101" s="1238">
        <v>45076</v>
      </c>
      <c r="B101" s="1239">
        <v>0</v>
      </c>
      <c r="C101" s="1240">
        <f t="shared" si="1"/>
        <v>0</v>
      </c>
    </row>
    <row r="102" spans="1:3">
      <c r="A102" s="1238">
        <v>45077</v>
      </c>
      <c r="B102" s="1239">
        <v>0</v>
      </c>
      <c r="C102" s="1240">
        <f t="shared" si="1"/>
        <v>0</v>
      </c>
    </row>
    <row r="103" spans="1:3">
      <c r="A103" s="1238" t="s">
        <v>908</v>
      </c>
      <c r="B103" s="1239">
        <f>SUM(B72:B102)</f>
        <v>6</v>
      </c>
      <c r="C103" s="1240">
        <f>SUM(C72:C102)</f>
        <v>57</v>
      </c>
    </row>
    <row r="104" spans="1:3">
      <c r="A104" s="1242">
        <v>45078</v>
      </c>
      <c r="B104" s="1244">
        <v>0</v>
      </c>
      <c r="C104" s="1243">
        <f t="shared" si="1"/>
        <v>0</v>
      </c>
    </row>
    <row r="105" spans="1:3">
      <c r="A105" s="1242">
        <v>45079</v>
      </c>
      <c r="B105" s="1244">
        <v>0</v>
      </c>
      <c r="C105" s="1243">
        <f t="shared" si="1"/>
        <v>0</v>
      </c>
    </row>
    <row r="106" spans="1:3">
      <c r="A106" s="1242">
        <v>45080</v>
      </c>
      <c r="B106" s="1244">
        <v>0</v>
      </c>
      <c r="C106" s="1243">
        <f t="shared" si="1"/>
        <v>0</v>
      </c>
    </row>
    <row r="107" spans="1:3">
      <c r="A107" s="1242">
        <v>45081</v>
      </c>
      <c r="B107" s="1244">
        <v>0</v>
      </c>
      <c r="C107" s="1243">
        <f t="shared" si="1"/>
        <v>0</v>
      </c>
    </row>
    <row r="108" spans="1:3">
      <c r="A108" s="1242">
        <v>45082</v>
      </c>
      <c r="B108" s="1244">
        <v>1</v>
      </c>
      <c r="C108" s="1243">
        <f t="shared" si="1"/>
        <v>9.5</v>
      </c>
    </row>
    <row r="109" spans="1:3">
      <c r="A109" s="1242">
        <v>45083</v>
      </c>
      <c r="B109" s="1244">
        <v>0</v>
      </c>
      <c r="C109" s="1243">
        <f t="shared" si="1"/>
        <v>0</v>
      </c>
    </row>
    <row r="110" spans="1:3">
      <c r="A110" s="1242">
        <v>45084</v>
      </c>
      <c r="B110" s="1244">
        <v>0</v>
      </c>
      <c r="C110" s="1243">
        <f t="shared" si="1"/>
        <v>0</v>
      </c>
    </row>
    <row r="111" spans="1:3">
      <c r="A111" s="1242">
        <v>45085</v>
      </c>
      <c r="B111" s="1244">
        <v>0</v>
      </c>
      <c r="C111" s="1243">
        <f t="shared" si="1"/>
        <v>0</v>
      </c>
    </row>
    <row r="112" spans="1:3">
      <c r="A112" s="1242">
        <v>45086</v>
      </c>
      <c r="B112" s="1244">
        <v>0</v>
      </c>
      <c r="C112" s="1243">
        <f t="shared" si="1"/>
        <v>0</v>
      </c>
    </row>
    <row r="113" spans="1:3">
      <c r="A113" s="1242">
        <v>45087</v>
      </c>
      <c r="B113" s="1244">
        <v>0</v>
      </c>
      <c r="C113" s="1243">
        <f t="shared" si="1"/>
        <v>0</v>
      </c>
    </row>
    <row r="114" spans="1:3">
      <c r="A114" s="1242">
        <v>45088</v>
      </c>
      <c r="B114" s="1244">
        <v>0</v>
      </c>
      <c r="C114" s="1243">
        <f t="shared" si="1"/>
        <v>0</v>
      </c>
    </row>
    <row r="115" spans="1:3">
      <c r="A115" s="1242">
        <v>45089</v>
      </c>
      <c r="B115" s="1244">
        <v>0</v>
      </c>
      <c r="C115" s="1243">
        <f t="shared" si="1"/>
        <v>0</v>
      </c>
    </row>
    <row r="116" spans="1:3">
      <c r="A116" s="1242">
        <v>45090</v>
      </c>
      <c r="B116" s="1244"/>
      <c r="C116" s="1243">
        <f t="shared" si="1"/>
        <v>0</v>
      </c>
    </row>
    <row r="117" spans="1:3">
      <c r="A117" s="1242">
        <v>45091</v>
      </c>
      <c r="B117" s="1244"/>
      <c r="C117" s="1243">
        <f t="shared" si="1"/>
        <v>0</v>
      </c>
    </row>
    <row r="118" spans="1:3">
      <c r="A118" s="1242">
        <v>45092</v>
      </c>
      <c r="B118" s="1244"/>
      <c r="C118" s="1243">
        <f t="shared" si="1"/>
        <v>0</v>
      </c>
    </row>
    <row r="119" spans="1:3">
      <c r="A119" s="1242">
        <v>45093</v>
      </c>
      <c r="B119" s="1244"/>
      <c r="C119" s="1243">
        <f t="shared" si="1"/>
        <v>0</v>
      </c>
    </row>
    <row r="120" spans="1:3">
      <c r="A120" s="1242">
        <v>45094</v>
      </c>
      <c r="B120" s="1244"/>
      <c r="C120" s="1243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CFD0-34D0-4EDA-A31E-31D1BE3118CA}">
  <sheetPr codeName="Sheet365"/>
  <dimension ref="A1:D128"/>
  <sheetViews>
    <sheetView workbookViewId="0">
      <selection activeCell="F15" sqref="F15"/>
    </sheetView>
  </sheetViews>
  <sheetFormatPr defaultRowHeight="15"/>
  <cols>
    <col min="1" max="1" width="32.7109375" bestFit="1" customWidth="1"/>
    <col min="2" max="4" width="15" customWidth="1"/>
  </cols>
  <sheetData>
    <row r="1" spans="1:4" ht="19.149999999999999" customHeight="1">
      <c r="A1" s="394" t="s">
        <v>886</v>
      </c>
      <c r="B1" s="1227" t="s">
        <v>887</v>
      </c>
      <c r="C1" s="394" t="s">
        <v>888</v>
      </c>
      <c r="D1" s="394" t="s">
        <v>889</v>
      </c>
    </row>
    <row r="2" spans="1:4">
      <c r="A2" s="937" t="s">
        <v>185</v>
      </c>
      <c r="B2" s="954">
        <v>506901</v>
      </c>
      <c r="C2" s="756">
        <v>99</v>
      </c>
      <c r="D2" s="954">
        <f t="shared" ref="D2:D41" si="0">B2/C2</f>
        <v>5120.212121212121</v>
      </c>
    </row>
    <row r="3" spans="1:4">
      <c r="A3" s="937" t="s">
        <v>329</v>
      </c>
      <c r="B3" s="954">
        <v>493677</v>
      </c>
      <c r="C3" s="756">
        <v>82</v>
      </c>
      <c r="D3" s="954">
        <f t="shared" si="0"/>
        <v>6020.4512195121952</v>
      </c>
    </row>
    <row r="4" spans="1:4">
      <c r="A4" s="937" t="s">
        <v>246</v>
      </c>
      <c r="B4" s="954">
        <v>413525.5</v>
      </c>
      <c r="C4" s="756">
        <v>75</v>
      </c>
      <c r="D4" s="954">
        <f t="shared" si="0"/>
        <v>5513.6733333333332</v>
      </c>
    </row>
    <row r="5" spans="1:4">
      <c r="A5" s="937" t="s">
        <v>243</v>
      </c>
      <c r="B5" s="954">
        <v>390811</v>
      </c>
      <c r="C5" s="756">
        <v>72</v>
      </c>
      <c r="D5" s="954">
        <f t="shared" si="0"/>
        <v>5427.9305555555557</v>
      </c>
    </row>
    <row r="6" spans="1:4">
      <c r="A6" s="937" t="s">
        <v>332</v>
      </c>
      <c r="B6" s="954">
        <v>302544</v>
      </c>
      <c r="C6" s="756">
        <v>70</v>
      </c>
      <c r="D6" s="954">
        <f t="shared" si="0"/>
        <v>4322.0571428571429</v>
      </c>
    </row>
    <row r="7" spans="1:4">
      <c r="A7" s="937" t="s">
        <v>65</v>
      </c>
      <c r="B7" s="954">
        <v>300171.5</v>
      </c>
      <c r="C7" s="756">
        <v>68</v>
      </c>
      <c r="D7" s="954">
        <f t="shared" si="0"/>
        <v>4414.286764705882</v>
      </c>
    </row>
    <row r="8" spans="1:4">
      <c r="A8" s="937" t="s">
        <v>330</v>
      </c>
      <c r="B8" s="954">
        <v>299981.5</v>
      </c>
      <c r="C8" s="756">
        <v>68</v>
      </c>
      <c r="D8" s="954">
        <f t="shared" si="0"/>
        <v>4411.4926470588234</v>
      </c>
    </row>
    <row r="9" spans="1:4">
      <c r="A9" s="937" t="s">
        <v>235</v>
      </c>
      <c r="B9" s="954">
        <v>289949.5</v>
      </c>
      <c r="C9" s="756">
        <v>66</v>
      </c>
      <c r="D9" s="954">
        <f t="shared" si="0"/>
        <v>4393.174242424242</v>
      </c>
    </row>
    <row r="10" spans="1:4">
      <c r="A10" s="937" t="s">
        <v>244</v>
      </c>
      <c r="B10" s="954">
        <v>242145.5</v>
      </c>
      <c r="C10" s="756">
        <v>65</v>
      </c>
      <c r="D10" s="954">
        <f t="shared" si="0"/>
        <v>3725.3153846153846</v>
      </c>
    </row>
    <row r="11" spans="1:4">
      <c r="A11" s="937" t="s">
        <v>49</v>
      </c>
      <c r="B11" s="954">
        <v>231296.5</v>
      </c>
      <c r="C11" s="756">
        <v>63</v>
      </c>
      <c r="D11" s="954">
        <f t="shared" si="0"/>
        <v>3671.3730158730159</v>
      </c>
    </row>
    <row r="12" spans="1:4">
      <c r="A12" s="937" t="s">
        <v>70</v>
      </c>
      <c r="B12" s="954">
        <v>226622.5</v>
      </c>
      <c r="C12" s="756">
        <v>62</v>
      </c>
      <c r="D12" s="954">
        <f t="shared" si="0"/>
        <v>3655.2016129032259</v>
      </c>
    </row>
    <row r="13" spans="1:4">
      <c r="A13" s="937" t="s">
        <v>145</v>
      </c>
      <c r="B13" s="954">
        <v>221749</v>
      </c>
      <c r="C13" s="756">
        <v>61</v>
      </c>
      <c r="D13" s="954">
        <f t="shared" si="0"/>
        <v>3635.2295081967213</v>
      </c>
    </row>
    <row r="14" spans="1:4">
      <c r="A14" s="937" t="s">
        <v>267</v>
      </c>
      <c r="B14" s="954">
        <v>219136.5</v>
      </c>
      <c r="C14" s="756">
        <v>58</v>
      </c>
      <c r="D14" s="954">
        <f t="shared" si="0"/>
        <v>3778.2155172413795</v>
      </c>
    </row>
    <row r="15" spans="1:4">
      <c r="A15" s="937" t="s">
        <v>254</v>
      </c>
      <c r="B15" s="954">
        <v>195396</v>
      </c>
      <c r="C15" s="756">
        <v>56</v>
      </c>
      <c r="D15" s="954">
        <f t="shared" si="0"/>
        <v>3489.2142857142858</v>
      </c>
    </row>
    <row r="16" spans="1:4">
      <c r="A16" s="937" t="s">
        <v>331</v>
      </c>
      <c r="B16" s="954">
        <v>193733.5</v>
      </c>
      <c r="C16" s="756">
        <v>52</v>
      </c>
      <c r="D16" s="954">
        <f t="shared" si="0"/>
        <v>3725.6442307692309</v>
      </c>
    </row>
    <row r="17" spans="1:4">
      <c r="A17" s="937" t="s">
        <v>45</v>
      </c>
      <c r="B17" s="954">
        <v>177469.5</v>
      </c>
      <c r="C17" s="756">
        <v>52</v>
      </c>
      <c r="D17" s="954">
        <f t="shared" si="0"/>
        <v>3412.875</v>
      </c>
    </row>
    <row r="18" spans="1:4">
      <c r="A18" s="937" t="s">
        <v>63</v>
      </c>
      <c r="B18" s="954">
        <v>171855</v>
      </c>
      <c r="C18" s="756">
        <v>51</v>
      </c>
      <c r="D18" s="954">
        <f t="shared" si="0"/>
        <v>3369.705882352941</v>
      </c>
    </row>
    <row r="19" spans="1:4">
      <c r="A19" s="937" t="s">
        <v>242</v>
      </c>
      <c r="B19" s="954">
        <v>168558.5</v>
      </c>
      <c r="C19" s="756">
        <v>50</v>
      </c>
      <c r="D19" s="954">
        <f t="shared" si="0"/>
        <v>3371.17</v>
      </c>
    </row>
    <row r="20" spans="1:4">
      <c r="A20" s="937" t="s">
        <v>12</v>
      </c>
      <c r="B20" s="954">
        <v>163067.5</v>
      </c>
      <c r="C20" s="756">
        <v>50</v>
      </c>
      <c r="D20" s="954">
        <f t="shared" si="0"/>
        <v>3261.35</v>
      </c>
    </row>
    <row r="21" spans="1:4">
      <c r="A21" s="937" t="s">
        <v>82</v>
      </c>
      <c r="B21" s="954">
        <v>159866</v>
      </c>
      <c r="C21" s="756">
        <v>49</v>
      </c>
      <c r="D21" s="954">
        <f t="shared" si="0"/>
        <v>3262.5714285714284</v>
      </c>
    </row>
    <row r="22" spans="1:4">
      <c r="A22" s="937" t="s">
        <v>334</v>
      </c>
      <c r="B22" s="954">
        <v>140505</v>
      </c>
      <c r="C22" s="756">
        <v>48</v>
      </c>
      <c r="D22" s="954">
        <f t="shared" si="0"/>
        <v>2927.1875</v>
      </c>
    </row>
    <row r="23" spans="1:4">
      <c r="A23" s="937" t="s">
        <v>78</v>
      </c>
      <c r="B23" s="954">
        <v>127376</v>
      </c>
      <c r="C23" s="756">
        <v>47</v>
      </c>
      <c r="D23" s="954">
        <f t="shared" si="0"/>
        <v>2710.127659574468</v>
      </c>
    </row>
    <row r="24" spans="1:4">
      <c r="A24" s="937" t="s">
        <v>66</v>
      </c>
      <c r="B24" s="954">
        <v>117971</v>
      </c>
      <c r="C24" s="756">
        <v>41</v>
      </c>
      <c r="D24" s="954">
        <f t="shared" si="0"/>
        <v>2877.3414634146343</v>
      </c>
    </row>
    <row r="25" spans="1:4">
      <c r="A25" s="937" t="s">
        <v>239</v>
      </c>
      <c r="B25" s="954">
        <v>117429.5</v>
      </c>
      <c r="C25" s="756">
        <v>41</v>
      </c>
      <c r="D25" s="954">
        <f t="shared" si="0"/>
        <v>2864.1341463414633</v>
      </c>
    </row>
    <row r="26" spans="1:4">
      <c r="A26" s="937" t="s">
        <v>238</v>
      </c>
      <c r="B26" s="954">
        <v>114921.5</v>
      </c>
      <c r="C26" s="756">
        <v>40</v>
      </c>
      <c r="D26" s="954">
        <f t="shared" si="0"/>
        <v>2873.0374999999999</v>
      </c>
    </row>
    <row r="27" spans="1:4">
      <c r="A27" s="937" t="s">
        <v>164</v>
      </c>
      <c r="B27" s="954">
        <v>112356.5</v>
      </c>
      <c r="C27" s="756">
        <v>39</v>
      </c>
      <c r="D27" s="954">
        <f t="shared" si="0"/>
        <v>2880.9358974358975</v>
      </c>
    </row>
    <row r="28" spans="1:4">
      <c r="A28" s="937" t="s">
        <v>143</v>
      </c>
      <c r="B28" s="954">
        <v>110627.5</v>
      </c>
      <c r="C28" s="756">
        <v>37</v>
      </c>
      <c r="D28" s="954">
        <f t="shared" si="0"/>
        <v>2989.9324324324325</v>
      </c>
    </row>
    <row r="29" spans="1:4">
      <c r="A29" s="937" t="s">
        <v>144</v>
      </c>
      <c r="B29" s="954">
        <v>108328.5</v>
      </c>
      <c r="C29" s="756">
        <v>37</v>
      </c>
      <c r="D29" s="954">
        <f t="shared" si="0"/>
        <v>2927.7972972972975</v>
      </c>
    </row>
    <row r="30" spans="1:4">
      <c r="A30" s="937" t="s">
        <v>802</v>
      </c>
      <c r="B30" s="954">
        <v>103721</v>
      </c>
      <c r="C30" s="756">
        <v>32</v>
      </c>
      <c r="D30" s="954">
        <f t="shared" si="0"/>
        <v>3241.28125</v>
      </c>
    </row>
    <row r="31" spans="1:4">
      <c r="A31" s="937" t="s">
        <v>44</v>
      </c>
      <c r="B31" s="954">
        <v>90478</v>
      </c>
      <c r="C31" s="756">
        <v>32</v>
      </c>
      <c r="D31" s="954">
        <f t="shared" si="0"/>
        <v>2827.4375</v>
      </c>
    </row>
    <row r="32" spans="1:4">
      <c r="A32" s="937" t="s">
        <v>333</v>
      </c>
      <c r="B32" s="954">
        <v>88682.5</v>
      </c>
      <c r="C32" s="756">
        <v>32</v>
      </c>
      <c r="D32" s="954">
        <f t="shared" si="0"/>
        <v>2771.328125</v>
      </c>
    </row>
    <row r="33" spans="1:4">
      <c r="A33" s="937" t="s">
        <v>696</v>
      </c>
      <c r="B33" s="954">
        <v>81852</v>
      </c>
      <c r="C33" s="756">
        <v>30</v>
      </c>
      <c r="D33" s="954">
        <f t="shared" si="0"/>
        <v>2728.4</v>
      </c>
    </row>
    <row r="34" spans="1:4">
      <c r="A34" s="937" t="s">
        <v>83</v>
      </c>
      <c r="B34" s="954">
        <v>73843.5</v>
      </c>
      <c r="C34" s="756">
        <v>29</v>
      </c>
      <c r="D34" s="954">
        <f t="shared" si="0"/>
        <v>2546.3275862068967</v>
      </c>
    </row>
    <row r="35" spans="1:4">
      <c r="A35" s="937" t="s">
        <v>53</v>
      </c>
      <c r="B35" s="954">
        <v>61931</v>
      </c>
      <c r="C35" s="756">
        <v>28</v>
      </c>
      <c r="D35" s="954">
        <f t="shared" si="0"/>
        <v>2211.8214285714284</v>
      </c>
    </row>
    <row r="36" spans="1:4">
      <c r="A36" s="937" t="s">
        <v>205</v>
      </c>
      <c r="B36" s="954">
        <v>61465</v>
      </c>
      <c r="C36" s="756">
        <v>25</v>
      </c>
      <c r="D36" s="954">
        <f t="shared" si="0"/>
        <v>2458.6</v>
      </c>
    </row>
    <row r="37" spans="1:4">
      <c r="A37" s="937" t="s">
        <v>51</v>
      </c>
      <c r="B37" s="954">
        <v>54748.5</v>
      </c>
      <c r="C37" s="756">
        <v>25</v>
      </c>
      <c r="D37" s="954">
        <f t="shared" si="0"/>
        <v>2189.94</v>
      </c>
    </row>
    <row r="38" spans="1:4">
      <c r="A38" s="937" t="s">
        <v>245</v>
      </c>
      <c r="B38" s="954">
        <v>53342.5</v>
      </c>
      <c r="C38" s="756">
        <v>22</v>
      </c>
      <c r="D38" s="954">
        <f t="shared" si="0"/>
        <v>2424.659090909091</v>
      </c>
    </row>
    <row r="39" spans="1:4">
      <c r="A39" s="937" t="s">
        <v>728</v>
      </c>
      <c r="B39" s="954">
        <v>51585</v>
      </c>
      <c r="C39" s="756">
        <v>19</v>
      </c>
      <c r="D39" s="954">
        <f t="shared" si="0"/>
        <v>2715</v>
      </c>
    </row>
    <row r="40" spans="1:4">
      <c r="A40" s="937" t="s">
        <v>62</v>
      </c>
      <c r="B40" s="954">
        <v>36052.5</v>
      </c>
      <c r="C40" s="756">
        <v>17</v>
      </c>
      <c r="D40" s="954">
        <f t="shared" si="0"/>
        <v>2120.7352941176468</v>
      </c>
    </row>
    <row r="41" spans="1:4">
      <c r="A41" s="937" t="s">
        <v>797</v>
      </c>
      <c r="B41" s="954">
        <v>34608.5</v>
      </c>
      <c r="C41" s="756">
        <v>17</v>
      </c>
      <c r="D41" s="954">
        <f t="shared" si="0"/>
        <v>2035.7941176470588</v>
      </c>
    </row>
    <row r="42" spans="1:4">
      <c r="A42" s="1054"/>
      <c r="B42" s="1236"/>
      <c r="C42" s="1237"/>
      <c r="D42" s="1236"/>
    </row>
    <row r="43" spans="1:4">
      <c r="A43" s="1054"/>
      <c r="B43" s="1236"/>
      <c r="C43" s="1237"/>
      <c r="D43" s="1236"/>
    </row>
    <row r="44" spans="1:4">
      <c r="A44" s="1054"/>
      <c r="B44" s="1236"/>
      <c r="C44" s="1237"/>
      <c r="D44" s="1236"/>
    </row>
    <row r="46" spans="1:4" ht="15.75">
      <c r="A46" s="394" t="s">
        <v>886</v>
      </c>
      <c r="B46" s="1228" t="s">
        <v>887</v>
      </c>
      <c r="C46" s="1227" t="s">
        <v>888</v>
      </c>
      <c r="D46" s="394" t="s">
        <v>889</v>
      </c>
    </row>
    <row r="47" spans="1:4">
      <c r="A47" s="937" t="s">
        <v>185</v>
      </c>
      <c r="B47" s="954">
        <v>506901</v>
      </c>
      <c r="C47" s="756">
        <v>99</v>
      </c>
      <c r="D47" s="954">
        <v>5120.212121212121</v>
      </c>
    </row>
    <row r="48" spans="1:4">
      <c r="A48" s="937" t="s">
        <v>329</v>
      </c>
      <c r="B48" s="954">
        <v>493677</v>
      </c>
      <c r="C48" s="756">
        <v>82</v>
      </c>
      <c r="D48" s="954">
        <v>6020.4512195121952</v>
      </c>
    </row>
    <row r="49" spans="1:4">
      <c r="A49" s="937" t="s">
        <v>246</v>
      </c>
      <c r="B49" s="954">
        <v>413525.5</v>
      </c>
      <c r="C49" s="756">
        <v>75</v>
      </c>
      <c r="D49" s="954">
        <v>5513.6733333333332</v>
      </c>
    </row>
    <row r="50" spans="1:4">
      <c r="A50" s="937" t="s">
        <v>243</v>
      </c>
      <c r="B50" s="954">
        <v>390811</v>
      </c>
      <c r="C50" s="756">
        <v>72</v>
      </c>
      <c r="D50" s="954">
        <v>5427.9305555555557</v>
      </c>
    </row>
    <row r="51" spans="1:4">
      <c r="A51" s="937" t="s">
        <v>332</v>
      </c>
      <c r="B51" s="954">
        <v>302544</v>
      </c>
      <c r="C51" s="756">
        <v>70</v>
      </c>
      <c r="D51" s="954">
        <v>4322.0571428571429</v>
      </c>
    </row>
    <row r="52" spans="1:4">
      <c r="A52" s="937" t="s">
        <v>65</v>
      </c>
      <c r="B52" s="954">
        <v>300171.5</v>
      </c>
      <c r="C52" s="756">
        <v>68</v>
      </c>
      <c r="D52" s="954">
        <v>4414.286764705882</v>
      </c>
    </row>
    <row r="53" spans="1:4">
      <c r="A53" s="937" t="s">
        <v>330</v>
      </c>
      <c r="B53" s="954">
        <v>299981.5</v>
      </c>
      <c r="C53" s="756">
        <v>68</v>
      </c>
      <c r="D53" s="954">
        <v>4411.4926470588234</v>
      </c>
    </row>
    <row r="54" spans="1:4">
      <c r="A54" s="937" t="s">
        <v>235</v>
      </c>
      <c r="B54" s="954">
        <v>289949.5</v>
      </c>
      <c r="C54" s="756">
        <v>66</v>
      </c>
      <c r="D54" s="954">
        <v>4393.174242424242</v>
      </c>
    </row>
    <row r="55" spans="1:4">
      <c r="A55" s="937" t="s">
        <v>244</v>
      </c>
      <c r="B55" s="954">
        <v>242145.5</v>
      </c>
      <c r="C55" s="756">
        <v>65</v>
      </c>
      <c r="D55" s="954">
        <v>3725.3153846153846</v>
      </c>
    </row>
    <row r="56" spans="1:4">
      <c r="A56" s="937" t="s">
        <v>49</v>
      </c>
      <c r="B56" s="954">
        <v>231296.5</v>
      </c>
      <c r="C56" s="756">
        <v>63</v>
      </c>
      <c r="D56" s="954">
        <v>3671.3730158730159</v>
      </c>
    </row>
    <row r="57" spans="1:4">
      <c r="A57" s="937" t="s">
        <v>70</v>
      </c>
      <c r="B57" s="954">
        <v>226622.5</v>
      </c>
      <c r="C57" s="756">
        <v>62</v>
      </c>
      <c r="D57" s="954">
        <v>3655.2016129032259</v>
      </c>
    </row>
    <row r="58" spans="1:4">
      <c r="A58" s="937" t="s">
        <v>145</v>
      </c>
      <c r="B58" s="954">
        <v>221749</v>
      </c>
      <c r="C58" s="756">
        <v>61</v>
      </c>
      <c r="D58" s="954">
        <v>3635.2295081967213</v>
      </c>
    </row>
    <row r="59" spans="1:4">
      <c r="A59" s="937" t="s">
        <v>267</v>
      </c>
      <c r="B59" s="954">
        <v>219136.5</v>
      </c>
      <c r="C59" s="756">
        <v>58</v>
      </c>
      <c r="D59" s="954">
        <v>3778.2155172413795</v>
      </c>
    </row>
    <row r="60" spans="1:4">
      <c r="A60" s="937" t="s">
        <v>254</v>
      </c>
      <c r="B60" s="954">
        <v>195396</v>
      </c>
      <c r="C60" s="756">
        <v>56</v>
      </c>
      <c r="D60" s="954">
        <v>3489.2142857142858</v>
      </c>
    </row>
    <row r="61" spans="1:4">
      <c r="A61" s="937" t="s">
        <v>331</v>
      </c>
      <c r="B61" s="954">
        <v>193733.5</v>
      </c>
      <c r="C61" s="756">
        <v>52</v>
      </c>
      <c r="D61" s="954">
        <v>3725.6442307692309</v>
      </c>
    </row>
    <row r="62" spans="1:4">
      <c r="A62" s="937" t="s">
        <v>45</v>
      </c>
      <c r="B62" s="954">
        <v>177469.5</v>
      </c>
      <c r="C62" s="756">
        <v>52</v>
      </c>
      <c r="D62" s="954">
        <v>3412.875</v>
      </c>
    </row>
    <row r="63" spans="1:4">
      <c r="A63" s="937" t="s">
        <v>63</v>
      </c>
      <c r="B63" s="954">
        <v>171855</v>
      </c>
      <c r="C63" s="756">
        <v>51</v>
      </c>
      <c r="D63" s="954">
        <v>3369.705882352941</v>
      </c>
    </row>
    <row r="64" spans="1:4">
      <c r="A64" s="937" t="s">
        <v>242</v>
      </c>
      <c r="B64" s="954">
        <v>168558.5</v>
      </c>
      <c r="C64" s="756">
        <v>50</v>
      </c>
      <c r="D64" s="954">
        <v>3371.17</v>
      </c>
    </row>
    <row r="65" spans="1:4">
      <c r="A65" s="937" t="s">
        <v>12</v>
      </c>
      <c r="B65" s="954">
        <v>163067.5</v>
      </c>
      <c r="C65" s="756">
        <v>50</v>
      </c>
      <c r="D65" s="954">
        <v>3261.35</v>
      </c>
    </row>
    <row r="66" spans="1:4">
      <c r="A66" s="937" t="s">
        <v>82</v>
      </c>
      <c r="B66" s="954">
        <v>159866</v>
      </c>
      <c r="C66" s="756">
        <v>49</v>
      </c>
      <c r="D66" s="954">
        <v>3262.5714285714284</v>
      </c>
    </row>
    <row r="67" spans="1:4">
      <c r="A67" s="937" t="s">
        <v>334</v>
      </c>
      <c r="B67" s="954">
        <v>140505</v>
      </c>
      <c r="C67" s="756">
        <v>48</v>
      </c>
      <c r="D67" s="954">
        <v>2927.1875</v>
      </c>
    </row>
    <row r="68" spans="1:4">
      <c r="A68" s="937" t="s">
        <v>78</v>
      </c>
      <c r="B68" s="954">
        <v>127376</v>
      </c>
      <c r="C68" s="756">
        <v>47</v>
      </c>
      <c r="D68" s="954">
        <v>2710.127659574468</v>
      </c>
    </row>
    <row r="69" spans="1:4">
      <c r="A69" s="937" t="s">
        <v>66</v>
      </c>
      <c r="B69" s="954">
        <v>117971</v>
      </c>
      <c r="C69" s="756">
        <v>41</v>
      </c>
      <c r="D69" s="954">
        <v>2877.3414634146343</v>
      </c>
    </row>
    <row r="70" spans="1:4">
      <c r="A70" s="937" t="s">
        <v>239</v>
      </c>
      <c r="B70" s="954">
        <v>117429.5</v>
      </c>
      <c r="C70" s="756">
        <v>41</v>
      </c>
      <c r="D70" s="954">
        <v>2864.1341463414633</v>
      </c>
    </row>
    <row r="71" spans="1:4">
      <c r="A71" s="937" t="s">
        <v>238</v>
      </c>
      <c r="B71" s="954">
        <v>114921.5</v>
      </c>
      <c r="C71" s="756">
        <v>40</v>
      </c>
      <c r="D71" s="954">
        <v>2873.0374999999999</v>
      </c>
    </row>
    <row r="72" spans="1:4">
      <c r="A72" s="937" t="s">
        <v>164</v>
      </c>
      <c r="B72" s="954">
        <v>112356.5</v>
      </c>
      <c r="C72" s="756">
        <v>39</v>
      </c>
      <c r="D72" s="954">
        <v>2880.9358974358975</v>
      </c>
    </row>
    <row r="73" spans="1:4">
      <c r="A73" s="937" t="s">
        <v>143</v>
      </c>
      <c r="B73" s="954">
        <v>110627.5</v>
      </c>
      <c r="C73" s="756">
        <v>37</v>
      </c>
      <c r="D73" s="954">
        <v>2989.9324324324325</v>
      </c>
    </row>
    <row r="74" spans="1:4">
      <c r="A74" s="937" t="s">
        <v>144</v>
      </c>
      <c r="B74" s="954">
        <v>108328.5</v>
      </c>
      <c r="C74" s="756">
        <v>37</v>
      </c>
      <c r="D74" s="954">
        <v>2927.7972972972975</v>
      </c>
    </row>
    <row r="75" spans="1:4">
      <c r="A75" s="937" t="s">
        <v>802</v>
      </c>
      <c r="B75" s="954">
        <v>103721</v>
      </c>
      <c r="C75" s="756">
        <v>32</v>
      </c>
      <c r="D75" s="954">
        <v>3241.28125</v>
      </c>
    </row>
    <row r="76" spans="1:4">
      <c r="A76" s="937" t="s">
        <v>44</v>
      </c>
      <c r="B76" s="954">
        <v>90478</v>
      </c>
      <c r="C76" s="756">
        <v>32</v>
      </c>
      <c r="D76" s="954">
        <v>2827.4375</v>
      </c>
    </row>
    <row r="77" spans="1:4">
      <c r="A77" s="937" t="s">
        <v>333</v>
      </c>
      <c r="B77" s="954">
        <v>88682.5</v>
      </c>
      <c r="C77" s="756">
        <v>32</v>
      </c>
      <c r="D77" s="954">
        <v>2771.328125</v>
      </c>
    </row>
    <row r="78" spans="1:4">
      <c r="A78" s="937" t="s">
        <v>696</v>
      </c>
      <c r="B78" s="954">
        <v>81852</v>
      </c>
      <c r="C78" s="756">
        <v>30</v>
      </c>
      <c r="D78" s="954">
        <v>2728.4</v>
      </c>
    </row>
    <row r="79" spans="1:4">
      <c r="A79" s="937" t="s">
        <v>83</v>
      </c>
      <c r="B79" s="954">
        <v>73843.5</v>
      </c>
      <c r="C79" s="756">
        <v>29</v>
      </c>
      <c r="D79" s="954">
        <v>2546.3275862068967</v>
      </c>
    </row>
    <row r="80" spans="1:4">
      <c r="A80" s="937" t="s">
        <v>53</v>
      </c>
      <c r="B80" s="954">
        <v>61931</v>
      </c>
      <c r="C80" s="756">
        <v>28</v>
      </c>
      <c r="D80" s="954">
        <v>2211.8214285714284</v>
      </c>
    </row>
    <row r="81" spans="1:4">
      <c r="A81" s="937" t="s">
        <v>205</v>
      </c>
      <c r="B81" s="954">
        <v>61465</v>
      </c>
      <c r="C81" s="756">
        <v>25</v>
      </c>
      <c r="D81" s="954">
        <v>2458.6</v>
      </c>
    </row>
    <row r="82" spans="1:4">
      <c r="A82" s="937" t="s">
        <v>51</v>
      </c>
      <c r="B82" s="954">
        <v>54748.5</v>
      </c>
      <c r="C82" s="756">
        <v>25</v>
      </c>
      <c r="D82" s="954">
        <v>2189.94</v>
      </c>
    </row>
    <row r="83" spans="1:4">
      <c r="A83" s="937" t="s">
        <v>245</v>
      </c>
      <c r="B83" s="954">
        <v>53342.5</v>
      </c>
      <c r="C83" s="756">
        <v>22</v>
      </c>
      <c r="D83" s="954">
        <v>2424.659090909091</v>
      </c>
    </row>
    <row r="84" spans="1:4">
      <c r="A84" s="937" t="s">
        <v>728</v>
      </c>
      <c r="B84" s="954">
        <v>51585</v>
      </c>
      <c r="C84" s="756">
        <v>19</v>
      </c>
      <c r="D84" s="954">
        <v>2715</v>
      </c>
    </row>
    <row r="85" spans="1:4">
      <c r="A85" s="937" t="s">
        <v>62</v>
      </c>
      <c r="B85" s="954">
        <v>36052.5</v>
      </c>
      <c r="C85" s="756">
        <v>17</v>
      </c>
      <c r="D85" s="954">
        <v>2120.7352941176468</v>
      </c>
    </row>
    <row r="86" spans="1:4">
      <c r="A86" s="937" t="s">
        <v>797</v>
      </c>
      <c r="B86" s="954">
        <v>34608.5</v>
      </c>
      <c r="C86" s="756">
        <v>17</v>
      </c>
      <c r="D86" s="954">
        <v>2035.7941176470588</v>
      </c>
    </row>
    <row r="88" spans="1:4" ht="15.75">
      <c r="A88" s="394" t="s">
        <v>886</v>
      </c>
      <c r="B88" s="1228" t="s">
        <v>887</v>
      </c>
      <c r="C88" s="1228" t="s">
        <v>888</v>
      </c>
      <c r="D88" s="1227" t="s">
        <v>889</v>
      </c>
    </row>
    <row r="89" spans="1:4">
      <c r="A89" s="937" t="s">
        <v>185</v>
      </c>
      <c r="B89" s="954">
        <v>459876</v>
      </c>
      <c r="C89" s="756">
        <v>64</v>
      </c>
      <c r="D89" s="954">
        <f t="shared" ref="D89:D128" si="1">B89/C89</f>
        <v>7185.5625</v>
      </c>
    </row>
    <row r="90" spans="1:4">
      <c r="A90" s="937" t="s">
        <v>330</v>
      </c>
      <c r="B90" s="954">
        <v>273761.5</v>
      </c>
      <c r="C90" s="756">
        <v>44</v>
      </c>
      <c r="D90" s="954">
        <f t="shared" si="1"/>
        <v>6221.852272727273</v>
      </c>
    </row>
    <row r="91" spans="1:4">
      <c r="A91" s="937" t="s">
        <v>329</v>
      </c>
      <c r="B91" s="954">
        <v>398316</v>
      </c>
      <c r="C91" s="756">
        <v>70</v>
      </c>
      <c r="D91" s="954">
        <f t="shared" si="1"/>
        <v>5690.2285714285717</v>
      </c>
    </row>
    <row r="92" spans="1:4">
      <c r="A92" s="937" t="s">
        <v>243</v>
      </c>
      <c r="B92" s="954">
        <v>334561.5</v>
      </c>
      <c r="C92" s="756">
        <v>60</v>
      </c>
      <c r="D92" s="954">
        <f t="shared" si="1"/>
        <v>5576.0249999999996</v>
      </c>
    </row>
    <row r="93" spans="1:4">
      <c r="A93" s="937" t="s">
        <v>802</v>
      </c>
      <c r="B93" s="954">
        <v>74917</v>
      </c>
      <c r="C93" s="756">
        <v>14</v>
      </c>
      <c r="D93" s="954">
        <f t="shared" si="1"/>
        <v>5351.2142857142853</v>
      </c>
    </row>
    <row r="94" spans="1:4">
      <c r="A94" s="937" t="s">
        <v>332</v>
      </c>
      <c r="B94" s="954">
        <v>249432</v>
      </c>
      <c r="C94" s="756">
        <v>49</v>
      </c>
      <c r="D94" s="954">
        <f t="shared" si="1"/>
        <v>5090.4489795918371</v>
      </c>
    </row>
    <row r="95" spans="1:4">
      <c r="A95" s="937" t="s">
        <v>244</v>
      </c>
      <c r="B95" s="954">
        <v>218462</v>
      </c>
      <c r="C95" s="756">
        <v>44</v>
      </c>
      <c r="D95" s="954">
        <f t="shared" si="1"/>
        <v>4965.045454545455</v>
      </c>
    </row>
    <row r="96" spans="1:4">
      <c r="A96" s="937" t="s">
        <v>235</v>
      </c>
      <c r="B96" s="954">
        <v>255825.5</v>
      </c>
      <c r="C96" s="756">
        <v>57</v>
      </c>
      <c r="D96" s="954">
        <f t="shared" si="1"/>
        <v>4488.166666666667</v>
      </c>
    </row>
    <row r="97" spans="1:4">
      <c r="A97" s="937" t="s">
        <v>242</v>
      </c>
      <c r="B97" s="954">
        <v>154821.5</v>
      </c>
      <c r="C97" s="756">
        <v>36</v>
      </c>
      <c r="D97" s="954">
        <f t="shared" si="1"/>
        <v>4300.5972222222226</v>
      </c>
    </row>
    <row r="98" spans="1:4">
      <c r="A98" s="937" t="s">
        <v>65</v>
      </c>
      <c r="B98" s="954">
        <v>277172</v>
      </c>
      <c r="C98" s="756">
        <v>67</v>
      </c>
      <c r="D98" s="954">
        <f t="shared" si="1"/>
        <v>4136.8955223880594</v>
      </c>
    </row>
    <row r="99" spans="1:4">
      <c r="A99" s="937" t="s">
        <v>331</v>
      </c>
      <c r="B99" s="954">
        <v>173584</v>
      </c>
      <c r="C99" s="756">
        <v>43</v>
      </c>
      <c r="D99" s="954">
        <f t="shared" si="1"/>
        <v>4036.8372093023254</v>
      </c>
    </row>
    <row r="100" spans="1:4">
      <c r="A100" s="937" t="s">
        <v>246</v>
      </c>
      <c r="B100" s="954">
        <v>355376</v>
      </c>
      <c r="C100" s="756">
        <v>89</v>
      </c>
      <c r="D100" s="954">
        <f t="shared" si="1"/>
        <v>3992.9887640449438</v>
      </c>
    </row>
    <row r="101" spans="1:4">
      <c r="A101" s="937" t="s">
        <v>164</v>
      </c>
      <c r="B101" s="954">
        <v>102372</v>
      </c>
      <c r="C101" s="756">
        <v>26</v>
      </c>
      <c r="D101" s="954">
        <f t="shared" si="1"/>
        <v>3937.3846153846152</v>
      </c>
    </row>
    <row r="102" spans="1:4">
      <c r="A102" s="937" t="s">
        <v>70</v>
      </c>
      <c r="B102" s="954">
        <v>209608</v>
      </c>
      <c r="C102" s="756">
        <v>57</v>
      </c>
      <c r="D102" s="954">
        <f t="shared" si="1"/>
        <v>3677.3333333333335</v>
      </c>
    </row>
    <row r="103" spans="1:4">
      <c r="A103" s="937" t="s">
        <v>145</v>
      </c>
      <c r="B103" s="954">
        <v>215403</v>
      </c>
      <c r="C103" s="756">
        <v>60</v>
      </c>
      <c r="D103" s="954">
        <f t="shared" si="1"/>
        <v>3590.05</v>
      </c>
    </row>
    <row r="104" spans="1:4">
      <c r="A104" s="937" t="s">
        <v>45</v>
      </c>
      <c r="B104" s="954">
        <v>158764</v>
      </c>
      <c r="C104" s="756">
        <v>45</v>
      </c>
      <c r="D104" s="954">
        <f t="shared" si="1"/>
        <v>3528.088888888889</v>
      </c>
    </row>
    <row r="105" spans="1:4">
      <c r="A105" s="937" t="s">
        <v>334</v>
      </c>
      <c r="B105" s="954">
        <v>126768</v>
      </c>
      <c r="C105" s="756">
        <v>36</v>
      </c>
      <c r="D105" s="954">
        <f t="shared" si="1"/>
        <v>3521.3333333333335</v>
      </c>
    </row>
    <row r="106" spans="1:4">
      <c r="A106" s="937" t="s">
        <v>267</v>
      </c>
      <c r="B106" s="954">
        <v>188584.5</v>
      </c>
      <c r="C106" s="756">
        <v>57</v>
      </c>
      <c r="D106" s="954">
        <f t="shared" si="1"/>
        <v>3308.5</v>
      </c>
    </row>
    <row r="107" spans="1:4">
      <c r="A107" s="937" t="s">
        <v>49</v>
      </c>
      <c r="B107" s="954">
        <v>214766.5</v>
      </c>
      <c r="C107" s="756">
        <v>65</v>
      </c>
      <c r="D107" s="954">
        <f t="shared" si="1"/>
        <v>3304.1</v>
      </c>
    </row>
    <row r="108" spans="1:4">
      <c r="A108" s="937" t="s">
        <v>51</v>
      </c>
      <c r="B108" s="954">
        <v>54748.5</v>
      </c>
      <c r="C108" s="756">
        <v>17</v>
      </c>
      <c r="D108" s="954">
        <f t="shared" si="1"/>
        <v>3220.5</v>
      </c>
    </row>
    <row r="109" spans="1:4">
      <c r="A109" s="937" t="s">
        <v>78</v>
      </c>
      <c r="B109" s="954">
        <v>112119</v>
      </c>
      <c r="C109" s="756">
        <v>35</v>
      </c>
      <c r="D109" s="954">
        <f t="shared" si="1"/>
        <v>3203.4</v>
      </c>
    </row>
    <row r="110" spans="1:4">
      <c r="A110" s="937" t="s">
        <v>66</v>
      </c>
      <c r="B110" s="954">
        <v>117971</v>
      </c>
      <c r="C110" s="756">
        <v>37</v>
      </c>
      <c r="D110" s="954">
        <f t="shared" si="1"/>
        <v>3188.4054054054054</v>
      </c>
    </row>
    <row r="111" spans="1:4">
      <c r="A111" s="937" t="s">
        <v>12</v>
      </c>
      <c r="B111" s="954">
        <v>133247</v>
      </c>
      <c r="C111" s="756">
        <v>42</v>
      </c>
      <c r="D111" s="954">
        <f t="shared" si="1"/>
        <v>3172.5476190476193</v>
      </c>
    </row>
    <row r="112" spans="1:4">
      <c r="A112" s="937" t="s">
        <v>254</v>
      </c>
      <c r="B112" s="954">
        <v>174211</v>
      </c>
      <c r="C112" s="756">
        <v>58</v>
      </c>
      <c r="D112" s="954">
        <f t="shared" si="1"/>
        <v>3003.6379310344828</v>
      </c>
    </row>
    <row r="113" spans="1:4">
      <c r="A113" s="937" t="s">
        <v>143</v>
      </c>
      <c r="B113" s="954">
        <v>110627.5</v>
      </c>
      <c r="C113" s="756">
        <v>37</v>
      </c>
      <c r="D113" s="954">
        <f t="shared" si="1"/>
        <v>2989.9324324324325</v>
      </c>
    </row>
    <row r="114" spans="1:4">
      <c r="A114" s="937" t="s">
        <v>333</v>
      </c>
      <c r="B114" s="954">
        <v>73444.5</v>
      </c>
      <c r="C114" s="756">
        <v>25</v>
      </c>
      <c r="D114" s="954">
        <f t="shared" si="1"/>
        <v>2937.78</v>
      </c>
    </row>
    <row r="115" spans="1:4">
      <c r="A115" s="937" t="s">
        <v>82</v>
      </c>
      <c r="B115" s="954">
        <v>143934.5</v>
      </c>
      <c r="C115" s="756">
        <v>50</v>
      </c>
      <c r="D115" s="954">
        <f t="shared" si="1"/>
        <v>2878.69</v>
      </c>
    </row>
    <row r="116" spans="1:4">
      <c r="A116" s="937" t="s">
        <v>63</v>
      </c>
      <c r="B116" s="954">
        <v>144077</v>
      </c>
      <c r="C116" s="756">
        <v>51</v>
      </c>
      <c r="D116" s="954">
        <f t="shared" si="1"/>
        <v>2825.0392156862745</v>
      </c>
    </row>
    <row r="117" spans="1:4">
      <c r="A117" s="937" t="s">
        <v>728</v>
      </c>
      <c r="B117" s="954">
        <v>46046.5</v>
      </c>
      <c r="C117" s="756">
        <v>18</v>
      </c>
      <c r="D117" s="954">
        <f t="shared" si="1"/>
        <v>2558.1388888888887</v>
      </c>
    </row>
    <row r="118" spans="1:4">
      <c r="A118" s="937" t="s">
        <v>696</v>
      </c>
      <c r="B118" s="954">
        <v>71601.5</v>
      </c>
      <c r="C118" s="756">
        <v>28</v>
      </c>
      <c r="D118" s="954">
        <f t="shared" si="1"/>
        <v>2557.1964285714284</v>
      </c>
    </row>
    <row r="119" spans="1:4">
      <c r="A119" s="937" t="s">
        <v>238</v>
      </c>
      <c r="B119" s="954">
        <v>102467</v>
      </c>
      <c r="C119" s="756">
        <v>41</v>
      </c>
      <c r="D119" s="954">
        <f t="shared" si="1"/>
        <v>2499.1951219512193</v>
      </c>
    </row>
    <row r="120" spans="1:4">
      <c r="A120" s="937" t="s">
        <v>83</v>
      </c>
      <c r="B120" s="954">
        <v>73843.5</v>
      </c>
      <c r="C120" s="756">
        <v>30</v>
      </c>
      <c r="D120" s="954">
        <f t="shared" si="1"/>
        <v>2461.4499999999998</v>
      </c>
    </row>
    <row r="121" spans="1:4">
      <c r="A121" s="937" t="s">
        <v>239</v>
      </c>
      <c r="B121" s="954">
        <v>106295.5</v>
      </c>
      <c r="C121" s="756">
        <v>44</v>
      </c>
      <c r="D121" s="954">
        <f t="shared" si="1"/>
        <v>2415.806818181818</v>
      </c>
    </row>
    <row r="122" spans="1:4">
      <c r="A122" s="937" t="s">
        <v>144</v>
      </c>
      <c r="B122" s="954">
        <v>90972</v>
      </c>
      <c r="C122" s="756">
        <v>39</v>
      </c>
      <c r="D122" s="954">
        <f t="shared" si="1"/>
        <v>2332.6153846153848</v>
      </c>
    </row>
    <row r="123" spans="1:4">
      <c r="A123" s="937" t="s">
        <v>53</v>
      </c>
      <c r="B123" s="954">
        <v>57130.5</v>
      </c>
      <c r="C123" s="756">
        <v>26</v>
      </c>
      <c r="D123" s="954">
        <f t="shared" si="1"/>
        <v>2197.3269230769229</v>
      </c>
    </row>
    <row r="124" spans="1:4">
      <c r="A124" s="937" t="s">
        <v>797</v>
      </c>
      <c r="B124" s="954">
        <v>32243</v>
      </c>
      <c r="C124" s="756">
        <v>15</v>
      </c>
      <c r="D124" s="954">
        <f t="shared" si="1"/>
        <v>2149.5333333333333</v>
      </c>
    </row>
    <row r="125" spans="1:4">
      <c r="A125" s="937" t="s">
        <v>245</v>
      </c>
      <c r="B125" s="954">
        <v>53342.5</v>
      </c>
      <c r="C125" s="756">
        <v>25</v>
      </c>
      <c r="D125" s="954">
        <f t="shared" si="1"/>
        <v>2133.6999999999998</v>
      </c>
    </row>
    <row r="126" spans="1:4">
      <c r="A126" s="937" t="s">
        <v>44</v>
      </c>
      <c r="B126" s="954">
        <v>75534.5</v>
      </c>
      <c r="C126" s="756">
        <v>36</v>
      </c>
      <c r="D126" s="954">
        <f t="shared" si="1"/>
        <v>2098.1805555555557</v>
      </c>
    </row>
    <row r="127" spans="1:4">
      <c r="A127" s="937" t="s">
        <v>205</v>
      </c>
      <c r="B127" s="954">
        <v>53675</v>
      </c>
      <c r="C127" s="756">
        <v>28</v>
      </c>
      <c r="D127" s="954">
        <f t="shared" si="1"/>
        <v>1916.9642857142858</v>
      </c>
    </row>
    <row r="128" spans="1:4">
      <c r="A128" s="937" t="s">
        <v>62</v>
      </c>
      <c r="B128" s="954">
        <v>36052.5</v>
      </c>
      <c r="C128" s="756">
        <v>19</v>
      </c>
      <c r="D128" s="954">
        <f t="shared" si="1"/>
        <v>1897.5</v>
      </c>
    </row>
  </sheetData>
  <sortState ref="A2:D41">
    <sortCondition descending="1" ref="B2:B41"/>
  </sortState>
  <pageMargins left="0.7" right="0.7" top="0.75" bottom="0.75" header="0.3" footer="0.3"/>
  <pageSetup paperSize="17" orientation="portrait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62F2A-CD1F-49EA-AFA7-A0BCC9CDF4D9}">
  <dimension ref="A1:D29"/>
  <sheetViews>
    <sheetView workbookViewId="0">
      <selection activeCell="B19" sqref="B19"/>
    </sheetView>
  </sheetViews>
  <sheetFormatPr defaultRowHeight="15"/>
  <cols>
    <col min="1" max="1" width="32" customWidth="1"/>
    <col min="2" max="2" width="9.7109375" customWidth="1"/>
    <col min="3" max="3" width="9.85546875" customWidth="1"/>
    <col min="4" max="4" width="12.28515625" customWidth="1"/>
  </cols>
  <sheetData>
    <row r="1" spans="1:4" ht="15.75">
      <c r="A1" s="1245" t="s">
        <v>1</v>
      </c>
      <c r="B1" s="1245" t="s">
        <v>927</v>
      </c>
      <c r="C1" s="1245" t="s">
        <v>928</v>
      </c>
      <c r="D1" s="1245" t="s">
        <v>132</v>
      </c>
    </row>
    <row r="2" spans="1:4" ht="15.75">
      <c r="A2" s="392" t="s">
        <v>947</v>
      </c>
      <c r="B2" s="392">
        <v>12999</v>
      </c>
      <c r="C2" s="392">
        <v>0</v>
      </c>
      <c r="D2" s="392">
        <v>12999</v>
      </c>
    </row>
    <row r="3" spans="1:4" ht="15.75">
      <c r="A3" s="392" t="s">
        <v>930</v>
      </c>
      <c r="B3" s="392">
        <v>12339</v>
      </c>
      <c r="C3" s="392">
        <v>0</v>
      </c>
      <c r="D3" s="392">
        <v>12339</v>
      </c>
    </row>
    <row r="4" spans="1:4" ht="15.75">
      <c r="A4" s="392" t="s">
        <v>940</v>
      </c>
      <c r="B4" s="392">
        <v>8014</v>
      </c>
      <c r="C4" s="392">
        <v>0</v>
      </c>
      <c r="D4" s="392">
        <v>8014</v>
      </c>
    </row>
    <row r="5" spans="1:4" ht="15.75">
      <c r="A5" s="392" t="s">
        <v>935</v>
      </c>
      <c r="B5" s="392">
        <v>7564</v>
      </c>
      <c r="C5" s="392">
        <v>0</v>
      </c>
      <c r="D5" s="392">
        <v>7564</v>
      </c>
    </row>
    <row r="6" spans="1:4" ht="15.75">
      <c r="A6" s="392" t="s">
        <v>942</v>
      </c>
      <c r="B6" s="392">
        <v>6432</v>
      </c>
      <c r="C6" s="392">
        <v>0</v>
      </c>
      <c r="D6" s="392">
        <v>6432</v>
      </c>
    </row>
    <row r="7" spans="1:4" ht="15.75">
      <c r="A7" s="392" t="s">
        <v>950</v>
      </c>
      <c r="B7" s="392">
        <v>5035</v>
      </c>
      <c r="C7" s="392">
        <v>0</v>
      </c>
      <c r="D7" s="392">
        <v>5035</v>
      </c>
    </row>
    <row r="8" spans="1:4" ht="15.75">
      <c r="A8" s="392" t="s">
        <v>953</v>
      </c>
      <c r="B8" s="392">
        <v>4706</v>
      </c>
      <c r="C8" s="392">
        <v>0</v>
      </c>
      <c r="D8" s="392">
        <v>4706</v>
      </c>
    </row>
    <row r="9" spans="1:4" ht="15.75">
      <c r="A9" s="392" t="s">
        <v>946</v>
      </c>
      <c r="B9" s="392">
        <v>4614</v>
      </c>
      <c r="C9" s="392">
        <v>0</v>
      </c>
      <c r="D9" s="392">
        <v>4614</v>
      </c>
    </row>
    <row r="10" spans="1:4" ht="15.75">
      <c r="A10" s="392" t="s">
        <v>931</v>
      </c>
      <c r="B10" s="392">
        <v>3341</v>
      </c>
      <c r="C10" s="392">
        <v>0</v>
      </c>
      <c r="D10" s="392">
        <v>3341</v>
      </c>
    </row>
    <row r="11" spans="1:4" ht="15.75">
      <c r="A11" s="392" t="s">
        <v>948</v>
      </c>
      <c r="B11" s="392">
        <v>3079</v>
      </c>
      <c r="C11" s="392">
        <v>0</v>
      </c>
      <c r="D11" s="392">
        <v>3079</v>
      </c>
    </row>
    <row r="12" spans="1:4" ht="15.75">
      <c r="A12" s="392" t="s">
        <v>954</v>
      </c>
      <c r="B12" s="392">
        <v>2732</v>
      </c>
      <c r="C12" s="392">
        <v>0</v>
      </c>
      <c r="D12" s="392">
        <v>2732</v>
      </c>
    </row>
    <row r="13" spans="1:4" ht="15.75">
      <c r="A13" s="392" t="s">
        <v>951</v>
      </c>
      <c r="B13" s="392">
        <v>2705</v>
      </c>
      <c r="C13" s="392">
        <v>0</v>
      </c>
      <c r="D13" s="392">
        <v>2705</v>
      </c>
    </row>
    <row r="14" spans="1:4" ht="15.75">
      <c r="A14" s="392" t="s">
        <v>952</v>
      </c>
      <c r="B14" s="392">
        <v>2604</v>
      </c>
      <c r="C14" s="392">
        <v>0</v>
      </c>
      <c r="D14" s="392">
        <v>2604</v>
      </c>
    </row>
    <row r="15" spans="1:4" ht="15.75">
      <c r="A15" s="392" t="s">
        <v>944</v>
      </c>
      <c r="B15" s="392">
        <v>2601</v>
      </c>
      <c r="C15" s="392">
        <v>0</v>
      </c>
      <c r="D15" s="392">
        <v>2601</v>
      </c>
    </row>
    <row r="16" spans="1:4" ht="15.75">
      <c r="A16" s="392" t="s">
        <v>941</v>
      </c>
      <c r="B16" s="392">
        <v>2439</v>
      </c>
      <c r="C16" s="392">
        <v>0</v>
      </c>
      <c r="D16" s="392">
        <v>2439</v>
      </c>
    </row>
    <row r="17" spans="1:4" ht="15.75">
      <c r="A17" s="392" t="s">
        <v>934</v>
      </c>
      <c r="B17" s="392">
        <v>2036</v>
      </c>
      <c r="C17" s="392">
        <v>0</v>
      </c>
      <c r="D17" s="392">
        <v>2036</v>
      </c>
    </row>
    <row r="18" spans="1:4" ht="15.75">
      <c r="A18" s="392" t="s">
        <v>939</v>
      </c>
      <c r="B18" s="392">
        <v>1559</v>
      </c>
      <c r="C18" s="392">
        <v>0</v>
      </c>
      <c r="D18" s="392">
        <v>1559</v>
      </c>
    </row>
    <row r="19" spans="1:4" ht="15.75">
      <c r="A19" s="392" t="s">
        <v>932</v>
      </c>
      <c r="B19" s="392">
        <v>1270</v>
      </c>
      <c r="C19" s="392">
        <v>0</v>
      </c>
      <c r="D19" s="392">
        <v>1270</v>
      </c>
    </row>
    <row r="20" spans="1:4" ht="15.75">
      <c r="A20" s="392" t="s">
        <v>933</v>
      </c>
      <c r="B20" s="392">
        <v>1011</v>
      </c>
      <c r="C20" s="392">
        <v>0</v>
      </c>
      <c r="D20" s="392">
        <v>1011</v>
      </c>
    </row>
    <row r="21" spans="1:4" ht="15.75">
      <c r="A21" s="392" t="s">
        <v>949</v>
      </c>
      <c r="B21" s="392">
        <v>130</v>
      </c>
      <c r="C21" s="392">
        <v>0</v>
      </c>
      <c r="D21" s="392">
        <v>130</v>
      </c>
    </row>
    <row r="22" spans="1:4" ht="15.75">
      <c r="A22" s="392" t="s">
        <v>929</v>
      </c>
      <c r="B22" s="392">
        <v>18</v>
      </c>
      <c r="C22" s="392">
        <v>5172</v>
      </c>
      <c r="D22" s="392">
        <v>5190</v>
      </c>
    </row>
    <row r="23" spans="1:4" ht="15.75">
      <c r="A23" s="392" t="s">
        <v>938</v>
      </c>
      <c r="B23" s="392">
        <v>0</v>
      </c>
      <c r="C23" s="392">
        <v>7922</v>
      </c>
      <c r="D23" s="392">
        <v>7922</v>
      </c>
    </row>
    <row r="24" spans="1:4" ht="15.75">
      <c r="A24" s="392" t="s">
        <v>943</v>
      </c>
      <c r="B24" s="392">
        <v>0</v>
      </c>
      <c r="C24" s="392">
        <v>402</v>
      </c>
      <c r="D24" s="392">
        <v>402</v>
      </c>
    </row>
    <row r="25" spans="1:4" ht="15.75">
      <c r="A25" s="392" t="s">
        <v>936</v>
      </c>
      <c r="B25" s="392">
        <v>0</v>
      </c>
      <c r="C25" s="392">
        <v>294</v>
      </c>
      <c r="D25" s="392">
        <v>294</v>
      </c>
    </row>
    <row r="26" spans="1:4" ht="15.75">
      <c r="A26" s="392" t="s">
        <v>945</v>
      </c>
      <c r="B26" s="392">
        <v>0</v>
      </c>
      <c r="C26" s="392">
        <v>254</v>
      </c>
      <c r="D26" s="392">
        <v>254</v>
      </c>
    </row>
    <row r="27" spans="1:4" ht="15.75">
      <c r="A27" s="392" t="s">
        <v>937</v>
      </c>
      <c r="B27" s="392">
        <v>0</v>
      </c>
      <c r="C27" s="392">
        <v>72</v>
      </c>
      <c r="D27" s="392">
        <v>72</v>
      </c>
    </row>
    <row r="28" spans="1:4" ht="20.45" customHeight="1" thickBot="1">
      <c r="A28" s="392" t="s">
        <v>955</v>
      </c>
      <c r="B28" s="1246">
        <v>87228</v>
      </c>
      <c r="C28" s="1246">
        <v>14116</v>
      </c>
      <c r="D28" s="1246">
        <v>101344</v>
      </c>
    </row>
    <row r="29" spans="1:4" ht="15.75" thickTop="1"/>
  </sheetData>
  <sortState ref="A2:D27">
    <sortCondition descending="1" ref="B2:B27"/>
    <sortCondition descending="1" ref="C2:C27"/>
  </sortState>
  <pageMargins left="0.7" right="0.7" top="0.75" bottom="0.75" header="0.3" footer="0.3"/>
  <pageSetup orientation="portrait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7740C-4CBC-41CC-9D6F-A39B939E4531}">
  <sheetPr codeName="Sheet366"/>
  <dimension ref="A1:R20"/>
  <sheetViews>
    <sheetView workbookViewId="0"/>
  </sheetViews>
  <sheetFormatPr defaultColWidth="8.85546875" defaultRowHeight="15"/>
  <cols>
    <col min="1" max="1" width="9.140625" style="753" customWidth="1"/>
    <col min="2" max="2" width="9.7109375" style="753" customWidth="1"/>
    <col min="3" max="3" width="10.140625" style="753" customWidth="1"/>
    <col min="4" max="5" width="9.140625" style="753" customWidth="1"/>
    <col min="6" max="6" width="12.140625" style="753" customWidth="1"/>
    <col min="7" max="7" width="10.140625" style="753" customWidth="1"/>
    <col min="8" max="8" width="10.85546875" style="753" customWidth="1"/>
    <col min="9" max="9" width="3.28515625" style="753" customWidth="1"/>
    <col min="10" max="10" width="12.7109375" style="753" customWidth="1"/>
    <col min="11" max="11" width="12.42578125" style="753" customWidth="1"/>
    <col min="12" max="12" width="11.7109375" style="753" customWidth="1"/>
    <col min="13" max="13" width="13" style="753" customWidth="1"/>
    <col min="14" max="15" width="11.7109375" style="753" customWidth="1"/>
    <col min="16" max="16" width="23" style="753" customWidth="1"/>
    <col min="17" max="16384" width="8.85546875" style="753"/>
  </cols>
  <sheetData>
    <row r="1" spans="1:18" ht="31.9" customHeight="1">
      <c r="A1" s="756" t="s">
        <v>222</v>
      </c>
      <c r="B1" s="417" t="s">
        <v>224</v>
      </c>
      <c r="C1" s="409" t="s">
        <v>227</v>
      </c>
      <c r="D1" s="417" t="s">
        <v>285</v>
      </c>
      <c r="E1" s="764" t="s">
        <v>231</v>
      </c>
      <c r="F1" s="410" t="s">
        <v>228</v>
      </c>
      <c r="G1" s="410" t="s">
        <v>191</v>
      </c>
      <c r="H1" s="410" t="s">
        <v>229</v>
      </c>
      <c r="I1" s="659"/>
      <c r="J1" s="578" t="s">
        <v>289</v>
      </c>
      <c r="K1" s="410" t="s">
        <v>237</v>
      </c>
      <c r="L1" s="417" t="s">
        <v>286</v>
      </c>
      <c r="M1" s="410" t="s">
        <v>31</v>
      </c>
      <c r="N1" s="409" t="s">
        <v>291</v>
      </c>
      <c r="O1" s="578" t="s">
        <v>292</v>
      </c>
      <c r="P1" s="754"/>
    </row>
    <row r="2" spans="1:18">
      <c r="A2" s="403" t="s">
        <v>225</v>
      </c>
      <c r="B2" s="404">
        <v>24616</v>
      </c>
      <c r="C2" s="404">
        <v>2267</v>
      </c>
      <c r="D2" s="404">
        <v>583</v>
      </c>
      <c r="E2" s="404">
        <v>0</v>
      </c>
      <c r="F2" s="404">
        <f>B2+C2+D2+E2</f>
        <v>27466</v>
      </c>
      <c r="G2" s="404">
        <f>27239+E2</f>
        <v>27239</v>
      </c>
      <c r="H2" s="425">
        <f>G2-F2</f>
        <v>-227</v>
      </c>
      <c r="J2" s="678">
        <f>B2*10</f>
        <v>246160</v>
      </c>
      <c r="K2" s="678">
        <v>20403</v>
      </c>
      <c r="L2" s="678">
        <v>0</v>
      </c>
      <c r="M2" s="678">
        <f t="shared" ref="M2:M11" si="0">J2+K2+L2</f>
        <v>266563</v>
      </c>
      <c r="N2" s="405">
        <f>M2/(F2-D2)</f>
        <v>9.9156716140311723</v>
      </c>
      <c r="O2" s="759"/>
      <c r="P2" s="761" t="s">
        <v>290</v>
      </c>
    </row>
    <row r="3" spans="1:18">
      <c r="A3" s="403" t="s">
        <v>206</v>
      </c>
      <c r="B3" s="404">
        <v>60951</v>
      </c>
      <c r="C3" s="404">
        <v>15330</v>
      </c>
      <c r="D3" s="404">
        <v>2231</v>
      </c>
      <c r="E3" s="404">
        <v>6980</v>
      </c>
      <c r="F3" s="404">
        <f t="shared" ref="F3:F11" si="1">B3+C3+D3+E3</f>
        <v>85492</v>
      </c>
      <c r="G3" s="404">
        <f>79589+E3</f>
        <v>86569</v>
      </c>
      <c r="H3" s="425">
        <f t="shared" ref="H3:H11" si="2">G3-F3</f>
        <v>1077</v>
      </c>
      <c r="J3" s="678">
        <v>609510</v>
      </c>
      <c r="K3" s="678">
        <v>137970</v>
      </c>
      <c r="L3" s="678">
        <f>E3*10</f>
        <v>69800</v>
      </c>
      <c r="M3" s="849">
        <f t="shared" si="0"/>
        <v>817280</v>
      </c>
      <c r="N3" s="405">
        <f t="shared" ref="N3:N8" si="3">M3/(F3-D3)</f>
        <v>9.8158801839997114</v>
      </c>
      <c r="O3" s="759"/>
      <c r="P3" s="761" t="s">
        <v>290</v>
      </c>
    </row>
    <row r="4" spans="1:18">
      <c r="A4" s="403" t="s">
        <v>207</v>
      </c>
      <c r="B4" s="404">
        <v>69661</v>
      </c>
      <c r="C4" s="404">
        <v>19347</v>
      </c>
      <c r="D4" s="404">
        <v>2389</v>
      </c>
      <c r="E4" s="404">
        <v>10498</v>
      </c>
      <c r="F4" s="404">
        <f t="shared" si="1"/>
        <v>101895</v>
      </c>
      <c r="G4" s="404">
        <f>93850+E4</f>
        <v>104348</v>
      </c>
      <c r="H4" s="425">
        <f t="shared" si="2"/>
        <v>2453</v>
      </c>
      <c r="J4" s="678">
        <v>696610</v>
      </c>
      <c r="K4" s="678">
        <v>174123</v>
      </c>
      <c r="L4" s="678">
        <f>E4*10</f>
        <v>104980</v>
      </c>
      <c r="M4" s="849">
        <f t="shared" si="0"/>
        <v>975713</v>
      </c>
      <c r="N4" s="405">
        <f t="shared" si="3"/>
        <v>9.8055695133961773</v>
      </c>
      <c r="O4" s="759"/>
      <c r="P4" s="761" t="s">
        <v>290</v>
      </c>
      <c r="R4" s="426"/>
    </row>
    <row r="5" spans="1:18">
      <c r="A5" s="403" t="s">
        <v>208</v>
      </c>
      <c r="B5" s="404">
        <v>29992</v>
      </c>
      <c r="C5" s="404">
        <v>12424</v>
      </c>
      <c r="D5" s="404">
        <v>1956</v>
      </c>
      <c r="E5" s="404">
        <v>0</v>
      </c>
      <c r="F5" s="404">
        <f t="shared" si="1"/>
        <v>44372</v>
      </c>
      <c r="G5" s="404">
        <f>48426+E5</f>
        <v>48426</v>
      </c>
      <c r="H5" s="425">
        <f t="shared" si="2"/>
        <v>4054</v>
      </c>
      <c r="J5" s="678">
        <v>299920</v>
      </c>
      <c r="K5" s="678">
        <v>111816</v>
      </c>
      <c r="L5" s="678">
        <v>0</v>
      </c>
      <c r="M5" s="849">
        <f t="shared" si="0"/>
        <v>411736</v>
      </c>
      <c r="N5" s="405">
        <f t="shared" si="3"/>
        <v>9.7070916635231992</v>
      </c>
      <c r="O5" s="759"/>
      <c r="P5" s="761" t="s">
        <v>290</v>
      </c>
    </row>
    <row r="6" spans="1:18">
      <c r="A6" s="403" t="s">
        <v>209</v>
      </c>
      <c r="B6" s="404">
        <v>30199</v>
      </c>
      <c r="C6" s="404">
        <v>5619</v>
      </c>
      <c r="D6" s="404">
        <v>210</v>
      </c>
      <c r="E6" s="404">
        <v>8534</v>
      </c>
      <c r="F6" s="404">
        <f t="shared" si="1"/>
        <v>44562</v>
      </c>
      <c r="G6" s="404">
        <f>37772+E6</f>
        <v>46306</v>
      </c>
      <c r="H6" s="425">
        <f t="shared" si="2"/>
        <v>1744</v>
      </c>
      <c r="J6" s="678">
        <v>301990</v>
      </c>
      <c r="K6" s="678">
        <v>50571</v>
      </c>
      <c r="L6" s="678">
        <f>E6*10</f>
        <v>85340</v>
      </c>
      <c r="M6" s="849">
        <f t="shared" si="0"/>
        <v>437901</v>
      </c>
      <c r="N6" s="405">
        <f t="shared" si="3"/>
        <v>9.8733089826839819</v>
      </c>
      <c r="O6" s="759"/>
      <c r="P6" s="761" t="s">
        <v>290</v>
      </c>
    </row>
    <row r="7" spans="1:18">
      <c r="A7" s="403" t="s">
        <v>287</v>
      </c>
      <c r="B7" s="404">
        <v>77737</v>
      </c>
      <c r="C7" s="404">
        <v>29712</v>
      </c>
      <c r="D7" s="404">
        <v>555</v>
      </c>
      <c r="E7" s="404">
        <v>15057</v>
      </c>
      <c r="F7" s="404">
        <f t="shared" si="1"/>
        <v>123061</v>
      </c>
      <c r="G7" s="404">
        <f>109014+E7</f>
        <v>124071</v>
      </c>
      <c r="H7" s="425">
        <f t="shared" si="2"/>
        <v>1010</v>
      </c>
      <c r="J7" s="678">
        <v>777370</v>
      </c>
      <c r="K7" s="678">
        <v>267408</v>
      </c>
      <c r="L7" s="678">
        <v>150570</v>
      </c>
      <c r="M7" s="849">
        <f t="shared" si="0"/>
        <v>1195348</v>
      </c>
      <c r="N7" s="405">
        <f t="shared" si="3"/>
        <v>9.7574649404927101</v>
      </c>
      <c r="O7" s="759"/>
      <c r="P7" s="761" t="s">
        <v>290</v>
      </c>
    </row>
    <row r="8" spans="1:18">
      <c r="A8" s="403" t="s">
        <v>210</v>
      </c>
      <c r="B8" s="404">
        <v>68859</v>
      </c>
      <c r="C8" s="404">
        <v>40085</v>
      </c>
      <c r="D8" s="404">
        <v>790</v>
      </c>
      <c r="E8" s="404">
        <v>17430</v>
      </c>
      <c r="F8" s="404">
        <f t="shared" si="1"/>
        <v>127164</v>
      </c>
      <c r="G8" s="404">
        <f>112436+E8</f>
        <v>129866</v>
      </c>
      <c r="H8" s="425">
        <f t="shared" si="2"/>
        <v>2702</v>
      </c>
      <c r="J8" s="678">
        <v>683976</v>
      </c>
      <c r="K8" s="678">
        <v>360765</v>
      </c>
      <c r="L8" s="678">
        <v>174300</v>
      </c>
      <c r="M8" s="849">
        <f t="shared" si="0"/>
        <v>1219041</v>
      </c>
      <c r="N8" s="405">
        <f t="shared" si="3"/>
        <v>9.6462959152990333</v>
      </c>
      <c r="O8" s="405">
        <v>9.2200000000000006</v>
      </c>
      <c r="P8" s="763" t="s">
        <v>293</v>
      </c>
    </row>
    <row r="9" spans="1:18">
      <c r="A9" s="403" t="s">
        <v>211</v>
      </c>
      <c r="B9" s="404">
        <v>72670</v>
      </c>
      <c r="C9" s="404">
        <v>79862</v>
      </c>
      <c r="D9" s="404">
        <v>1887</v>
      </c>
      <c r="E9" s="404">
        <v>19616</v>
      </c>
      <c r="F9" s="404">
        <f t="shared" si="1"/>
        <v>174035</v>
      </c>
      <c r="G9" s="404">
        <f>155480+E9</f>
        <v>175096</v>
      </c>
      <c r="H9" s="425">
        <f t="shared" si="2"/>
        <v>1061</v>
      </c>
      <c r="J9" s="678">
        <v>690365</v>
      </c>
      <c r="K9" s="678">
        <v>718758</v>
      </c>
      <c r="L9" s="678">
        <v>196160</v>
      </c>
      <c r="M9" s="849">
        <f t="shared" si="0"/>
        <v>1605283</v>
      </c>
      <c r="N9" s="759"/>
      <c r="O9" s="405">
        <f>M9/(F9-D9)</f>
        <v>9.3250168459697473</v>
      </c>
      <c r="P9" s="761" t="s">
        <v>288</v>
      </c>
    </row>
    <row r="10" spans="1:18">
      <c r="A10" s="403" t="s">
        <v>212</v>
      </c>
      <c r="B10" s="404">
        <f>'Meal Ticket Totals'!B5</f>
        <v>60037</v>
      </c>
      <c r="C10" s="404">
        <f>'Meal Ticket Totals'!C5</f>
        <v>76553</v>
      </c>
      <c r="D10" s="404">
        <v>2281</v>
      </c>
      <c r="E10" s="404">
        <f>L10/10</f>
        <v>18747</v>
      </c>
      <c r="F10" s="404">
        <f t="shared" si="1"/>
        <v>157618</v>
      </c>
      <c r="G10" s="404">
        <f>149142+E10</f>
        <v>167889</v>
      </c>
      <c r="H10" s="425">
        <f t="shared" si="2"/>
        <v>10271</v>
      </c>
      <c r="J10" s="678">
        <f>'Meal Ticket Totals'!J5</f>
        <v>570351.5</v>
      </c>
      <c r="K10" s="678">
        <v>688977</v>
      </c>
      <c r="L10" s="678">
        <v>187470</v>
      </c>
      <c r="M10" s="849">
        <f t="shared" si="0"/>
        <v>1446798.5</v>
      </c>
      <c r="N10" s="759"/>
      <c r="O10" s="405">
        <f>M10/(F10-D10)</f>
        <v>9.3139335766752289</v>
      </c>
      <c r="P10" s="761" t="s">
        <v>288</v>
      </c>
    </row>
    <row r="11" spans="1:18">
      <c r="A11" s="403" t="s">
        <v>213</v>
      </c>
      <c r="B11" s="404">
        <v>21097</v>
      </c>
      <c r="C11" s="404">
        <v>23835</v>
      </c>
      <c r="D11" s="404">
        <v>1383</v>
      </c>
      <c r="E11" s="404">
        <v>5986</v>
      </c>
      <c r="F11" s="404">
        <f t="shared" si="1"/>
        <v>52301</v>
      </c>
      <c r="G11" s="404">
        <f>'Meal Ticket Totals'!G6</f>
        <v>51177</v>
      </c>
      <c r="H11" s="425">
        <f t="shared" si="2"/>
        <v>-1124</v>
      </c>
      <c r="J11" s="678">
        <v>200422</v>
      </c>
      <c r="K11" s="678">
        <v>214515</v>
      </c>
      <c r="L11" s="678">
        <v>59860</v>
      </c>
      <c r="M11" s="954">
        <f t="shared" si="0"/>
        <v>474797</v>
      </c>
      <c r="N11" s="759"/>
      <c r="O11" s="405">
        <f>M11/(F11-D11)</f>
        <v>9.3247378137397376</v>
      </c>
      <c r="P11" s="761" t="s">
        <v>288</v>
      </c>
    </row>
    <row r="12" spans="1:18" ht="15.75" thickBot="1">
      <c r="A12" s="406" t="s">
        <v>132</v>
      </c>
      <c r="B12" s="407">
        <f>SUM(B2:B11)</f>
        <v>515819</v>
      </c>
      <c r="C12" s="407">
        <f t="shared" ref="C12:H12" si="4">SUM(C2:C11)</f>
        <v>305034</v>
      </c>
      <c r="D12" s="407">
        <f t="shared" si="4"/>
        <v>14265</v>
      </c>
      <c r="E12" s="407">
        <f t="shared" si="4"/>
        <v>102848</v>
      </c>
      <c r="F12" s="407">
        <f t="shared" si="4"/>
        <v>937966</v>
      </c>
      <c r="G12" s="407">
        <f t="shared" si="4"/>
        <v>960987</v>
      </c>
      <c r="H12" s="407">
        <f t="shared" si="4"/>
        <v>23021</v>
      </c>
      <c r="J12" s="408">
        <f>SUM(J2:J11)</f>
        <v>5076674.5</v>
      </c>
      <c r="K12" s="408">
        <f t="shared" ref="K12:M12" si="5">SUM(K2:K11)</f>
        <v>2745306</v>
      </c>
      <c r="L12" s="408">
        <f t="shared" si="5"/>
        <v>1028480</v>
      </c>
      <c r="M12" s="408">
        <f t="shared" si="5"/>
        <v>8850460.5</v>
      </c>
      <c r="N12" s="418">
        <f>SUM(N2:N9)/7</f>
        <v>9.7887546876322826</v>
      </c>
      <c r="O12" s="886">
        <f>SUM(O8:O11)/4</f>
        <v>9.2959220590961777</v>
      </c>
    </row>
    <row r="13" spans="1:18" ht="15.75" thickTop="1">
      <c r="A13" s="402"/>
      <c r="F13" s="426">
        <f>-F11</f>
        <v>-52301</v>
      </c>
      <c r="G13" s="426"/>
    </row>
    <row r="14" spans="1:18">
      <c r="F14" s="426">
        <f>SUM(F12:F13)</f>
        <v>885665</v>
      </c>
      <c r="G14" s="426"/>
      <c r="M14" s="762"/>
    </row>
    <row r="15" spans="1:18">
      <c r="F15" s="753">
        <v>-877473</v>
      </c>
      <c r="M15" s="762"/>
    </row>
    <row r="16" spans="1:18">
      <c r="C16" s="426"/>
      <c r="F16" s="426">
        <f>SUM(F14:F15)</f>
        <v>8192</v>
      </c>
      <c r="M16" s="762"/>
    </row>
    <row r="17" spans="13:13">
      <c r="M17" s="762"/>
    </row>
    <row r="18" spans="13:13">
      <c r="M18" s="762"/>
    </row>
    <row r="19" spans="13:13">
      <c r="M19" s="762"/>
    </row>
    <row r="20" spans="13:13">
      <c r="M20" s="762"/>
    </row>
  </sheetData>
  <pageMargins left="0.25" right="0.25" top="0.75" bottom="0.75" header="0.3" footer="0.3"/>
  <pageSetup paperSize="17" scale="130" orientation="landscape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04FB-FC88-462D-B602-249A880AE55F}">
  <sheetPr codeName="Sheet157"/>
  <dimension ref="A1:P239"/>
  <sheetViews>
    <sheetView workbookViewId="0"/>
  </sheetViews>
  <sheetFormatPr defaultRowHeight="15"/>
  <cols>
    <col min="1" max="1" width="14.140625" customWidth="1"/>
    <col min="2" max="5" width="10.140625" style="1" customWidth="1"/>
    <col min="6" max="6" width="4.7109375" customWidth="1"/>
    <col min="7" max="7" width="13.85546875" customWidth="1"/>
    <col min="8" max="11" width="10.140625" customWidth="1"/>
  </cols>
  <sheetData>
    <row r="1" spans="1:11">
      <c r="A1" s="186" t="s">
        <v>142</v>
      </c>
      <c r="B1" s="43" t="s">
        <v>30</v>
      </c>
      <c r="C1" s="43" t="s">
        <v>30</v>
      </c>
      <c r="D1" s="43"/>
      <c r="E1" s="43"/>
      <c r="G1" s="4"/>
      <c r="H1" s="43" t="s">
        <v>30</v>
      </c>
      <c r="I1" s="43" t="s">
        <v>30</v>
      </c>
      <c r="J1" s="43"/>
      <c r="K1" s="43"/>
    </row>
    <row r="2" spans="1:11">
      <c r="A2" s="95">
        <v>44459</v>
      </c>
      <c r="B2" s="43" t="s">
        <v>34</v>
      </c>
      <c r="C2" s="43" t="s">
        <v>131</v>
      </c>
      <c r="D2" s="43" t="s">
        <v>101</v>
      </c>
      <c r="E2" s="43" t="s">
        <v>132</v>
      </c>
      <c r="G2" s="96" t="s">
        <v>135</v>
      </c>
      <c r="H2" s="43" t="s">
        <v>34</v>
      </c>
      <c r="I2" s="43" t="s">
        <v>131</v>
      </c>
      <c r="J2" s="43" t="s">
        <v>101</v>
      </c>
      <c r="K2" s="43" t="s">
        <v>132</v>
      </c>
    </row>
    <row r="3" spans="1:11">
      <c r="A3" s="4" t="s">
        <v>133</v>
      </c>
      <c r="B3" s="43">
        <f>'Meal Coupon Log - For ASUCLA'!N9</f>
        <v>1997</v>
      </c>
      <c r="C3" s="43">
        <f>'Meal Coupon Log - For ASUCLA'!O9</f>
        <v>819</v>
      </c>
      <c r="D3" s="43">
        <v>0</v>
      </c>
      <c r="E3" s="43">
        <f>SUM(B3:D3)</f>
        <v>2816</v>
      </c>
      <c r="G3" s="4" t="s">
        <v>133</v>
      </c>
      <c r="H3" s="43">
        <f>B3</f>
        <v>1997</v>
      </c>
      <c r="I3" s="43">
        <f t="shared" ref="I3:K3" si="0">C3</f>
        <v>819</v>
      </c>
      <c r="J3" s="43">
        <f t="shared" si="0"/>
        <v>0</v>
      </c>
      <c r="K3" s="43">
        <f t="shared" si="0"/>
        <v>2816</v>
      </c>
    </row>
    <row r="4" spans="1:11">
      <c r="A4" s="4" t="s">
        <v>134</v>
      </c>
      <c r="B4" s="43">
        <f>'9.20.21'!G17</f>
        <v>1676</v>
      </c>
      <c r="C4" s="43">
        <f>'9.20.21'!G30</f>
        <v>1539</v>
      </c>
      <c r="D4" s="43">
        <v>0</v>
      </c>
      <c r="E4" s="43">
        <f>SUM(B4:D4)</f>
        <v>3215</v>
      </c>
      <c r="G4" s="4" t="s">
        <v>134</v>
      </c>
      <c r="H4" s="43">
        <f>B4</f>
        <v>1676</v>
      </c>
      <c r="I4" s="43">
        <f t="shared" ref="I4" si="1">C4</f>
        <v>1539</v>
      </c>
      <c r="J4" s="43">
        <f t="shared" ref="J4" si="2">D4</f>
        <v>0</v>
      </c>
      <c r="K4" s="43">
        <f t="shared" ref="K4" si="3">E4</f>
        <v>3215</v>
      </c>
    </row>
    <row r="5" spans="1:11">
      <c r="A5" s="4" t="s">
        <v>86</v>
      </c>
      <c r="B5" s="43">
        <f>B3-B4</f>
        <v>321</v>
      </c>
      <c r="C5" s="43">
        <f t="shared" ref="C5:D5" si="4">C3-C4</f>
        <v>-720</v>
      </c>
      <c r="D5" s="43">
        <f t="shared" si="4"/>
        <v>0</v>
      </c>
      <c r="E5" s="43">
        <f>SUM(B5:D5)</f>
        <v>-399</v>
      </c>
      <c r="G5" s="4" t="s">
        <v>86</v>
      </c>
      <c r="H5" s="43">
        <f>B5</f>
        <v>321</v>
      </c>
      <c r="I5" s="43">
        <f t="shared" ref="I5" si="5">C5</f>
        <v>-720</v>
      </c>
      <c r="J5" s="43">
        <f t="shared" ref="J5" si="6">D5</f>
        <v>0</v>
      </c>
      <c r="K5" s="43">
        <f t="shared" ref="K5" si="7">E5</f>
        <v>-399</v>
      </c>
    </row>
    <row r="7" spans="1:11">
      <c r="A7" s="43" t="s">
        <v>136</v>
      </c>
      <c r="B7" s="43" t="s">
        <v>30</v>
      </c>
      <c r="C7" s="43" t="s">
        <v>30</v>
      </c>
      <c r="D7" s="43"/>
      <c r="E7" s="43"/>
      <c r="G7" s="4"/>
      <c r="H7" s="43" t="s">
        <v>30</v>
      </c>
      <c r="I7" s="43" t="s">
        <v>30</v>
      </c>
      <c r="J7" s="43"/>
      <c r="K7" s="43"/>
    </row>
    <row r="8" spans="1:11">
      <c r="A8" s="95">
        <f>A2+1</f>
        <v>44460</v>
      </c>
      <c r="B8" s="43" t="s">
        <v>34</v>
      </c>
      <c r="C8" s="43" t="s">
        <v>131</v>
      </c>
      <c r="D8" s="43" t="s">
        <v>101</v>
      </c>
      <c r="E8" s="43" t="s">
        <v>132</v>
      </c>
      <c r="G8" s="96" t="s">
        <v>135</v>
      </c>
      <c r="H8" s="43" t="s">
        <v>34</v>
      </c>
      <c r="I8" s="43" t="s">
        <v>131</v>
      </c>
      <c r="J8" s="43" t="s">
        <v>101</v>
      </c>
      <c r="K8" s="43" t="s">
        <v>132</v>
      </c>
    </row>
    <row r="9" spans="1:11">
      <c r="A9" s="4" t="s">
        <v>133</v>
      </c>
      <c r="B9" s="43">
        <f>'Meal Coupon Log - For ASUCLA'!N15</f>
        <v>1112</v>
      </c>
      <c r="C9" s="43">
        <f>'Meal Coupon Log - For ASUCLA'!O15</f>
        <v>1127</v>
      </c>
      <c r="D9" s="43">
        <f>'Meal Coupon Log - For ASUCLA'!P15</f>
        <v>174</v>
      </c>
      <c r="E9" s="43">
        <f>SUM(B9:D9)</f>
        <v>2413</v>
      </c>
      <c r="G9" s="4" t="s">
        <v>133</v>
      </c>
      <c r="H9" s="43">
        <f>B9+H3</f>
        <v>3109</v>
      </c>
      <c r="I9" s="43">
        <f t="shared" ref="I9:K9" si="8">C9+I3</f>
        <v>1946</v>
      </c>
      <c r="J9" s="43">
        <f t="shared" si="8"/>
        <v>174</v>
      </c>
      <c r="K9" s="43">
        <f t="shared" si="8"/>
        <v>5229</v>
      </c>
    </row>
    <row r="10" spans="1:11">
      <c r="A10" s="4" t="s">
        <v>134</v>
      </c>
      <c r="B10" s="43">
        <f>'9.21.21'!G16</f>
        <v>1515</v>
      </c>
      <c r="C10" s="43">
        <f>'9.21.21'!G28</f>
        <v>1595</v>
      </c>
      <c r="D10" s="43">
        <v>174</v>
      </c>
      <c r="E10" s="43">
        <f>SUM(B10:D10)</f>
        <v>3284</v>
      </c>
      <c r="G10" s="4" t="s">
        <v>134</v>
      </c>
      <c r="H10" s="43">
        <f t="shared" ref="H10:H11" si="9">B10+H4</f>
        <v>3191</v>
      </c>
      <c r="I10" s="43">
        <f t="shared" ref="I10:I11" si="10">C10+I4</f>
        <v>3134</v>
      </c>
      <c r="J10" s="43">
        <f t="shared" ref="J10:J11" si="11">D10+J4</f>
        <v>174</v>
      </c>
      <c r="K10" s="43">
        <f t="shared" ref="K10:K11" si="12">E10+K4</f>
        <v>6499</v>
      </c>
    </row>
    <row r="11" spans="1:11">
      <c r="A11" s="4" t="s">
        <v>86</v>
      </c>
      <c r="B11" s="43">
        <f>B9-B10</f>
        <v>-403</v>
      </c>
      <c r="C11" s="43">
        <f t="shared" ref="C11" si="13">C9-C10</f>
        <v>-468</v>
      </c>
      <c r="D11" s="43">
        <f t="shared" ref="D11" si="14">D9-D10</f>
        <v>0</v>
      </c>
      <c r="E11" s="43">
        <f>SUM(B11:D11)</f>
        <v>-871</v>
      </c>
      <c r="G11" s="4" t="s">
        <v>86</v>
      </c>
      <c r="H11" s="43">
        <f t="shared" si="9"/>
        <v>-82</v>
      </c>
      <c r="I11" s="43">
        <f t="shared" si="10"/>
        <v>-1188</v>
      </c>
      <c r="J11" s="43">
        <f t="shared" si="11"/>
        <v>0</v>
      </c>
      <c r="K11" s="43">
        <f t="shared" si="12"/>
        <v>-1270</v>
      </c>
    </row>
    <row r="13" spans="1:11">
      <c r="A13" s="103" t="s">
        <v>137</v>
      </c>
      <c r="B13" s="43" t="s">
        <v>30</v>
      </c>
      <c r="C13" s="43" t="s">
        <v>30</v>
      </c>
      <c r="D13" s="43"/>
      <c r="E13" s="43"/>
      <c r="G13" s="4"/>
      <c r="H13" s="43" t="s">
        <v>30</v>
      </c>
      <c r="I13" s="43" t="s">
        <v>30</v>
      </c>
      <c r="J13" s="43"/>
      <c r="K13" s="43"/>
    </row>
    <row r="14" spans="1:11">
      <c r="A14" s="95">
        <f>A8+1</f>
        <v>44461</v>
      </c>
      <c r="B14" s="43" t="s">
        <v>34</v>
      </c>
      <c r="C14" s="43" t="s">
        <v>131</v>
      </c>
      <c r="D14" s="43" t="s">
        <v>101</v>
      </c>
      <c r="E14" s="43" t="s">
        <v>132</v>
      </c>
      <c r="G14" s="96" t="s">
        <v>135</v>
      </c>
      <c r="H14" s="43" t="s">
        <v>34</v>
      </c>
      <c r="I14" s="43" t="s">
        <v>131</v>
      </c>
      <c r="J14" s="43" t="s">
        <v>101</v>
      </c>
      <c r="K14" s="43" t="s">
        <v>132</v>
      </c>
    </row>
    <row r="15" spans="1:11">
      <c r="A15" s="4" t="s">
        <v>133</v>
      </c>
      <c r="B15" s="43">
        <f>'Meal Coupon Log - For ASUCLA'!N20</f>
        <v>856</v>
      </c>
      <c r="C15" s="43">
        <f>'Meal Coupon Log - For ASUCLA'!O20</f>
        <v>3093</v>
      </c>
      <c r="D15" s="43">
        <f>'Meal Coupon Log - For ASUCLA'!P20</f>
        <v>130</v>
      </c>
      <c r="E15" s="43">
        <f>SUM(B15:D15)</f>
        <v>4079</v>
      </c>
      <c r="G15" s="4" t="s">
        <v>133</v>
      </c>
      <c r="H15" s="43">
        <f>B15+H9</f>
        <v>3965</v>
      </c>
      <c r="I15" s="43">
        <f t="shared" ref="I15:K15" si="15">C15+I9</f>
        <v>5039</v>
      </c>
      <c r="J15" s="43">
        <f t="shared" si="15"/>
        <v>304</v>
      </c>
      <c r="K15" s="43">
        <f t="shared" si="15"/>
        <v>9308</v>
      </c>
    </row>
    <row r="16" spans="1:11">
      <c r="A16" s="4" t="s">
        <v>134</v>
      </c>
      <c r="B16" s="43">
        <f>'9.22.21'!G15</f>
        <v>1374</v>
      </c>
      <c r="C16" s="43">
        <f>'9.22.21'!G26</f>
        <v>1352</v>
      </c>
      <c r="D16" s="43">
        <v>130</v>
      </c>
      <c r="E16" s="43">
        <f>SUM(B16:D16)</f>
        <v>2856</v>
      </c>
      <c r="G16" s="4" t="s">
        <v>134</v>
      </c>
      <c r="H16" s="43">
        <f t="shared" ref="H16:H17" si="16">B16+H10</f>
        <v>4565</v>
      </c>
      <c r="I16" s="43">
        <f t="shared" ref="I16:I17" si="17">C16+I10</f>
        <v>4486</v>
      </c>
      <c r="J16" s="43">
        <f t="shared" ref="J16:J17" si="18">D16+J10</f>
        <v>304</v>
      </c>
      <c r="K16" s="43">
        <f t="shared" ref="K16:K17" si="19">E16+K10</f>
        <v>9355</v>
      </c>
    </row>
    <row r="17" spans="1:11">
      <c r="A17" s="4" t="s">
        <v>86</v>
      </c>
      <c r="B17" s="43">
        <f>B15-B16</f>
        <v>-518</v>
      </c>
      <c r="C17" s="43">
        <f t="shared" ref="C17" si="20">C15-C16</f>
        <v>1741</v>
      </c>
      <c r="D17" s="43">
        <f t="shared" ref="D17" si="21">D15-D16</f>
        <v>0</v>
      </c>
      <c r="E17" s="43">
        <f>SUM(B17:D17)</f>
        <v>1223</v>
      </c>
      <c r="G17" s="4" t="s">
        <v>86</v>
      </c>
      <c r="H17" s="43">
        <f t="shared" si="16"/>
        <v>-600</v>
      </c>
      <c r="I17" s="43">
        <f t="shared" si="17"/>
        <v>553</v>
      </c>
      <c r="J17" s="43">
        <f t="shared" si="18"/>
        <v>0</v>
      </c>
      <c r="K17" s="43">
        <f t="shared" si="19"/>
        <v>-47</v>
      </c>
    </row>
    <row r="19" spans="1:11">
      <c r="A19" s="103" t="s">
        <v>138</v>
      </c>
      <c r="B19" s="43" t="s">
        <v>30</v>
      </c>
      <c r="C19" s="43" t="s">
        <v>30</v>
      </c>
      <c r="D19" s="43"/>
      <c r="E19" s="43"/>
      <c r="G19" s="4"/>
      <c r="H19" s="43" t="s">
        <v>30</v>
      </c>
      <c r="I19" s="43" t="s">
        <v>30</v>
      </c>
      <c r="J19" s="43"/>
      <c r="K19" s="43"/>
    </row>
    <row r="20" spans="1:11">
      <c r="A20" s="95">
        <f>A14+1</f>
        <v>44462</v>
      </c>
      <c r="B20" s="43" t="s">
        <v>34</v>
      </c>
      <c r="C20" s="43" t="s">
        <v>131</v>
      </c>
      <c r="D20" s="43" t="s">
        <v>101</v>
      </c>
      <c r="E20" s="43" t="s">
        <v>132</v>
      </c>
      <c r="G20" s="96" t="s">
        <v>135</v>
      </c>
      <c r="H20" s="43" t="s">
        <v>34</v>
      </c>
      <c r="I20" s="43" t="s">
        <v>131</v>
      </c>
      <c r="J20" s="43" t="s">
        <v>101</v>
      </c>
      <c r="K20" s="43" t="s">
        <v>132</v>
      </c>
    </row>
    <row r="21" spans="1:11">
      <c r="A21" s="4" t="s">
        <v>133</v>
      </c>
      <c r="B21" s="43">
        <f>'Meal Coupon Log - For ASUCLA'!N25</f>
        <v>1517</v>
      </c>
      <c r="C21" s="43">
        <f>'Meal Coupon Log - For ASUCLA'!O25</f>
        <v>1575</v>
      </c>
      <c r="D21" s="43">
        <f>'Meal Coupon Log - For ASUCLA'!P25</f>
        <v>294</v>
      </c>
      <c r="E21" s="43">
        <f>SUM(B21:D21)</f>
        <v>3386</v>
      </c>
      <c r="G21" s="4" t="s">
        <v>133</v>
      </c>
      <c r="H21" s="43">
        <f>B21+H15</f>
        <v>5482</v>
      </c>
      <c r="I21" s="43">
        <f t="shared" ref="I21:K21" si="22">C21+I15</f>
        <v>6614</v>
      </c>
      <c r="J21" s="43">
        <f t="shared" si="22"/>
        <v>598</v>
      </c>
      <c r="K21" s="43">
        <f t="shared" si="22"/>
        <v>12694</v>
      </c>
    </row>
    <row r="22" spans="1:11">
      <c r="A22" s="4" t="s">
        <v>134</v>
      </c>
      <c r="B22" s="43">
        <f>'9.23.21'!G15</f>
        <v>1447</v>
      </c>
      <c r="C22" s="43">
        <f>'9.23.21'!G25+'9.23.21'!G33</f>
        <v>1438</v>
      </c>
      <c r="D22" s="43">
        <v>294</v>
      </c>
      <c r="E22" s="43">
        <f>SUM(B22:D22)</f>
        <v>3179</v>
      </c>
      <c r="G22" s="4" t="s">
        <v>134</v>
      </c>
      <c r="H22" s="43">
        <f t="shared" ref="H22:H23" si="23">B22+H16</f>
        <v>6012</v>
      </c>
      <c r="I22" s="43">
        <f t="shared" ref="I22:I23" si="24">C22+I16</f>
        <v>5924</v>
      </c>
      <c r="J22" s="43">
        <f t="shared" ref="J22:J23" si="25">D22+J16</f>
        <v>598</v>
      </c>
      <c r="K22" s="43">
        <f t="shared" ref="K22:K23" si="26">E22+K16</f>
        <v>12534</v>
      </c>
    </row>
    <row r="23" spans="1:11">
      <c r="A23" s="4" t="s">
        <v>86</v>
      </c>
      <c r="B23" s="43">
        <f>B21-B22</f>
        <v>70</v>
      </c>
      <c r="C23" s="43">
        <f t="shared" ref="C23" si="27">C21-C22</f>
        <v>137</v>
      </c>
      <c r="D23" s="43">
        <f t="shared" ref="D23" si="28">D21-D22</f>
        <v>0</v>
      </c>
      <c r="E23" s="43">
        <f>SUM(B23:D23)</f>
        <v>207</v>
      </c>
      <c r="G23" s="4" t="s">
        <v>86</v>
      </c>
      <c r="H23" s="43">
        <f t="shared" si="23"/>
        <v>-530</v>
      </c>
      <c r="I23" s="43">
        <f t="shared" si="24"/>
        <v>690</v>
      </c>
      <c r="J23" s="43">
        <f t="shared" si="25"/>
        <v>0</v>
      </c>
      <c r="K23" s="43">
        <f t="shared" si="26"/>
        <v>160</v>
      </c>
    </row>
    <row r="25" spans="1:11">
      <c r="A25" s="43" t="s">
        <v>139</v>
      </c>
      <c r="B25" s="43" t="s">
        <v>30</v>
      </c>
      <c r="C25" s="43" t="s">
        <v>30</v>
      </c>
      <c r="D25" s="43"/>
      <c r="E25" s="43"/>
      <c r="G25" s="4"/>
      <c r="H25" s="43" t="s">
        <v>30</v>
      </c>
      <c r="I25" s="43" t="s">
        <v>30</v>
      </c>
      <c r="J25" s="43"/>
      <c r="K25" s="43"/>
    </row>
    <row r="26" spans="1:11">
      <c r="A26" s="95">
        <f>A20+1</f>
        <v>44463</v>
      </c>
      <c r="B26" s="43" t="s">
        <v>34</v>
      </c>
      <c r="C26" s="43" t="s">
        <v>131</v>
      </c>
      <c r="D26" s="43" t="s">
        <v>101</v>
      </c>
      <c r="E26" s="43" t="s">
        <v>132</v>
      </c>
      <c r="G26" s="96" t="s">
        <v>135</v>
      </c>
      <c r="H26" s="43" t="s">
        <v>34</v>
      </c>
      <c r="I26" s="43" t="s">
        <v>131</v>
      </c>
      <c r="J26" s="43" t="s">
        <v>101</v>
      </c>
      <c r="K26" s="43" t="s">
        <v>132</v>
      </c>
    </row>
    <row r="27" spans="1:11">
      <c r="A27" s="4" t="s">
        <v>133</v>
      </c>
      <c r="B27" s="43">
        <f>'Meal Coupon Log - For ASUCLA'!N30</f>
        <v>963</v>
      </c>
      <c r="C27" s="43">
        <f>'Meal Coupon Log - For ASUCLA'!O30</f>
        <v>1166</v>
      </c>
      <c r="D27" s="43">
        <f>'Meal Coupon Log - For ASUCLA'!P30</f>
        <v>339</v>
      </c>
      <c r="E27" s="43">
        <f>SUM(B27:D27)</f>
        <v>2468</v>
      </c>
      <c r="G27" s="4" t="s">
        <v>133</v>
      </c>
      <c r="H27" s="43">
        <f>B27+H21</f>
        <v>6445</v>
      </c>
      <c r="I27" s="43">
        <f t="shared" ref="I27:K27" si="29">C27+I21</f>
        <v>7780</v>
      </c>
      <c r="J27" s="43">
        <f t="shared" si="29"/>
        <v>937</v>
      </c>
      <c r="K27" s="43">
        <f t="shared" si="29"/>
        <v>15162</v>
      </c>
    </row>
    <row r="28" spans="1:11">
      <c r="A28" s="4" t="s">
        <v>134</v>
      </c>
      <c r="B28" s="43">
        <f>'9.24.21'!F36</f>
        <v>1078</v>
      </c>
      <c r="C28" s="43">
        <f>'9.24.21'!G36+'9.24.21'!H36</f>
        <v>1186</v>
      </c>
      <c r="D28" s="43">
        <v>339</v>
      </c>
      <c r="E28" s="43">
        <f>SUM(B28:D28)</f>
        <v>2603</v>
      </c>
      <c r="G28" s="4" t="s">
        <v>134</v>
      </c>
      <c r="H28" s="43">
        <f t="shared" ref="H28:H29" si="30">B28+H22</f>
        <v>7090</v>
      </c>
      <c r="I28" s="43">
        <f t="shared" ref="I28:I29" si="31">C28+I22</f>
        <v>7110</v>
      </c>
      <c r="J28" s="43">
        <f t="shared" ref="J28:J29" si="32">D28+J22</f>
        <v>937</v>
      </c>
      <c r="K28" s="43">
        <f t="shared" ref="K28:K29" si="33">E28+K22</f>
        <v>15137</v>
      </c>
    </row>
    <row r="29" spans="1:11">
      <c r="A29" s="4" t="s">
        <v>86</v>
      </c>
      <c r="B29" s="43">
        <f>B27-B28</f>
        <v>-115</v>
      </c>
      <c r="C29" s="43">
        <f t="shared" ref="C29" si="34">C27-C28</f>
        <v>-20</v>
      </c>
      <c r="D29" s="43">
        <f t="shared" ref="D29" si="35">D27-D28</f>
        <v>0</v>
      </c>
      <c r="E29" s="43">
        <f>SUM(B29:D29)</f>
        <v>-135</v>
      </c>
      <c r="G29" s="4" t="s">
        <v>86</v>
      </c>
      <c r="H29" s="43">
        <f t="shared" si="30"/>
        <v>-645</v>
      </c>
      <c r="I29" s="43">
        <f t="shared" si="31"/>
        <v>670</v>
      </c>
      <c r="J29" s="43">
        <f t="shared" si="32"/>
        <v>0</v>
      </c>
      <c r="K29" s="43">
        <f t="shared" si="33"/>
        <v>25</v>
      </c>
    </row>
    <row r="31" spans="1:11">
      <c r="A31" s="43" t="s">
        <v>140</v>
      </c>
      <c r="B31" s="43" t="s">
        <v>30</v>
      </c>
      <c r="C31" s="43" t="s">
        <v>30</v>
      </c>
      <c r="D31" s="43"/>
      <c r="E31" s="43"/>
      <c r="G31" s="4"/>
      <c r="H31" s="43" t="s">
        <v>30</v>
      </c>
      <c r="I31" s="43" t="s">
        <v>30</v>
      </c>
      <c r="J31" s="43"/>
      <c r="K31" s="43"/>
    </row>
    <row r="32" spans="1:11">
      <c r="A32" s="95">
        <f>A26+1</f>
        <v>44464</v>
      </c>
      <c r="B32" s="43" t="s">
        <v>34</v>
      </c>
      <c r="C32" s="43" t="s">
        <v>131</v>
      </c>
      <c r="D32" s="43" t="s">
        <v>101</v>
      </c>
      <c r="E32" s="43" t="s">
        <v>132</v>
      </c>
      <c r="G32" s="96" t="s">
        <v>135</v>
      </c>
      <c r="H32" s="43" t="s">
        <v>34</v>
      </c>
      <c r="I32" s="43" t="s">
        <v>131</v>
      </c>
      <c r="J32" s="43" t="s">
        <v>101</v>
      </c>
      <c r="K32" s="43" t="s">
        <v>132</v>
      </c>
    </row>
    <row r="33" spans="1:16">
      <c r="A33" s="4" t="s">
        <v>133</v>
      </c>
      <c r="B33" s="43">
        <f>'Meal Coupon Log - For ASUCLA'!N35</f>
        <v>0</v>
      </c>
      <c r="C33" s="43">
        <f>'Meal Coupon Log - For ASUCLA'!O35</f>
        <v>245</v>
      </c>
      <c r="D33" s="43">
        <f>'Meal Coupon Log - For ASUCLA'!P35</f>
        <v>0</v>
      </c>
      <c r="E33" s="43">
        <f>SUM(B33:D33)</f>
        <v>245</v>
      </c>
      <c r="G33" s="4" t="s">
        <v>133</v>
      </c>
      <c r="H33" s="43">
        <f>B33+H27</f>
        <v>6445</v>
      </c>
      <c r="I33" s="43">
        <f t="shared" ref="I33:K33" si="36">C33+I27</f>
        <v>8025</v>
      </c>
      <c r="J33" s="43">
        <f t="shared" si="36"/>
        <v>937</v>
      </c>
      <c r="K33" s="43">
        <f t="shared" si="36"/>
        <v>15407</v>
      </c>
    </row>
    <row r="34" spans="1:16">
      <c r="A34" s="4" t="s">
        <v>134</v>
      </c>
      <c r="B34" s="43">
        <v>0</v>
      </c>
      <c r="C34" s="43">
        <f>'9.25.21'!G32</f>
        <v>300</v>
      </c>
      <c r="D34" s="43">
        <v>0</v>
      </c>
      <c r="E34" s="43">
        <f>SUM(B34:D34)</f>
        <v>300</v>
      </c>
      <c r="G34" s="4" t="s">
        <v>134</v>
      </c>
      <c r="H34" s="43">
        <f t="shared" ref="H34:H35" si="37">B34+H28</f>
        <v>7090</v>
      </c>
      <c r="I34" s="43">
        <f t="shared" ref="I34:I35" si="38">C34+I28</f>
        <v>7410</v>
      </c>
      <c r="J34" s="43">
        <f t="shared" ref="J34:J35" si="39">D34+J28</f>
        <v>937</v>
      </c>
      <c r="K34" s="43">
        <f t="shared" ref="K34:K35" si="40">E34+K28</f>
        <v>15437</v>
      </c>
    </row>
    <row r="35" spans="1:16">
      <c r="A35" s="4" t="s">
        <v>86</v>
      </c>
      <c r="B35" s="43">
        <f>B33-B34</f>
        <v>0</v>
      </c>
      <c r="C35" s="43">
        <f t="shared" ref="C35" si="41">C33-C34</f>
        <v>-55</v>
      </c>
      <c r="D35" s="43">
        <f t="shared" ref="D35" si="42">D33-D34</f>
        <v>0</v>
      </c>
      <c r="E35" s="43">
        <f>SUM(B35:D35)</f>
        <v>-55</v>
      </c>
      <c r="G35" s="4" t="s">
        <v>86</v>
      </c>
      <c r="H35" s="43">
        <f t="shared" si="37"/>
        <v>-645</v>
      </c>
      <c r="I35" s="43">
        <f t="shared" si="38"/>
        <v>615</v>
      </c>
      <c r="J35" s="43">
        <f t="shared" si="39"/>
        <v>0</v>
      </c>
      <c r="K35" s="43">
        <f t="shared" si="40"/>
        <v>-30</v>
      </c>
    </row>
    <row r="37" spans="1:16">
      <c r="A37" s="43" t="s">
        <v>141</v>
      </c>
      <c r="B37" s="43" t="s">
        <v>30</v>
      </c>
      <c r="C37" s="43" t="s">
        <v>30</v>
      </c>
      <c r="D37" s="43"/>
      <c r="E37" s="43"/>
      <c r="G37" s="4"/>
      <c r="H37" s="43" t="s">
        <v>30</v>
      </c>
      <c r="I37" s="43" t="s">
        <v>30</v>
      </c>
      <c r="J37" s="43"/>
      <c r="K37" s="43"/>
    </row>
    <row r="38" spans="1:16">
      <c r="A38" s="95">
        <f>A32+1</f>
        <v>44465</v>
      </c>
      <c r="B38" s="43" t="s">
        <v>34</v>
      </c>
      <c r="C38" s="43" t="s">
        <v>131</v>
      </c>
      <c r="D38" s="43" t="s">
        <v>101</v>
      </c>
      <c r="E38" s="43" t="s">
        <v>132</v>
      </c>
      <c r="G38" s="96" t="s">
        <v>135</v>
      </c>
      <c r="H38" s="43" t="s">
        <v>34</v>
      </c>
      <c r="I38" s="43" t="s">
        <v>131</v>
      </c>
      <c r="J38" s="43" t="s">
        <v>101</v>
      </c>
      <c r="K38" s="43" t="s">
        <v>132</v>
      </c>
    </row>
    <row r="39" spans="1:16">
      <c r="A39" s="4" t="s">
        <v>133</v>
      </c>
      <c r="B39" s="43">
        <f>'Meal Coupon Log - For ASUCLA'!N40</f>
        <v>0</v>
      </c>
      <c r="C39" s="43">
        <f>'Meal Coupon Log - For ASUCLA'!O40</f>
        <v>505</v>
      </c>
      <c r="D39" s="191">
        <v>2769</v>
      </c>
      <c r="E39" s="43">
        <f>SUM(B39:D39)</f>
        <v>3274</v>
      </c>
      <c r="G39" s="4" t="s">
        <v>133</v>
      </c>
      <c r="H39" s="43">
        <f>B39+H33</f>
        <v>6445</v>
      </c>
      <c r="I39" s="43">
        <f t="shared" ref="I39:K39" si="43">C39+I33</f>
        <v>8530</v>
      </c>
      <c r="J39" s="43">
        <f t="shared" si="43"/>
        <v>3706</v>
      </c>
      <c r="K39" s="43">
        <f t="shared" si="43"/>
        <v>18681</v>
      </c>
      <c r="L39" s="190" t="s">
        <v>173</v>
      </c>
      <c r="M39" s="190"/>
      <c r="N39" s="190"/>
      <c r="O39" s="190"/>
      <c r="P39" s="190"/>
    </row>
    <row r="40" spans="1:16">
      <c r="A40" s="4" t="s">
        <v>134</v>
      </c>
      <c r="B40" s="43">
        <v>0</v>
      </c>
      <c r="C40" s="43">
        <f>'9.26.21'!H35</f>
        <v>384</v>
      </c>
      <c r="D40" s="43">
        <v>0</v>
      </c>
      <c r="E40" s="43">
        <f>SUM(B40:D40)</f>
        <v>384</v>
      </c>
      <c r="G40" s="4" t="s">
        <v>134</v>
      </c>
      <c r="H40" s="43">
        <f t="shared" ref="H40:H41" si="44">B40+H34</f>
        <v>7090</v>
      </c>
      <c r="I40" s="43">
        <f t="shared" ref="I40:I41" si="45">C40+I34</f>
        <v>7794</v>
      </c>
      <c r="J40" s="43">
        <f t="shared" ref="J40:J41" si="46">D40+J34</f>
        <v>937</v>
      </c>
      <c r="K40" s="43">
        <f t="shared" ref="K40:K41" si="47">E40+K34</f>
        <v>15821</v>
      </c>
      <c r="L40" s="150"/>
      <c r="M40" s="150"/>
      <c r="N40" s="150"/>
      <c r="O40" s="150"/>
      <c r="P40" s="150"/>
    </row>
    <row r="41" spans="1:16">
      <c r="A41" s="4" t="s">
        <v>86</v>
      </c>
      <c r="B41" s="43">
        <f>B39-B40</f>
        <v>0</v>
      </c>
      <c r="C41" s="43">
        <f t="shared" ref="C41" si="48">C39-C40</f>
        <v>121</v>
      </c>
      <c r="D41" s="43">
        <f t="shared" ref="D41" si="49">D39-D40</f>
        <v>2769</v>
      </c>
      <c r="E41" s="43">
        <f>SUM(B41:D41)</f>
        <v>2890</v>
      </c>
      <c r="G41" s="4" t="s">
        <v>86</v>
      </c>
      <c r="H41" s="43">
        <f t="shared" si="44"/>
        <v>-645</v>
      </c>
      <c r="I41" s="43">
        <f t="shared" si="45"/>
        <v>736</v>
      </c>
      <c r="J41" s="43">
        <f t="shared" si="46"/>
        <v>2769</v>
      </c>
      <c r="K41" s="43">
        <f t="shared" si="47"/>
        <v>2860</v>
      </c>
    </row>
    <row r="43" spans="1:16">
      <c r="A43" s="43" t="s">
        <v>142</v>
      </c>
      <c r="B43" s="43" t="s">
        <v>30</v>
      </c>
      <c r="C43" s="43" t="s">
        <v>30</v>
      </c>
      <c r="D43" s="43"/>
      <c r="E43" s="43"/>
      <c r="G43" s="4"/>
      <c r="H43" s="43" t="s">
        <v>30</v>
      </c>
      <c r="I43" s="43" t="s">
        <v>30</v>
      </c>
      <c r="J43" s="43"/>
      <c r="K43" s="43"/>
    </row>
    <row r="44" spans="1:16">
      <c r="A44" s="95">
        <f>A38+1</f>
        <v>44466</v>
      </c>
      <c r="B44" s="43" t="s">
        <v>34</v>
      </c>
      <c r="C44" s="43" t="s">
        <v>131</v>
      </c>
      <c r="D44" s="43" t="s">
        <v>101</v>
      </c>
      <c r="E44" s="43" t="s">
        <v>132</v>
      </c>
      <c r="G44" s="96" t="s">
        <v>135</v>
      </c>
      <c r="H44" s="43" t="s">
        <v>34</v>
      </c>
      <c r="I44" s="43" t="s">
        <v>131</v>
      </c>
      <c r="J44" s="43" t="s">
        <v>101</v>
      </c>
      <c r="K44" s="43" t="s">
        <v>132</v>
      </c>
    </row>
    <row r="45" spans="1:16">
      <c r="A45" s="4" t="s">
        <v>133</v>
      </c>
      <c r="B45" s="43">
        <f>'Meal Coupon Log - For ASUCLA'!N45</f>
        <v>450</v>
      </c>
      <c r="C45" s="43">
        <f>'Meal Coupon Log - For ASUCLA'!O45</f>
        <v>1607</v>
      </c>
      <c r="D45" s="43">
        <f>'Meal Coupon Log - For ASUCLA'!P45</f>
        <v>280</v>
      </c>
      <c r="E45" s="43">
        <f>SUM(B45:D45)</f>
        <v>2337</v>
      </c>
      <c r="G45" s="4" t="s">
        <v>133</v>
      </c>
      <c r="H45" s="43">
        <f>B45+H39</f>
        <v>6895</v>
      </c>
      <c r="I45" s="43">
        <f t="shared" ref="I45:K45" si="50">C45+I39</f>
        <v>10137</v>
      </c>
      <c r="J45" s="43">
        <f t="shared" si="50"/>
        <v>3986</v>
      </c>
      <c r="K45" s="43">
        <f t="shared" si="50"/>
        <v>21018</v>
      </c>
    </row>
    <row r="46" spans="1:16">
      <c r="A46" s="4" t="s">
        <v>134</v>
      </c>
      <c r="B46" s="43">
        <f>'9.27.21'!F33</f>
        <v>881</v>
      </c>
      <c r="C46" s="43">
        <f>'9.27.21'!G33+'9.27.21'!H33</f>
        <v>1486</v>
      </c>
      <c r="D46" s="43">
        <v>280</v>
      </c>
      <c r="E46" s="43">
        <f>SUM(B46:D46)</f>
        <v>2647</v>
      </c>
      <c r="G46" s="4" t="s">
        <v>134</v>
      </c>
      <c r="H46" s="43">
        <f t="shared" ref="H46:H47" si="51">B46+H40</f>
        <v>7971</v>
      </c>
      <c r="I46" s="43">
        <f t="shared" ref="I46:I47" si="52">C46+I40</f>
        <v>9280</v>
      </c>
      <c r="J46" s="43">
        <f t="shared" ref="J46:J47" si="53">D46+J40</f>
        <v>1217</v>
      </c>
      <c r="K46" s="43">
        <f t="shared" ref="K46:K47" si="54">E46+K40</f>
        <v>18468</v>
      </c>
    </row>
    <row r="47" spans="1:16">
      <c r="A47" s="4" t="s">
        <v>86</v>
      </c>
      <c r="B47" s="43">
        <f>B45-B46</f>
        <v>-431</v>
      </c>
      <c r="C47" s="43">
        <f t="shared" ref="C47" si="55">C45-C46</f>
        <v>121</v>
      </c>
      <c r="D47" s="43">
        <f t="shared" ref="D47" si="56">D45-D46</f>
        <v>0</v>
      </c>
      <c r="E47" s="43">
        <f>SUM(B47:D47)</f>
        <v>-310</v>
      </c>
      <c r="G47" s="4" t="s">
        <v>86</v>
      </c>
      <c r="H47" s="43">
        <f t="shared" si="51"/>
        <v>-1076</v>
      </c>
      <c r="I47" s="43">
        <f t="shared" si="52"/>
        <v>857</v>
      </c>
      <c r="J47" s="43">
        <f t="shared" si="53"/>
        <v>2769</v>
      </c>
      <c r="K47" s="43">
        <f t="shared" si="54"/>
        <v>2550</v>
      </c>
    </row>
    <row r="49" spans="1:11">
      <c r="A49" s="43" t="s">
        <v>136</v>
      </c>
      <c r="B49" s="43" t="s">
        <v>30</v>
      </c>
      <c r="C49" s="43" t="s">
        <v>30</v>
      </c>
      <c r="D49" s="43"/>
      <c r="E49" s="43"/>
      <c r="G49" s="4"/>
      <c r="H49" s="43" t="s">
        <v>30</v>
      </c>
      <c r="I49" s="43" t="s">
        <v>30</v>
      </c>
      <c r="J49" s="43"/>
      <c r="K49" s="43"/>
    </row>
    <row r="50" spans="1:11">
      <c r="A50" s="95">
        <f>A44+1</f>
        <v>44467</v>
      </c>
      <c r="B50" s="43" t="s">
        <v>34</v>
      </c>
      <c r="C50" s="43" t="s">
        <v>131</v>
      </c>
      <c r="D50" s="43" t="s">
        <v>101</v>
      </c>
      <c r="E50" s="43" t="s">
        <v>132</v>
      </c>
      <c r="G50" s="96" t="s">
        <v>135</v>
      </c>
      <c r="H50" s="43" t="s">
        <v>34</v>
      </c>
      <c r="I50" s="43" t="s">
        <v>131</v>
      </c>
      <c r="J50" s="43" t="s">
        <v>101</v>
      </c>
      <c r="K50" s="43" t="s">
        <v>132</v>
      </c>
    </row>
    <row r="51" spans="1:11">
      <c r="A51" s="4" t="s">
        <v>133</v>
      </c>
      <c r="B51" s="43">
        <f>'Meal Coupon Log - For ASUCLA'!N50</f>
        <v>997</v>
      </c>
      <c r="C51" s="43">
        <f>'Meal Coupon Log - For ASUCLA'!O50</f>
        <v>858</v>
      </c>
      <c r="D51" s="43">
        <f>'Meal Coupon Log - For ASUCLA'!P50</f>
        <v>407</v>
      </c>
      <c r="E51" s="43">
        <f>SUM(B51:D51)</f>
        <v>2262</v>
      </c>
      <c r="G51" s="4" t="s">
        <v>133</v>
      </c>
      <c r="H51" s="43">
        <f>B51+H45</f>
        <v>7892</v>
      </c>
      <c r="I51" s="43">
        <f t="shared" ref="I51:K51" si="57">C51+I45</f>
        <v>10995</v>
      </c>
      <c r="J51" s="43">
        <f t="shared" si="57"/>
        <v>4393</v>
      </c>
      <c r="K51" s="43">
        <f t="shared" si="57"/>
        <v>23280</v>
      </c>
    </row>
    <row r="52" spans="1:11">
      <c r="A52" s="4" t="s">
        <v>134</v>
      </c>
      <c r="B52" s="43">
        <f>'9.28.21'!F33</f>
        <v>888</v>
      </c>
      <c r="C52" s="43">
        <f>'9.28.21'!G33+'9.28.21'!H33</f>
        <v>1293</v>
      </c>
      <c r="D52" s="43">
        <v>407</v>
      </c>
      <c r="E52" s="43">
        <f>SUM(B52:D52)</f>
        <v>2588</v>
      </c>
      <c r="G52" s="4" t="s">
        <v>134</v>
      </c>
      <c r="H52" s="43">
        <f t="shared" ref="H52:H53" si="58">B52+H46</f>
        <v>8859</v>
      </c>
      <c r="I52" s="43">
        <f t="shared" ref="I52:I53" si="59">C52+I46</f>
        <v>10573</v>
      </c>
      <c r="J52" s="43">
        <f t="shared" ref="J52:J53" si="60">D52+J46</f>
        <v>1624</v>
      </c>
      <c r="K52" s="43">
        <f t="shared" ref="K52:K53" si="61">E52+K46</f>
        <v>21056</v>
      </c>
    </row>
    <row r="53" spans="1:11">
      <c r="A53" s="4" t="s">
        <v>86</v>
      </c>
      <c r="B53" s="43">
        <f>B51-B52</f>
        <v>109</v>
      </c>
      <c r="C53" s="43">
        <f t="shared" ref="C53" si="62">C51-C52</f>
        <v>-435</v>
      </c>
      <c r="D53" s="43">
        <f t="shared" ref="D53" si="63">D51-D52</f>
        <v>0</v>
      </c>
      <c r="E53" s="43">
        <f>SUM(B53:D53)</f>
        <v>-326</v>
      </c>
      <c r="G53" s="4" t="s">
        <v>86</v>
      </c>
      <c r="H53" s="43">
        <f t="shared" si="58"/>
        <v>-967</v>
      </c>
      <c r="I53" s="43">
        <f t="shared" si="59"/>
        <v>422</v>
      </c>
      <c r="J53" s="43">
        <f t="shared" si="60"/>
        <v>2769</v>
      </c>
      <c r="K53" s="43">
        <f t="shared" si="61"/>
        <v>2224</v>
      </c>
    </row>
    <row r="55" spans="1:11">
      <c r="A55" s="43" t="s">
        <v>137</v>
      </c>
      <c r="B55" s="43" t="s">
        <v>30</v>
      </c>
      <c r="C55" s="43" t="s">
        <v>30</v>
      </c>
      <c r="D55" s="43"/>
      <c r="E55" s="43"/>
      <c r="G55" s="4"/>
      <c r="H55" s="43" t="s">
        <v>30</v>
      </c>
      <c r="I55" s="43" t="s">
        <v>30</v>
      </c>
      <c r="J55" s="43"/>
      <c r="K55" s="43"/>
    </row>
    <row r="56" spans="1:11">
      <c r="A56" s="95">
        <f>A50+1</f>
        <v>44468</v>
      </c>
      <c r="B56" s="43" t="s">
        <v>34</v>
      </c>
      <c r="C56" s="43" t="s">
        <v>131</v>
      </c>
      <c r="D56" s="43" t="s">
        <v>101</v>
      </c>
      <c r="E56" s="43" t="s">
        <v>132</v>
      </c>
      <c r="G56" s="96" t="s">
        <v>135</v>
      </c>
      <c r="H56" s="43" t="s">
        <v>34</v>
      </c>
      <c r="I56" s="43" t="s">
        <v>131</v>
      </c>
      <c r="J56" s="43" t="s">
        <v>101</v>
      </c>
      <c r="K56" s="43" t="s">
        <v>132</v>
      </c>
    </row>
    <row r="57" spans="1:11">
      <c r="A57" s="4" t="s">
        <v>133</v>
      </c>
      <c r="B57" s="43">
        <f>'Meal Coupon Log - For ASUCLA'!N55</f>
        <v>760</v>
      </c>
      <c r="C57" s="43">
        <f>'Meal Coupon Log - For ASUCLA'!O55</f>
        <v>1797</v>
      </c>
      <c r="D57" s="43">
        <f>'Meal Coupon Log - For ASUCLA'!P55</f>
        <v>603</v>
      </c>
      <c r="E57" s="43">
        <f>SUM(B57:D57)</f>
        <v>3160</v>
      </c>
      <c r="G57" s="4" t="s">
        <v>133</v>
      </c>
      <c r="H57" s="43">
        <f>B57+H51</f>
        <v>8652</v>
      </c>
      <c r="I57" s="43">
        <f t="shared" ref="I57:K57" si="64">C57+I51</f>
        <v>12792</v>
      </c>
      <c r="J57" s="43">
        <f t="shared" si="64"/>
        <v>4996</v>
      </c>
      <c r="K57" s="43">
        <f t="shared" si="64"/>
        <v>26440</v>
      </c>
    </row>
    <row r="58" spans="1:11">
      <c r="A58" s="4" t="s">
        <v>134</v>
      </c>
      <c r="B58" s="43">
        <f>'9.29.21'!F33</f>
        <v>1202</v>
      </c>
      <c r="C58" s="43">
        <f>'9.29.21'!G33+'9.29.21'!H33</f>
        <v>1626</v>
      </c>
      <c r="D58" s="43">
        <v>603</v>
      </c>
      <c r="E58" s="43">
        <f>SUM(B58:D58)</f>
        <v>3431</v>
      </c>
      <c r="G58" s="4" t="s">
        <v>134</v>
      </c>
      <c r="H58" s="43">
        <f t="shared" ref="H58:H59" si="65">B58+H52</f>
        <v>10061</v>
      </c>
      <c r="I58" s="43">
        <f t="shared" ref="I58:I59" si="66">C58+I52</f>
        <v>12199</v>
      </c>
      <c r="J58" s="43">
        <f t="shared" ref="J58:J59" si="67">D58+J52</f>
        <v>2227</v>
      </c>
      <c r="K58" s="43">
        <f t="shared" ref="K58:K59" si="68">E58+K52</f>
        <v>24487</v>
      </c>
    </row>
    <row r="59" spans="1:11">
      <c r="A59" s="4" t="s">
        <v>86</v>
      </c>
      <c r="B59" s="43">
        <f>B57-B58</f>
        <v>-442</v>
      </c>
      <c r="C59" s="43">
        <f t="shared" ref="C59" si="69">C57-C58</f>
        <v>171</v>
      </c>
      <c r="D59" s="43">
        <f t="shared" ref="D59" si="70">D57-D58</f>
        <v>0</v>
      </c>
      <c r="E59" s="43">
        <f>SUM(B59:D59)</f>
        <v>-271</v>
      </c>
      <c r="G59" s="4" t="s">
        <v>86</v>
      </c>
      <c r="H59" s="43">
        <f t="shared" si="65"/>
        <v>-1409</v>
      </c>
      <c r="I59" s="43">
        <f t="shared" si="66"/>
        <v>593</v>
      </c>
      <c r="J59" s="43">
        <f t="shared" si="67"/>
        <v>2769</v>
      </c>
      <c r="K59" s="43">
        <f t="shared" si="68"/>
        <v>1953</v>
      </c>
    </row>
    <row r="61" spans="1:11">
      <c r="A61" s="43" t="s">
        <v>138</v>
      </c>
      <c r="B61" s="43" t="s">
        <v>30</v>
      </c>
      <c r="C61" s="43" t="s">
        <v>30</v>
      </c>
      <c r="D61" s="43"/>
      <c r="E61" s="43"/>
      <c r="G61" s="4"/>
      <c r="H61" s="43" t="s">
        <v>30</v>
      </c>
      <c r="I61" s="43" t="s">
        <v>30</v>
      </c>
      <c r="J61" s="43"/>
      <c r="K61" s="43"/>
    </row>
    <row r="62" spans="1:11">
      <c r="A62" s="95">
        <f>A56+1</f>
        <v>44469</v>
      </c>
      <c r="B62" s="43" t="s">
        <v>34</v>
      </c>
      <c r="C62" s="43" t="s">
        <v>131</v>
      </c>
      <c r="D62" s="43" t="s">
        <v>101</v>
      </c>
      <c r="E62" s="43" t="s">
        <v>132</v>
      </c>
      <c r="G62" s="96" t="s">
        <v>135</v>
      </c>
      <c r="H62" s="43" t="s">
        <v>34</v>
      </c>
      <c r="I62" s="43" t="s">
        <v>131</v>
      </c>
      <c r="J62" s="43" t="s">
        <v>101</v>
      </c>
      <c r="K62" s="43" t="s">
        <v>132</v>
      </c>
    </row>
    <row r="63" spans="1:11">
      <c r="A63" s="4" t="s">
        <v>133</v>
      </c>
      <c r="B63" s="43">
        <f>'Meal Coupon Log - For ASUCLA'!N60</f>
        <v>824</v>
      </c>
      <c r="C63" s="43">
        <f>'Meal Coupon Log - For ASUCLA'!O60</f>
        <v>1586</v>
      </c>
      <c r="D63" s="43">
        <f>'Meal Coupon Log - For ASUCLA'!P60</f>
        <v>516</v>
      </c>
      <c r="E63" s="43">
        <f>SUM(B63:D63)</f>
        <v>2926</v>
      </c>
      <c r="G63" s="4" t="s">
        <v>133</v>
      </c>
      <c r="H63" s="43">
        <f>B63+H57</f>
        <v>9476</v>
      </c>
      <c r="I63" s="43">
        <f t="shared" ref="I63:K63" si="71">C63+I57</f>
        <v>14378</v>
      </c>
      <c r="J63" s="43">
        <f t="shared" si="71"/>
        <v>5512</v>
      </c>
      <c r="K63" s="43">
        <f t="shared" si="71"/>
        <v>29366</v>
      </c>
    </row>
    <row r="64" spans="1:11">
      <c r="A64" s="4" t="s">
        <v>134</v>
      </c>
      <c r="B64" s="43">
        <f>'9.30.21'!F33</f>
        <v>1036</v>
      </c>
      <c r="C64" s="43">
        <f>'9.30.21'!G33+'9.30.21'!H33</f>
        <v>1320</v>
      </c>
      <c r="D64" s="43">
        <v>516</v>
      </c>
      <c r="E64" s="43">
        <f>SUM(B64:D64)</f>
        <v>2872</v>
      </c>
      <c r="G64" s="4" t="s">
        <v>134</v>
      </c>
      <c r="H64" s="43">
        <f t="shared" ref="H64:H65" si="72">B64+H58</f>
        <v>11097</v>
      </c>
      <c r="I64" s="43">
        <f t="shared" ref="I64:I65" si="73">C64+I58</f>
        <v>13519</v>
      </c>
      <c r="J64" s="43">
        <f t="shared" ref="J64:J65" si="74">D64+J58</f>
        <v>2743</v>
      </c>
      <c r="K64" s="43">
        <f t="shared" ref="K64:K65" si="75">E64+K58</f>
        <v>27359</v>
      </c>
    </row>
    <row r="65" spans="1:11">
      <c r="A65" s="4" t="s">
        <v>86</v>
      </c>
      <c r="B65" s="43">
        <f>B63-B64</f>
        <v>-212</v>
      </c>
      <c r="C65" s="43">
        <f t="shared" ref="C65" si="76">C63-C64</f>
        <v>266</v>
      </c>
      <c r="D65" s="43">
        <f t="shared" ref="D65" si="77">D63-D64</f>
        <v>0</v>
      </c>
      <c r="E65" s="43">
        <f>SUM(B65:D65)</f>
        <v>54</v>
      </c>
      <c r="G65" s="4" t="s">
        <v>86</v>
      </c>
      <c r="H65" s="43">
        <f t="shared" si="72"/>
        <v>-1621</v>
      </c>
      <c r="I65" s="43">
        <f t="shared" si="73"/>
        <v>859</v>
      </c>
      <c r="J65" s="43">
        <f t="shared" si="74"/>
        <v>2769</v>
      </c>
      <c r="K65" s="43">
        <f t="shared" si="75"/>
        <v>2007</v>
      </c>
    </row>
    <row r="67" spans="1:11">
      <c r="A67" s="43" t="s">
        <v>139</v>
      </c>
      <c r="B67" s="43" t="s">
        <v>30</v>
      </c>
      <c r="C67" s="43" t="s">
        <v>30</v>
      </c>
      <c r="D67" s="43"/>
      <c r="E67" s="43"/>
      <c r="G67" s="4"/>
      <c r="H67" s="43" t="s">
        <v>30</v>
      </c>
      <c r="I67" s="43" t="s">
        <v>30</v>
      </c>
      <c r="J67" s="43"/>
      <c r="K67" s="43"/>
    </row>
    <row r="68" spans="1:11">
      <c r="A68" s="95">
        <f>A62+1</f>
        <v>44470</v>
      </c>
      <c r="B68" s="43" t="s">
        <v>34</v>
      </c>
      <c r="C68" s="43" t="s">
        <v>131</v>
      </c>
      <c r="D68" s="43" t="s">
        <v>101</v>
      </c>
      <c r="E68" s="43" t="s">
        <v>132</v>
      </c>
      <c r="G68" s="96" t="s">
        <v>135</v>
      </c>
      <c r="H68" s="43" t="s">
        <v>34</v>
      </c>
      <c r="I68" s="43" t="s">
        <v>131</v>
      </c>
      <c r="J68" s="43" t="s">
        <v>101</v>
      </c>
      <c r="K68" s="43" t="s">
        <v>132</v>
      </c>
    </row>
    <row r="69" spans="1:11">
      <c r="A69" s="4" t="s">
        <v>133</v>
      </c>
      <c r="B69" s="43">
        <f>'Meal Coupon Log - For ASUCLA'!N65</f>
        <v>518</v>
      </c>
      <c r="C69" s="43">
        <f>'Meal Coupon Log - For ASUCLA'!O65</f>
        <v>1029</v>
      </c>
      <c r="D69" s="43">
        <f>'Meal Coupon Log - For ASUCLA'!P65</f>
        <v>407</v>
      </c>
      <c r="E69" s="43">
        <f>SUM(B69:D69)</f>
        <v>1954</v>
      </c>
      <c r="G69" s="4" t="s">
        <v>133</v>
      </c>
      <c r="H69" s="43">
        <f>B69+H63</f>
        <v>9994</v>
      </c>
      <c r="I69" s="43">
        <f t="shared" ref="I69:K69" si="78">C69+I63</f>
        <v>15407</v>
      </c>
      <c r="J69" s="43">
        <f t="shared" si="78"/>
        <v>5919</v>
      </c>
      <c r="K69" s="43">
        <f t="shared" si="78"/>
        <v>31320</v>
      </c>
    </row>
    <row r="70" spans="1:11">
      <c r="A70" s="4" t="s">
        <v>134</v>
      </c>
      <c r="B70" s="43">
        <f>'10.1.21'!F33</f>
        <v>959</v>
      </c>
      <c r="C70" s="186">
        <f>'10.1.21'!G33+'10.1.21'!H33</f>
        <v>1072</v>
      </c>
      <c r="D70" s="186">
        <v>407</v>
      </c>
      <c r="E70" s="43">
        <f>SUM(B70:D70)</f>
        <v>2438</v>
      </c>
      <c r="G70" s="4" t="s">
        <v>134</v>
      </c>
      <c r="H70" s="43">
        <f t="shared" ref="H70:H71" si="79">B70+H64</f>
        <v>12056</v>
      </c>
      <c r="I70" s="43">
        <f t="shared" ref="I70:I71" si="80">C70+I64</f>
        <v>14591</v>
      </c>
      <c r="J70" s="43">
        <f t="shared" ref="J70:J71" si="81">D70+J64</f>
        <v>3150</v>
      </c>
      <c r="K70" s="43">
        <f t="shared" ref="K70:K71" si="82">E70+K64</f>
        <v>29797</v>
      </c>
    </row>
    <row r="71" spans="1:11">
      <c r="A71" s="4" t="s">
        <v>86</v>
      </c>
      <c r="B71" s="43">
        <f>B69-B70</f>
        <v>-441</v>
      </c>
      <c r="C71" s="43">
        <f t="shared" ref="C71" si="83">C69-C70</f>
        <v>-43</v>
      </c>
      <c r="D71" s="43">
        <f t="shared" ref="D71" si="84">D69-D70</f>
        <v>0</v>
      </c>
      <c r="E71" s="43">
        <f>SUM(B71:D71)</f>
        <v>-484</v>
      </c>
      <c r="G71" s="4" t="s">
        <v>86</v>
      </c>
      <c r="H71" s="43">
        <f t="shared" si="79"/>
        <v>-2062</v>
      </c>
      <c r="I71" s="43">
        <f t="shared" si="80"/>
        <v>816</v>
      </c>
      <c r="J71" s="43">
        <f t="shared" si="81"/>
        <v>2769</v>
      </c>
      <c r="K71" s="43">
        <f t="shared" si="82"/>
        <v>1523</v>
      </c>
    </row>
    <row r="73" spans="1:11">
      <c r="A73" s="43" t="s">
        <v>140</v>
      </c>
      <c r="B73" s="43" t="s">
        <v>30</v>
      </c>
      <c r="C73" s="43" t="s">
        <v>30</v>
      </c>
      <c r="D73" s="43"/>
      <c r="E73" s="43"/>
      <c r="G73" s="4"/>
      <c r="H73" s="43" t="s">
        <v>30</v>
      </c>
      <c r="I73" s="43" t="s">
        <v>30</v>
      </c>
      <c r="J73" s="43"/>
      <c r="K73" s="43"/>
    </row>
    <row r="74" spans="1:11">
      <c r="A74" s="95">
        <f>A68+1</f>
        <v>44471</v>
      </c>
      <c r="B74" s="43" t="s">
        <v>34</v>
      </c>
      <c r="C74" s="43" t="s">
        <v>131</v>
      </c>
      <c r="D74" s="43" t="s">
        <v>101</v>
      </c>
      <c r="E74" s="43" t="s">
        <v>132</v>
      </c>
      <c r="G74" s="96" t="s">
        <v>135</v>
      </c>
      <c r="H74" s="43" t="s">
        <v>34</v>
      </c>
      <c r="I74" s="43" t="s">
        <v>131</v>
      </c>
      <c r="J74" s="43" t="s">
        <v>101</v>
      </c>
      <c r="K74" s="43" t="s">
        <v>132</v>
      </c>
    </row>
    <row r="75" spans="1:11">
      <c r="A75" s="4" t="s">
        <v>133</v>
      </c>
      <c r="B75" s="43">
        <f>'Meal Coupon Log - For ASUCLA'!N70</f>
        <v>0</v>
      </c>
      <c r="C75" s="43">
        <f>'Meal Coupon Log - For ASUCLA'!O70</f>
        <v>257</v>
      </c>
      <c r="D75" s="43">
        <f>'Meal Coupon Log - For ASUCLA'!P70</f>
        <v>0</v>
      </c>
      <c r="E75" s="43">
        <f>SUM(B75:D75)</f>
        <v>257</v>
      </c>
      <c r="G75" s="4" t="s">
        <v>133</v>
      </c>
      <c r="H75" s="43">
        <f>B75+H69</f>
        <v>9994</v>
      </c>
      <c r="I75" s="43">
        <f t="shared" ref="I75:I77" si="85">C75+I69</f>
        <v>15664</v>
      </c>
      <c r="J75" s="43">
        <f t="shared" ref="J75:J77" si="86">D75+J69</f>
        <v>5919</v>
      </c>
      <c r="K75" s="43">
        <f t="shared" ref="K75:K77" si="87">E75+K69</f>
        <v>31577</v>
      </c>
    </row>
    <row r="76" spans="1:11">
      <c r="A76" s="4" t="s">
        <v>134</v>
      </c>
      <c r="B76" s="43">
        <f>'10.2.21'!F36</f>
        <v>0</v>
      </c>
      <c r="C76" s="43">
        <f>'10.2.21'!G36+'10.2.21'!H36</f>
        <v>177</v>
      </c>
      <c r="D76" s="43">
        <v>0</v>
      </c>
      <c r="E76" s="43">
        <f>SUM(B76:D76)</f>
        <v>177</v>
      </c>
      <c r="G76" s="4" t="s">
        <v>134</v>
      </c>
      <c r="H76" s="43">
        <f t="shared" ref="H76:H77" si="88">B76+H70</f>
        <v>12056</v>
      </c>
      <c r="I76" s="43">
        <f t="shared" si="85"/>
        <v>14768</v>
      </c>
      <c r="J76" s="43">
        <f t="shared" si="86"/>
        <v>3150</v>
      </c>
      <c r="K76" s="43">
        <f t="shared" si="87"/>
        <v>29974</v>
      </c>
    </row>
    <row r="77" spans="1:11">
      <c r="A77" s="4" t="s">
        <v>86</v>
      </c>
      <c r="B77" s="43">
        <f>B75-B76</f>
        <v>0</v>
      </c>
      <c r="C77" s="43">
        <f t="shared" ref="C77:D77" si="89">C75-C76</f>
        <v>80</v>
      </c>
      <c r="D77" s="43">
        <f t="shared" si="89"/>
        <v>0</v>
      </c>
      <c r="E77" s="43">
        <f>SUM(B77:D77)</f>
        <v>80</v>
      </c>
      <c r="G77" s="4" t="s">
        <v>86</v>
      </c>
      <c r="H77" s="43">
        <f t="shared" si="88"/>
        <v>-2062</v>
      </c>
      <c r="I77" s="43">
        <f t="shared" si="85"/>
        <v>896</v>
      </c>
      <c r="J77" s="43">
        <f t="shared" si="86"/>
        <v>2769</v>
      </c>
      <c r="K77" s="43">
        <f t="shared" si="87"/>
        <v>1603</v>
      </c>
    </row>
    <row r="79" spans="1:11">
      <c r="A79" s="43" t="s">
        <v>141</v>
      </c>
      <c r="B79" s="43" t="s">
        <v>30</v>
      </c>
      <c r="C79" s="43" t="s">
        <v>30</v>
      </c>
      <c r="D79" s="43"/>
      <c r="E79" s="43"/>
      <c r="G79" s="4"/>
      <c r="H79" s="43" t="s">
        <v>30</v>
      </c>
      <c r="I79" s="43" t="s">
        <v>30</v>
      </c>
      <c r="J79" s="43"/>
      <c r="K79" s="43"/>
    </row>
    <row r="80" spans="1:11">
      <c r="A80" s="95">
        <f>A74+1</f>
        <v>44472</v>
      </c>
      <c r="B80" s="43" t="s">
        <v>34</v>
      </c>
      <c r="C80" s="43" t="s">
        <v>131</v>
      </c>
      <c r="D80" s="43" t="s">
        <v>101</v>
      </c>
      <c r="E80" s="43" t="s">
        <v>132</v>
      </c>
      <c r="G80" s="96" t="s">
        <v>135</v>
      </c>
      <c r="H80" s="43" t="s">
        <v>34</v>
      </c>
      <c r="I80" s="43" t="s">
        <v>131</v>
      </c>
      <c r="J80" s="43" t="s">
        <v>101</v>
      </c>
      <c r="K80" s="43" t="s">
        <v>132</v>
      </c>
    </row>
    <row r="81" spans="1:11">
      <c r="A81" s="4" t="s">
        <v>133</v>
      </c>
      <c r="B81" s="43">
        <f>'Meal Coupon Log - For ASUCLA'!N75</f>
        <v>0</v>
      </c>
      <c r="C81" s="43">
        <f>'Meal Coupon Log - For ASUCLA'!O75</f>
        <v>517</v>
      </c>
      <c r="D81" s="43">
        <f>'Meal Coupon Log - For ASUCLA'!P75</f>
        <v>0</v>
      </c>
      <c r="E81" s="43">
        <f>SUM(B81:D81)</f>
        <v>517</v>
      </c>
      <c r="G81" s="4" t="s">
        <v>133</v>
      </c>
      <c r="H81" s="43">
        <f>B81+H75</f>
        <v>9994</v>
      </c>
      <c r="I81" s="43">
        <f t="shared" ref="I81:I83" si="90">C81+I75</f>
        <v>16181</v>
      </c>
      <c r="J81" s="43">
        <f t="shared" ref="J81:J83" si="91">D81+J75</f>
        <v>5919</v>
      </c>
      <c r="K81" s="43">
        <f t="shared" ref="K81:K83" si="92">E81+K75</f>
        <v>32094</v>
      </c>
    </row>
    <row r="82" spans="1:11">
      <c r="A82" s="4" t="s">
        <v>134</v>
      </c>
      <c r="B82" s="43">
        <f>'10.3.21'!F36</f>
        <v>0</v>
      </c>
      <c r="C82" s="43">
        <f>'10.3.21'!G36+'10.3.21'!H36</f>
        <v>378</v>
      </c>
      <c r="D82" s="43">
        <v>0</v>
      </c>
      <c r="E82" s="43">
        <f>SUM(B82:D82)</f>
        <v>378</v>
      </c>
      <c r="G82" s="4" t="s">
        <v>134</v>
      </c>
      <c r="H82" s="43">
        <f t="shared" ref="H82:H83" si="93">B82+H76</f>
        <v>12056</v>
      </c>
      <c r="I82" s="43">
        <f t="shared" si="90"/>
        <v>15146</v>
      </c>
      <c r="J82" s="43">
        <f t="shared" si="91"/>
        <v>3150</v>
      </c>
      <c r="K82" s="43">
        <f t="shared" si="92"/>
        <v>30352</v>
      </c>
    </row>
    <row r="83" spans="1:11">
      <c r="A83" s="4" t="s">
        <v>86</v>
      </c>
      <c r="B83" s="43">
        <f>B81-B82</f>
        <v>0</v>
      </c>
      <c r="C83" s="43">
        <f t="shared" ref="C83:D83" si="94">C81-C82</f>
        <v>139</v>
      </c>
      <c r="D83" s="43">
        <f t="shared" si="94"/>
        <v>0</v>
      </c>
      <c r="E83" s="43">
        <f>SUM(B83:D83)</f>
        <v>139</v>
      </c>
      <c r="G83" s="4" t="s">
        <v>86</v>
      </c>
      <c r="H83" s="43">
        <f t="shared" si="93"/>
        <v>-2062</v>
      </c>
      <c r="I83" s="43">
        <f t="shared" si="90"/>
        <v>1035</v>
      </c>
      <c r="J83" s="43">
        <f t="shared" si="91"/>
        <v>2769</v>
      </c>
      <c r="K83" s="43">
        <f t="shared" si="92"/>
        <v>1742</v>
      </c>
    </row>
    <row r="85" spans="1:11">
      <c r="A85" s="43" t="s">
        <v>142</v>
      </c>
      <c r="B85" s="43" t="s">
        <v>30</v>
      </c>
      <c r="C85" s="43" t="s">
        <v>30</v>
      </c>
      <c r="D85" s="43"/>
      <c r="E85" s="43"/>
      <c r="G85" s="4"/>
      <c r="H85" s="43" t="s">
        <v>30</v>
      </c>
      <c r="I85" s="43" t="s">
        <v>30</v>
      </c>
      <c r="J85" s="43"/>
      <c r="K85" s="43"/>
    </row>
    <row r="86" spans="1:11">
      <c r="A86" s="95">
        <f>A80+1</f>
        <v>44473</v>
      </c>
      <c r="B86" s="43" t="s">
        <v>34</v>
      </c>
      <c r="C86" s="43" t="s">
        <v>131</v>
      </c>
      <c r="D86" s="43" t="s">
        <v>101</v>
      </c>
      <c r="E86" s="43" t="s">
        <v>132</v>
      </c>
      <c r="G86" s="96" t="s">
        <v>135</v>
      </c>
      <c r="H86" s="43" t="s">
        <v>34</v>
      </c>
      <c r="I86" s="43" t="s">
        <v>131</v>
      </c>
      <c r="J86" s="43" t="s">
        <v>101</v>
      </c>
      <c r="K86" s="43" t="s">
        <v>132</v>
      </c>
    </row>
    <row r="87" spans="1:11">
      <c r="A87" s="4" t="s">
        <v>133</v>
      </c>
      <c r="B87" s="43">
        <f>'Meal Coupon Log - For ASUCLA'!N80</f>
        <v>962</v>
      </c>
      <c r="C87" s="186">
        <f>'Meal Coupon Log - For ASUCLA'!O80</f>
        <v>1675</v>
      </c>
      <c r="D87" s="186">
        <f>'Meal Coupon Log - For ASUCLA'!P80</f>
        <v>419</v>
      </c>
      <c r="E87" s="43">
        <f>SUM(B87:D87)</f>
        <v>3056</v>
      </c>
      <c r="G87" s="4" t="s">
        <v>133</v>
      </c>
      <c r="H87" s="43">
        <f>B87+H81</f>
        <v>10956</v>
      </c>
      <c r="I87" s="43">
        <f t="shared" ref="I87:I89" si="95">C87+I81</f>
        <v>17856</v>
      </c>
      <c r="J87" s="43">
        <f t="shared" ref="J87:J89" si="96">D87+J81</f>
        <v>6338</v>
      </c>
      <c r="K87" s="43">
        <f t="shared" ref="K87:K89" si="97">E87+K81</f>
        <v>35150</v>
      </c>
    </row>
    <row r="88" spans="1:11">
      <c r="A88" s="4" t="s">
        <v>134</v>
      </c>
      <c r="B88" s="43">
        <f>'10.4.21'!F36</f>
        <v>1031</v>
      </c>
      <c r="C88" s="43">
        <f>'10.4.21'!G36+'10.4.21'!H36</f>
        <v>1469</v>
      </c>
      <c r="D88" s="43">
        <v>419</v>
      </c>
      <c r="E88" s="43">
        <f>SUM(B88:D88)</f>
        <v>2919</v>
      </c>
      <c r="G88" s="4" t="s">
        <v>134</v>
      </c>
      <c r="H88" s="43">
        <f t="shared" ref="H88:H89" si="98">B88+H82</f>
        <v>13087</v>
      </c>
      <c r="I88" s="43">
        <f t="shared" si="95"/>
        <v>16615</v>
      </c>
      <c r="J88" s="43">
        <f t="shared" si="96"/>
        <v>3569</v>
      </c>
      <c r="K88" s="43">
        <f t="shared" si="97"/>
        <v>33271</v>
      </c>
    </row>
    <row r="89" spans="1:11">
      <c r="A89" s="4" t="s">
        <v>86</v>
      </c>
      <c r="B89" s="43">
        <f>B87-B88</f>
        <v>-69</v>
      </c>
      <c r="C89" s="43">
        <f t="shared" ref="C89:D89" si="99">C87-C88</f>
        <v>206</v>
      </c>
      <c r="D89" s="43">
        <f t="shared" si="99"/>
        <v>0</v>
      </c>
      <c r="E89" s="43">
        <f>SUM(B89:D89)</f>
        <v>137</v>
      </c>
      <c r="G89" s="4" t="s">
        <v>86</v>
      </c>
      <c r="H89" s="43">
        <f t="shared" si="98"/>
        <v>-2131</v>
      </c>
      <c r="I89" s="43">
        <f t="shared" si="95"/>
        <v>1241</v>
      </c>
      <c r="J89" s="43">
        <f t="shared" si="96"/>
        <v>2769</v>
      </c>
      <c r="K89" s="43">
        <f t="shared" si="97"/>
        <v>1879</v>
      </c>
    </row>
    <row r="91" spans="1:11">
      <c r="A91" s="43" t="s">
        <v>136</v>
      </c>
      <c r="B91" s="43" t="s">
        <v>30</v>
      </c>
      <c r="C91" s="43" t="s">
        <v>30</v>
      </c>
      <c r="D91" s="43"/>
      <c r="E91" s="43"/>
      <c r="G91" s="4"/>
      <c r="H91" s="43" t="s">
        <v>30</v>
      </c>
      <c r="I91" s="43" t="s">
        <v>30</v>
      </c>
      <c r="J91" s="43"/>
      <c r="K91" s="43"/>
    </row>
    <row r="92" spans="1:11">
      <c r="A92" s="95">
        <f>A86+1</f>
        <v>44474</v>
      </c>
      <c r="B92" s="43" t="s">
        <v>34</v>
      </c>
      <c r="C92" s="43" t="s">
        <v>131</v>
      </c>
      <c r="D92" s="43" t="s">
        <v>101</v>
      </c>
      <c r="E92" s="43" t="s">
        <v>132</v>
      </c>
      <c r="G92" s="96" t="s">
        <v>135</v>
      </c>
      <c r="H92" s="43" t="s">
        <v>34</v>
      </c>
      <c r="I92" s="43" t="s">
        <v>131</v>
      </c>
      <c r="J92" s="43" t="s">
        <v>101</v>
      </c>
      <c r="K92" s="43" t="s">
        <v>132</v>
      </c>
    </row>
    <row r="93" spans="1:11">
      <c r="A93" s="4" t="s">
        <v>133</v>
      </c>
      <c r="B93" s="43">
        <f>'Meal Coupon Log - For ASUCLA'!N85</f>
        <v>888</v>
      </c>
      <c r="C93" s="43">
        <f>'Meal Coupon Log - For ASUCLA'!O85</f>
        <v>1868</v>
      </c>
      <c r="D93" s="186">
        <f>'Meal Coupon Log - For ASUCLA'!P85</f>
        <v>682</v>
      </c>
      <c r="E93" s="43">
        <f>SUM(B93:D93)</f>
        <v>3438</v>
      </c>
      <c r="G93" s="4" t="s">
        <v>133</v>
      </c>
      <c r="H93" s="43">
        <f>B93+H87</f>
        <v>11844</v>
      </c>
      <c r="I93" s="43">
        <f t="shared" ref="I93:I95" si="100">C93+I87</f>
        <v>19724</v>
      </c>
      <c r="J93" s="43">
        <f t="shared" ref="J93:J95" si="101">D93+J87</f>
        <v>7020</v>
      </c>
      <c r="K93" s="43">
        <f t="shared" ref="K93:K95" si="102">E93+K87</f>
        <v>38588</v>
      </c>
    </row>
    <row r="94" spans="1:11">
      <c r="A94" s="4" t="s">
        <v>134</v>
      </c>
      <c r="B94" s="43">
        <f>'10.5.21'!F36</f>
        <v>985</v>
      </c>
      <c r="C94" s="43">
        <f>'10.5.21'!G36+'10.5.21'!H36</f>
        <v>1515</v>
      </c>
      <c r="D94" s="43">
        <v>682</v>
      </c>
      <c r="E94" s="43">
        <f>SUM(B94:D94)</f>
        <v>3182</v>
      </c>
      <c r="G94" s="4" t="s">
        <v>134</v>
      </c>
      <c r="H94" s="43">
        <f t="shared" ref="H94:H95" si="103">B94+H88</f>
        <v>14072</v>
      </c>
      <c r="I94" s="43">
        <f t="shared" si="100"/>
        <v>18130</v>
      </c>
      <c r="J94" s="43">
        <f t="shared" si="101"/>
        <v>4251</v>
      </c>
      <c r="K94" s="43">
        <f t="shared" si="102"/>
        <v>36453</v>
      </c>
    </row>
    <row r="95" spans="1:11">
      <c r="A95" s="4" t="s">
        <v>86</v>
      </c>
      <c r="B95" s="43">
        <f>B93-B94</f>
        <v>-97</v>
      </c>
      <c r="C95" s="43">
        <f t="shared" ref="C95:D95" si="104">C93-C94</f>
        <v>353</v>
      </c>
      <c r="D95" s="43">
        <f t="shared" si="104"/>
        <v>0</v>
      </c>
      <c r="E95" s="43">
        <f>SUM(B95:D95)</f>
        <v>256</v>
      </c>
      <c r="G95" s="4" t="s">
        <v>86</v>
      </c>
      <c r="H95" s="43">
        <f t="shared" si="103"/>
        <v>-2228</v>
      </c>
      <c r="I95" s="43">
        <f t="shared" si="100"/>
        <v>1594</v>
      </c>
      <c r="J95" s="43">
        <f t="shared" si="101"/>
        <v>2769</v>
      </c>
      <c r="K95" s="43">
        <f t="shared" si="102"/>
        <v>2135</v>
      </c>
    </row>
    <row r="97" spans="1:11">
      <c r="A97" s="186" t="s">
        <v>137</v>
      </c>
      <c r="B97" s="186" t="s">
        <v>30</v>
      </c>
      <c r="C97" s="186" t="s">
        <v>30</v>
      </c>
      <c r="D97" s="186"/>
      <c r="E97" s="186"/>
      <c r="F97" s="150"/>
      <c r="G97" s="184"/>
      <c r="H97" s="186" t="s">
        <v>30</v>
      </c>
      <c r="I97" s="186" t="s">
        <v>30</v>
      </c>
      <c r="J97" s="186"/>
      <c r="K97" s="186"/>
    </row>
    <row r="98" spans="1:11">
      <c r="A98" s="95">
        <f>A92+1</f>
        <v>44475</v>
      </c>
      <c r="B98" s="186" t="s">
        <v>34</v>
      </c>
      <c r="C98" s="186" t="s">
        <v>131</v>
      </c>
      <c r="D98" s="186" t="s">
        <v>101</v>
      </c>
      <c r="E98" s="186" t="s">
        <v>132</v>
      </c>
      <c r="F98" s="150"/>
      <c r="G98" s="96" t="s">
        <v>135</v>
      </c>
      <c r="H98" s="186" t="s">
        <v>34</v>
      </c>
      <c r="I98" s="186" t="s">
        <v>131</v>
      </c>
      <c r="J98" s="186" t="s">
        <v>101</v>
      </c>
      <c r="K98" s="186" t="s">
        <v>132</v>
      </c>
    </row>
    <row r="99" spans="1:11">
      <c r="A99" s="184" t="s">
        <v>133</v>
      </c>
      <c r="B99" s="186">
        <f>'Meal Coupon Log - For ASUCLA'!N90</f>
        <v>469</v>
      </c>
      <c r="C99" s="186">
        <f>'Meal Coupon Log - For ASUCLA'!O90</f>
        <v>1610</v>
      </c>
      <c r="D99" s="186">
        <f>'Meal Coupon Log - For ASUCLA'!P90</f>
        <v>544</v>
      </c>
      <c r="E99" s="186">
        <f>SUM(B99:D99)</f>
        <v>2623</v>
      </c>
      <c r="F99" s="150"/>
      <c r="G99" s="184" t="s">
        <v>133</v>
      </c>
      <c r="H99" s="186">
        <f>B99+H93</f>
        <v>12313</v>
      </c>
      <c r="I99" s="186">
        <f t="shared" ref="I99:I101" si="105">C99+I93</f>
        <v>21334</v>
      </c>
      <c r="J99" s="186">
        <f t="shared" ref="J99:J101" si="106">D99+J93</f>
        <v>7564</v>
      </c>
      <c r="K99" s="186">
        <f t="shared" ref="K99:K101" si="107">E99+K93</f>
        <v>41211</v>
      </c>
    </row>
    <row r="100" spans="1:11">
      <c r="A100" s="184" t="s">
        <v>134</v>
      </c>
      <c r="B100" s="186">
        <f>'10.6.21'!F36</f>
        <v>999</v>
      </c>
      <c r="C100" s="186">
        <f>'10.6.21'!G36+'10.6.21'!H36</f>
        <v>1672</v>
      </c>
      <c r="D100" s="186">
        <v>471</v>
      </c>
      <c r="E100" s="186">
        <f>SUM(B100:D100)</f>
        <v>3142</v>
      </c>
      <c r="F100" s="150"/>
      <c r="G100" s="184" t="s">
        <v>134</v>
      </c>
      <c r="H100" s="186">
        <f t="shared" ref="H100:H101" si="108">B100+H94</f>
        <v>15071</v>
      </c>
      <c r="I100" s="186">
        <f t="shared" si="105"/>
        <v>19802</v>
      </c>
      <c r="J100" s="186">
        <f t="shared" si="106"/>
        <v>4722</v>
      </c>
      <c r="K100" s="186">
        <f t="shared" si="107"/>
        <v>39595</v>
      </c>
    </row>
    <row r="101" spans="1:11">
      <c r="A101" s="184" t="s">
        <v>86</v>
      </c>
      <c r="B101" s="186">
        <f>B99-B100</f>
        <v>-530</v>
      </c>
      <c r="C101" s="186">
        <f t="shared" ref="C101:D101" si="109">C99-C100</f>
        <v>-62</v>
      </c>
      <c r="D101" s="186">
        <f t="shared" si="109"/>
        <v>73</v>
      </c>
      <c r="E101" s="186">
        <f>SUM(B101:D101)</f>
        <v>-519</v>
      </c>
      <c r="F101" s="150"/>
      <c r="G101" s="184" t="s">
        <v>86</v>
      </c>
      <c r="H101" s="186">
        <f t="shared" si="108"/>
        <v>-2758</v>
      </c>
      <c r="I101" s="186">
        <f t="shared" si="105"/>
        <v>1532</v>
      </c>
      <c r="J101" s="186">
        <f t="shared" si="106"/>
        <v>2842</v>
      </c>
      <c r="K101" s="186">
        <f t="shared" si="107"/>
        <v>1616</v>
      </c>
    </row>
    <row r="103" spans="1:11">
      <c r="A103" s="186" t="s">
        <v>138</v>
      </c>
      <c r="B103" s="186" t="s">
        <v>30</v>
      </c>
      <c r="C103" s="186" t="s">
        <v>30</v>
      </c>
      <c r="D103" s="186"/>
      <c r="E103" s="186"/>
      <c r="F103" s="150"/>
      <c r="G103" s="184"/>
      <c r="H103" s="186" t="s">
        <v>30</v>
      </c>
      <c r="I103" s="186" t="s">
        <v>30</v>
      </c>
      <c r="J103" s="186"/>
      <c r="K103" s="186"/>
    </row>
    <row r="104" spans="1:11">
      <c r="A104" s="95">
        <f>A98+1</f>
        <v>44476</v>
      </c>
      <c r="B104" s="186" t="s">
        <v>34</v>
      </c>
      <c r="C104" s="186" t="s">
        <v>131</v>
      </c>
      <c r="D104" s="186" t="s">
        <v>101</v>
      </c>
      <c r="E104" s="186" t="s">
        <v>132</v>
      </c>
      <c r="F104" s="150"/>
      <c r="G104" s="96" t="s">
        <v>135</v>
      </c>
      <c r="H104" s="186" t="s">
        <v>34</v>
      </c>
      <c r="I104" s="186" t="s">
        <v>131</v>
      </c>
      <c r="J104" s="186" t="s">
        <v>101</v>
      </c>
      <c r="K104" s="186" t="s">
        <v>132</v>
      </c>
    </row>
    <row r="105" spans="1:11">
      <c r="A105" s="184" t="s">
        <v>133</v>
      </c>
      <c r="B105" s="186">
        <f>'Meal Coupon Log - For ASUCLA'!N95</f>
        <v>1232</v>
      </c>
      <c r="C105" s="186">
        <f>'Meal Coupon Log - For ASUCLA'!O95</f>
        <v>1529</v>
      </c>
      <c r="D105" s="186">
        <f>'Meal Coupon Log - For ASUCLA'!P95</f>
        <v>408</v>
      </c>
      <c r="E105" s="186">
        <f>SUM(B105:D105)</f>
        <v>3169</v>
      </c>
      <c r="F105" s="150"/>
      <c r="G105" s="184" t="s">
        <v>133</v>
      </c>
      <c r="H105" s="186">
        <f>B105+H99</f>
        <v>13545</v>
      </c>
      <c r="I105" s="186">
        <f t="shared" ref="I105:I107" si="110">C105+I99</f>
        <v>22863</v>
      </c>
      <c r="J105" s="186">
        <f t="shared" ref="J105:J107" si="111">D105+J99</f>
        <v>7972</v>
      </c>
      <c r="K105" s="186">
        <f t="shared" ref="K105:K107" si="112">E105+K99</f>
        <v>44380</v>
      </c>
    </row>
    <row r="106" spans="1:11">
      <c r="A106" s="184" t="s">
        <v>134</v>
      </c>
      <c r="B106" s="186">
        <f>'10.7.21'!F36</f>
        <v>1237</v>
      </c>
      <c r="C106" s="186">
        <f>'10.7.21'!G36+'10.7.21'!H36</f>
        <v>1701</v>
      </c>
      <c r="D106" s="186">
        <v>408</v>
      </c>
      <c r="E106" s="186">
        <f>SUM(B106:D106)</f>
        <v>3346</v>
      </c>
      <c r="F106" s="150"/>
      <c r="G106" s="184" t="s">
        <v>134</v>
      </c>
      <c r="H106" s="186">
        <f t="shared" ref="H106:H107" si="113">B106+H100</f>
        <v>16308</v>
      </c>
      <c r="I106" s="186">
        <f t="shared" si="110"/>
        <v>21503</v>
      </c>
      <c r="J106" s="186">
        <f t="shared" si="111"/>
        <v>5130</v>
      </c>
      <c r="K106" s="186">
        <f t="shared" si="112"/>
        <v>42941</v>
      </c>
    </row>
    <row r="107" spans="1:11">
      <c r="A107" s="184" t="s">
        <v>86</v>
      </c>
      <c r="B107" s="186">
        <f>B105-B106</f>
        <v>-5</v>
      </c>
      <c r="C107" s="186">
        <f t="shared" ref="C107:D107" si="114">C105-C106</f>
        <v>-172</v>
      </c>
      <c r="D107" s="186">
        <f t="shared" si="114"/>
        <v>0</v>
      </c>
      <c r="E107" s="186">
        <f>SUM(B107:D107)</f>
        <v>-177</v>
      </c>
      <c r="F107" s="150"/>
      <c r="G107" s="184" t="s">
        <v>86</v>
      </c>
      <c r="H107" s="186">
        <f t="shared" si="113"/>
        <v>-2763</v>
      </c>
      <c r="I107" s="186">
        <f t="shared" si="110"/>
        <v>1360</v>
      </c>
      <c r="J107" s="186">
        <f t="shared" si="111"/>
        <v>2842</v>
      </c>
      <c r="K107" s="186">
        <f t="shared" si="112"/>
        <v>1439</v>
      </c>
    </row>
    <row r="109" spans="1:11">
      <c r="A109" s="186" t="s">
        <v>139</v>
      </c>
      <c r="B109" s="186" t="s">
        <v>30</v>
      </c>
      <c r="C109" s="186" t="s">
        <v>30</v>
      </c>
      <c r="D109" s="186"/>
      <c r="E109" s="186"/>
      <c r="F109" s="150"/>
      <c r="G109" s="184"/>
      <c r="H109" s="186" t="s">
        <v>30</v>
      </c>
      <c r="I109" s="186" t="s">
        <v>30</v>
      </c>
      <c r="J109" s="186"/>
      <c r="K109" s="186"/>
    </row>
    <row r="110" spans="1:11">
      <c r="A110" s="95">
        <f>A104+1</f>
        <v>44477</v>
      </c>
      <c r="B110" s="186" t="s">
        <v>34</v>
      </c>
      <c r="C110" s="186" t="s">
        <v>131</v>
      </c>
      <c r="D110" s="186" t="s">
        <v>101</v>
      </c>
      <c r="E110" s="186" t="s">
        <v>132</v>
      </c>
      <c r="F110" s="150"/>
      <c r="G110" s="96" t="s">
        <v>135</v>
      </c>
      <c r="H110" s="186" t="s">
        <v>34</v>
      </c>
      <c r="I110" s="186" t="s">
        <v>131</v>
      </c>
      <c r="J110" s="186" t="s">
        <v>101</v>
      </c>
      <c r="K110" s="186" t="s">
        <v>132</v>
      </c>
    </row>
    <row r="111" spans="1:11">
      <c r="A111" s="184" t="s">
        <v>133</v>
      </c>
      <c r="B111" s="186">
        <f>'Meal Coupon Log - For ASUCLA'!N100</f>
        <v>805</v>
      </c>
      <c r="C111" s="186">
        <f>'Meal Coupon Log - For ASUCLA'!O100</f>
        <v>1425</v>
      </c>
      <c r="D111" s="186">
        <f>'Meal Coupon Log - For ASUCLA'!P100</f>
        <v>536</v>
      </c>
      <c r="E111" s="186">
        <f>SUM(B111:D111)</f>
        <v>2766</v>
      </c>
      <c r="F111" s="150"/>
      <c r="G111" s="184" t="s">
        <v>133</v>
      </c>
      <c r="H111" s="186">
        <f>B111+H105</f>
        <v>14350</v>
      </c>
      <c r="I111" s="186">
        <f t="shared" ref="I111:I113" si="115">C111+I105</f>
        <v>24288</v>
      </c>
      <c r="J111" s="186">
        <f t="shared" ref="J111:J113" si="116">D111+J105</f>
        <v>8508</v>
      </c>
      <c r="K111" s="186">
        <f t="shared" ref="K111:K113" si="117">E111+K105</f>
        <v>47146</v>
      </c>
    </row>
    <row r="112" spans="1:11">
      <c r="A112" s="184" t="s">
        <v>134</v>
      </c>
      <c r="B112" s="186">
        <v>948</v>
      </c>
      <c r="C112" s="186">
        <f>990+369</f>
        <v>1359</v>
      </c>
      <c r="D112" s="186">
        <v>536</v>
      </c>
      <c r="E112" s="186">
        <f>SUM(B112:D112)</f>
        <v>2843</v>
      </c>
      <c r="F112" s="150"/>
      <c r="G112" s="184" t="s">
        <v>134</v>
      </c>
      <c r="H112" s="186">
        <f t="shared" ref="H112:H113" si="118">B112+H106</f>
        <v>17256</v>
      </c>
      <c r="I112" s="186">
        <f t="shared" si="115"/>
        <v>22862</v>
      </c>
      <c r="J112" s="186">
        <f t="shared" si="116"/>
        <v>5666</v>
      </c>
      <c r="K112" s="186">
        <f t="shared" si="117"/>
        <v>45784</v>
      </c>
    </row>
    <row r="113" spans="1:11">
      <c r="A113" s="184" t="s">
        <v>86</v>
      </c>
      <c r="B113" s="186">
        <f>B111-B112</f>
        <v>-143</v>
      </c>
      <c r="C113" s="186">
        <f t="shared" ref="C113:D113" si="119">C111-C112</f>
        <v>66</v>
      </c>
      <c r="D113" s="186">
        <f t="shared" si="119"/>
        <v>0</v>
      </c>
      <c r="E113" s="186">
        <f>SUM(B113:D113)</f>
        <v>-77</v>
      </c>
      <c r="F113" s="150"/>
      <c r="G113" s="184" t="s">
        <v>86</v>
      </c>
      <c r="H113" s="186">
        <f t="shared" si="118"/>
        <v>-2906</v>
      </c>
      <c r="I113" s="186">
        <f t="shared" si="115"/>
        <v>1426</v>
      </c>
      <c r="J113" s="186">
        <f t="shared" si="116"/>
        <v>2842</v>
      </c>
      <c r="K113" s="186">
        <f t="shared" si="117"/>
        <v>1362</v>
      </c>
    </row>
    <row r="115" spans="1:11">
      <c r="A115" s="186" t="s">
        <v>140</v>
      </c>
      <c r="B115" s="186" t="s">
        <v>30</v>
      </c>
      <c r="C115" s="186" t="s">
        <v>30</v>
      </c>
      <c r="D115" s="186"/>
      <c r="E115" s="186"/>
      <c r="F115" s="150"/>
      <c r="G115" s="184"/>
      <c r="H115" s="186" t="s">
        <v>30</v>
      </c>
      <c r="I115" s="186" t="s">
        <v>30</v>
      </c>
      <c r="J115" s="186"/>
      <c r="K115" s="186"/>
    </row>
    <row r="116" spans="1:11">
      <c r="A116" s="95">
        <f>A110+1</f>
        <v>44478</v>
      </c>
      <c r="B116" s="186" t="s">
        <v>34</v>
      </c>
      <c r="C116" s="186" t="s">
        <v>131</v>
      </c>
      <c r="D116" s="186" t="s">
        <v>101</v>
      </c>
      <c r="E116" s="186" t="s">
        <v>132</v>
      </c>
      <c r="F116" s="150"/>
      <c r="G116" s="96" t="s">
        <v>135</v>
      </c>
      <c r="H116" s="186" t="s">
        <v>34</v>
      </c>
      <c r="I116" s="186" t="s">
        <v>131</v>
      </c>
      <c r="J116" s="186" t="s">
        <v>101</v>
      </c>
      <c r="K116" s="186" t="s">
        <v>132</v>
      </c>
    </row>
    <row r="117" spans="1:11">
      <c r="A117" s="184" t="s">
        <v>133</v>
      </c>
      <c r="B117" s="186">
        <f>'Meal Coupon Log - For ASUCLA'!N105</f>
        <v>294</v>
      </c>
      <c r="C117" s="186">
        <f>'Meal Coupon Log - For ASUCLA'!O105</f>
        <v>980</v>
      </c>
      <c r="D117" s="186">
        <f>'Meal Coupon Log - For ASUCLA'!P105</f>
        <v>470</v>
      </c>
      <c r="E117" s="186">
        <f>SUM(B117:D117)</f>
        <v>1744</v>
      </c>
      <c r="F117" s="150"/>
      <c r="G117" s="184" t="s">
        <v>133</v>
      </c>
      <c r="H117" s="186">
        <f>B117+H111</f>
        <v>14644</v>
      </c>
      <c r="I117" s="186">
        <f t="shared" ref="I117:I119" si="120">C117+I111</f>
        <v>25268</v>
      </c>
      <c r="J117" s="186">
        <f t="shared" ref="J117:J119" si="121">D117+J111</f>
        <v>8978</v>
      </c>
      <c r="K117" s="186">
        <f t="shared" ref="K117:K119" si="122">E117+K111</f>
        <v>48890</v>
      </c>
    </row>
    <row r="118" spans="1:11">
      <c r="A118" s="184" t="s">
        <v>134</v>
      </c>
      <c r="B118" s="186">
        <v>0</v>
      </c>
      <c r="C118" s="186">
        <f>534</f>
        <v>534</v>
      </c>
      <c r="D118" s="186">
        <v>470</v>
      </c>
      <c r="E118" s="186">
        <f>SUM(B118:D118)</f>
        <v>1004</v>
      </c>
      <c r="F118" s="150"/>
      <c r="G118" s="184" t="s">
        <v>134</v>
      </c>
      <c r="H118" s="186">
        <f t="shared" ref="H118:H119" si="123">B118+H112</f>
        <v>17256</v>
      </c>
      <c r="I118" s="186">
        <f t="shared" si="120"/>
        <v>23396</v>
      </c>
      <c r="J118" s="186">
        <f t="shared" si="121"/>
        <v>6136</v>
      </c>
      <c r="K118" s="186">
        <f t="shared" si="122"/>
        <v>46788</v>
      </c>
    </row>
    <row r="119" spans="1:11">
      <c r="A119" s="184" t="s">
        <v>86</v>
      </c>
      <c r="B119" s="186">
        <f>B117-B118</f>
        <v>294</v>
      </c>
      <c r="C119" s="186">
        <f t="shared" ref="C119:D119" si="124">C117-C118</f>
        <v>446</v>
      </c>
      <c r="D119" s="186">
        <f t="shared" si="124"/>
        <v>0</v>
      </c>
      <c r="E119" s="186">
        <f>SUM(B119:D119)</f>
        <v>740</v>
      </c>
      <c r="F119" s="150"/>
      <c r="G119" s="184" t="s">
        <v>86</v>
      </c>
      <c r="H119" s="186">
        <f t="shared" si="123"/>
        <v>-2612</v>
      </c>
      <c r="I119" s="186">
        <f t="shared" si="120"/>
        <v>1872</v>
      </c>
      <c r="J119" s="186">
        <f t="shared" si="121"/>
        <v>2842</v>
      </c>
      <c r="K119" s="186">
        <f t="shared" si="122"/>
        <v>2102</v>
      </c>
    </row>
    <row r="121" spans="1:11">
      <c r="A121" s="186" t="s">
        <v>141</v>
      </c>
      <c r="B121" s="186" t="s">
        <v>30</v>
      </c>
      <c r="C121" s="186" t="s">
        <v>30</v>
      </c>
      <c r="D121" s="186"/>
      <c r="E121" s="186"/>
      <c r="F121" s="150"/>
      <c r="G121" s="184"/>
      <c r="H121" s="186" t="s">
        <v>30</v>
      </c>
      <c r="I121" s="186" t="s">
        <v>30</v>
      </c>
      <c r="J121" s="186"/>
      <c r="K121" s="186"/>
    </row>
    <row r="122" spans="1:11">
      <c r="A122" s="95">
        <f>A116+1</f>
        <v>44479</v>
      </c>
      <c r="B122" s="186" t="s">
        <v>34</v>
      </c>
      <c r="C122" s="186" t="s">
        <v>131</v>
      </c>
      <c r="D122" s="186" t="s">
        <v>101</v>
      </c>
      <c r="E122" s="186" t="s">
        <v>132</v>
      </c>
      <c r="F122" s="150"/>
      <c r="G122" s="96" t="s">
        <v>135</v>
      </c>
      <c r="H122" s="186" t="s">
        <v>34</v>
      </c>
      <c r="I122" s="186" t="s">
        <v>131</v>
      </c>
      <c r="J122" s="186" t="s">
        <v>101</v>
      </c>
      <c r="K122" s="186" t="s">
        <v>132</v>
      </c>
    </row>
    <row r="123" spans="1:11">
      <c r="A123" s="184" t="s">
        <v>133</v>
      </c>
      <c r="B123" s="186">
        <f>'Meal Coupon Log - For ASUCLA'!N110</f>
        <v>-81</v>
      </c>
      <c r="C123" s="186">
        <f>'Meal Coupon Log - For ASUCLA'!O110</f>
        <v>646</v>
      </c>
      <c r="D123" s="186">
        <f>'Meal Coupon Log - For ASUCLA'!P110</f>
        <v>-351</v>
      </c>
      <c r="E123" s="186">
        <f>SUM(B123:D123)</f>
        <v>214</v>
      </c>
      <c r="F123" s="150"/>
      <c r="G123" s="184" t="s">
        <v>133</v>
      </c>
      <c r="H123" s="186">
        <f>B123+H117</f>
        <v>14563</v>
      </c>
      <c r="I123" s="186">
        <f t="shared" ref="I123:I125" si="125">C123+I117</f>
        <v>25914</v>
      </c>
      <c r="J123" s="186">
        <f t="shared" ref="J123:J125" si="126">D123+J117</f>
        <v>8627</v>
      </c>
      <c r="K123" s="186">
        <f t="shared" ref="K123:K125" si="127">E123+K117</f>
        <v>49104</v>
      </c>
    </row>
    <row r="124" spans="1:11">
      <c r="A124" s="184" t="s">
        <v>134</v>
      </c>
      <c r="B124" s="186">
        <v>0</v>
      </c>
      <c r="C124" s="186">
        <f>388+398</f>
        <v>786</v>
      </c>
      <c r="D124" s="186">
        <v>-351</v>
      </c>
      <c r="E124" s="186">
        <f>SUM(B124:D124)</f>
        <v>435</v>
      </c>
      <c r="F124" s="150"/>
      <c r="G124" s="184" t="s">
        <v>134</v>
      </c>
      <c r="H124" s="186">
        <f t="shared" ref="H124:H125" si="128">B124+H118</f>
        <v>17256</v>
      </c>
      <c r="I124" s="186">
        <f t="shared" si="125"/>
        <v>24182</v>
      </c>
      <c r="J124" s="186">
        <f t="shared" si="126"/>
        <v>5785</v>
      </c>
      <c r="K124" s="186">
        <f t="shared" si="127"/>
        <v>47223</v>
      </c>
    </row>
    <row r="125" spans="1:11">
      <c r="A125" s="184" t="s">
        <v>86</v>
      </c>
      <c r="B125" s="186">
        <f>B123-B124</f>
        <v>-81</v>
      </c>
      <c r="C125" s="186">
        <f t="shared" ref="C125:D125" si="129">C123-C124</f>
        <v>-140</v>
      </c>
      <c r="D125" s="186">
        <f t="shared" si="129"/>
        <v>0</v>
      </c>
      <c r="E125" s="186">
        <f>SUM(B125:D125)</f>
        <v>-221</v>
      </c>
      <c r="F125" s="150"/>
      <c r="G125" s="184" t="s">
        <v>86</v>
      </c>
      <c r="H125" s="186">
        <f t="shared" si="128"/>
        <v>-2693</v>
      </c>
      <c r="I125" s="186">
        <f t="shared" si="125"/>
        <v>1732</v>
      </c>
      <c r="J125" s="186">
        <f t="shared" si="126"/>
        <v>2842</v>
      </c>
      <c r="K125" s="186">
        <f t="shared" si="127"/>
        <v>1881</v>
      </c>
    </row>
    <row r="127" spans="1:11">
      <c r="A127" s="186" t="s">
        <v>142</v>
      </c>
      <c r="B127" s="186" t="s">
        <v>30</v>
      </c>
      <c r="C127" s="186" t="s">
        <v>30</v>
      </c>
      <c r="D127" s="186"/>
      <c r="E127" s="186"/>
      <c r="F127" s="150"/>
      <c r="G127" s="184"/>
      <c r="H127" s="186" t="s">
        <v>30</v>
      </c>
      <c r="I127" s="186" t="s">
        <v>30</v>
      </c>
      <c r="J127" s="186"/>
      <c r="K127" s="186"/>
    </row>
    <row r="128" spans="1:11">
      <c r="A128" s="95">
        <f>A122+1</f>
        <v>44480</v>
      </c>
      <c r="B128" s="186" t="s">
        <v>34</v>
      </c>
      <c r="C128" s="186" t="s">
        <v>131</v>
      </c>
      <c r="D128" s="186" t="s">
        <v>101</v>
      </c>
      <c r="E128" s="186" t="s">
        <v>132</v>
      </c>
      <c r="F128" s="150"/>
      <c r="G128" s="96" t="s">
        <v>135</v>
      </c>
      <c r="H128" s="186" t="s">
        <v>34</v>
      </c>
      <c r="I128" s="186" t="s">
        <v>131</v>
      </c>
      <c r="J128" s="186" t="s">
        <v>101</v>
      </c>
      <c r="K128" s="186" t="s">
        <v>132</v>
      </c>
    </row>
    <row r="129" spans="1:11">
      <c r="A129" s="184" t="s">
        <v>133</v>
      </c>
      <c r="B129" s="186">
        <f>'Meal Coupon Log - For ASUCLA'!N115</f>
        <v>1105</v>
      </c>
      <c r="C129" s="232">
        <f>'Meal Coupon Log - For ASUCLA'!O115</f>
        <v>1740</v>
      </c>
      <c r="D129" s="232">
        <f>'Meal Coupon Log - For ASUCLA'!P115</f>
        <v>426</v>
      </c>
      <c r="E129" s="186">
        <f>SUM(B129:D129)</f>
        <v>3271</v>
      </c>
      <c r="F129" s="150"/>
      <c r="G129" s="184" t="s">
        <v>133</v>
      </c>
      <c r="H129" s="186">
        <f>B129+H123</f>
        <v>15668</v>
      </c>
      <c r="I129" s="186">
        <f t="shared" ref="I129:I131" si="130">C129+I123</f>
        <v>27654</v>
      </c>
      <c r="J129" s="186">
        <f t="shared" ref="J129:J131" si="131">D129+J123</f>
        <v>9053</v>
      </c>
      <c r="K129" s="186">
        <f t="shared" ref="K129:K131" si="132">E129+K123</f>
        <v>52375</v>
      </c>
    </row>
    <row r="130" spans="1:11">
      <c r="A130" s="184" t="s">
        <v>134</v>
      </c>
      <c r="B130" s="186">
        <f>'10.11.21'!F34</f>
        <v>1098</v>
      </c>
      <c r="C130" s="186">
        <f>'10.11.21'!G34+'10.11.21'!H34</f>
        <v>1674</v>
      </c>
      <c r="D130" s="186">
        <v>426</v>
      </c>
      <c r="E130" s="186">
        <f>SUM(B130:D130)</f>
        <v>3198</v>
      </c>
      <c r="F130" s="150"/>
      <c r="G130" s="184" t="s">
        <v>134</v>
      </c>
      <c r="H130" s="186">
        <f t="shared" ref="H130:H131" si="133">B130+H124</f>
        <v>18354</v>
      </c>
      <c r="I130" s="186">
        <f t="shared" si="130"/>
        <v>25856</v>
      </c>
      <c r="J130" s="186">
        <f t="shared" si="131"/>
        <v>6211</v>
      </c>
      <c r="K130" s="186">
        <f t="shared" si="132"/>
        <v>50421</v>
      </c>
    </row>
    <row r="131" spans="1:11">
      <c r="A131" s="184" t="s">
        <v>86</v>
      </c>
      <c r="B131" s="186">
        <f>B129-B130</f>
        <v>7</v>
      </c>
      <c r="C131" s="186">
        <f t="shared" ref="C131:D131" si="134">C129-C130</f>
        <v>66</v>
      </c>
      <c r="D131" s="186">
        <f t="shared" si="134"/>
        <v>0</v>
      </c>
      <c r="E131" s="186">
        <f>SUM(B131:D131)</f>
        <v>73</v>
      </c>
      <c r="F131" s="150"/>
      <c r="G131" s="184" t="s">
        <v>86</v>
      </c>
      <c r="H131" s="186">
        <f t="shared" si="133"/>
        <v>-2686</v>
      </c>
      <c r="I131" s="186">
        <f t="shared" si="130"/>
        <v>1798</v>
      </c>
      <c r="J131" s="186">
        <f t="shared" si="131"/>
        <v>2842</v>
      </c>
      <c r="K131" s="186">
        <f t="shared" si="132"/>
        <v>1954</v>
      </c>
    </row>
    <row r="133" spans="1:11">
      <c r="A133" s="186" t="s">
        <v>136</v>
      </c>
      <c r="B133" s="186" t="s">
        <v>30</v>
      </c>
      <c r="C133" s="186" t="s">
        <v>30</v>
      </c>
      <c r="D133" s="186"/>
      <c r="E133" s="186"/>
      <c r="F133" s="150"/>
      <c r="G133" s="184"/>
      <c r="H133" s="186" t="s">
        <v>30</v>
      </c>
      <c r="I133" s="186" t="s">
        <v>30</v>
      </c>
      <c r="J133" s="186"/>
      <c r="K133" s="186"/>
    </row>
    <row r="134" spans="1:11">
      <c r="A134" s="95">
        <f>A128+1</f>
        <v>44481</v>
      </c>
      <c r="B134" s="186" t="s">
        <v>34</v>
      </c>
      <c r="C134" s="186" t="s">
        <v>131</v>
      </c>
      <c r="D134" s="186" t="s">
        <v>101</v>
      </c>
      <c r="E134" s="186" t="s">
        <v>132</v>
      </c>
      <c r="F134" s="150"/>
      <c r="G134" s="96" t="s">
        <v>135</v>
      </c>
      <c r="H134" s="186" t="s">
        <v>34</v>
      </c>
      <c r="I134" s="186" t="s">
        <v>131</v>
      </c>
      <c r="J134" s="186" t="s">
        <v>101</v>
      </c>
      <c r="K134" s="186" t="s">
        <v>132</v>
      </c>
    </row>
    <row r="135" spans="1:11">
      <c r="A135" s="184" t="s">
        <v>133</v>
      </c>
      <c r="B135" s="186">
        <f>'Meal Coupon Log - For ASUCLA'!N120</f>
        <v>1206</v>
      </c>
      <c r="C135" s="232">
        <f>'Meal Coupon Log - For ASUCLA'!O120</f>
        <v>1904</v>
      </c>
      <c r="D135" s="232">
        <f>'Meal Coupon Log - For ASUCLA'!P120</f>
        <v>767</v>
      </c>
      <c r="E135" s="186">
        <f>SUM(B135:D135)</f>
        <v>3877</v>
      </c>
      <c r="F135" s="150"/>
      <c r="G135" s="184" t="s">
        <v>133</v>
      </c>
      <c r="H135" s="186">
        <f>B135+H129</f>
        <v>16874</v>
      </c>
      <c r="I135" s="186">
        <f t="shared" ref="I135:I137" si="135">C135+I129</f>
        <v>29558</v>
      </c>
      <c r="J135" s="186">
        <f t="shared" ref="J135:J137" si="136">D135+J129</f>
        <v>9820</v>
      </c>
      <c r="K135" s="186">
        <f t="shared" ref="K135:K137" si="137">E135+K129</f>
        <v>56252</v>
      </c>
    </row>
    <row r="136" spans="1:11">
      <c r="A136" s="184" t="s">
        <v>134</v>
      </c>
      <c r="B136" s="186">
        <f>'10.12.21'!F34</f>
        <v>1158</v>
      </c>
      <c r="C136" s="186">
        <f>'10.12.21'!G34+'10.12.21'!H34</f>
        <v>1834</v>
      </c>
      <c r="D136" s="186">
        <v>767</v>
      </c>
      <c r="E136" s="186">
        <f>SUM(B136:D136)</f>
        <v>3759</v>
      </c>
      <c r="F136" s="150"/>
      <c r="G136" s="184" t="s">
        <v>134</v>
      </c>
      <c r="H136" s="186">
        <f t="shared" ref="H136:H137" si="138">B136+H130</f>
        <v>19512</v>
      </c>
      <c r="I136" s="186">
        <f t="shared" si="135"/>
        <v>27690</v>
      </c>
      <c r="J136" s="186">
        <f t="shared" si="136"/>
        <v>6978</v>
      </c>
      <c r="K136" s="186">
        <f t="shared" si="137"/>
        <v>54180</v>
      </c>
    </row>
    <row r="137" spans="1:11">
      <c r="A137" s="184" t="s">
        <v>86</v>
      </c>
      <c r="B137" s="186">
        <f>B135-B136</f>
        <v>48</v>
      </c>
      <c r="C137" s="186">
        <f t="shared" ref="C137:D137" si="139">C135-C136</f>
        <v>70</v>
      </c>
      <c r="D137" s="186">
        <f t="shared" si="139"/>
        <v>0</v>
      </c>
      <c r="E137" s="186">
        <f>SUM(B137:D137)</f>
        <v>118</v>
      </c>
      <c r="F137" s="150"/>
      <c r="G137" s="184" t="s">
        <v>86</v>
      </c>
      <c r="H137" s="186">
        <f t="shared" si="138"/>
        <v>-2638</v>
      </c>
      <c r="I137" s="186">
        <f t="shared" si="135"/>
        <v>1868</v>
      </c>
      <c r="J137" s="186">
        <f t="shared" si="136"/>
        <v>2842</v>
      </c>
      <c r="K137" s="186">
        <f t="shared" si="137"/>
        <v>2072</v>
      </c>
    </row>
    <row r="139" spans="1:11">
      <c r="A139" s="186" t="s">
        <v>137</v>
      </c>
      <c r="B139" s="186" t="s">
        <v>30</v>
      </c>
      <c r="C139" s="186" t="s">
        <v>30</v>
      </c>
      <c r="D139" s="186"/>
      <c r="E139" s="186"/>
      <c r="F139" s="150"/>
      <c r="G139" s="184"/>
      <c r="H139" s="186" t="s">
        <v>30</v>
      </c>
      <c r="I139" s="186" t="s">
        <v>30</v>
      </c>
      <c r="J139" s="186"/>
      <c r="K139" s="186"/>
    </row>
    <row r="140" spans="1:11">
      <c r="A140" s="95">
        <f>A134+1</f>
        <v>44482</v>
      </c>
      <c r="B140" s="186" t="s">
        <v>34</v>
      </c>
      <c r="C140" s="186" t="s">
        <v>131</v>
      </c>
      <c r="D140" s="186" t="s">
        <v>101</v>
      </c>
      <c r="E140" s="186" t="s">
        <v>132</v>
      </c>
      <c r="F140" s="150"/>
      <c r="G140" s="96" t="s">
        <v>135</v>
      </c>
      <c r="H140" s="186" t="s">
        <v>34</v>
      </c>
      <c r="I140" s="186" t="s">
        <v>131</v>
      </c>
      <c r="J140" s="186" t="s">
        <v>101</v>
      </c>
      <c r="K140" s="186" t="s">
        <v>132</v>
      </c>
    </row>
    <row r="141" spans="1:11">
      <c r="A141" s="184" t="s">
        <v>133</v>
      </c>
      <c r="B141" s="186">
        <f>'Meal Coupon Log - For ASUCLA'!N125</f>
        <v>1051</v>
      </c>
      <c r="C141" s="232">
        <f>'Meal Coupon Log - For ASUCLA'!O125</f>
        <v>1677</v>
      </c>
      <c r="D141" s="232">
        <f>'Meal Coupon Log - For ASUCLA'!P125</f>
        <v>823</v>
      </c>
      <c r="E141" s="186">
        <f>SUM(B141:D141)</f>
        <v>3551</v>
      </c>
      <c r="F141" s="150"/>
      <c r="G141" s="184" t="s">
        <v>133</v>
      </c>
      <c r="H141" s="186">
        <f>B141+H135</f>
        <v>17925</v>
      </c>
      <c r="I141" s="186">
        <f t="shared" ref="I141:I143" si="140">C141+I135</f>
        <v>31235</v>
      </c>
      <c r="J141" s="186">
        <f t="shared" ref="J141:J143" si="141">D141+J135</f>
        <v>10643</v>
      </c>
      <c r="K141" s="186">
        <f t="shared" ref="K141:K143" si="142">E141+K135</f>
        <v>59803</v>
      </c>
    </row>
    <row r="142" spans="1:11">
      <c r="A142" s="184" t="s">
        <v>134</v>
      </c>
      <c r="B142" s="186">
        <f>'10.13.21'!F34</f>
        <v>1011</v>
      </c>
      <c r="C142" s="186">
        <f>'10.13.21'!G34+'10.13.21'!H34</f>
        <v>1422</v>
      </c>
      <c r="D142" s="186">
        <v>823</v>
      </c>
      <c r="E142" s="186">
        <f>SUM(B142:D142)</f>
        <v>3256</v>
      </c>
      <c r="F142" s="150"/>
      <c r="G142" s="184" t="s">
        <v>134</v>
      </c>
      <c r="H142" s="186">
        <f t="shared" ref="H142:H143" si="143">B142+H136</f>
        <v>20523</v>
      </c>
      <c r="I142" s="186">
        <f t="shared" si="140"/>
        <v>29112</v>
      </c>
      <c r="J142" s="186">
        <f t="shared" si="141"/>
        <v>7801</v>
      </c>
      <c r="K142" s="186">
        <f t="shared" si="142"/>
        <v>57436</v>
      </c>
    </row>
    <row r="143" spans="1:11">
      <c r="A143" s="184" t="s">
        <v>86</v>
      </c>
      <c r="B143" s="186">
        <f>B141-B142</f>
        <v>40</v>
      </c>
      <c r="C143" s="186">
        <f t="shared" ref="C143:D143" si="144">C141-C142</f>
        <v>255</v>
      </c>
      <c r="D143" s="186">
        <f t="shared" si="144"/>
        <v>0</v>
      </c>
      <c r="E143" s="186">
        <f>SUM(B143:D143)</f>
        <v>295</v>
      </c>
      <c r="F143" s="150"/>
      <c r="G143" s="184" t="s">
        <v>86</v>
      </c>
      <c r="H143" s="186">
        <f t="shared" si="143"/>
        <v>-2598</v>
      </c>
      <c r="I143" s="186">
        <f t="shared" si="140"/>
        <v>2123</v>
      </c>
      <c r="J143" s="186">
        <f t="shared" si="141"/>
        <v>2842</v>
      </c>
      <c r="K143" s="186">
        <f t="shared" si="142"/>
        <v>2367</v>
      </c>
    </row>
    <row r="145" spans="1:11">
      <c r="A145" s="186" t="s">
        <v>138</v>
      </c>
      <c r="B145" s="186" t="s">
        <v>30</v>
      </c>
      <c r="C145" s="186" t="s">
        <v>30</v>
      </c>
      <c r="D145" s="186"/>
      <c r="E145" s="186"/>
      <c r="F145" s="150"/>
      <c r="G145" s="184"/>
      <c r="H145" s="186" t="s">
        <v>30</v>
      </c>
      <c r="I145" s="186" t="s">
        <v>30</v>
      </c>
      <c r="J145" s="186"/>
      <c r="K145" s="186"/>
    </row>
    <row r="146" spans="1:11">
      <c r="A146" s="95">
        <f>A140+1</f>
        <v>44483</v>
      </c>
      <c r="B146" s="186" t="s">
        <v>34</v>
      </c>
      <c r="C146" s="186" t="s">
        <v>131</v>
      </c>
      <c r="D146" s="186" t="s">
        <v>101</v>
      </c>
      <c r="E146" s="186" t="s">
        <v>132</v>
      </c>
      <c r="F146" s="150"/>
      <c r="G146" s="96" t="s">
        <v>135</v>
      </c>
      <c r="H146" s="186" t="s">
        <v>34</v>
      </c>
      <c r="I146" s="186" t="s">
        <v>131</v>
      </c>
      <c r="J146" s="186" t="s">
        <v>101</v>
      </c>
      <c r="K146" s="186" t="s">
        <v>132</v>
      </c>
    </row>
    <row r="147" spans="1:11">
      <c r="A147" s="184" t="s">
        <v>133</v>
      </c>
      <c r="B147" s="186">
        <f>'Meal Coupon Log - For ASUCLA'!N130</f>
        <v>1202</v>
      </c>
      <c r="C147" s="232">
        <f>'Meal Coupon Log - For ASUCLA'!O130</f>
        <v>2091</v>
      </c>
      <c r="D147" s="232">
        <f>'Meal Coupon Log - For ASUCLA'!P130</f>
        <v>902</v>
      </c>
      <c r="E147" s="186">
        <f>SUM(B147:D147)</f>
        <v>4195</v>
      </c>
      <c r="F147" s="150"/>
      <c r="G147" s="184" t="s">
        <v>133</v>
      </c>
      <c r="H147" s="186">
        <f>B147+H141</f>
        <v>19127</v>
      </c>
      <c r="I147" s="186">
        <f t="shared" ref="I147:I149" si="145">C147+I141</f>
        <v>33326</v>
      </c>
      <c r="J147" s="186">
        <f t="shared" ref="J147:J149" si="146">D147+J141</f>
        <v>11545</v>
      </c>
      <c r="K147" s="186">
        <f t="shared" ref="K147:K149" si="147">E147+K141</f>
        <v>63998</v>
      </c>
    </row>
    <row r="148" spans="1:11">
      <c r="A148" s="184" t="s">
        <v>134</v>
      </c>
      <c r="B148" s="186">
        <f>'10.14.21'!F34</f>
        <v>1079</v>
      </c>
      <c r="C148" s="186">
        <f>'10.14.21'!G34+'10.14.21'!H34</f>
        <v>1922</v>
      </c>
      <c r="D148" s="186">
        <v>902</v>
      </c>
      <c r="E148" s="186">
        <f>SUM(B148:D148)</f>
        <v>3903</v>
      </c>
      <c r="F148" s="150"/>
      <c r="G148" s="184" t="s">
        <v>134</v>
      </c>
      <c r="H148" s="186">
        <f t="shared" ref="H148:H149" si="148">B148+H142</f>
        <v>21602</v>
      </c>
      <c r="I148" s="186">
        <f t="shared" si="145"/>
        <v>31034</v>
      </c>
      <c r="J148" s="186">
        <f t="shared" si="146"/>
        <v>8703</v>
      </c>
      <c r="K148" s="186">
        <f t="shared" si="147"/>
        <v>61339</v>
      </c>
    </row>
    <row r="149" spans="1:11">
      <c r="A149" s="184" t="s">
        <v>86</v>
      </c>
      <c r="B149" s="186">
        <f>B147-B148</f>
        <v>123</v>
      </c>
      <c r="C149" s="186">
        <f t="shared" ref="C149:D149" si="149">C147-C148</f>
        <v>169</v>
      </c>
      <c r="D149" s="186">
        <f t="shared" si="149"/>
        <v>0</v>
      </c>
      <c r="E149" s="186">
        <f>SUM(B149:D149)</f>
        <v>292</v>
      </c>
      <c r="F149" s="150"/>
      <c r="G149" s="184" t="s">
        <v>86</v>
      </c>
      <c r="H149" s="186">
        <f t="shared" si="148"/>
        <v>-2475</v>
      </c>
      <c r="I149" s="186">
        <f t="shared" si="145"/>
        <v>2292</v>
      </c>
      <c r="J149" s="186">
        <f t="shared" si="146"/>
        <v>2842</v>
      </c>
      <c r="K149" s="186">
        <f t="shared" si="147"/>
        <v>2659</v>
      </c>
    </row>
    <row r="151" spans="1:11">
      <c r="A151" s="186" t="s">
        <v>139</v>
      </c>
      <c r="B151" s="186" t="s">
        <v>30</v>
      </c>
      <c r="C151" s="186" t="s">
        <v>30</v>
      </c>
      <c r="D151" s="186"/>
      <c r="E151" s="186"/>
      <c r="F151" s="150"/>
      <c r="G151" s="184"/>
      <c r="H151" s="186" t="s">
        <v>30</v>
      </c>
      <c r="I151" s="186" t="s">
        <v>30</v>
      </c>
      <c r="J151" s="186"/>
      <c r="K151" s="186"/>
    </row>
    <row r="152" spans="1:11">
      <c r="A152" s="95">
        <f>A146+1</f>
        <v>44484</v>
      </c>
      <c r="B152" s="186" t="s">
        <v>34</v>
      </c>
      <c r="C152" s="186" t="s">
        <v>131</v>
      </c>
      <c r="D152" s="186" t="s">
        <v>101</v>
      </c>
      <c r="E152" s="186" t="s">
        <v>132</v>
      </c>
      <c r="F152" s="150"/>
      <c r="G152" s="96" t="s">
        <v>135</v>
      </c>
      <c r="H152" s="186" t="s">
        <v>34</v>
      </c>
      <c r="I152" s="186" t="s">
        <v>131</v>
      </c>
      <c r="J152" s="186" t="s">
        <v>101</v>
      </c>
      <c r="K152" s="186" t="s">
        <v>132</v>
      </c>
    </row>
    <row r="153" spans="1:11">
      <c r="A153" s="184" t="s">
        <v>133</v>
      </c>
      <c r="B153" s="186">
        <f>'Meal Coupon Log - For ASUCLA'!N135</f>
        <v>835</v>
      </c>
      <c r="C153" s="232">
        <f>'Meal Coupon Log - For ASUCLA'!O135</f>
        <v>691</v>
      </c>
      <c r="D153" s="232">
        <f>'Meal Coupon Log - For ASUCLA'!P135</f>
        <v>733</v>
      </c>
      <c r="E153" s="186">
        <f>SUM(B153:D153)</f>
        <v>2259</v>
      </c>
      <c r="F153" s="150"/>
      <c r="G153" s="184" t="s">
        <v>133</v>
      </c>
      <c r="H153" s="186">
        <f>B153+H147</f>
        <v>19962</v>
      </c>
      <c r="I153" s="186">
        <f t="shared" ref="I153:I155" si="150">C153+I147</f>
        <v>34017</v>
      </c>
      <c r="J153" s="186">
        <f t="shared" ref="J153:J155" si="151">D153+J147</f>
        <v>12278</v>
      </c>
      <c r="K153" s="186">
        <f t="shared" ref="K153:K155" si="152">E153+K147</f>
        <v>66257</v>
      </c>
    </row>
    <row r="154" spans="1:11">
      <c r="A154" s="184" t="s">
        <v>134</v>
      </c>
      <c r="B154" s="186">
        <f>'10.15.21'!F34</f>
        <v>897</v>
      </c>
      <c r="C154" s="186">
        <f>'10.15.21'!G34+'10.15.21'!H34</f>
        <v>1294</v>
      </c>
      <c r="D154" s="186">
        <v>733</v>
      </c>
      <c r="E154" s="186">
        <f>SUM(B154:D154)</f>
        <v>2924</v>
      </c>
      <c r="F154" s="150"/>
      <c r="G154" s="184" t="s">
        <v>134</v>
      </c>
      <c r="H154" s="186">
        <f t="shared" ref="H154:H155" si="153">B154+H148</f>
        <v>22499</v>
      </c>
      <c r="I154" s="186">
        <f t="shared" si="150"/>
        <v>32328</v>
      </c>
      <c r="J154" s="186">
        <f t="shared" si="151"/>
        <v>9436</v>
      </c>
      <c r="K154" s="186">
        <f t="shared" si="152"/>
        <v>64263</v>
      </c>
    </row>
    <row r="155" spans="1:11">
      <c r="A155" s="184" t="s">
        <v>86</v>
      </c>
      <c r="B155" s="186">
        <f>B153-B154</f>
        <v>-62</v>
      </c>
      <c r="C155" s="186">
        <f t="shared" ref="C155:D155" si="154">C153-C154</f>
        <v>-603</v>
      </c>
      <c r="D155" s="186">
        <f t="shared" si="154"/>
        <v>0</v>
      </c>
      <c r="E155" s="186">
        <f>SUM(B155:D155)</f>
        <v>-665</v>
      </c>
      <c r="F155" s="150"/>
      <c r="G155" s="184" t="s">
        <v>86</v>
      </c>
      <c r="H155" s="186">
        <f t="shared" si="153"/>
        <v>-2537</v>
      </c>
      <c r="I155" s="186">
        <f t="shared" si="150"/>
        <v>1689</v>
      </c>
      <c r="J155" s="186">
        <f t="shared" si="151"/>
        <v>2842</v>
      </c>
      <c r="K155" s="186">
        <f t="shared" si="152"/>
        <v>1994</v>
      </c>
    </row>
    <row r="157" spans="1:11">
      <c r="A157" s="186" t="s">
        <v>140</v>
      </c>
      <c r="B157" s="186" t="s">
        <v>30</v>
      </c>
      <c r="C157" s="186" t="s">
        <v>30</v>
      </c>
      <c r="D157" s="186"/>
      <c r="E157" s="186"/>
      <c r="F157" s="150"/>
      <c r="G157" s="184"/>
      <c r="H157" s="186" t="s">
        <v>30</v>
      </c>
      <c r="I157" s="186" t="s">
        <v>30</v>
      </c>
      <c r="J157" s="186"/>
      <c r="K157" s="186"/>
    </row>
    <row r="158" spans="1:11">
      <c r="A158" s="95">
        <f>A152+1</f>
        <v>44485</v>
      </c>
      <c r="B158" s="186" t="s">
        <v>34</v>
      </c>
      <c r="C158" s="186" t="s">
        <v>131</v>
      </c>
      <c r="D158" s="186" t="s">
        <v>101</v>
      </c>
      <c r="E158" s="186" t="s">
        <v>132</v>
      </c>
      <c r="F158" s="150"/>
      <c r="G158" s="96" t="s">
        <v>135</v>
      </c>
      <c r="H158" s="186" t="s">
        <v>34</v>
      </c>
      <c r="I158" s="186" t="s">
        <v>131</v>
      </c>
      <c r="J158" s="186" t="s">
        <v>101</v>
      </c>
      <c r="K158" s="186" t="s">
        <v>132</v>
      </c>
    </row>
    <row r="159" spans="1:11">
      <c r="A159" s="184" t="s">
        <v>133</v>
      </c>
      <c r="B159" s="186">
        <f>'Meal Coupon Log - For ASUCLA'!N140</f>
        <v>-445</v>
      </c>
      <c r="C159" s="232">
        <f>'Meal Coupon Log - For ASUCLA'!O140</f>
        <v>542</v>
      </c>
      <c r="D159" s="232">
        <f>'Meal Coupon Log - For ASUCLA'!P140</f>
        <v>-927</v>
      </c>
      <c r="E159" s="186">
        <f>SUM(B159:D159)</f>
        <v>-830</v>
      </c>
      <c r="F159" s="150"/>
      <c r="G159" s="184" t="s">
        <v>133</v>
      </c>
      <c r="H159" s="186">
        <f>B159+H153</f>
        <v>19517</v>
      </c>
      <c r="I159" s="186">
        <f t="shared" ref="I159:I161" si="155">C159+I153</f>
        <v>34559</v>
      </c>
      <c r="J159" s="186">
        <f t="shared" ref="J159:J161" si="156">D159+J153</f>
        <v>11351</v>
      </c>
      <c r="K159" s="186">
        <f t="shared" ref="K159:K161" si="157">E159+K153</f>
        <v>65427</v>
      </c>
    </row>
    <row r="160" spans="1:11">
      <c r="A160" s="184" t="s">
        <v>134</v>
      </c>
      <c r="B160" s="186">
        <v>0</v>
      </c>
      <c r="C160" s="186">
        <f>'10.16.21'!H36</f>
        <v>604</v>
      </c>
      <c r="D160" s="186">
        <v>-927</v>
      </c>
      <c r="E160" s="186">
        <f>SUM(B160:D160)</f>
        <v>-323</v>
      </c>
      <c r="F160" s="150"/>
      <c r="G160" s="184" t="s">
        <v>134</v>
      </c>
      <c r="H160" s="186">
        <f t="shared" ref="H160:H161" si="158">B160+H154</f>
        <v>22499</v>
      </c>
      <c r="I160" s="186">
        <f t="shared" si="155"/>
        <v>32932</v>
      </c>
      <c r="J160" s="186">
        <f t="shared" si="156"/>
        <v>8509</v>
      </c>
      <c r="K160" s="186">
        <f t="shared" si="157"/>
        <v>63940</v>
      </c>
    </row>
    <row r="161" spans="1:11">
      <c r="A161" s="184" t="s">
        <v>86</v>
      </c>
      <c r="B161" s="186">
        <f>B159-B160</f>
        <v>-445</v>
      </c>
      <c r="C161" s="186">
        <f t="shared" ref="C161:D161" si="159">C159-C160</f>
        <v>-62</v>
      </c>
      <c r="D161" s="186">
        <f t="shared" si="159"/>
        <v>0</v>
      </c>
      <c r="E161" s="186">
        <f>SUM(B161:D161)</f>
        <v>-507</v>
      </c>
      <c r="F161" s="150"/>
      <c r="G161" s="184" t="s">
        <v>86</v>
      </c>
      <c r="H161" s="186">
        <f t="shared" si="158"/>
        <v>-2982</v>
      </c>
      <c r="I161" s="186">
        <f t="shared" si="155"/>
        <v>1627</v>
      </c>
      <c r="J161" s="186">
        <f t="shared" si="156"/>
        <v>2842</v>
      </c>
      <c r="K161" s="186">
        <f t="shared" si="157"/>
        <v>1487</v>
      </c>
    </row>
    <row r="163" spans="1:11">
      <c r="A163" s="186" t="s">
        <v>141</v>
      </c>
      <c r="B163" s="186" t="s">
        <v>30</v>
      </c>
      <c r="C163" s="186" t="s">
        <v>30</v>
      </c>
      <c r="D163" s="186"/>
      <c r="E163" s="186"/>
      <c r="F163" s="150"/>
      <c r="G163" s="184"/>
      <c r="H163" s="186" t="s">
        <v>30</v>
      </c>
      <c r="I163" s="186" t="s">
        <v>30</v>
      </c>
      <c r="J163" s="186"/>
      <c r="K163" s="186"/>
    </row>
    <row r="164" spans="1:11">
      <c r="A164" s="95">
        <f>A158+1</f>
        <v>44486</v>
      </c>
      <c r="B164" s="186" t="s">
        <v>34</v>
      </c>
      <c r="C164" s="186" t="s">
        <v>131</v>
      </c>
      <c r="D164" s="186" t="s">
        <v>101</v>
      </c>
      <c r="E164" s="186" t="s">
        <v>132</v>
      </c>
      <c r="F164" s="150"/>
      <c r="G164" s="96" t="s">
        <v>135</v>
      </c>
      <c r="H164" s="186" t="s">
        <v>34</v>
      </c>
      <c r="I164" s="186" t="s">
        <v>131</v>
      </c>
      <c r="J164" s="186" t="s">
        <v>101</v>
      </c>
      <c r="K164" s="186" t="s">
        <v>132</v>
      </c>
    </row>
    <row r="165" spans="1:11">
      <c r="A165" s="184" t="s">
        <v>133</v>
      </c>
      <c r="B165" s="186">
        <f>'Meal Coupon Log - For ASUCLA'!N145</f>
        <v>-170</v>
      </c>
      <c r="C165" s="232">
        <f>'Meal Coupon Log - For ASUCLA'!O145</f>
        <v>1289</v>
      </c>
      <c r="D165" s="232">
        <f>'Meal Coupon Log - For ASUCLA'!P145</f>
        <v>-842</v>
      </c>
      <c r="E165" s="186">
        <f>SUM(B165:D165)</f>
        <v>277</v>
      </c>
      <c r="F165" s="150"/>
      <c r="G165" s="184" t="s">
        <v>133</v>
      </c>
      <c r="H165" s="186">
        <f>B165+H159</f>
        <v>19347</v>
      </c>
      <c r="I165" s="186">
        <f t="shared" ref="I165:I167" si="160">C165+I159</f>
        <v>35848</v>
      </c>
      <c r="J165" s="186">
        <f t="shared" ref="J165:J167" si="161">D165+J159</f>
        <v>10509</v>
      </c>
      <c r="K165" s="186">
        <f t="shared" ref="K165:K167" si="162">E165+K159</f>
        <v>65704</v>
      </c>
    </row>
    <row r="166" spans="1:11">
      <c r="A166" s="184" t="s">
        <v>134</v>
      </c>
      <c r="B166" s="186">
        <f>'10.17.21'!F33</f>
        <v>0</v>
      </c>
      <c r="C166" s="186">
        <f>'10.17.21'!G33+'10.17.21'!H33</f>
        <v>872</v>
      </c>
      <c r="D166" s="186">
        <v>0</v>
      </c>
      <c r="E166" s="186">
        <f>SUM(B166:D166)</f>
        <v>872</v>
      </c>
      <c r="F166" s="150"/>
      <c r="G166" s="184" t="s">
        <v>134</v>
      </c>
      <c r="H166" s="186">
        <f t="shared" ref="H166:H167" si="163">B166+H160</f>
        <v>22499</v>
      </c>
      <c r="I166" s="186">
        <f t="shared" si="160"/>
        <v>33804</v>
      </c>
      <c r="J166" s="186">
        <f t="shared" si="161"/>
        <v>8509</v>
      </c>
      <c r="K166" s="186">
        <f t="shared" si="162"/>
        <v>64812</v>
      </c>
    </row>
    <row r="167" spans="1:11">
      <c r="A167" s="184" t="s">
        <v>86</v>
      </c>
      <c r="B167" s="186">
        <f>B165-B166</f>
        <v>-170</v>
      </c>
      <c r="C167" s="186">
        <f t="shared" ref="C167:D167" si="164">C165-C166</f>
        <v>417</v>
      </c>
      <c r="D167" s="186">
        <f t="shared" si="164"/>
        <v>-842</v>
      </c>
      <c r="E167" s="186">
        <f>SUM(B167:D167)</f>
        <v>-595</v>
      </c>
      <c r="F167" s="150"/>
      <c r="G167" s="184" t="s">
        <v>86</v>
      </c>
      <c r="H167" s="186">
        <f t="shared" si="163"/>
        <v>-3152</v>
      </c>
      <c r="I167" s="186">
        <f t="shared" si="160"/>
        <v>2044</v>
      </c>
      <c r="J167" s="186">
        <f t="shared" si="161"/>
        <v>2000</v>
      </c>
      <c r="K167" s="186">
        <f t="shared" si="162"/>
        <v>892</v>
      </c>
    </row>
    <row r="169" spans="1:11">
      <c r="A169" s="186" t="s">
        <v>142</v>
      </c>
      <c r="B169" s="186" t="s">
        <v>30</v>
      </c>
      <c r="C169" s="186" t="s">
        <v>30</v>
      </c>
      <c r="D169" s="186"/>
      <c r="E169" s="186"/>
      <c r="F169" s="150"/>
      <c r="G169" s="184"/>
      <c r="H169" s="186" t="s">
        <v>30</v>
      </c>
      <c r="I169" s="186" t="s">
        <v>30</v>
      </c>
      <c r="J169" s="186"/>
      <c r="K169" s="186"/>
    </row>
    <row r="170" spans="1:11">
      <c r="A170" s="95">
        <f>A164+1</f>
        <v>44487</v>
      </c>
      <c r="B170" s="186" t="s">
        <v>34</v>
      </c>
      <c r="C170" s="186" t="s">
        <v>131</v>
      </c>
      <c r="D170" s="186" t="s">
        <v>101</v>
      </c>
      <c r="E170" s="186" t="s">
        <v>132</v>
      </c>
      <c r="F170" s="150"/>
      <c r="G170" s="96" t="s">
        <v>135</v>
      </c>
      <c r="H170" s="186" t="s">
        <v>34</v>
      </c>
      <c r="I170" s="186" t="s">
        <v>131</v>
      </c>
      <c r="J170" s="186" t="s">
        <v>101</v>
      </c>
      <c r="K170" s="186" t="s">
        <v>132</v>
      </c>
    </row>
    <row r="171" spans="1:11">
      <c r="A171" s="184" t="s">
        <v>133</v>
      </c>
      <c r="B171" s="243"/>
      <c r="C171" s="243"/>
      <c r="D171" s="243"/>
      <c r="E171" s="243"/>
      <c r="F171" s="150"/>
      <c r="G171" s="184" t="s">
        <v>133</v>
      </c>
      <c r="H171" s="186">
        <f>B171+H165</f>
        <v>19347</v>
      </c>
      <c r="I171" s="186">
        <f t="shared" ref="I171:I173" si="165">C171+I165</f>
        <v>35848</v>
      </c>
      <c r="J171" s="186">
        <f t="shared" ref="J171:J173" si="166">D171+J165</f>
        <v>10509</v>
      </c>
      <c r="K171" s="186">
        <f t="shared" ref="K171:K173" si="167">E171+K165</f>
        <v>65704</v>
      </c>
    </row>
    <row r="172" spans="1:11">
      <c r="A172" s="184" t="s">
        <v>134</v>
      </c>
      <c r="B172" s="186">
        <f>'10.18.21'!F34</f>
        <v>1022</v>
      </c>
      <c r="C172" s="186">
        <f>'10.18.21'!G34+'10.18.21'!H34</f>
        <v>1464</v>
      </c>
      <c r="D172" s="186">
        <v>0</v>
      </c>
      <c r="E172" s="186">
        <f>SUM(B172:D172)</f>
        <v>2486</v>
      </c>
      <c r="F172" s="150"/>
      <c r="G172" s="184" t="s">
        <v>134</v>
      </c>
      <c r="H172" s="186">
        <f t="shared" ref="H172:H173" si="168">B172+H166</f>
        <v>23521</v>
      </c>
      <c r="I172" s="186">
        <f t="shared" si="165"/>
        <v>35268</v>
      </c>
      <c r="J172" s="186">
        <f t="shared" si="166"/>
        <v>8509</v>
      </c>
      <c r="K172" s="186">
        <f t="shared" si="167"/>
        <v>67298</v>
      </c>
    </row>
    <row r="173" spans="1:11">
      <c r="A173" s="184" t="s">
        <v>86</v>
      </c>
      <c r="B173" s="186">
        <f>B171-B172</f>
        <v>-1022</v>
      </c>
      <c r="C173" s="186">
        <f t="shared" ref="C173:D173" si="169">C171-C172</f>
        <v>-1464</v>
      </c>
      <c r="D173" s="186">
        <f t="shared" si="169"/>
        <v>0</v>
      </c>
      <c r="E173" s="186">
        <f>SUM(B173:D173)</f>
        <v>-2486</v>
      </c>
      <c r="F173" s="150"/>
      <c r="G173" s="184" t="s">
        <v>86</v>
      </c>
      <c r="H173" s="186">
        <f t="shared" si="168"/>
        <v>-4174</v>
      </c>
      <c r="I173" s="186">
        <f t="shared" si="165"/>
        <v>580</v>
      </c>
      <c r="J173" s="186">
        <f t="shared" si="166"/>
        <v>2000</v>
      </c>
      <c r="K173" s="186">
        <f t="shared" si="167"/>
        <v>-1594</v>
      </c>
    </row>
    <row r="175" spans="1:11">
      <c r="A175" s="186" t="s">
        <v>136</v>
      </c>
      <c r="B175" s="186" t="s">
        <v>30</v>
      </c>
      <c r="C175" s="186" t="s">
        <v>30</v>
      </c>
      <c r="D175" s="186"/>
      <c r="E175" s="186"/>
      <c r="F175" s="150"/>
      <c r="G175" s="184"/>
      <c r="H175" s="186" t="s">
        <v>30</v>
      </c>
      <c r="I175" s="186" t="s">
        <v>30</v>
      </c>
      <c r="J175" s="186"/>
      <c r="K175" s="186"/>
    </row>
    <row r="176" spans="1:11">
      <c r="A176" s="95">
        <f>A170+1</f>
        <v>44488</v>
      </c>
      <c r="B176" s="186" t="s">
        <v>34</v>
      </c>
      <c r="C176" s="186" t="s">
        <v>131</v>
      </c>
      <c r="D176" s="186" t="s">
        <v>101</v>
      </c>
      <c r="E176" s="186" t="s">
        <v>132</v>
      </c>
      <c r="F176" s="150"/>
      <c r="G176" s="96" t="s">
        <v>135</v>
      </c>
      <c r="H176" s="186" t="s">
        <v>34</v>
      </c>
      <c r="I176" s="186" t="s">
        <v>131</v>
      </c>
      <c r="J176" s="186" t="s">
        <v>101</v>
      </c>
      <c r="K176" s="186" t="s">
        <v>132</v>
      </c>
    </row>
    <row r="177" spans="1:11">
      <c r="A177" s="184" t="s">
        <v>133</v>
      </c>
      <c r="B177" s="243"/>
      <c r="C177" s="243"/>
      <c r="D177" s="243"/>
      <c r="E177" s="243"/>
      <c r="F177" s="150"/>
      <c r="G177" s="184" t="s">
        <v>133</v>
      </c>
      <c r="H177" s="186">
        <f>B177+H171</f>
        <v>19347</v>
      </c>
      <c r="I177" s="186">
        <f t="shared" ref="I177:I179" si="170">C177+I171</f>
        <v>35848</v>
      </c>
      <c r="J177" s="186">
        <f t="shared" ref="J177:J179" si="171">D177+J171</f>
        <v>10509</v>
      </c>
      <c r="K177" s="186">
        <f t="shared" ref="K177:K179" si="172">E177+K171</f>
        <v>65704</v>
      </c>
    </row>
    <row r="178" spans="1:11">
      <c r="A178" s="184" t="s">
        <v>134</v>
      </c>
      <c r="B178" s="186">
        <f>'10.19.21'!F34</f>
        <v>889</v>
      </c>
      <c r="C178" s="186">
        <f>'10.19.21'!G34+'10.19.21'!H34</f>
        <v>1469</v>
      </c>
      <c r="D178" s="186">
        <v>0</v>
      </c>
      <c r="E178" s="186">
        <f>SUM(B178:D178)</f>
        <v>2358</v>
      </c>
      <c r="F178" s="150"/>
      <c r="G178" s="184" t="s">
        <v>134</v>
      </c>
      <c r="H178" s="186">
        <f t="shared" ref="H178:H179" si="173">B178+H172</f>
        <v>24410</v>
      </c>
      <c r="I178" s="186">
        <f t="shared" si="170"/>
        <v>36737</v>
      </c>
      <c r="J178" s="186">
        <f t="shared" si="171"/>
        <v>8509</v>
      </c>
      <c r="K178" s="186">
        <f t="shared" si="172"/>
        <v>69656</v>
      </c>
    </row>
    <row r="179" spans="1:11">
      <c r="A179" s="184" t="s">
        <v>86</v>
      </c>
      <c r="B179" s="186">
        <f>B177-B178</f>
        <v>-889</v>
      </c>
      <c r="C179" s="186">
        <f t="shared" ref="C179:D179" si="174">C177-C178</f>
        <v>-1469</v>
      </c>
      <c r="D179" s="186">
        <f t="shared" si="174"/>
        <v>0</v>
      </c>
      <c r="E179" s="186">
        <f>SUM(B179:D179)</f>
        <v>-2358</v>
      </c>
      <c r="F179" s="150"/>
      <c r="G179" s="184" t="s">
        <v>86</v>
      </c>
      <c r="H179" s="186">
        <f t="shared" si="173"/>
        <v>-5063</v>
      </c>
      <c r="I179" s="186">
        <f t="shared" si="170"/>
        <v>-889</v>
      </c>
      <c r="J179" s="186">
        <f t="shared" si="171"/>
        <v>2000</v>
      </c>
      <c r="K179" s="186">
        <f t="shared" si="172"/>
        <v>-3952</v>
      </c>
    </row>
    <row r="181" spans="1:11">
      <c r="A181" s="186" t="s">
        <v>137</v>
      </c>
      <c r="B181" s="186" t="s">
        <v>30</v>
      </c>
      <c r="C181" s="186" t="s">
        <v>30</v>
      </c>
      <c r="D181" s="186"/>
      <c r="E181" s="186"/>
      <c r="F181" s="150"/>
      <c r="G181" s="184"/>
      <c r="H181" s="186" t="s">
        <v>30</v>
      </c>
      <c r="I181" s="186" t="s">
        <v>30</v>
      </c>
      <c r="J181" s="186"/>
      <c r="K181" s="186"/>
    </row>
    <row r="182" spans="1:11">
      <c r="A182" s="95">
        <f>A176+1</f>
        <v>44489</v>
      </c>
      <c r="B182" s="186" t="s">
        <v>34</v>
      </c>
      <c r="C182" s="186" t="s">
        <v>131</v>
      </c>
      <c r="D182" s="186" t="s">
        <v>101</v>
      </c>
      <c r="E182" s="186" t="s">
        <v>132</v>
      </c>
      <c r="F182" s="150"/>
      <c r="G182" s="96" t="s">
        <v>135</v>
      </c>
      <c r="H182" s="186" t="s">
        <v>34</v>
      </c>
      <c r="I182" s="186" t="s">
        <v>131</v>
      </c>
      <c r="J182" s="186" t="s">
        <v>101</v>
      </c>
      <c r="K182" s="186" t="s">
        <v>132</v>
      </c>
    </row>
    <row r="183" spans="1:11">
      <c r="A183" s="184" t="s">
        <v>133</v>
      </c>
      <c r="B183" s="186"/>
      <c r="C183" s="186"/>
      <c r="D183" s="186"/>
      <c r="E183" s="186"/>
      <c r="F183" s="150"/>
      <c r="G183" s="184" t="s">
        <v>133</v>
      </c>
      <c r="H183" s="186">
        <f>B183+H177</f>
        <v>19347</v>
      </c>
      <c r="I183" s="186">
        <f t="shared" ref="I183:I185" si="175">C183+I177</f>
        <v>35848</v>
      </c>
      <c r="J183" s="186">
        <f t="shared" ref="J183:J185" si="176">D183+J177</f>
        <v>10509</v>
      </c>
      <c r="K183" s="186">
        <f t="shared" ref="K183:K185" si="177">E183+K177</f>
        <v>65704</v>
      </c>
    </row>
    <row r="184" spans="1:11">
      <c r="A184" s="184" t="s">
        <v>134</v>
      </c>
      <c r="B184" s="186">
        <f>'10.20.21'!E34</f>
        <v>1185</v>
      </c>
      <c r="C184" s="186">
        <f>'10.20.21'!F34+'10.20.21'!G34</f>
        <v>1831</v>
      </c>
      <c r="D184" s="186">
        <v>0</v>
      </c>
      <c r="E184" s="186">
        <f>SUM(B184:D184)</f>
        <v>3016</v>
      </c>
      <c r="F184" s="150"/>
      <c r="G184" s="184" t="s">
        <v>134</v>
      </c>
      <c r="H184" s="186">
        <f t="shared" ref="H184:H185" si="178">B184+H178</f>
        <v>25595</v>
      </c>
      <c r="I184" s="186">
        <f t="shared" si="175"/>
        <v>38568</v>
      </c>
      <c r="J184" s="186">
        <f t="shared" si="176"/>
        <v>8509</v>
      </c>
      <c r="K184" s="186">
        <f t="shared" si="177"/>
        <v>72672</v>
      </c>
    </row>
    <row r="185" spans="1:11">
      <c r="A185" s="184" t="s">
        <v>86</v>
      </c>
      <c r="B185" s="186">
        <f>B183-B184</f>
        <v>-1185</v>
      </c>
      <c r="C185" s="186">
        <f t="shared" ref="C185:D185" si="179">C183-C184</f>
        <v>-1831</v>
      </c>
      <c r="D185" s="186">
        <f t="shared" si="179"/>
        <v>0</v>
      </c>
      <c r="E185" s="186">
        <f>SUM(B185:D185)</f>
        <v>-3016</v>
      </c>
      <c r="F185" s="150"/>
      <c r="G185" s="184" t="s">
        <v>86</v>
      </c>
      <c r="H185" s="186">
        <f t="shared" si="178"/>
        <v>-6248</v>
      </c>
      <c r="I185" s="186">
        <f t="shared" si="175"/>
        <v>-2720</v>
      </c>
      <c r="J185" s="186">
        <f t="shared" si="176"/>
        <v>2000</v>
      </c>
      <c r="K185" s="186">
        <f t="shared" si="177"/>
        <v>-6968</v>
      </c>
    </row>
    <row r="187" spans="1:11">
      <c r="A187" s="186" t="s">
        <v>138</v>
      </c>
      <c r="B187" s="186" t="s">
        <v>30</v>
      </c>
      <c r="C187" s="186" t="s">
        <v>30</v>
      </c>
      <c r="D187" s="186"/>
      <c r="E187" s="186"/>
      <c r="F187" s="150"/>
      <c r="G187" s="184"/>
      <c r="H187" s="186" t="s">
        <v>30</v>
      </c>
      <c r="I187" s="186" t="s">
        <v>30</v>
      </c>
      <c r="J187" s="186"/>
      <c r="K187" s="186"/>
    </row>
    <row r="188" spans="1:11">
      <c r="A188" s="95">
        <f>A182+1</f>
        <v>44490</v>
      </c>
      <c r="B188" s="186" t="s">
        <v>34</v>
      </c>
      <c r="C188" s="186" t="s">
        <v>131</v>
      </c>
      <c r="D188" s="186" t="s">
        <v>101</v>
      </c>
      <c r="E188" s="186" t="s">
        <v>132</v>
      </c>
      <c r="F188" s="150"/>
      <c r="G188" s="96" t="s">
        <v>135</v>
      </c>
      <c r="H188" s="186" t="s">
        <v>34</v>
      </c>
      <c r="I188" s="186" t="s">
        <v>131</v>
      </c>
      <c r="J188" s="186" t="s">
        <v>101</v>
      </c>
      <c r="K188" s="186" t="s">
        <v>132</v>
      </c>
    </row>
    <row r="189" spans="1:11">
      <c r="A189" s="184" t="s">
        <v>133</v>
      </c>
      <c r="B189" s="186"/>
      <c r="C189" s="186"/>
      <c r="D189" s="186"/>
      <c r="E189" s="186"/>
      <c r="F189" s="150"/>
      <c r="G189" s="184" t="s">
        <v>133</v>
      </c>
      <c r="H189" s="186">
        <f>B189+H183</f>
        <v>19347</v>
      </c>
      <c r="I189" s="186">
        <f t="shared" ref="I189:I191" si="180">C189+I183</f>
        <v>35848</v>
      </c>
      <c r="J189" s="186">
        <f t="shared" ref="J189:J191" si="181">D189+J183</f>
        <v>10509</v>
      </c>
      <c r="K189" s="186">
        <f t="shared" ref="K189:K191" si="182">E189+K183</f>
        <v>65704</v>
      </c>
    </row>
    <row r="190" spans="1:11">
      <c r="A190" s="184" t="s">
        <v>134</v>
      </c>
      <c r="B190" s="186">
        <f>'10.21.21'!E34</f>
        <v>1145</v>
      </c>
      <c r="C190" s="186">
        <f>'10.21.21'!F34+'10.21.21'!G34</f>
        <v>1250</v>
      </c>
      <c r="D190" s="186">
        <v>0</v>
      </c>
      <c r="E190" s="186">
        <f>SUM(B190:D190)</f>
        <v>2395</v>
      </c>
      <c r="F190" s="150"/>
      <c r="G190" s="184" t="s">
        <v>134</v>
      </c>
      <c r="H190" s="186">
        <f t="shared" ref="H190:H191" si="183">B190+H184</f>
        <v>26740</v>
      </c>
      <c r="I190" s="186">
        <f t="shared" si="180"/>
        <v>39818</v>
      </c>
      <c r="J190" s="186">
        <f t="shared" si="181"/>
        <v>8509</v>
      </c>
      <c r="K190" s="186">
        <f t="shared" si="182"/>
        <v>75067</v>
      </c>
    </row>
    <row r="191" spans="1:11">
      <c r="A191" s="184" t="s">
        <v>86</v>
      </c>
      <c r="B191" s="186">
        <f>B189-B190</f>
        <v>-1145</v>
      </c>
      <c r="C191" s="186">
        <f t="shared" ref="C191:D191" si="184">C189-C190</f>
        <v>-1250</v>
      </c>
      <c r="D191" s="186">
        <f t="shared" si="184"/>
        <v>0</v>
      </c>
      <c r="E191" s="186">
        <f>SUM(B191:D191)</f>
        <v>-2395</v>
      </c>
      <c r="F191" s="150"/>
      <c r="G191" s="184" t="s">
        <v>86</v>
      </c>
      <c r="H191" s="186">
        <f t="shared" si="183"/>
        <v>-7393</v>
      </c>
      <c r="I191" s="186">
        <f t="shared" si="180"/>
        <v>-3970</v>
      </c>
      <c r="J191" s="186">
        <f t="shared" si="181"/>
        <v>2000</v>
      </c>
      <c r="K191" s="186">
        <f t="shared" si="182"/>
        <v>-9363</v>
      </c>
    </row>
    <row r="193" spans="1:11">
      <c r="A193" s="186" t="s">
        <v>139</v>
      </c>
      <c r="B193" s="186" t="s">
        <v>30</v>
      </c>
      <c r="C193" s="186" t="s">
        <v>30</v>
      </c>
      <c r="D193" s="186"/>
      <c r="E193" s="186"/>
      <c r="F193" s="150"/>
      <c r="G193" s="184"/>
      <c r="H193" s="186" t="s">
        <v>30</v>
      </c>
      <c r="I193" s="186" t="s">
        <v>30</v>
      </c>
      <c r="J193" s="186"/>
      <c r="K193" s="186"/>
    </row>
    <row r="194" spans="1:11">
      <c r="A194" s="95">
        <f>A188+1</f>
        <v>44491</v>
      </c>
      <c r="B194" s="186" t="s">
        <v>34</v>
      </c>
      <c r="C194" s="186" t="s">
        <v>131</v>
      </c>
      <c r="D194" s="186" t="s">
        <v>101</v>
      </c>
      <c r="E194" s="186" t="s">
        <v>132</v>
      </c>
      <c r="F194" s="150"/>
      <c r="G194" s="96" t="s">
        <v>135</v>
      </c>
      <c r="H194" s="186" t="s">
        <v>34</v>
      </c>
      <c r="I194" s="186" t="s">
        <v>131</v>
      </c>
      <c r="J194" s="186" t="s">
        <v>101</v>
      </c>
      <c r="K194" s="186" t="s">
        <v>132</v>
      </c>
    </row>
    <row r="195" spans="1:11">
      <c r="A195" s="184" t="s">
        <v>133</v>
      </c>
      <c r="B195" s="186"/>
      <c r="C195" s="186"/>
      <c r="D195" s="186"/>
      <c r="E195" s="186"/>
      <c r="F195" s="150"/>
      <c r="G195" s="184" t="s">
        <v>133</v>
      </c>
      <c r="H195" s="186">
        <f>B195+H189</f>
        <v>19347</v>
      </c>
      <c r="I195" s="186">
        <f t="shared" ref="I195:I197" si="185">C195+I189</f>
        <v>35848</v>
      </c>
      <c r="J195" s="186">
        <f t="shared" ref="J195:J197" si="186">D195+J189</f>
        <v>10509</v>
      </c>
      <c r="K195" s="186">
        <f t="shared" ref="K195:K197" si="187">E195+K189</f>
        <v>65704</v>
      </c>
    </row>
    <row r="196" spans="1:11">
      <c r="A196" s="184" t="s">
        <v>134</v>
      </c>
      <c r="B196" s="186"/>
      <c r="C196" s="186"/>
      <c r="D196" s="186"/>
      <c r="E196" s="186"/>
      <c r="F196" s="150"/>
      <c r="G196" s="184" t="s">
        <v>134</v>
      </c>
      <c r="H196" s="186">
        <f t="shared" ref="H196:H197" si="188">B196+H190</f>
        <v>26740</v>
      </c>
      <c r="I196" s="186">
        <f t="shared" si="185"/>
        <v>39818</v>
      </c>
      <c r="J196" s="186">
        <f t="shared" si="186"/>
        <v>8509</v>
      </c>
      <c r="K196" s="186">
        <f t="shared" si="187"/>
        <v>75067</v>
      </c>
    </row>
    <row r="197" spans="1:11">
      <c r="A197" s="184" t="s">
        <v>86</v>
      </c>
      <c r="B197" s="186">
        <f>B195-B196</f>
        <v>0</v>
      </c>
      <c r="C197" s="186">
        <f t="shared" ref="C197:D197" si="189">C195-C196</f>
        <v>0</v>
      </c>
      <c r="D197" s="186">
        <f t="shared" si="189"/>
        <v>0</v>
      </c>
      <c r="E197" s="186">
        <f>SUM(B197:D197)</f>
        <v>0</v>
      </c>
      <c r="F197" s="150"/>
      <c r="G197" s="184" t="s">
        <v>86</v>
      </c>
      <c r="H197" s="186">
        <f t="shared" si="188"/>
        <v>-7393</v>
      </c>
      <c r="I197" s="186">
        <f t="shared" si="185"/>
        <v>-3970</v>
      </c>
      <c r="J197" s="186">
        <f t="shared" si="186"/>
        <v>2000</v>
      </c>
      <c r="K197" s="186">
        <f t="shared" si="187"/>
        <v>-9363</v>
      </c>
    </row>
    <row r="199" spans="1:11">
      <c r="A199" s="232" t="s">
        <v>140</v>
      </c>
      <c r="B199" s="232" t="s">
        <v>30</v>
      </c>
      <c r="C199" s="232" t="s">
        <v>30</v>
      </c>
      <c r="D199" s="232"/>
      <c r="E199" s="232"/>
      <c r="F199" s="202"/>
      <c r="G199" s="206"/>
      <c r="H199" s="232" t="s">
        <v>30</v>
      </c>
      <c r="I199" s="232" t="s">
        <v>30</v>
      </c>
      <c r="J199" s="232"/>
      <c r="K199" s="232"/>
    </row>
    <row r="200" spans="1:11">
      <c r="A200" s="95">
        <f>A194+1</f>
        <v>44492</v>
      </c>
      <c r="B200" s="232" t="s">
        <v>34</v>
      </c>
      <c r="C200" s="232" t="s">
        <v>131</v>
      </c>
      <c r="D200" s="232" t="s">
        <v>101</v>
      </c>
      <c r="E200" s="232" t="s">
        <v>132</v>
      </c>
      <c r="F200" s="202"/>
      <c r="G200" s="96" t="s">
        <v>135</v>
      </c>
      <c r="H200" s="232" t="s">
        <v>34</v>
      </c>
      <c r="I200" s="232" t="s">
        <v>131</v>
      </c>
      <c r="J200" s="232" t="s">
        <v>101</v>
      </c>
      <c r="K200" s="232" t="s">
        <v>132</v>
      </c>
    </row>
    <row r="201" spans="1:11">
      <c r="A201" s="206" t="s">
        <v>133</v>
      </c>
      <c r="B201" s="232"/>
      <c r="C201" s="232"/>
      <c r="D201" s="232"/>
      <c r="E201" s="232"/>
      <c r="F201" s="202"/>
      <c r="G201" s="206" t="s">
        <v>133</v>
      </c>
      <c r="H201" s="232">
        <f>B201+H195</f>
        <v>19347</v>
      </c>
      <c r="I201" s="232">
        <f t="shared" ref="I201:I203" si="190">C201+I195</f>
        <v>35848</v>
      </c>
      <c r="J201" s="232">
        <f t="shared" ref="J201:J203" si="191">D201+J195</f>
        <v>10509</v>
      </c>
      <c r="K201" s="232">
        <f t="shared" ref="K201:K203" si="192">E201+K195</f>
        <v>65704</v>
      </c>
    </row>
    <row r="202" spans="1:11">
      <c r="A202" s="206" t="s">
        <v>134</v>
      </c>
      <c r="B202" s="232"/>
      <c r="C202" s="232"/>
      <c r="D202" s="232"/>
      <c r="E202" s="232"/>
      <c r="F202" s="202"/>
      <c r="G202" s="206" t="s">
        <v>134</v>
      </c>
      <c r="H202" s="232">
        <f t="shared" ref="H202:H203" si="193">B202+H196</f>
        <v>26740</v>
      </c>
      <c r="I202" s="232">
        <f t="shared" si="190"/>
        <v>39818</v>
      </c>
      <c r="J202" s="232">
        <f t="shared" si="191"/>
        <v>8509</v>
      </c>
      <c r="K202" s="232">
        <f t="shared" si="192"/>
        <v>75067</v>
      </c>
    </row>
    <row r="203" spans="1:11">
      <c r="A203" s="206" t="s">
        <v>86</v>
      </c>
      <c r="B203" s="232">
        <f>B201-B202</f>
        <v>0</v>
      </c>
      <c r="C203" s="232">
        <f t="shared" ref="C203:D203" si="194">C201-C202</f>
        <v>0</v>
      </c>
      <c r="D203" s="232">
        <f t="shared" si="194"/>
        <v>0</v>
      </c>
      <c r="E203" s="232">
        <f>SUM(B203:D203)</f>
        <v>0</v>
      </c>
      <c r="F203" s="202"/>
      <c r="G203" s="206" t="s">
        <v>86</v>
      </c>
      <c r="H203" s="232">
        <f t="shared" si="193"/>
        <v>-7393</v>
      </c>
      <c r="I203" s="232">
        <f t="shared" si="190"/>
        <v>-3970</v>
      </c>
      <c r="J203" s="232">
        <f t="shared" si="191"/>
        <v>2000</v>
      </c>
      <c r="K203" s="232">
        <f t="shared" si="192"/>
        <v>-9363</v>
      </c>
    </row>
    <row r="205" spans="1:11">
      <c r="A205" s="232" t="s">
        <v>141</v>
      </c>
      <c r="B205" s="232" t="s">
        <v>30</v>
      </c>
      <c r="C205" s="232" t="s">
        <v>30</v>
      </c>
      <c r="D205" s="232"/>
      <c r="E205" s="232"/>
      <c r="F205" s="202"/>
      <c r="G205" s="206"/>
      <c r="H205" s="232" t="s">
        <v>30</v>
      </c>
      <c r="I205" s="232" t="s">
        <v>30</v>
      </c>
      <c r="J205" s="232"/>
      <c r="K205" s="232"/>
    </row>
    <row r="206" spans="1:11">
      <c r="A206" s="95">
        <f>A200+1</f>
        <v>44493</v>
      </c>
      <c r="B206" s="232" t="s">
        <v>34</v>
      </c>
      <c r="C206" s="232" t="s">
        <v>131</v>
      </c>
      <c r="D206" s="232" t="s">
        <v>101</v>
      </c>
      <c r="E206" s="232" t="s">
        <v>132</v>
      </c>
      <c r="F206" s="202"/>
      <c r="G206" s="96" t="s">
        <v>135</v>
      </c>
      <c r="H206" s="232" t="s">
        <v>34</v>
      </c>
      <c r="I206" s="232" t="s">
        <v>131</v>
      </c>
      <c r="J206" s="232" t="s">
        <v>101</v>
      </c>
      <c r="K206" s="232" t="s">
        <v>132</v>
      </c>
    </row>
    <row r="207" spans="1:11">
      <c r="A207" s="206" t="s">
        <v>133</v>
      </c>
      <c r="B207" s="232"/>
      <c r="C207" s="232"/>
      <c r="D207" s="232"/>
      <c r="E207" s="232"/>
      <c r="F207" s="202"/>
      <c r="G207" s="206" t="s">
        <v>133</v>
      </c>
      <c r="H207" s="232">
        <f>B207+H201</f>
        <v>19347</v>
      </c>
      <c r="I207" s="232">
        <f t="shared" ref="I207:I209" si="195">C207+I201</f>
        <v>35848</v>
      </c>
      <c r="J207" s="232">
        <f t="shared" ref="J207:J209" si="196">D207+J201</f>
        <v>10509</v>
      </c>
      <c r="K207" s="232">
        <f t="shared" ref="K207:K209" si="197">E207+K201</f>
        <v>65704</v>
      </c>
    </row>
    <row r="208" spans="1:11">
      <c r="A208" s="206" t="s">
        <v>134</v>
      </c>
      <c r="B208" s="232"/>
      <c r="C208" s="232"/>
      <c r="D208" s="232"/>
      <c r="E208" s="232"/>
      <c r="F208" s="202"/>
      <c r="G208" s="206" t="s">
        <v>134</v>
      </c>
      <c r="H208" s="232">
        <f t="shared" ref="H208:H209" si="198">B208+H202</f>
        <v>26740</v>
      </c>
      <c r="I208" s="232">
        <f t="shared" si="195"/>
        <v>39818</v>
      </c>
      <c r="J208" s="232">
        <f t="shared" si="196"/>
        <v>8509</v>
      </c>
      <c r="K208" s="232">
        <f t="shared" si="197"/>
        <v>75067</v>
      </c>
    </row>
    <row r="209" spans="1:11">
      <c r="A209" s="206" t="s">
        <v>86</v>
      </c>
      <c r="B209" s="232">
        <f>B207-B208</f>
        <v>0</v>
      </c>
      <c r="C209" s="232">
        <f t="shared" ref="C209:D209" si="199">C207-C208</f>
        <v>0</v>
      </c>
      <c r="D209" s="232">
        <f t="shared" si="199"/>
        <v>0</v>
      </c>
      <c r="E209" s="232">
        <f>SUM(B209:D209)</f>
        <v>0</v>
      </c>
      <c r="F209" s="202"/>
      <c r="G209" s="206" t="s">
        <v>86</v>
      </c>
      <c r="H209" s="232">
        <f t="shared" si="198"/>
        <v>-7393</v>
      </c>
      <c r="I209" s="232">
        <f t="shared" si="195"/>
        <v>-3970</v>
      </c>
      <c r="J209" s="232">
        <f t="shared" si="196"/>
        <v>2000</v>
      </c>
      <c r="K209" s="232">
        <f t="shared" si="197"/>
        <v>-9363</v>
      </c>
    </row>
    <row r="211" spans="1:11">
      <c r="A211" s="232" t="s">
        <v>142</v>
      </c>
      <c r="B211" s="232" t="s">
        <v>30</v>
      </c>
      <c r="C211" s="232" t="s">
        <v>30</v>
      </c>
      <c r="D211" s="232"/>
      <c r="E211" s="232"/>
      <c r="F211" s="202"/>
      <c r="G211" s="206"/>
      <c r="H211" s="232" t="s">
        <v>30</v>
      </c>
      <c r="I211" s="232" t="s">
        <v>30</v>
      </c>
      <c r="J211" s="232"/>
      <c r="K211" s="232"/>
    </row>
    <row r="212" spans="1:11">
      <c r="A212" s="95">
        <f>A206+1</f>
        <v>44494</v>
      </c>
      <c r="B212" s="232" t="s">
        <v>34</v>
      </c>
      <c r="C212" s="232" t="s">
        <v>131</v>
      </c>
      <c r="D212" s="232" t="s">
        <v>101</v>
      </c>
      <c r="E212" s="232" t="s">
        <v>132</v>
      </c>
      <c r="F212" s="202"/>
      <c r="G212" s="96" t="s">
        <v>135</v>
      </c>
      <c r="H212" s="232" t="s">
        <v>34</v>
      </c>
      <c r="I212" s="232" t="s">
        <v>131</v>
      </c>
      <c r="J212" s="232" t="s">
        <v>101</v>
      </c>
      <c r="K212" s="232" t="s">
        <v>132</v>
      </c>
    </row>
    <row r="213" spans="1:11">
      <c r="A213" s="206" t="s">
        <v>133</v>
      </c>
      <c r="B213" s="232"/>
      <c r="C213" s="232"/>
      <c r="D213" s="232"/>
      <c r="E213" s="232"/>
      <c r="F213" s="202"/>
      <c r="G213" s="206" t="s">
        <v>133</v>
      </c>
      <c r="H213" s="232">
        <f>B213+H207</f>
        <v>19347</v>
      </c>
      <c r="I213" s="232">
        <f t="shared" ref="I213:I215" si="200">C213+I207</f>
        <v>35848</v>
      </c>
      <c r="J213" s="232">
        <f t="shared" ref="J213:J215" si="201">D213+J207</f>
        <v>10509</v>
      </c>
      <c r="K213" s="232">
        <f t="shared" ref="K213:K215" si="202">E213+K207</f>
        <v>65704</v>
      </c>
    </row>
    <row r="214" spans="1:11">
      <c r="A214" s="206" t="s">
        <v>134</v>
      </c>
      <c r="B214" s="232"/>
      <c r="C214" s="232"/>
      <c r="D214" s="232"/>
      <c r="E214" s="232"/>
      <c r="F214" s="202"/>
      <c r="G214" s="206" t="s">
        <v>134</v>
      </c>
      <c r="H214" s="232">
        <f t="shared" ref="H214:H215" si="203">B214+H208</f>
        <v>26740</v>
      </c>
      <c r="I214" s="232">
        <f t="shared" si="200"/>
        <v>39818</v>
      </c>
      <c r="J214" s="232">
        <f t="shared" si="201"/>
        <v>8509</v>
      </c>
      <c r="K214" s="232">
        <f t="shared" si="202"/>
        <v>75067</v>
      </c>
    </row>
    <row r="215" spans="1:11">
      <c r="A215" s="206" t="s">
        <v>86</v>
      </c>
      <c r="B215" s="232">
        <f>B213-B214</f>
        <v>0</v>
      </c>
      <c r="C215" s="232">
        <f t="shared" ref="C215:D215" si="204">C213-C214</f>
        <v>0</v>
      </c>
      <c r="D215" s="232">
        <f t="shared" si="204"/>
        <v>0</v>
      </c>
      <c r="E215" s="232">
        <f>SUM(B215:D215)</f>
        <v>0</v>
      </c>
      <c r="F215" s="202"/>
      <c r="G215" s="206" t="s">
        <v>86</v>
      </c>
      <c r="H215" s="232">
        <f t="shared" si="203"/>
        <v>-7393</v>
      </c>
      <c r="I215" s="232">
        <f t="shared" si="200"/>
        <v>-3970</v>
      </c>
      <c r="J215" s="232">
        <f t="shared" si="201"/>
        <v>2000</v>
      </c>
      <c r="K215" s="232">
        <f t="shared" si="202"/>
        <v>-9363</v>
      </c>
    </row>
    <row r="217" spans="1:11">
      <c r="A217" s="232" t="s">
        <v>136</v>
      </c>
      <c r="B217" s="232" t="s">
        <v>30</v>
      </c>
      <c r="C217" s="232" t="s">
        <v>30</v>
      </c>
      <c r="D217" s="232"/>
      <c r="E217" s="232"/>
      <c r="F217" s="202"/>
      <c r="G217" s="206"/>
      <c r="H217" s="232" t="s">
        <v>30</v>
      </c>
      <c r="I217" s="232" t="s">
        <v>30</v>
      </c>
      <c r="J217" s="232"/>
      <c r="K217" s="232"/>
    </row>
    <row r="218" spans="1:11">
      <c r="A218" s="95">
        <f>A212+1</f>
        <v>44495</v>
      </c>
      <c r="B218" s="232" t="s">
        <v>34</v>
      </c>
      <c r="C218" s="232" t="s">
        <v>131</v>
      </c>
      <c r="D218" s="232" t="s">
        <v>101</v>
      </c>
      <c r="E218" s="232" t="s">
        <v>132</v>
      </c>
      <c r="F218" s="202"/>
      <c r="G218" s="96" t="s">
        <v>135</v>
      </c>
      <c r="H218" s="232" t="s">
        <v>34</v>
      </c>
      <c r="I218" s="232" t="s">
        <v>131</v>
      </c>
      <c r="J218" s="232" t="s">
        <v>101</v>
      </c>
      <c r="K218" s="232" t="s">
        <v>132</v>
      </c>
    </row>
    <row r="219" spans="1:11">
      <c r="A219" s="206" t="s">
        <v>133</v>
      </c>
      <c r="B219" s="232"/>
      <c r="C219" s="232"/>
      <c r="D219" s="232"/>
      <c r="E219" s="232"/>
      <c r="F219" s="202"/>
      <c r="G219" s="206" t="s">
        <v>133</v>
      </c>
      <c r="H219" s="232">
        <f>B219+H213</f>
        <v>19347</v>
      </c>
      <c r="I219" s="232">
        <f t="shared" ref="I219:I221" si="205">C219+I213</f>
        <v>35848</v>
      </c>
      <c r="J219" s="232">
        <f t="shared" ref="J219:J221" si="206">D219+J213</f>
        <v>10509</v>
      </c>
      <c r="K219" s="232">
        <f t="shared" ref="K219:K221" si="207">E219+K213</f>
        <v>65704</v>
      </c>
    </row>
    <row r="220" spans="1:11">
      <c r="A220" s="206" t="s">
        <v>134</v>
      </c>
      <c r="B220" s="232"/>
      <c r="C220" s="232"/>
      <c r="D220" s="232"/>
      <c r="E220" s="232"/>
      <c r="F220" s="202"/>
      <c r="G220" s="206" t="s">
        <v>134</v>
      </c>
      <c r="H220" s="232">
        <f t="shared" ref="H220:H221" si="208">B220+H214</f>
        <v>26740</v>
      </c>
      <c r="I220" s="232">
        <f t="shared" si="205"/>
        <v>39818</v>
      </c>
      <c r="J220" s="232">
        <f t="shared" si="206"/>
        <v>8509</v>
      </c>
      <c r="K220" s="232">
        <f t="shared" si="207"/>
        <v>75067</v>
      </c>
    </row>
    <row r="221" spans="1:11">
      <c r="A221" s="206" t="s">
        <v>86</v>
      </c>
      <c r="B221" s="232">
        <f>B219-B220</f>
        <v>0</v>
      </c>
      <c r="C221" s="232">
        <f t="shared" ref="C221:D221" si="209">C219-C220</f>
        <v>0</v>
      </c>
      <c r="D221" s="232">
        <f t="shared" si="209"/>
        <v>0</v>
      </c>
      <c r="E221" s="232">
        <f>SUM(B221:D221)</f>
        <v>0</v>
      </c>
      <c r="F221" s="202"/>
      <c r="G221" s="206" t="s">
        <v>86</v>
      </c>
      <c r="H221" s="232">
        <f t="shared" si="208"/>
        <v>-7393</v>
      </c>
      <c r="I221" s="232">
        <f t="shared" si="205"/>
        <v>-3970</v>
      </c>
      <c r="J221" s="232">
        <f t="shared" si="206"/>
        <v>2000</v>
      </c>
      <c r="K221" s="232">
        <f t="shared" si="207"/>
        <v>-9363</v>
      </c>
    </row>
    <row r="223" spans="1:11">
      <c r="A223" s="232" t="s">
        <v>137</v>
      </c>
      <c r="B223" s="232" t="s">
        <v>30</v>
      </c>
      <c r="C223" s="232" t="s">
        <v>30</v>
      </c>
      <c r="D223" s="232"/>
      <c r="E223" s="232"/>
      <c r="F223" s="202"/>
      <c r="G223" s="206"/>
      <c r="H223" s="232" t="s">
        <v>30</v>
      </c>
      <c r="I223" s="232" t="s">
        <v>30</v>
      </c>
      <c r="J223" s="232"/>
      <c r="K223" s="232"/>
    </row>
    <row r="224" spans="1:11">
      <c r="A224" s="95">
        <f>A218+1</f>
        <v>44496</v>
      </c>
      <c r="B224" s="232" t="s">
        <v>34</v>
      </c>
      <c r="C224" s="232" t="s">
        <v>131</v>
      </c>
      <c r="D224" s="232" t="s">
        <v>101</v>
      </c>
      <c r="E224" s="232" t="s">
        <v>132</v>
      </c>
      <c r="F224" s="202"/>
      <c r="G224" s="96" t="s">
        <v>135</v>
      </c>
      <c r="H224" s="232" t="s">
        <v>34</v>
      </c>
      <c r="I224" s="232" t="s">
        <v>131</v>
      </c>
      <c r="J224" s="232" t="s">
        <v>101</v>
      </c>
      <c r="K224" s="232" t="s">
        <v>132</v>
      </c>
    </row>
    <row r="225" spans="1:11">
      <c r="A225" s="206" t="s">
        <v>133</v>
      </c>
      <c r="B225" s="232"/>
      <c r="C225" s="232"/>
      <c r="D225" s="232"/>
      <c r="E225" s="232"/>
      <c r="F225" s="202"/>
      <c r="G225" s="206" t="s">
        <v>133</v>
      </c>
      <c r="H225" s="232">
        <f>B225+H219</f>
        <v>19347</v>
      </c>
      <c r="I225" s="232">
        <f t="shared" ref="I225:I227" si="210">C225+I219</f>
        <v>35848</v>
      </c>
      <c r="J225" s="232">
        <f t="shared" ref="J225:J227" si="211">D225+J219</f>
        <v>10509</v>
      </c>
      <c r="K225" s="232">
        <f t="shared" ref="K225:K227" si="212">E225+K219</f>
        <v>65704</v>
      </c>
    </row>
    <row r="226" spans="1:11">
      <c r="A226" s="206" t="s">
        <v>134</v>
      </c>
      <c r="B226" s="232"/>
      <c r="C226" s="232"/>
      <c r="D226" s="232"/>
      <c r="E226" s="232"/>
      <c r="F226" s="202"/>
      <c r="G226" s="206" t="s">
        <v>134</v>
      </c>
      <c r="H226" s="232">
        <f t="shared" ref="H226:H227" si="213">B226+H220</f>
        <v>26740</v>
      </c>
      <c r="I226" s="232">
        <f t="shared" si="210"/>
        <v>39818</v>
      </c>
      <c r="J226" s="232">
        <f t="shared" si="211"/>
        <v>8509</v>
      </c>
      <c r="K226" s="232">
        <f t="shared" si="212"/>
        <v>75067</v>
      </c>
    </row>
    <row r="227" spans="1:11">
      <c r="A227" s="206" t="s">
        <v>86</v>
      </c>
      <c r="B227" s="232">
        <f>B225-B226</f>
        <v>0</v>
      </c>
      <c r="C227" s="232">
        <f t="shared" ref="C227:D227" si="214">C225-C226</f>
        <v>0</v>
      </c>
      <c r="D227" s="232">
        <f t="shared" si="214"/>
        <v>0</v>
      </c>
      <c r="E227" s="232">
        <f>SUM(B227:D227)</f>
        <v>0</v>
      </c>
      <c r="F227" s="202"/>
      <c r="G227" s="206" t="s">
        <v>86</v>
      </c>
      <c r="H227" s="232">
        <f t="shared" si="213"/>
        <v>-7393</v>
      </c>
      <c r="I227" s="232">
        <f t="shared" si="210"/>
        <v>-3970</v>
      </c>
      <c r="J227" s="232">
        <f t="shared" si="211"/>
        <v>2000</v>
      </c>
      <c r="K227" s="232">
        <f t="shared" si="212"/>
        <v>-9363</v>
      </c>
    </row>
    <row r="229" spans="1:11">
      <c r="A229" s="232" t="s">
        <v>138</v>
      </c>
      <c r="B229" s="232" t="s">
        <v>30</v>
      </c>
      <c r="C229" s="232" t="s">
        <v>30</v>
      </c>
      <c r="D229" s="232"/>
      <c r="E229" s="232"/>
      <c r="F229" s="202"/>
      <c r="G229" s="206"/>
      <c r="H229" s="232" t="s">
        <v>30</v>
      </c>
      <c r="I229" s="232" t="s">
        <v>30</v>
      </c>
      <c r="J229" s="232"/>
      <c r="K229" s="232"/>
    </row>
    <row r="230" spans="1:11">
      <c r="A230" s="95">
        <f>A224+1</f>
        <v>44497</v>
      </c>
      <c r="B230" s="232" t="s">
        <v>34</v>
      </c>
      <c r="C230" s="232" t="s">
        <v>131</v>
      </c>
      <c r="D230" s="232" t="s">
        <v>101</v>
      </c>
      <c r="E230" s="232" t="s">
        <v>132</v>
      </c>
      <c r="F230" s="202"/>
      <c r="G230" s="96" t="s">
        <v>135</v>
      </c>
      <c r="H230" s="232" t="s">
        <v>34</v>
      </c>
      <c r="I230" s="232" t="s">
        <v>131</v>
      </c>
      <c r="J230" s="232" t="s">
        <v>101</v>
      </c>
      <c r="K230" s="232" t="s">
        <v>132</v>
      </c>
    </row>
    <row r="231" spans="1:11">
      <c r="A231" s="206" t="s">
        <v>133</v>
      </c>
      <c r="B231" s="232"/>
      <c r="C231" s="232"/>
      <c r="D231" s="232"/>
      <c r="E231" s="232"/>
      <c r="F231" s="202"/>
      <c r="G231" s="206" t="s">
        <v>133</v>
      </c>
      <c r="H231" s="232">
        <f>B231+H225</f>
        <v>19347</v>
      </c>
      <c r="I231" s="232">
        <f t="shared" ref="I231:I233" si="215">C231+I225</f>
        <v>35848</v>
      </c>
      <c r="J231" s="232">
        <f t="shared" ref="J231:J233" si="216">D231+J225</f>
        <v>10509</v>
      </c>
      <c r="K231" s="232">
        <f t="shared" ref="K231:K233" si="217">E231+K225</f>
        <v>65704</v>
      </c>
    </row>
    <row r="232" spans="1:11">
      <c r="A232" s="206" t="s">
        <v>134</v>
      </c>
      <c r="B232" s="232"/>
      <c r="C232" s="232"/>
      <c r="D232" s="232"/>
      <c r="E232" s="232"/>
      <c r="F232" s="202"/>
      <c r="G232" s="206" t="s">
        <v>134</v>
      </c>
      <c r="H232" s="232">
        <f t="shared" ref="H232:H233" si="218">B232+H226</f>
        <v>26740</v>
      </c>
      <c r="I232" s="232">
        <f t="shared" si="215"/>
        <v>39818</v>
      </c>
      <c r="J232" s="232">
        <f t="shared" si="216"/>
        <v>8509</v>
      </c>
      <c r="K232" s="232">
        <f t="shared" si="217"/>
        <v>75067</v>
      </c>
    </row>
    <row r="233" spans="1:11">
      <c r="A233" s="206" t="s">
        <v>86</v>
      </c>
      <c r="B233" s="232">
        <f>B231-B232</f>
        <v>0</v>
      </c>
      <c r="C233" s="232">
        <f t="shared" ref="C233:D233" si="219">C231-C232</f>
        <v>0</v>
      </c>
      <c r="D233" s="232">
        <f t="shared" si="219"/>
        <v>0</v>
      </c>
      <c r="E233" s="232">
        <f>SUM(B233:D233)</f>
        <v>0</v>
      </c>
      <c r="F233" s="202"/>
      <c r="G233" s="206" t="s">
        <v>86</v>
      </c>
      <c r="H233" s="232">
        <f t="shared" si="218"/>
        <v>-7393</v>
      </c>
      <c r="I233" s="232">
        <f t="shared" si="215"/>
        <v>-3970</v>
      </c>
      <c r="J233" s="232">
        <f t="shared" si="216"/>
        <v>2000</v>
      </c>
      <c r="K233" s="232">
        <f t="shared" si="217"/>
        <v>-9363</v>
      </c>
    </row>
    <row r="235" spans="1:11">
      <c r="A235" s="232" t="s">
        <v>139</v>
      </c>
      <c r="B235" s="232" t="s">
        <v>30</v>
      </c>
      <c r="C235" s="232" t="s">
        <v>30</v>
      </c>
      <c r="D235" s="232"/>
      <c r="E235" s="232"/>
      <c r="F235" s="202"/>
      <c r="G235" s="206"/>
      <c r="H235" s="232" t="s">
        <v>30</v>
      </c>
      <c r="I235" s="232" t="s">
        <v>30</v>
      </c>
      <c r="J235" s="232"/>
      <c r="K235" s="232"/>
    </row>
    <row r="236" spans="1:11">
      <c r="A236" s="95">
        <f>A230+1</f>
        <v>44498</v>
      </c>
      <c r="B236" s="232" t="s">
        <v>34</v>
      </c>
      <c r="C236" s="232" t="s">
        <v>131</v>
      </c>
      <c r="D236" s="232" t="s">
        <v>101</v>
      </c>
      <c r="E236" s="232" t="s">
        <v>132</v>
      </c>
      <c r="F236" s="202"/>
      <c r="G236" s="96" t="s">
        <v>135</v>
      </c>
      <c r="H236" s="232" t="s">
        <v>34</v>
      </c>
      <c r="I236" s="232" t="s">
        <v>131</v>
      </c>
      <c r="J236" s="232" t="s">
        <v>101</v>
      </c>
      <c r="K236" s="232" t="s">
        <v>132</v>
      </c>
    </row>
    <row r="237" spans="1:11">
      <c r="A237" s="206" t="s">
        <v>133</v>
      </c>
      <c r="B237" s="232"/>
      <c r="C237" s="232"/>
      <c r="D237" s="232"/>
      <c r="E237" s="232"/>
      <c r="F237" s="202"/>
      <c r="G237" s="206" t="s">
        <v>133</v>
      </c>
      <c r="H237" s="232">
        <f>B237+H231</f>
        <v>19347</v>
      </c>
      <c r="I237" s="232">
        <f t="shared" ref="I237:I239" si="220">C237+I231</f>
        <v>35848</v>
      </c>
      <c r="J237" s="232">
        <f t="shared" ref="J237:J239" si="221">D237+J231</f>
        <v>10509</v>
      </c>
      <c r="K237" s="232">
        <f t="shared" ref="K237:K239" si="222">E237+K231</f>
        <v>65704</v>
      </c>
    </row>
    <row r="238" spans="1:11">
      <c r="A238" s="206" t="s">
        <v>134</v>
      </c>
      <c r="B238" s="232"/>
      <c r="C238" s="232"/>
      <c r="D238" s="232"/>
      <c r="E238" s="232"/>
      <c r="F238" s="202"/>
      <c r="G238" s="206" t="s">
        <v>134</v>
      </c>
      <c r="H238" s="232">
        <f t="shared" ref="H238:H239" si="223">B238+H232</f>
        <v>26740</v>
      </c>
      <c r="I238" s="232">
        <f t="shared" si="220"/>
        <v>39818</v>
      </c>
      <c r="J238" s="232">
        <f t="shared" si="221"/>
        <v>8509</v>
      </c>
      <c r="K238" s="232">
        <f t="shared" si="222"/>
        <v>75067</v>
      </c>
    </row>
    <row r="239" spans="1:11">
      <c r="A239" s="206" t="s">
        <v>86</v>
      </c>
      <c r="B239" s="232">
        <f>B237-B238</f>
        <v>0</v>
      </c>
      <c r="C239" s="232">
        <f t="shared" ref="C239:D239" si="224">C237-C238</f>
        <v>0</v>
      </c>
      <c r="D239" s="232">
        <f t="shared" si="224"/>
        <v>0</v>
      </c>
      <c r="E239" s="232">
        <f>SUM(B239:D239)</f>
        <v>0</v>
      </c>
      <c r="F239" s="202"/>
      <c r="G239" s="206" t="s">
        <v>86</v>
      </c>
      <c r="H239" s="232">
        <f t="shared" si="223"/>
        <v>-7393</v>
      </c>
      <c r="I239" s="232">
        <f t="shared" si="220"/>
        <v>-3970</v>
      </c>
      <c r="J239" s="232">
        <f t="shared" si="221"/>
        <v>2000</v>
      </c>
      <c r="K239" s="232">
        <f t="shared" si="222"/>
        <v>-9363</v>
      </c>
    </row>
  </sheetData>
  <pageMargins left="0.7" right="0.7" top="0.75" bottom="0.75" header="0.3" footer="0.3"/>
  <pageSetup paperSize="0" orientation="portrait" horizontalDpi="0" verticalDpi="0" copies="0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FF59D-0345-4BE2-BB2C-6896BC235367}">
  <sheetPr codeName="Sheet158"/>
  <dimension ref="A1:P1002"/>
  <sheetViews>
    <sheetView workbookViewId="0"/>
  </sheetViews>
  <sheetFormatPr defaultRowHeight="15"/>
  <cols>
    <col min="1" max="1" width="11.5703125" customWidth="1"/>
    <col min="2" max="2" width="15.140625" customWidth="1"/>
    <col min="3" max="12" width="15.7109375" customWidth="1"/>
    <col min="13" max="13" width="10.5703125" bestFit="1" customWidth="1"/>
  </cols>
  <sheetData>
    <row r="1" spans="1:16" ht="25.5" customHeight="1" thickTop="1" thickBot="1">
      <c r="A1" s="58"/>
      <c r="B1" s="1288" t="s">
        <v>95</v>
      </c>
      <c r="C1" s="1289"/>
      <c r="D1" s="1289"/>
      <c r="E1" s="1290"/>
      <c r="F1" s="1288" t="s">
        <v>96</v>
      </c>
      <c r="G1" s="1289"/>
      <c r="H1" s="1289"/>
      <c r="I1" s="1290"/>
      <c r="J1" s="1291" t="s">
        <v>97</v>
      </c>
      <c r="K1" s="1292"/>
      <c r="L1" s="98"/>
    </row>
    <row r="2" spans="1:16" ht="15.6" customHeight="1" thickTop="1" thickBot="1">
      <c r="A2" s="1293" t="s">
        <v>98</v>
      </c>
      <c r="B2" s="109" t="s">
        <v>99</v>
      </c>
      <c r="C2" s="109" t="s">
        <v>100</v>
      </c>
      <c r="D2" s="110" t="s">
        <v>101</v>
      </c>
      <c r="E2" s="1295" t="s">
        <v>102</v>
      </c>
      <c r="F2" s="1297" t="s">
        <v>166</v>
      </c>
      <c r="G2" s="1299" t="s">
        <v>167</v>
      </c>
      <c r="H2" s="1301" t="s">
        <v>168</v>
      </c>
      <c r="I2" s="1295" t="s">
        <v>102</v>
      </c>
      <c r="J2" s="1303" t="s">
        <v>103</v>
      </c>
      <c r="K2" s="1305" t="s">
        <v>104</v>
      </c>
      <c r="L2" s="99"/>
    </row>
    <row r="3" spans="1:16" ht="15.75" thickBot="1">
      <c r="A3" s="1294"/>
      <c r="B3" s="62" t="s">
        <v>105</v>
      </c>
      <c r="C3" s="63" t="s">
        <v>106</v>
      </c>
      <c r="D3" s="64" t="s">
        <v>107</v>
      </c>
      <c r="E3" s="1296"/>
      <c r="F3" s="1298"/>
      <c r="G3" s="1300"/>
      <c r="H3" s="1302"/>
      <c r="I3" s="1296"/>
      <c r="J3" s="1304"/>
      <c r="K3" s="1294"/>
      <c r="L3" s="99"/>
    </row>
    <row r="4" spans="1:16" ht="27.75" thickTop="1" thickBot="1">
      <c r="A4" s="65" t="s">
        <v>108</v>
      </c>
      <c r="B4" s="66" t="s">
        <v>105</v>
      </c>
      <c r="C4" s="67" t="s">
        <v>106</v>
      </c>
      <c r="D4" s="68" t="s">
        <v>107</v>
      </c>
      <c r="E4" s="69" t="s">
        <v>109</v>
      </c>
      <c r="F4" s="66" t="s">
        <v>105</v>
      </c>
      <c r="G4" s="67" t="s">
        <v>106</v>
      </c>
      <c r="H4" s="68" t="s">
        <v>107</v>
      </c>
      <c r="I4" s="69" t="s">
        <v>109</v>
      </c>
      <c r="J4" s="70" t="s">
        <v>110</v>
      </c>
      <c r="K4" s="69" t="s">
        <v>111</v>
      </c>
      <c r="L4" s="100"/>
      <c r="M4" s="94"/>
      <c r="N4" s="97" t="s">
        <v>34</v>
      </c>
      <c r="O4" s="97" t="s">
        <v>35</v>
      </c>
      <c r="P4" s="97" t="s">
        <v>101</v>
      </c>
    </row>
    <row r="5" spans="1:16" ht="16.5" thickTop="1" thickBot="1">
      <c r="A5" s="71" t="s">
        <v>112</v>
      </c>
      <c r="B5" s="72">
        <v>350</v>
      </c>
      <c r="C5" s="73">
        <v>350</v>
      </c>
      <c r="D5" s="74">
        <v>275</v>
      </c>
      <c r="E5" s="75">
        <v>975</v>
      </c>
      <c r="F5" s="76">
        <v>0</v>
      </c>
      <c r="G5" s="76">
        <v>233</v>
      </c>
      <c r="H5" s="76">
        <v>250</v>
      </c>
      <c r="I5" s="75">
        <v>492</v>
      </c>
      <c r="J5" s="77">
        <v>483</v>
      </c>
      <c r="K5" s="1285">
        <v>2473</v>
      </c>
      <c r="L5" s="101"/>
      <c r="N5" s="4">
        <f>B5-F5</f>
        <v>350</v>
      </c>
      <c r="O5" s="4">
        <f>C5-G5</f>
        <v>117</v>
      </c>
      <c r="P5" s="4">
        <f>D5-H5</f>
        <v>25</v>
      </c>
    </row>
    <row r="6" spans="1:16" ht="15.75" thickBot="1">
      <c r="A6" s="71" t="s">
        <v>113</v>
      </c>
      <c r="B6" s="78">
        <v>700</v>
      </c>
      <c r="C6" s="73">
        <v>700</v>
      </c>
      <c r="D6" s="74">
        <v>692</v>
      </c>
      <c r="E6" s="75">
        <v>2092</v>
      </c>
      <c r="F6" s="76">
        <v>0</v>
      </c>
      <c r="G6" s="76">
        <v>320</v>
      </c>
      <c r="H6" s="76">
        <v>500</v>
      </c>
      <c r="I6" s="75">
        <v>1272</v>
      </c>
      <c r="J6" s="77">
        <v>820</v>
      </c>
      <c r="K6" s="1286"/>
      <c r="L6" s="101"/>
      <c r="N6" s="4">
        <f t="shared" ref="N6:P8" si="0">B6-F6</f>
        <v>700</v>
      </c>
      <c r="O6" s="4">
        <f t="shared" si="0"/>
        <v>380</v>
      </c>
      <c r="P6" s="4">
        <f t="shared" si="0"/>
        <v>192</v>
      </c>
    </row>
    <row r="7" spans="1:16" ht="15.75" thickBot="1">
      <c r="A7" s="71" t="s">
        <v>114</v>
      </c>
      <c r="B7" s="78">
        <v>500</v>
      </c>
      <c r="C7" s="73">
        <v>500</v>
      </c>
      <c r="D7" s="74">
        <v>495</v>
      </c>
      <c r="E7" s="75">
        <v>1495</v>
      </c>
      <c r="F7" s="76">
        <v>1</v>
      </c>
      <c r="G7" s="76">
        <v>545</v>
      </c>
      <c r="H7" s="76">
        <v>400</v>
      </c>
      <c r="I7" s="75">
        <v>549</v>
      </c>
      <c r="J7" s="77">
        <v>946</v>
      </c>
      <c r="K7" s="1286"/>
      <c r="L7" s="101"/>
      <c r="N7" s="4">
        <f t="shared" si="0"/>
        <v>499</v>
      </c>
      <c r="O7" s="4">
        <f t="shared" si="0"/>
        <v>-45</v>
      </c>
      <c r="P7" s="4">
        <f t="shared" si="0"/>
        <v>95</v>
      </c>
    </row>
    <row r="8" spans="1:16" ht="15.75" thickBot="1">
      <c r="A8" s="79" t="s">
        <v>115</v>
      </c>
      <c r="B8" s="80">
        <v>450</v>
      </c>
      <c r="C8" s="81">
        <v>450</v>
      </c>
      <c r="D8" s="82">
        <v>350</v>
      </c>
      <c r="E8" s="83">
        <v>1250</v>
      </c>
      <c r="F8" s="84">
        <v>2</v>
      </c>
      <c r="G8" s="84">
        <v>83</v>
      </c>
      <c r="H8" s="84">
        <v>139</v>
      </c>
      <c r="I8" s="83">
        <v>1026</v>
      </c>
      <c r="J8" s="85">
        <v>224</v>
      </c>
      <c r="K8" s="1287"/>
      <c r="L8" s="101"/>
      <c r="N8" s="4">
        <f t="shared" si="0"/>
        <v>448</v>
      </c>
      <c r="O8" s="4">
        <f t="shared" si="0"/>
        <v>367</v>
      </c>
      <c r="P8" s="4">
        <f t="shared" si="0"/>
        <v>211</v>
      </c>
    </row>
    <row r="9" spans="1:16" ht="15.6" customHeight="1" thickTop="1" thickBot="1">
      <c r="A9" s="86" t="s">
        <v>98</v>
      </c>
      <c r="B9" s="59" t="s">
        <v>99</v>
      </c>
      <c r="C9" s="60" t="s">
        <v>100</v>
      </c>
      <c r="D9" s="61" t="s">
        <v>101</v>
      </c>
      <c r="E9" s="1295" t="s">
        <v>102</v>
      </c>
      <c r="F9" s="59" t="s">
        <v>99</v>
      </c>
      <c r="G9" s="60" t="s">
        <v>100</v>
      </c>
      <c r="H9" s="61" t="s">
        <v>101</v>
      </c>
      <c r="I9" s="1295" t="s">
        <v>102</v>
      </c>
      <c r="J9" s="1303" t="s">
        <v>103</v>
      </c>
      <c r="K9" s="1305" t="s">
        <v>104</v>
      </c>
      <c r="L9" s="99"/>
      <c r="M9" s="94">
        <v>44459</v>
      </c>
      <c r="N9" s="4">
        <f>SUM(N5:N8)</f>
        <v>1997</v>
      </c>
      <c r="O9" s="4">
        <f t="shared" ref="O9:P9" si="1">SUM(O5:O8)</f>
        <v>819</v>
      </c>
      <c r="P9" s="4">
        <f t="shared" si="1"/>
        <v>523</v>
      </c>
    </row>
    <row r="10" spans="1:16" ht="27.75" thickTop="1" thickBot="1">
      <c r="A10" s="86" t="s">
        <v>116</v>
      </c>
      <c r="B10" s="62" t="s">
        <v>105</v>
      </c>
      <c r="C10" s="63" t="s">
        <v>106</v>
      </c>
      <c r="D10" s="64" t="s">
        <v>107</v>
      </c>
      <c r="E10" s="1296"/>
      <c r="F10" s="62" t="s">
        <v>105</v>
      </c>
      <c r="G10" s="63" t="s">
        <v>106</v>
      </c>
      <c r="H10" s="64" t="s">
        <v>107</v>
      </c>
      <c r="I10" s="1296"/>
      <c r="J10" s="1304"/>
      <c r="K10" s="1294"/>
      <c r="L10" s="99"/>
      <c r="M10" s="94"/>
      <c r="N10" s="97" t="s">
        <v>34</v>
      </c>
      <c r="O10" s="97" t="s">
        <v>35</v>
      </c>
      <c r="P10" s="97" t="s">
        <v>101</v>
      </c>
    </row>
    <row r="11" spans="1:16" ht="16.5" thickTop="1" thickBot="1">
      <c r="A11" s="71" t="s">
        <v>112</v>
      </c>
      <c r="B11" s="72">
        <v>350</v>
      </c>
      <c r="C11" s="73">
        <v>350</v>
      </c>
      <c r="D11" s="74">
        <v>250</v>
      </c>
      <c r="E11" s="75">
        <v>950</v>
      </c>
      <c r="F11" s="72">
        <v>244</v>
      </c>
      <c r="G11" s="73">
        <v>156</v>
      </c>
      <c r="H11" s="74">
        <v>240</v>
      </c>
      <c r="I11" s="75">
        <v>640</v>
      </c>
      <c r="J11" s="77">
        <v>310</v>
      </c>
      <c r="K11" s="1285">
        <v>2413</v>
      </c>
      <c r="L11" s="101"/>
      <c r="N11" s="4">
        <f>B11-F11</f>
        <v>106</v>
      </c>
      <c r="O11" s="4">
        <f>C11-G11</f>
        <v>194</v>
      </c>
      <c r="P11" s="4">
        <f>D11-H11</f>
        <v>10</v>
      </c>
    </row>
    <row r="12" spans="1:16" ht="15.75" thickBot="1">
      <c r="A12" s="71" t="s">
        <v>113</v>
      </c>
      <c r="B12" s="78">
        <v>700</v>
      </c>
      <c r="C12" s="73">
        <v>700</v>
      </c>
      <c r="D12" s="74">
        <v>500</v>
      </c>
      <c r="E12" s="75">
        <v>1900</v>
      </c>
      <c r="F12" s="78">
        <v>23</v>
      </c>
      <c r="G12" s="73">
        <v>50</v>
      </c>
      <c r="H12" s="74">
        <v>489</v>
      </c>
      <c r="I12" s="75">
        <v>562</v>
      </c>
      <c r="J12" s="77">
        <v>1338</v>
      </c>
      <c r="K12" s="1286"/>
      <c r="L12" s="101"/>
      <c r="N12" s="4">
        <f t="shared" ref="N12:N14" si="2">B12-F12</f>
        <v>677</v>
      </c>
      <c r="O12" s="4">
        <f t="shared" ref="O12:O14" si="3">C12-G12</f>
        <v>650</v>
      </c>
      <c r="P12" s="4">
        <f t="shared" ref="P12:P14" si="4">D12-H12</f>
        <v>11</v>
      </c>
    </row>
    <row r="13" spans="1:16" ht="15.75" thickBot="1">
      <c r="A13" s="71" t="s">
        <v>114</v>
      </c>
      <c r="B13" s="78">
        <v>500</v>
      </c>
      <c r="C13" s="73">
        <v>500</v>
      </c>
      <c r="D13" s="74">
        <v>400</v>
      </c>
      <c r="E13" s="75">
        <v>1400</v>
      </c>
      <c r="F13" s="78">
        <v>500</v>
      </c>
      <c r="G13" s="73">
        <v>500</v>
      </c>
      <c r="H13" s="74">
        <v>278</v>
      </c>
      <c r="I13" s="75">
        <v>1278</v>
      </c>
      <c r="J13" s="77">
        <v>122</v>
      </c>
      <c r="K13" s="1286"/>
      <c r="L13" s="101"/>
      <c r="N13" s="4">
        <f t="shared" si="2"/>
        <v>0</v>
      </c>
      <c r="O13" s="4">
        <f t="shared" si="3"/>
        <v>0</v>
      </c>
      <c r="P13" s="4">
        <f t="shared" si="4"/>
        <v>122</v>
      </c>
    </row>
    <row r="14" spans="1:16" ht="15.75" thickBot="1">
      <c r="A14" s="86" t="s">
        <v>115</v>
      </c>
      <c r="B14" s="80">
        <v>450</v>
      </c>
      <c r="C14" s="81">
        <v>450</v>
      </c>
      <c r="D14" s="82">
        <v>350</v>
      </c>
      <c r="E14" s="83">
        <v>1250</v>
      </c>
      <c r="F14" s="80">
        <v>121</v>
      </c>
      <c r="G14" s="81">
        <v>167</v>
      </c>
      <c r="H14" s="82">
        <v>319</v>
      </c>
      <c r="I14" s="83">
        <v>607</v>
      </c>
      <c r="J14" s="85">
        <v>643</v>
      </c>
      <c r="K14" s="1287"/>
      <c r="L14" s="101"/>
      <c r="N14" s="4">
        <f t="shared" si="2"/>
        <v>329</v>
      </c>
      <c r="O14" s="4">
        <f t="shared" si="3"/>
        <v>283</v>
      </c>
      <c r="P14" s="4">
        <f t="shared" si="4"/>
        <v>31</v>
      </c>
    </row>
    <row r="15" spans="1:16" ht="27.75" thickTop="1" thickBot="1">
      <c r="A15" s="65" t="s">
        <v>117</v>
      </c>
      <c r="B15" s="66" t="s">
        <v>105</v>
      </c>
      <c r="C15" s="67" t="s">
        <v>106</v>
      </c>
      <c r="D15" s="68" t="s">
        <v>107</v>
      </c>
      <c r="E15" s="69" t="s">
        <v>109</v>
      </c>
      <c r="F15" s="66" t="s">
        <v>105</v>
      </c>
      <c r="G15" s="67" t="s">
        <v>106</v>
      </c>
      <c r="H15" s="68" t="s">
        <v>107</v>
      </c>
      <c r="I15" s="69" t="s">
        <v>109</v>
      </c>
      <c r="J15" s="70" t="s">
        <v>110</v>
      </c>
      <c r="K15" s="69" t="s">
        <v>111</v>
      </c>
      <c r="L15" s="100"/>
      <c r="M15" s="94">
        <f>M9+1</f>
        <v>44460</v>
      </c>
      <c r="N15" s="4">
        <f>SUM(N11:N14)</f>
        <v>1112</v>
      </c>
      <c r="O15" s="4">
        <f t="shared" ref="O15" si="5">SUM(O11:O14)</f>
        <v>1127</v>
      </c>
      <c r="P15" s="4">
        <f t="shared" ref="P15" si="6">SUM(P11:P14)</f>
        <v>174</v>
      </c>
    </row>
    <row r="16" spans="1:16" ht="16.5" thickTop="1" thickBot="1">
      <c r="A16" s="71" t="s">
        <v>112</v>
      </c>
      <c r="B16" s="72">
        <v>350</v>
      </c>
      <c r="C16" s="73">
        <v>700</v>
      </c>
      <c r="D16" s="74">
        <v>250</v>
      </c>
      <c r="E16" s="75">
        <v>1300</v>
      </c>
      <c r="F16" s="72">
        <v>159</v>
      </c>
      <c r="G16" s="73">
        <v>78</v>
      </c>
      <c r="H16" s="74">
        <v>226</v>
      </c>
      <c r="I16" s="75">
        <v>463</v>
      </c>
      <c r="J16" s="77">
        <v>837</v>
      </c>
      <c r="K16" s="1285">
        <v>4079</v>
      </c>
      <c r="L16" s="101"/>
      <c r="N16" s="4">
        <f>B16-F16</f>
        <v>191</v>
      </c>
      <c r="O16" s="4">
        <f>C16-G16</f>
        <v>622</v>
      </c>
      <c r="P16" s="4">
        <f>D16-H16</f>
        <v>24</v>
      </c>
    </row>
    <row r="17" spans="1:16" ht="15.75" thickBot="1">
      <c r="A17" s="71" t="s">
        <v>113</v>
      </c>
      <c r="B17" s="78">
        <v>700</v>
      </c>
      <c r="C17" s="73">
        <v>1400</v>
      </c>
      <c r="D17" s="74">
        <v>500</v>
      </c>
      <c r="E17" s="75">
        <v>2600</v>
      </c>
      <c r="F17" s="78">
        <v>109</v>
      </c>
      <c r="G17" s="73">
        <v>432</v>
      </c>
      <c r="H17" s="74">
        <v>460</v>
      </c>
      <c r="I17" s="75">
        <v>1001</v>
      </c>
      <c r="J17" s="77">
        <v>1599</v>
      </c>
      <c r="K17" s="1286"/>
      <c r="L17" s="101"/>
      <c r="N17" s="4">
        <f t="shared" ref="N17:N19" si="7">B17-F17</f>
        <v>591</v>
      </c>
      <c r="O17" s="4">
        <f t="shared" ref="O17:O19" si="8">C17-G17</f>
        <v>968</v>
      </c>
      <c r="P17" s="4">
        <f t="shared" ref="P17:P19" si="9">D17-H17</f>
        <v>40</v>
      </c>
    </row>
    <row r="18" spans="1:16" ht="15.75" thickBot="1">
      <c r="A18" s="71" t="s">
        <v>114</v>
      </c>
      <c r="B18" s="78">
        <v>500</v>
      </c>
      <c r="C18" s="73">
        <v>1000</v>
      </c>
      <c r="D18" s="74">
        <v>400</v>
      </c>
      <c r="E18" s="75">
        <v>1900</v>
      </c>
      <c r="F18" s="78">
        <v>500</v>
      </c>
      <c r="G18" s="73">
        <v>53</v>
      </c>
      <c r="H18" s="74">
        <v>364</v>
      </c>
      <c r="I18" s="75">
        <v>917</v>
      </c>
      <c r="J18" s="77">
        <v>983</v>
      </c>
      <c r="K18" s="1286"/>
      <c r="L18" s="101"/>
      <c r="N18" s="4">
        <f t="shared" si="7"/>
        <v>0</v>
      </c>
      <c r="O18" s="4">
        <f t="shared" si="8"/>
        <v>947</v>
      </c>
      <c r="P18" s="4">
        <f t="shared" si="9"/>
        <v>36</v>
      </c>
    </row>
    <row r="19" spans="1:16" ht="15.75" thickBot="1">
      <c r="A19" s="86" t="s">
        <v>115</v>
      </c>
      <c r="B19" s="80">
        <v>450</v>
      </c>
      <c r="C19" s="81">
        <v>900</v>
      </c>
      <c r="D19" s="82">
        <v>350</v>
      </c>
      <c r="E19" s="83">
        <v>1700</v>
      </c>
      <c r="F19" s="80">
        <v>376</v>
      </c>
      <c r="G19" s="81">
        <v>344</v>
      </c>
      <c r="H19" s="82">
        <v>320</v>
      </c>
      <c r="I19" s="83">
        <v>1040</v>
      </c>
      <c r="J19" s="85">
        <v>660</v>
      </c>
      <c r="K19" s="1287"/>
      <c r="L19" s="101"/>
      <c r="N19" s="4">
        <f t="shared" si="7"/>
        <v>74</v>
      </c>
      <c r="O19" s="4">
        <f t="shared" si="8"/>
        <v>556</v>
      </c>
      <c r="P19" s="4">
        <f t="shared" si="9"/>
        <v>30</v>
      </c>
    </row>
    <row r="20" spans="1:16" ht="27.75" thickTop="1" thickBot="1">
      <c r="A20" s="65" t="s">
        <v>118</v>
      </c>
      <c r="B20" s="66" t="s">
        <v>105</v>
      </c>
      <c r="C20" s="67" t="s">
        <v>106</v>
      </c>
      <c r="D20" s="68" t="s">
        <v>107</v>
      </c>
      <c r="E20" s="69" t="s">
        <v>109</v>
      </c>
      <c r="F20" s="66" t="s">
        <v>105</v>
      </c>
      <c r="G20" s="67" t="s">
        <v>106</v>
      </c>
      <c r="H20" s="68" t="s">
        <v>107</v>
      </c>
      <c r="I20" s="69" t="s">
        <v>109</v>
      </c>
      <c r="J20" s="70" t="s">
        <v>110</v>
      </c>
      <c r="K20" s="69" t="s">
        <v>111</v>
      </c>
      <c r="L20" s="100"/>
      <c r="M20" s="94">
        <f>M15+1</f>
        <v>44461</v>
      </c>
      <c r="N20" s="4">
        <f>SUM(N16:N19)</f>
        <v>856</v>
      </c>
      <c r="O20" s="4">
        <f t="shared" ref="O20" si="10">SUM(O16:O19)</f>
        <v>3093</v>
      </c>
      <c r="P20" s="4">
        <f t="shared" ref="P20" si="11">SUM(P16:P19)</f>
        <v>130</v>
      </c>
    </row>
    <row r="21" spans="1:16" ht="16.5" thickTop="1" thickBot="1">
      <c r="A21" s="71" t="s">
        <v>112</v>
      </c>
      <c r="B21" s="72">
        <v>350</v>
      </c>
      <c r="C21" s="73">
        <v>700</v>
      </c>
      <c r="D21" s="74">
        <v>420</v>
      </c>
      <c r="E21" s="75">
        <v>1470</v>
      </c>
      <c r="F21" s="72">
        <v>19</v>
      </c>
      <c r="G21" s="73">
        <v>544</v>
      </c>
      <c r="H21" s="74">
        <v>361</v>
      </c>
      <c r="I21" s="75">
        <v>924</v>
      </c>
      <c r="J21" s="77">
        <v>546</v>
      </c>
      <c r="K21" s="1285">
        <v>3386</v>
      </c>
      <c r="L21" s="101"/>
      <c r="N21" s="4">
        <f>B21-F21</f>
        <v>331</v>
      </c>
      <c r="O21" s="4">
        <f>C21-G21</f>
        <v>156</v>
      </c>
      <c r="P21" s="4">
        <f>D21-H21</f>
        <v>59</v>
      </c>
    </row>
    <row r="22" spans="1:16" ht="15.75" thickBot="1">
      <c r="A22" s="71" t="s">
        <v>113</v>
      </c>
      <c r="B22" s="78">
        <v>700</v>
      </c>
      <c r="C22" s="73">
        <v>1400</v>
      </c>
      <c r="D22" s="74">
        <v>850</v>
      </c>
      <c r="E22" s="75">
        <v>2950</v>
      </c>
      <c r="F22" s="78">
        <v>99</v>
      </c>
      <c r="G22" s="73">
        <v>919</v>
      </c>
      <c r="H22" s="74">
        <v>725</v>
      </c>
      <c r="I22" s="75">
        <v>1743</v>
      </c>
      <c r="J22" s="77">
        <v>1207</v>
      </c>
      <c r="K22" s="1286"/>
      <c r="L22" s="101"/>
      <c r="N22" s="4">
        <f t="shared" ref="N22:N24" si="12">B22-F22</f>
        <v>601</v>
      </c>
      <c r="O22" s="4">
        <f t="shared" ref="O22:O24" si="13">C22-G22</f>
        <v>481</v>
      </c>
      <c r="P22" s="4">
        <f t="shared" ref="P22:P24" si="14">D22-H22</f>
        <v>125</v>
      </c>
    </row>
    <row r="23" spans="1:16" ht="15.75" thickBot="1">
      <c r="A23" s="71" t="s">
        <v>114</v>
      </c>
      <c r="B23" s="78">
        <v>500</v>
      </c>
      <c r="C23" s="73">
        <v>1000</v>
      </c>
      <c r="D23" s="74">
        <v>650</v>
      </c>
      <c r="E23" s="75">
        <v>2150</v>
      </c>
      <c r="F23" s="78">
        <v>13</v>
      </c>
      <c r="G23" s="73">
        <v>244</v>
      </c>
      <c r="H23" s="74">
        <v>590</v>
      </c>
      <c r="I23" s="75">
        <v>847</v>
      </c>
      <c r="J23" s="77">
        <v>1303</v>
      </c>
      <c r="K23" s="1286"/>
      <c r="L23" s="101"/>
      <c r="N23" s="4">
        <f t="shared" si="12"/>
        <v>487</v>
      </c>
      <c r="O23" s="4">
        <f t="shared" si="13"/>
        <v>756</v>
      </c>
      <c r="P23" s="4">
        <f t="shared" si="14"/>
        <v>60</v>
      </c>
    </row>
    <row r="24" spans="1:16" ht="15.75" thickBot="1">
      <c r="A24" s="86" t="s">
        <v>115</v>
      </c>
      <c r="B24" s="80">
        <v>450</v>
      </c>
      <c r="C24" s="81">
        <v>900</v>
      </c>
      <c r="D24" s="82">
        <v>580</v>
      </c>
      <c r="E24" s="83">
        <v>1930</v>
      </c>
      <c r="F24" s="80">
        <v>352</v>
      </c>
      <c r="G24" s="81">
        <v>718</v>
      </c>
      <c r="H24" s="82">
        <v>530</v>
      </c>
      <c r="I24" s="83">
        <v>1600</v>
      </c>
      <c r="J24" s="85">
        <v>330</v>
      </c>
      <c r="K24" s="1287"/>
      <c r="L24" s="101"/>
      <c r="N24" s="4">
        <f t="shared" si="12"/>
        <v>98</v>
      </c>
      <c r="O24" s="4">
        <f t="shared" si="13"/>
        <v>182</v>
      </c>
      <c r="P24" s="4">
        <f t="shared" si="14"/>
        <v>50</v>
      </c>
    </row>
    <row r="25" spans="1:16" ht="27.75" thickTop="1" thickBot="1">
      <c r="A25" s="65" t="s">
        <v>119</v>
      </c>
      <c r="B25" s="66" t="s">
        <v>105</v>
      </c>
      <c r="C25" s="67" t="s">
        <v>106</v>
      </c>
      <c r="D25" s="68" t="s">
        <v>107</v>
      </c>
      <c r="E25" s="69" t="s">
        <v>109</v>
      </c>
      <c r="F25" s="66" t="s">
        <v>105</v>
      </c>
      <c r="G25" s="67" t="s">
        <v>106</v>
      </c>
      <c r="H25" s="68" t="s">
        <v>107</v>
      </c>
      <c r="I25" s="69" t="s">
        <v>109</v>
      </c>
      <c r="J25" s="70" t="s">
        <v>110</v>
      </c>
      <c r="K25" s="69" t="s">
        <v>111</v>
      </c>
      <c r="L25" s="100"/>
      <c r="M25" s="94">
        <f>M20+1</f>
        <v>44462</v>
      </c>
      <c r="N25" s="4">
        <f>SUM(N21:N24)</f>
        <v>1517</v>
      </c>
      <c r="O25" s="4">
        <f t="shared" ref="O25" si="15">SUM(O21:O24)</f>
        <v>1575</v>
      </c>
      <c r="P25" s="4">
        <f t="shared" ref="P25" si="16">SUM(P21:P24)</f>
        <v>294</v>
      </c>
    </row>
    <row r="26" spans="1:16" ht="16.5" thickTop="1" thickBot="1">
      <c r="A26" s="71" t="s">
        <v>112</v>
      </c>
      <c r="B26" s="72">
        <v>350</v>
      </c>
      <c r="C26" s="73">
        <v>700</v>
      </c>
      <c r="D26" s="74">
        <v>420</v>
      </c>
      <c r="E26" s="75">
        <v>1470</v>
      </c>
      <c r="F26" s="72">
        <v>334</v>
      </c>
      <c r="G26" s="73">
        <v>643</v>
      </c>
      <c r="H26" s="74">
        <v>287</v>
      </c>
      <c r="I26" s="75">
        <v>1264</v>
      </c>
      <c r="J26" s="77">
        <v>206</v>
      </c>
      <c r="K26" s="1285">
        <v>2468</v>
      </c>
      <c r="L26" s="101"/>
      <c r="N26" s="4">
        <f>B26-F26</f>
        <v>16</v>
      </c>
      <c r="O26" s="4">
        <f>C26-G26</f>
        <v>57</v>
      </c>
      <c r="P26" s="4">
        <f>D26-H26</f>
        <v>133</v>
      </c>
    </row>
    <row r="27" spans="1:16" ht="15.75" thickBot="1">
      <c r="A27" s="71" t="s">
        <v>113</v>
      </c>
      <c r="B27" s="78">
        <v>700</v>
      </c>
      <c r="C27" s="73">
        <v>1400</v>
      </c>
      <c r="D27" s="74">
        <v>850</v>
      </c>
      <c r="E27" s="75">
        <v>2950</v>
      </c>
      <c r="F27" s="78">
        <v>288</v>
      </c>
      <c r="G27" s="73">
        <v>860</v>
      </c>
      <c r="H27" s="74">
        <v>831</v>
      </c>
      <c r="I27" s="75">
        <v>1979</v>
      </c>
      <c r="J27" s="77">
        <v>971</v>
      </c>
      <c r="K27" s="1286"/>
      <c r="L27" s="101"/>
      <c r="N27" s="4">
        <f t="shared" ref="N27:N29" si="17">B27-F27</f>
        <v>412</v>
      </c>
      <c r="O27" s="4">
        <f t="shared" ref="O27:O29" si="18">C27-G27</f>
        <v>540</v>
      </c>
      <c r="P27" s="4">
        <f t="shared" ref="P27:P29" si="19">D27-H27</f>
        <v>19</v>
      </c>
    </row>
    <row r="28" spans="1:16" ht="15.75" thickBot="1">
      <c r="A28" s="71" t="s">
        <v>114</v>
      </c>
      <c r="B28" s="78">
        <v>500</v>
      </c>
      <c r="C28" s="73">
        <v>1000</v>
      </c>
      <c r="D28" s="74">
        <v>650</v>
      </c>
      <c r="E28" s="75">
        <v>2150</v>
      </c>
      <c r="F28" s="78">
        <v>12</v>
      </c>
      <c r="G28" s="73">
        <v>558</v>
      </c>
      <c r="H28" s="74">
        <v>549</v>
      </c>
      <c r="I28" s="75">
        <v>1119</v>
      </c>
      <c r="J28" s="77">
        <v>1031</v>
      </c>
      <c r="K28" s="1286"/>
      <c r="L28" s="101"/>
      <c r="N28" s="4">
        <f t="shared" si="17"/>
        <v>488</v>
      </c>
      <c r="O28" s="4">
        <f t="shared" si="18"/>
        <v>442</v>
      </c>
      <c r="P28" s="4">
        <f t="shared" si="19"/>
        <v>101</v>
      </c>
    </row>
    <row r="29" spans="1:16" ht="15.75" thickBot="1">
      <c r="A29" s="86" t="s">
        <v>115</v>
      </c>
      <c r="B29" s="80">
        <v>450</v>
      </c>
      <c r="C29" s="81">
        <v>900</v>
      </c>
      <c r="D29" s="82">
        <v>580</v>
      </c>
      <c r="E29" s="83">
        <v>1930</v>
      </c>
      <c r="F29" s="80">
        <v>403</v>
      </c>
      <c r="G29" s="81">
        <v>773</v>
      </c>
      <c r="H29" s="82">
        <v>494</v>
      </c>
      <c r="I29" s="83">
        <v>1670</v>
      </c>
      <c r="J29" s="85">
        <v>260</v>
      </c>
      <c r="K29" s="1287"/>
      <c r="L29" s="101"/>
      <c r="N29" s="4">
        <f t="shared" si="17"/>
        <v>47</v>
      </c>
      <c r="O29" s="4">
        <f t="shared" si="18"/>
        <v>127</v>
      </c>
      <c r="P29" s="4">
        <f t="shared" si="19"/>
        <v>86</v>
      </c>
    </row>
    <row r="30" spans="1:16" ht="27.75" thickTop="1" thickBot="1">
      <c r="A30" s="65" t="s">
        <v>120</v>
      </c>
      <c r="B30" s="66" t="s">
        <v>105</v>
      </c>
      <c r="C30" s="67" t="s">
        <v>106</v>
      </c>
      <c r="D30" s="68" t="s">
        <v>107</v>
      </c>
      <c r="E30" s="69" t="s">
        <v>109</v>
      </c>
      <c r="F30" s="66" t="s">
        <v>105</v>
      </c>
      <c r="G30" s="67" t="s">
        <v>106</v>
      </c>
      <c r="H30" s="68" t="s">
        <v>107</v>
      </c>
      <c r="I30" s="69" t="s">
        <v>109</v>
      </c>
      <c r="J30" s="70" t="s">
        <v>110</v>
      </c>
      <c r="K30" s="69" t="s">
        <v>111</v>
      </c>
      <c r="L30" s="100"/>
      <c r="M30" s="94">
        <f>M25+1</f>
        <v>44463</v>
      </c>
      <c r="N30" s="4">
        <f>SUM(N26:N29)</f>
        <v>963</v>
      </c>
      <c r="O30" s="4">
        <f t="shared" ref="O30" si="20">SUM(O26:O29)</f>
        <v>1166</v>
      </c>
      <c r="P30" s="4">
        <f t="shared" ref="P30" si="21">SUM(P26:P29)</f>
        <v>339</v>
      </c>
    </row>
    <row r="31" spans="1:16" ht="16.5" thickTop="1" thickBot="1">
      <c r="A31" s="71" t="s">
        <v>112</v>
      </c>
      <c r="B31" s="87"/>
      <c r="C31" s="73">
        <v>350</v>
      </c>
      <c r="D31" s="87"/>
      <c r="E31" s="75">
        <v>350</v>
      </c>
      <c r="F31" s="87"/>
      <c r="G31" s="73">
        <v>300</v>
      </c>
      <c r="H31" s="87"/>
      <c r="I31" s="75">
        <v>300</v>
      </c>
      <c r="J31" s="77">
        <v>50</v>
      </c>
      <c r="K31" s="1285">
        <v>245</v>
      </c>
      <c r="L31" s="101"/>
      <c r="N31" s="4">
        <f>B31-F31</f>
        <v>0</v>
      </c>
      <c r="O31" s="4">
        <f>C31-G31</f>
        <v>50</v>
      </c>
      <c r="P31" s="4">
        <f>D31-H31</f>
        <v>0</v>
      </c>
    </row>
    <row r="32" spans="1:16" ht="15.75" thickBot="1">
      <c r="A32" s="71" t="s">
        <v>113</v>
      </c>
      <c r="B32" s="87"/>
      <c r="C32" s="73">
        <v>700</v>
      </c>
      <c r="D32" s="87"/>
      <c r="E32" s="75">
        <v>700</v>
      </c>
      <c r="F32" s="87"/>
      <c r="G32" s="73">
        <v>550</v>
      </c>
      <c r="H32" s="87"/>
      <c r="I32" s="75">
        <v>550</v>
      </c>
      <c r="J32" s="77">
        <v>150</v>
      </c>
      <c r="K32" s="1286"/>
      <c r="L32" s="101"/>
      <c r="N32" s="4">
        <f t="shared" ref="N32:N34" si="22">B32-F32</f>
        <v>0</v>
      </c>
      <c r="O32" s="4">
        <f t="shared" ref="O32:O34" si="23">C32-G32</f>
        <v>150</v>
      </c>
      <c r="P32" s="4">
        <f t="shared" ref="P32:P34" si="24">D32-H32</f>
        <v>0</v>
      </c>
    </row>
    <row r="33" spans="1:16" ht="15.75" thickBot="1">
      <c r="A33" s="71" t="s">
        <v>114</v>
      </c>
      <c r="B33" s="87"/>
      <c r="C33" s="73">
        <v>500</v>
      </c>
      <c r="D33" s="87"/>
      <c r="E33" s="75">
        <v>500</v>
      </c>
      <c r="F33" s="87"/>
      <c r="G33" s="73">
        <v>478</v>
      </c>
      <c r="H33" s="87"/>
      <c r="I33" s="75">
        <v>478</v>
      </c>
      <c r="J33" s="77">
        <v>22</v>
      </c>
      <c r="K33" s="1286"/>
      <c r="L33" s="101"/>
      <c r="N33" s="4">
        <f t="shared" si="22"/>
        <v>0</v>
      </c>
      <c r="O33" s="4">
        <f t="shared" si="23"/>
        <v>22</v>
      </c>
      <c r="P33" s="4">
        <f t="shared" si="24"/>
        <v>0</v>
      </c>
    </row>
    <row r="34" spans="1:16" ht="15.75" thickBot="1">
      <c r="A34" s="86" t="s">
        <v>115</v>
      </c>
      <c r="B34" s="88"/>
      <c r="C34" s="81">
        <v>450</v>
      </c>
      <c r="D34" s="88"/>
      <c r="E34" s="83">
        <v>450</v>
      </c>
      <c r="F34" s="88"/>
      <c r="G34" s="81">
        <v>427</v>
      </c>
      <c r="H34" s="88"/>
      <c r="I34" s="83">
        <v>427</v>
      </c>
      <c r="J34" s="85">
        <v>23</v>
      </c>
      <c r="K34" s="1287"/>
      <c r="L34" s="101"/>
      <c r="N34" s="4">
        <f t="shared" si="22"/>
        <v>0</v>
      </c>
      <c r="O34" s="4">
        <f t="shared" si="23"/>
        <v>23</v>
      </c>
      <c r="P34" s="4">
        <f t="shared" si="24"/>
        <v>0</v>
      </c>
    </row>
    <row r="35" spans="1:16" ht="27.75" thickTop="1" thickBot="1">
      <c r="A35" s="65" t="s">
        <v>121</v>
      </c>
      <c r="B35" s="66" t="s">
        <v>105</v>
      </c>
      <c r="C35" s="67" t="s">
        <v>106</v>
      </c>
      <c r="D35" s="68" t="s">
        <v>107</v>
      </c>
      <c r="E35" s="69" t="s">
        <v>109</v>
      </c>
      <c r="F35" s="66" t="s">
        <v>105</v>
      </c>
      <c r="G35" s="67" t="s">
        <v>106</v>
      </c>
      <c r="H35" s="68" t="s">
        <v>107</v>
      </c>
      <c r="I35" s="69" t="s">
        <v>109</v>
      </c>
      <c r="J35" s="70" t="s">
        <v>110</v>
      </c>
      <c r="K35" s="69" t="s">
        <v>111</v>
      </c>
      <c r="L35" s="100"/>
      <c r="M35" s="94">
        <f>M30+1</f>
        <v>44464</v>
      </c>
      <c r="N35" s="4">
        <f>SUM(N31:N34)</f>
        <v>0</v>
      </c>
      <c r="O35" s="4">
        <f t="shared" ref="O35" si="25">SUM(O31:O34)</f>
        <v>245</v>
      </c>
      <c r="P35" s="4">
        <f t="shared" ref="P35" si="26">SUM(P31:P34)</f>
        <v>0</v>
      </c>
    </row>
    <row r="36" spans="1:16" ht="16.5" thickTop="1" thickBot="1">
      <c r="A36" s="71" t="s">
        <v>112</v>
      </c>
      <c r="B36" s="87"/>
      <c r="C36" s="73">
        <v>350</v>
      </c>
      <c r="D36" s="87"/>
      <c r="E36" s="75">
        <v>350</v>
      </c>
      <c r="F36" s="87"/>
      <c r="G36" s="73">
        <v>300</v>
      </c>
      <c r="H36" s="87"/>
      <c r="I36" s="75">
        <v>300</v>
      </c>
      <c r="J36" s="77">
        <v>50</v>
      </c>
      <c r="K36" s="1285">
        <v>505</v>
      </c>
      <c r="L36" s="101"/>
      <c r="N36" s="4">
        <f>B36-F36</f>
        <v>0</v>
      </c>
      <c r="O36" s="4">
        <f>C36-G36</f>
        <v>50</v>
      </c>
      <c r="P36" s="4">
        <f>D36-H36</f>
        <v>0</v>
      </c>
    </row>
    <row r="37" spans="1:16" ht="15.75" thickBot="1">
      <c r="A37" s="71" t="s">
        <v>113</v>
      </c>
      <c r="B37" s="87"/>
      <c r="C37" s="73">
        <v>700</v>
      </c>
      <c r="D37" s="87"/>
      <c r="E37" s="75">
        <v>700</v>
      </c>
      <c r="F37" s="87"/>
      <c r="G37" s="73">
        <v>432</v>
      </c>
      <c r="H37" s="87"/>
      <c r="I37" s="75">
        <v>432</v>
      </c>
      <c r="J37" s="77">
        <v>268</v>
      </c>
      <c r="K37" s="1286"/>
      <c r="L37" s="101"/>
      <c r="N37" s="4">
        <f t="shared" ref="N37:N39" si="27">B37-F37</f>
        <v>0</v>
      </c>
      <c r="O37" s="4">
        <f t="shared" ref="O37:O39" si="28">C37-G37</f>
        <v>268</v>
      </c>
      <c r="P37" s="4">
        <f t="shared" ref="P37:P39" si="29">D37-H37</f>
        <v>0</v>
      </c>
    </row>
    <row r="38" spans="1:16" ht="15.75" thickBot="1">
      <c r="A38" s="71" t="s">
        <v>114</v>
      </c>
      <c r="B38" s="87"/>
      <c r="C38" s="73">
        <v>500</v>
      </c>
      <c r="D38" s="87"/>
      <c r="E38" s="75">
        <v>500</v>
      </c>
      <c r="F38" s="87"/>
      <c r="G38" s="73">
        <v>376</v>
      </c>
      <c r="H38" s="87"/>
      <c r="I38" s="75">
        <v>376</v>
      </c>
      <c r="J38" s="77">
        <v>124</v>
      </c>
      <c r="K38" s="1286"/>
      <c r="L38" s="101"/>
      <c r="N38" s="4">
        <f t="shared" si="27"/>
        <v>0</v>
      </c>
      <c r="O38" s="4">
        <f t="shared" si="28"/>
        <v>124</v>
      </c>
      <c r="P38" s="4">
        <f t="shared" si="29"/>
        <v>0</v>
      </c>
    </row>
    <row r="39" spans="1:16" ht="15.75" thickBot="1">
      <c r="A39" s="86" t="s">
        <v>115</v>
      </c>
      <c r="B39" s="88"/>
      <c r="C39" s="81">
        <v>450</v>
      </c>
      <c r="D39" s="88"/>
      <c r="E39" s="83">
        <v>450</v>
      </c>
      <c r="F39" s="88"/>
      <c r="G39" s="81">
        <v>387</v>
      </c>
      <c r="H39" s="88"/>
      <c r="I39" s="83">
        <v>387</v>
      </c>
      <c r="J39" s="85">
        <v>63</v>
      </c>
      <c r="K39" s="1287"/>
      <c r="L39" s="101"/>
      <c r="N39" s="4">
        <f t="shared" si="27"/>
        <v>0</v>
      </c>
      <c r="O39" s="4">
        <f t="shared" si="28"/>
        <v>63</v>
      </c>
      <c r="P39" s="4">
        <f t="shared" si="29"/>
        <v>0</v>
      </c>
    </row>
    <row r="40" spans="1:16" ht="27.75" thickTop="1" thickBot="1">
      <c r="A40" s="65" t="s">
        <v>122</v>
      </c>
      <c r="B40" s="66" t="s">
        <v>105</v>
      </c>
      <c r="C40" s="67" t="s">
        <v>106</v>
      </c>
      <c r="D40" s="68" t="s">
        <v>107</v>
      </c>
      <c r="E40" s="69" t="s">
        <v>109</v>
      </c>
      <c r="F40" s="66" t="s">
        <v>105</v>
      </c>
      <c r="G40" s="67" t="s">
        <v>106</v>
      </c>
      <c r="H40" s="68" t="s">
        <v>107</v>
      </c>
      <c r="I40" s="69" t="s">
        <v>109</v>
      </c>
      <c r="J40" s="70" t="s">
        <v>110</v>
      </c>
      <c r="K40" s="69" t="s">
        <v>111</v>
      </c>
      <c r="L40" s="100"/>
      <c r="M40" s="94">
        <f>M35+1</f>
        <v>44465</v>
      </c>
      <c r="N40" s="4">
        <f>SUM(N36:N39)</f>
        <v>0</v>
      </c>
      <c r="O40" s="4">
        <f t="shared" ref="O40" si="30">SUM(O36:O39)</f>
        <v>505</v>
      </c>
      <c r="P40" s="4">
        <f t="shared" ref="P40" si="31">SUM(P36:P39)</f>
        <v>0</v>
      </c>
    </row>
    <row r="41" spans="1:16" ht="16.5" thickTop="1" thickBot="1">
      <c r="A41" s="71" t="s">
        <v>112</v>
      </c>
      <c r="B41" s="72">
        <v>350</v>
      </c>
      <c r="C41" s="73">
        <v>700</v>
      </c>
      <c r="D41" s="74">
        <v>420</v>
      </c>
      <c r="E41" s="75">
        <v>1470</v>
      </c>
      <c r="F41" s="72">
        <v>307</v>
      </c>
      <c r="G41" s="73">
        <v>617</v>
      </c>
      <c r="H41" s="74">
        <v>364</v>
      </c>
      <c r="I41" s="75">
        <v>1288</v>
      </c>
      <c r="J41" s="77">
        <v>182</v>
      </c>
      <c r="K41" s="1285">
        <v>2337</v>
      </c>
      <c r="L41" s="101"/>
      <c r="N41" s="4">
        <f>B41-F41</f>
        <v>43</v>
      </c>
      <c r="O41" s="4">
        <f>C41-G41</f>
        <v>83</v>
      </c>
      <c r="P41" s="4">
        <f>D41-H41</f>
        <v>56</v>
      </c>
    </row>
    <row r="42" spans="1:16" ht="15.75" thickBot="1">
      <c r="A42" s="71" t="s">
        <v>113</v>
      </c>
      <c r="B42" s="78">
        <v>700</v>
      </c>
      <c r="C42" s="73">
        <v>1400</v>
      </c>
      <c r="D42" s="74">
        <v>850</v>
      </c>
      <c r="E42" s="75">
        <v>2950</v>
      </c>
      <c r="F42" s="78">
        <v>321</v>
      </c>
      <c r="G42" s="73">
        <v>654</v>
      </c>
      <c r="H42" s="74">
        <v>720</v>
      </c>
      <c r="I42" s="75">
        <v>1695</v>
      </c>
      <c r="J42" s="77">
        <v>1255</v>
      </c>
      <c r="K42" s="1286"/>
      <c r="L42" s="101"/>
      <c r="N42" s="4">
        <f t="shared" ref="N42:N44" si="32">B42-F42</f>
        <v>379</v>
      </c>
      <c r="O42" s="4">
        <f t="shared" ref="O42:O44" si="33">C42-G42</f>
        <v>746</v>
      </c>
      <c r="P42" s="4">
        <f t="shared" ref="P42:P44" si="34">D42-H42</f>
        <v>130</v>
      </c>
    </row>
    <row r="43" spans="1:16" ht="15.75" thickBot="1">
      <c r="A43" s="71" t="s">
        <v>114</v>
      </c>
      <c r="B43" s="78">
        <v>500</v>
      </c>
      <c r="C43" s="73">
        <v>1000</v>
      </c>
      <c r="D43" s="74">
        <v>650</v>
      </c>
      <c r="E43" s="75">
        <v>2150</v>
      </c>
      <c r="F43" s="78">
        <v>500</v>
      </c>
      <c r="G43" s="73">
        <v>543</v>
      </c>
      <c r="H43" s="74">
        <v>650</v>
      </c>
      <c r="I43" s="75">
        <v>1693</v>
      </c>
      <c r="J43" s="77">
        <v>457</v>
      </c>
      <c r="K43" s="1286"/>
      <c r="L43" s="101"/>
      <c r="N43" s="4">
        <f t="shared" si="32"/>
        <v>0</v>
      </c>
      <c r="O43" s="4">
        <f t="shared" si="33"/>
        <v>457</v>
      </c>
      <c r="P43" s="4">
        <f t="shared" si="34"/>
        <v>0</v>
      </c>
    </row>
    <row r="44" spans="1:16" ht="15.75" thickBot="1">
      <c r="A44" s="86" t="s">
        <v>115</v>
      </c>
      <c r="B44" s="80">
        <v>403</v>
      </c>
      <c r="C44" s="81">
        <v>387</v>
      </c>
      <c r="D44" s="82">
        <v>115</v>
      </c>
      <c r="E44" s="83">
        <v>905</v>
      </c>
      <c r="F44" s="80">
        <v>375</v>
      </c>
      <c r="G44" s="81">
        <v>66</v>
      </c>
      <c r="H44" s="82">
        <v>21</v>
      </c>
      <c r="I44" s="83">
        <v>462</v>
      </c>
      <c r="J44" s="85">
        <v>443</v>
      </c>
      <c r="K44" s="1287"/>
      <c r="L44" s="101"/>
      <c r="N44" s="4">
        <f t="shared" si="32"/>
        <v>28</v>
      </c>
      <c r="O44" s="4">
        <f t="shared" si="33"/>
        <v>321</v>
      </c>
      <c r="P44" s="4">
        <f t="shared" si="34"/>
        <v>94</v>
      </c>
    </row>
    <row r="45" spans="1:16" ht="27.75" thickTop="1" thickBot="1">
      <c r="A45" s="65" t="s">
        <v>123</v>
      </c>
      <c r="B45" s="66" t="s">
        <v>105</v>
      </c>
      <c r="C45" s="67" t="s">
        <v>106</v>
      </c>
      <c r="D45" s="68" t="s">
        <v>107</v>
      </c>
      <c r="E45" s="69" t="s">
        <v>109</v>
      </c>
      <c r="F45" s="66" t="s">
        <v>105</v>
      </c>
      <c r="G45" s="67" t="s">
        <v>106</v>
      </c>
      <c r="H45" s="68" t="s">
        <v>107</v>
      </c>
      <c r="I45" s="69" t="s">
        <v>109</v>
      </c>
      <c r="J45" s="70" t="s">
        <v>110</v>
      </c>
      <c r="K45" s="69" t="s">
        <v>111</v>
      </c>
      <c r="L45" s="100"/>
      <c r="M45" s="94">
        <f>M40+1</f>
        <v>44466</v>
      </c>
      <c r="N45" s="4">
        <f>SUM(N41:N44)</f>
        <v>450</v>
      </c>
      <c r="O45" s="4">
        <f t="shared" ref="O45" si="35">SUM(O41:O44)</f>
        <v>1607</v>
      </c>
      <c r="P45" s="4">
        <f t="shared" ref="P45" si="36">SUM(P41:P44)</f>
        <v>280</v>
      </c>
    </row>
    <row r="46" spans="1:16" ht="16.5" thickTop="1" thickBot="1">
      <c r="A46" s="71" t="s">
        <v>112</v>
      </c>
      <c r="B46" s="72">
        <v>350</v>
      </c>
      <c r="C46" s="73">
        <v>700</v>
      </c>
      <c r="D46" s="74">
        <v>420</v>
      </c>
      <c r="E46" s="75">
        <v>1470</v>
      </c>
      <c r="F46" s="72">
        <v>299</v>
      </c>
      <c r="G46" s="73">
        <v>605</v>
      </c>
      <c r="H46" s="74">
        <v>310</v>
      </c>
      <c r="I46" s="75">
        <v>1214</v>
      </c>
      <c r="J46" s="77">
        <v>256</v>
      </c>
      <c r="K46" s="1285">
        <v>2262</v>
      </c>
      <c r="L46" s="101"/>
      <c r="N46" s="4">
        <f>B46-F46</f>
        <v>51</v>
      </c>
      <c r="O46" s="4">
        <f>C46-G46</f>
        <v>95</v>
      </c>
      <c r="P46" s="4">
        <f>D46-H46</f>
        <v>110</v>
      </c>
    </row>
    <row r="47" spans="1:16" ht="15.75" thickBot="1">
      <c r="A47" s="71" t="s">
        <v>113</v>
      </c>
      <c r="B47" s="78">
        <v>700</v>
      </c>
      <c r="C47" s="73">
        <v>1400</v>
      </c>
      <c r="D47" s="74">
        <v>850</v>
      </c>
      <c r="E47" s="75">
        <v>2950</v>
      </c>
      <c r="F47" s="78">
        <v>185</v>
      </c>
      <c r="G47" s="73">
        <v>684</v>
      </c>
      <c r="H47" s="74">
        <v>700</v>
      </c>
      <c r="I47" s="75">
        <v>1569</v>
      </c>
      <c r="J47" s="77">
        <v>1381</v>
      </c>
      <c r="K47" s="1286"/>
      <c r="L47" s="101"/>
      <c r="N47" s="4">
        <f t="shared" ref="N47:N49" si="37">B47-F47</f>
        <v>515</v>
      </c>
      <c r="O47" s="4">
        <f t="shared" ref="O47:O49" si="38">C47-G47</f>
        <v>716</v>
      </c>
      <c r="P47" s="4">
        <f t="shared" ref="P47:P49" si="39">D47-H47</f>
        <v>150</v>
      </c>
    </row>
    <row r="48" spans="1:16" ht="15.75" thickBot="1">
      <c r="A48" s="71" t="s">
        <v>114</v>
      </c>
      <c r="B48" s="78">
        <v>500</v>
      </c>
      <c r="C48" s="73">
        <v>1000</v>
      </c>
      <c r="D48" s="74">
        <v>650</v>
      </c>
      <c r="E48" s="75">
        <v>2150</v>
      </c>
      <c r="F48" s="78">
        <v>86</v>
      </c>
      <c r="G48" s="73">
        <v>1000</v>
      </c>
      <c r="H48" s="74">
        <v>650</v>
      </c>
      <c r="I48" s="75">
        <v>1736</v>
      </c>
      <c r="J48" s="77">
        <v>414</v>
      </c>
      <c r="K48" s="1286"/>
      <c r="L48" s="101"/>
      <c r="N48" s="4">
        <f t="shared" si="37"/>
        <v>414</v>
      </c>
      <c r="O48" s="4">
        <f t="shared" si="38"/>
        <v>0</v>
      </c>
      <c r="P48" s="4">
        <f t="shared" si="39"/>
        <v>0</v>
      </c>
    </row>
    <row r="49" spans="1:16" ht="15.75" thickBot="1">
      <c r="A49" s="86" t="s">
        <v>115</v>
      </c>
      <c r="B49" s="80">
        <v>450</v>
      </c>
      <c r="C49" s="81">
        <v>900</v>
      </c>
      <c r="D49" s="82">
        <v>580</v>
      </c>
      <c r="E49" s="83">
        <v>1930</v>
      </c>
      <c r="F49" s="80">
        <v>433</v>
      </c>
      <c r="G49" s="81">
        <v>853</v>
      </c>
      <c r="H49" s="82">
        <v>433</v>
      </c>
      <c r="I49" s="83">
        <v>1719</v>
      </c>
      <c r="J49" s="85">
        <v>211</v>
      </c>
      <c r="K49" s="1287"/>
      <c r="L49" s="101"/>
      <c r="N49" s="4">
        <f t="shared" si="37"/>
        <v>17</v>
      </c>
      <c r="O49" s="4">
        <f t="shared" si="38"/>
        <v>47</v>
      </c>
      <c r="P49" s="4">
        <f t="shared" si="39"/>
        <v>147</v>
      </c>
    </row>
    <row r="50" spans="1:16" ht="27.75" thickTop="1" thickBot="1">
      <c r="A50" s="65" t="s">
        <v>124</v>
      </c>
      <c r="B50" s="111" t="s">
        <v>147</v>
      </c>
      <c r="C50" s="111" t="s">
        <v>148</v>
      </c>
      <c r="D50" s="112" t="s">
        <v>149</v>
      </c>
      <c r="E50" s="69" t="s">
        <v>109</v>
      </c>
      <c r="F50" s="111" t="s">
        <v>147</v>
      </c>
      <c r="G50" s="111" t="s">
        <v>148</v>
      </c>
      <c r="H50" s="112" t="s">
        <v>149</v>
      </c>
      <c r="I50" s="69" t="s">
        <v>109</v>
      </c>
      <c r="J50" s="70" t="s">
        <v>110</v>
      </c>
      <c r="K50" s="69" t="s">
        <v>111</v>
      </c>
      <c r="L50" s="100"/>
      <c r="M50" s="94">
        <f>M45+1</f>
        <v>44467</v>
      </c>
      <c r="N50" s="4">
        <f>SUM(N46:N49)</f>
        <v>997</v>
      </c>
      <c r="O50" s="4">
        <f t="shared" ref="O50" si="40">SUM(O46:O49)</f>
        <v>858</v>
      </c>
      <c r="P50" s="4">
        <f t="shared" ref="P50" si="41">SUM(P46:P49)</f>
        <v>407</v>
      </c>
    </row>
    <row r="51" spans="1:16" ht="16.5" thickTop="1" thickBot="1">
      <c r="A51" s="71" t="s">
        <v>112</v>
      </c>
      <c r="B51" s="113">
        <v>350</v>
      </c>
      <c r="C51" s="113">
        <v>700</v>
      </c>
      <c r="D51" s="114">
        <v>420</v>
      </c>
      <c r="E51" s="75">
        <v>1470</v>
      </c>
      <c r="F51" s="113">
        <v>289</v>
      </c>
      <c r="G51" s="113">
        <v>589</v>
      </c>
      <c r="H51" s="114">
        <v>330</v>
      </c>
      <c r="I51" s="75">
        <v>1208</v>
      </c>
      <c r="J51" s="77">
        <v>262</v>
      </c>
      <c r="K51" s="1285">
        <v>3160</v>
      </c>
      <c r="L51" s="101"/>
      <c r="N51" s="4">
        <f>B51-F51</f>
        <v>61</v>
      </c>
      <c r="O51" s="4">
        <f>C51-G51</f>
        <v>111</v>
      </c>
      <c r="P51" s="4">
        <f>D51-H51</f>
        <v>90</v>
      </c>
    </row>
    <row r="52" spans="1:16" ht="15.75" thickBot="1">
      <c r="A52" s="71" t="s">
        <v>113</v>
      </c>
      <c r="B52" s="113">
        <v>700</v>
      </c>
      <c r="C52" s="113">
        <v>1400</v>
      </c>
      <c r="D52" s="114">
        <v>850</v>
      </c>
      <c r="E52" s="75">
        <v>2950</v>
      </c>
      <c r="F52" s="113">
        <v>61</v>
      </c>
      <c r="G52" s="113">
        <v>589</v>
      </c>
      <c r="H52" s="114">
        <v>650</v>
      </c>
      <c r="I52" s="75">
        <v>1300</v>
      </c>
      <c r="J52" s="77">
        <v>1650</v>
      </c>
      <c r="K52" s="1286"/>
      <c r="L52" s="101"/>
      <c r="N52" s="4">
        <f t="shared" ref="N52:N54" si="42">B52-F52</f>
        <v>639</v>
      </c>
      <c r="O52" s="4">
        <f t="shared" ref="O52:O54" si="43">C52-G52</f>
        <v>811</v>
      </c>
      <c r="P52" s="4">
        <f t="shared" ref="P52:P54" si="44">D52-H52</f>
        <v>200</v>
      </c>
    </row>
    <row r="53" spans="1:16" ht="15.75" thickBot="1">
      <c r="A53" s="71" t="s">
        <v>114</v>
      </c>
      <c r="B53" s="113">
        <v>500</v>
      </c>
      <c r="C53" s="113">
        <v>1000</v>
      </c>
      <c r="D53" s="114">
        <v>650</v>
      </c>
      <c r="E53" s="75">
        <v>2150</v>
      </c>
      <c r="F53" s="113">
        <v>500</v>
      </c>
      <c r="G53" s="113">
        <v>335</v>
      </c>
      <c r="H53" s="114">
        <v>475</v>
      </c>
      <c r="I53" s="75">
        <v>1310</v>
      </c>
      <c r="J53" s="77">
        <v>840</v>
      </c>
      <c r="K53" s="1286"/>
      <c r="L53" s="101"/>
      <c r="N53" s="4">
        <f t="shared" si="42"/>
        <v>0</v>
      </c>
      <c r="O53" s="4">
        <f t="shared" si="43"/>
        <v>665</v>
      </c>
      <c r="P53" s="4">
        <f t="shared" si="44"/>
        <v>175</v>
      </c>
    </row>
    <row r="54" spans="1:16" ht="15.75" thickBot="1">
      <c r="A54" s="86" t="s">
        <v>115</v>
      </c>
      <c r="B54" s="115">
        <v>450</v>
      </c>
      <c r="C54" s="115">
        <v>900</v>
      </c>
      <c r="D54" s="116">
        <v>580</v>
      </c>
      <c r="E54" s="83">
        <v>1930</v>
      </c>
      <c r="F54" s="115">
        <v>390</v>
      </c>
      <c r="G54" s="115">
        <v>690</v>
      </c>
      <c r="H54" s="116">
        <v>442</v>
      </c>
      <c r="I54" s="83">
        <v>1522</v>
      </c>
      <c r="J54" s="85">
        <v>408</v>
      </c>
      <c r="K54" s="1287"/>
      <c r="L54" s="101"/>
      <c r="N54" s="4">
        <f t="shared" si="42"/>
        <v>60</v>
      </c>
      <c r="O54" s="4">
        <f t="shared" si="43"/>
        <v>210</v>
      </c>
      <c r="P54" s="4">
        <f t="shared" si="44"/>
        <v>138</v>
      </c>
    </row>
    <row r="55" spans="1:16" ht="27.75" thickTop="1" thickBot="1">
      <c r="A55" s="65" t="s">
        <v>125</v>
      </c>
      <c r="B55" s="111" t="s">
        <v>147</v>
      </c>
      <c r="C55" s="111" t="s">
        <v>148</v>
      </c>
      <c r="D55" s="112" t="s">
        <v>149</v>
      </c>
      <c r="E55" s="69" t="s">
        <v>109</v>
      </c>
      <c r="F55" s="111" t="s">
        <v>147</v>
      </c>
      <c r="G55" s="111" t="s">
        <v>148</v>
      </c>
      <c r="H55" s="112" t="s">
        <v>149</v>
      </c>
      <c r="I55" s="69" t="s">
        <v>109</v>
      </c>
      <c r="J55" s="70" t="s">
        <v>110</v>
      </c>
      <c r="K55" s="69" t="s">
        <v>111</v>
      </c>
      <c r="L55" s="100"/>
      <c r="M55" s="94">
        <f>M50+1</f>
        <v>44468</v>
      </c>
      <c r="N55" s="4">
        <f>SUM(N51:N54)</f>
        <v>760</v>
      </c>
      <c r="O55" s="4">
        <f t="shared" ref="O55" si="45">SUM(O51:O54)</f>
        <v>1797</v>
      </c>
      <c r="P55" s="4">
        <f t="shared" ref="P55" si="46">SUM(P51:P54)</f>
        <v>603</v>
      </c>
    </row>
    <row r="56" spans="1:16" ht="16.5" thickTop="1" thickBot="1">
      <c r="A56" s="71" t="s">
        <v>112</v>
      </c>
      <c r="B56" s="113">
        <v>350</v>
      </c>
      <c r="C56" s="113">
        <v>700</v>
      </c>
      <c r="D56" s="114">
        <v>420</v>
      </c>
      <c r="E56" s="75">
        <v>1470</v>
      </c>
      <c r="F56" s="113">
        <v>302</v>
      </c>
      <c r="G56" s="113">
        <v>600</v>
      </c>
      <c r="H56" s="114">
        <v>324</v>
      </c>
      <c r="I56" s="75">
        <v>1226</v>
      </c>
      <c r="J56" s="77">
        <v>244</v>
      </c>
      <c r="K56" s="1285">
        <v>2926</v>
      </c>
      <c r="L56" s="101"/>
      <c r="N56" s="4">
        <f>B56-F56</f>
        <v>48</v>
      </c>
      <c r="O56" s="4">
        <f>C56-G56</f>
        <v>100</v>
      </c>
      <c r="P56" s="4">
        <f>D56-H56</f>
        <v>96</v>
      </c>
    </row>
    <row r="57" spans="1:16" ht="15.75" thickBot="1">
      <c r="A57" s="71" t="s">
        <v>113</v>
      </c>
      <c r="B57" s="113">
        <v>700</v>
      </c>
      <c r="C57" s="113">
        <v>1400</v>
      </c>
      <c r="D57" s="114">
        <v>850</v>
      </c>
      <c r="E57" s="75">
        <v>2950</v>
      </c>
      <c r="F57" s="113">
        <v>256</v>
      </c>
      <c r="G57" s="113">
        <v>642</v>
      </c>
      <c r="H57" s="114">
        <v>707</v>
      </c>
      <c r="I57" s="75">
        <v>1605</v>
      </c>
      <c r="J57" s="77">
        <v>1345</v>
      </c>
      <c r="K57" s="1286"/>
      <c r="L57" s="101"/>
      <c r="N57" s="4">
        <f t="shared" ref="N57:N59" si="47">B57-F57</f>
        <v>444</v>
      </c>
      <c r="O57" s="4">
        <f t="shared" ref="O57:O59" si="48">C57-G57</f>
        <v>758</v>
      </c>
      <c r="P57" s="4">
        <f t="shared" ref="P57:P59" si="49">D57-H57</f>
        <v>143</v>
      </c>
    </row>
    <row r="58" spans="1:16" ht="15.75" thickBot="1">
      <c r="A58" s="71" t="s">
        <v>114</v>
      </c>
      <c r="B58" s="113">
        <v>500</v>
      </c>
      <c r="C58" s="113">
        <v>1000</v>
      </c>
      <c r="D58" s="114">
        <v>650</v>
      </c>
      <c r="E58" s="75">
        <v>2150</v>
      </c>
      <c r="F58" s="113">
        <v>200</v>
      </c>
      <c r="G58" s="113">
        <v>351</v>
      </c>
      <c r="H58" s="114">
        <v>500</v>
      </c>
      <c r="I58" s="75">
        <v>1051</v>
      </c>
      <c r="J58" s="77">
        <v>1099</v>
      </c>
      <c r="K58" s="1286"/>
      <c r="L58" s="101"/>
      <c r="N58" s="4">
        <f t="shared" si="47"/>
        <v>300</v>
      </c>
      <c r="O58" s="4">
        <f t="shared" si="48"/>
        <v>649</v>
      </c>
      <c r="P58" s="4">
        <f t="shared" si="49"/>
        <v>150</v>
      </c>
    </row>
    <row r="59" spans="1:16" ht="15.75" thickBot="1">
      <c r="A59" s="86" t="s">
        <v>115</v>
      </c>
      <c r="B59" s="115">
        <v>450</v>
      </c>
      <c r="C59" s="115">
        <v>900</v>
      </c>
      <c r="D59" s="116">
        <v>580</v>
      </c>
      <c r="E59" s="83">
        <v>1930</v>
      </c>
      <c r="F59" s="115">
        <v>418</v>
      </c>
      <c r="G59" s="115">
        <v>821</v>
      </c>
      <c r="H59" s="116">
        <v>453</v>
      </c>
      <c r="I59" s="83">
        <v>1692</v>
      </c>
      <c r="J59" s="85">
        <v>238</v>
      </c>
      <c r="K59" s="1287"/>
      <c r="L59" s="101"/>
      <c r="N59" s="4">
        <f t="shared" si="47"/>
        <v>32</v>
      </c>
      <c r="O59" s="4">
        <f t="shared" si="48"/>
        <v>79</v>
      </c>
      <c r="P59" s="4">
        <f t="shared" si="49"/>
        <v>127</v>
      </c>
    </row>
    <row r="60" spans="1:16" ht="27.75" thickTop="1" thickBot="1">
      <c r="A60" s="65" t="s">
        <v>126</v>
      </c>
      <c r="B60" s="111" t="s">
        <v>147</v>
      </c>
      <c r="C60" s="111" t="s">
        <v>148</v>
      </c>
      <c r="D60" s="112" t="s">
        <v>149</v>
      </c>
      <c r="E60" s="69" t="s">
        <v>109</v>
      </c>
      <c r="F60" s="111" t="s">
        <v>147</v>
      </c>
      <c r="G60" s="111" t="s">
        <v>148</v>
      </c>
      <c r="H60" s="112" t="s">
        <v>149</v>
      </c>
      <c r="I60" s="69" t="s">
        <v>109</v>
      </c>
      <c r="J60" s="70" t="s">
        <v>110</v>
      </c>
      <c r="K60" s="69" t="s">
        <v>111</v>
      </c>
      <c r="L60" s="100"/>
      <c r="M60" s="94">
        <f>M55+1</f>
        <v>44469</v>
      </c>
      <c r="N60" s="4">
        <f>SUM(N56:N59)</f>
        <v>824</v>
      </c>
      <c r="O60" s="4">
        <f t="shared" ref="O60" si="50">SUM(O56:O59)</f>
        <v>1586</v>
      </c>
      <c r="P60" s="4">
        <f t="shared" ref="P60" si="51">SUM(P56:P59)</f>
        <v>516</v>
      </c>
    </row>
    <row r="61" spans="1:16" ht="16.5" thickTop="1" thickBot="1">
      <c r="A61" s="71" t="s">
        <v>112</v>
      </c>
      <c r="B61" s="113">
        <v>350</v>
      </c>
      <c r="C61" s="113">
        <v>700</v>
      </c>
      <c r="D61" s="114">
        <v>420</v>
      </c>
      <c r="E61" s="75">
        <v>1470</v>
      </c>
      <c r="F61" s="113">
        <v>323</v>
      </c>
      <c r="G61" s="113">
        <v>622</v>
      </c>
      <c r="H61" s="114">
        <v>337</v>
      </c>
      <c r="I61" s="75">
        <v>1282</v>
      </c>
      <c r="J61" s="77">
        <v>188</v>
      </c>
      <c r="K61" s="1285">
        <v>1954</v>
      </c>
      <c r="L61" s="101"/>
      <c r="N61" s="4">
        <f>B61-F61</f>
        <v>27</v>
      </c>
      <c r="O61" s="4">
        <f>C61-G61</f>
        <v>78</v>
      </c>
      <c r="P61" s="4">
        <f>D61-H61</f>
        <v>83</v>
      </c>
    </row>
    <row r="62" spans="1:16" ht="15.75" thickBot="1">
      <c r="A62" s="71" t="s">
        <v>113</v>
      </c>
      <c r="B62" s="113">
        <v>700</v>
      </c>
      <c r="C62" s="113">
        <v>1400</v>
      </c>
      <c r="D62" s="114">
        <v>850</v>
      </c>
      <c r="E62" s="75">
        <v>2950</v>
      </c>
      <c r="F62" s="113">
        <v>233</v>
      </c>
      <c r="G62" s="113">
        <v>797</v>
      </c>
      <c r="H62" s="114">
        <v>679</v>
      </c>
      <c r="I62" s="75">
        <v>1709</v>
      </c>
      <c r="J62" s="77">
        <v>1241</v>
      </c>
      <c r="K62" s="1286"/>
      <c r="L62" s="101"/>
      <c r="N62" s="4">
        <f t="shared" ref="N62:N64" si="52">B62-F62</f>
        <v>467</v>
      </c>
      <c r="O62" s="4">
        <f t="shared" ref="O62:O64" si="53">C62-G62</f>
        <v>603</v>
      </c>
      <c r="P62" s="4">
        <f t="shared" ref="P62:P64" si="54">D62-H62</f>
        <v>171</v>
      </c>
    </row>
    <row r="63" spans="1:16" ht="15.75" thickBot="1">
      <c r="A63" s="71" t="s">
        <v>114</v>
      </c>
      <c r="B63" s="113">
        <v>500</v>
      </c>
      <c r="C63" s="113">
        <v>1000</v>
      </c>
      <c r="D63" s="114">
        <v>650</v>
      </c>
      <c r="E63" s="75">
        <v>2150</v>
      </c>
      <c r="F63" s="113">
        <v>500</v>
      </c>
      <c r="G63" s="113">
        <v>652</v>
      </c>
      <c r="H63" s="114">
        <v>497</v>
      </c>
      <c r="I63" s="75">
        <v>1649</v>
      </c>
      <c r="J63" s="77">
        <v>501</v>
      </c>
      <c r="K63" s="1286"/>
      <c r="L63" s="101"/>
      <c r="N63" s="4">
        <f t="shared" si="52"/>
        <v>0</v>
      </c>
      <c r="O63" s="4">
        <f t="shared" si="53"/>
        <v>348</v>
      </c>
      <c r="P63" s="4">
        <f t="shared" si="54"/>
        <v>153</v>
      </c>
    </row>
    <row r="64" spans="1:16" ht="15.75" thickBot="1">
      <c r="A64" s="86" t="s">
        <v>115</v>
      </c>
      <c r="B64" s="115">
        <v>450</v>
      </c>
      <c r="C64" s="115">
        <v>900</v>
      </c>
      <c r="D64" s="116">
        <v>580</v>
      </c>
      <c r="E64" s="83">
        <v>1930</v>
      </c>
      <c r="F64" s="115">
        <v>426</v>
      </c>
      <c r="G64" s="115">
        <v>900</v>
      </c>
      <c r="H64" s="116">
        <v>580</v>
      </c>
      <c r="I64" s="83">
        <v>1906</v>
      </c>
      <c r="J64" s="85">
        <v>24</v>
      </c>
      <c r="K64" s="1287"/>
      <c r="L64" s="101"/>
      <c r="N64" s="4">
        <f t="shared" si="52"/>
        <v>24</v>
      </c>
      <c r="O64" s="4">
        <f t="shared" si="53"/>
        <v>0</v>
      </c>
      <c r="P64" s="4">
        <f t="shared" si="54"/>
        <v>0</v>
      </c>
    </row>
    <row r="65" spans="1:16" ht="27.75" thickTop="1" thickBot="1">
      <c r="A65" s="65" t="s">
        <v>127</v>
      </c>
      <c r="B65" s="111" t="s">
        <v>147</v>
      </c>
      <c r="C65" s="111" t="s">
        <v>148</v>
      </c>
      <c r="D65" s="112" t="s">
        <v>149</v>
      </c>
      <c r="E65" s="69" t="s">
        <v>109</v>
      </c>
      <c r="F65" s="111" t="s">
        <v>147</v>
      </c>
      <c r="G65" s="111" t="s">
        <v>148</v>
      </c>
      <c r="H65" s="112" t="s">
        <v>149</v>
      </c>
      <c r="I65" s="69" t="s">
        <v>109</v>
      </c>
      <c r="J65" s="70" t="s">
        <v>110</v>
      </c>
      <c r="K65" s="69" t="s">
        <v>111</v>
      </c>
      <c r="L65" s="100"/>
      <c r="M65" s="94">
        <f>M60+1</f>
        <v>44470</v>
      </c>
      <c r="N65" s="4">
        <f>SUM(N61:N64)</f>
        <v>518</v>
      </c>
      <c r="O65" s="4">
        <f t="shared" ref="O65:P65" si="55">SUM(O61:O64)</f>
        <v>1029</v>
      </c>
      <c r="P65" s="4">
        <f t="shared" si="55"/>
        <v>407</v>
      </c>
    </row>
    <row r="66" spans="1:16" ht="16.5" thickTop="1" thickBot="1">
      <c r="A66" s="71" t="s">
        <v>112</v>
      </c>
      <c r="B66" s="87"/>
      <c r="C66" s="113">
        <v>350</v>
      </c>
      <c r="D66" s="87"/>
      <c r="E66" s="75">
        <v>350</v>
      </c>
      <c r="F66" s="87"/>
      <c r="G66" s="113">
        <v>332</v>
      </c>
      <c r="H66" s="87"/>
      <c r="I66" s="75">
        <v>332</v>
      </c>
      <c r="J66" s="77">
        <v>18</v>
      </c>
      <c r="K66" s="1285">
        <v>257</v>
      </c>
      <c r="L66" s="101"/>
      <c r="N66" s="4">
        <f>B66-F66</f>
        <v>0</v>
      </c>
      <c r="O66" s="4">
        <f>C66-G66</f>
        <v>18</v>
      </c>
      <c r="P66" s="4">
        <f>D66-H66</f>
        <v>0</v>
      </c>
    </row>
    <row r="67" spans="1:16" ht="15.75" thickBot="1">
      <c r="A67" s="71" t="s">
        <v>113</v>
      </c>
      <c r="B67" s="87"/>
      <c r="C67" s="113">
        <v>700</v>
      </c>
      <c r="D67" s="87"/>
      <c r="E67" s="75">
        <v>700</v>
      </c>
      <c r="F67" s="87"/>
      <c r="G67" s="113">
        <v>568</v>
      </c>
      <c r="H67" s="87"/>
      <c r="I67" s="75">
        <v>568</v>
      </c>
      <c r="J67" s="77">
        <v>132</v>
      </c>
      <c r="K67" s="1286"/>
      <c r="L67" s="101"/>
      <c r="N67" s="4">
        <f t="shared" ref="N67:N69" si="56">B67-F67</f>
        <v>0</v>
      </c>
      <c r="O67" s="4">
        <f t="shared" ref="O67:O69" si="57">C67-G67</f>
        <v>132</v>
      </c>
      <c r="P67" s="4">
        <f t="shared" ref="P67:P69" si="58">D67-H67</f>
        <v>0</v>
      </c>
    </row>
    <row r="68" spans="1:16" ht="15.75" thickBot="1">
      <c r="A68" s="71" t="s">
        <v>114</v>
      </c>
      <c r="B68" s="87"/>
      <c r="C68" s="113">
        <v>500</v>
      </c>
      <c r="D68" s="87"/>
      <c r="E68" s="75">
        <v>500</v>
      </c>
      <c r="F68" s="87"/>
      <c r="G68" s="113">
        <v>432</v>
      </c>
      <c r="H68" s="87"/>
      <c r="I68" s="75">
        <v>432</v>
      </c>
      <c r="J68" s="77">
        <v>68</v>
      </c>
      <c r="K68" s="1286"/>
      <c r="L68" s="101"/>
      <c r="N68" s="4">
        <f t="shared" si="56"/>
        <v>0</v>
      </c>
      <c r="O68" s="4">
        <f t="shared" si="57"/>
        <v>68</v>
      </c>
      <c r="P68" s="4">
        <f t="shared" si="58"/>
        <v>0</v>
      </c>
    </row>
    <row r="69" spans="1:16" ht="15.75" thickBot="1">
      <c r="A69" s="86" t="s">
        <v>115</v>
      </c>
      <c r="B69" s="88"/>
      <c r="C69" s="115">
        <v>450</v>
      </c>
      <c r="D69" s="88"/>
      <c r="E69" s="83">
        <v>450</v>
      </c>
      <c r="F69" s="88"/>
      <c r="G69" s="115">
        <v>411</v>
      </c>
      <c r="H69" s="88"/>
      <c r="I69" s="83">
        <v>411</v>
      </c>
      <c r="J69" s="85">
        <v>39</v>
      </c>
      <c r="K69" s="1287"/>
      <c r="L69" s="101"/>
      <c r="N69" s="4">
        <f t="shared" si="56"/>
        <v>0</v>
      </c>
      <c r="O69" s="4">
        <f t="shared" si="57"/>
        <v>39</v>
      </c>
      <c r="P69" s="4">
        <f t="shared" si="58"/>
        <v>0</v>
      </c>
    </row>
    <row r="70" spans="1:16" ht="27.75" thickTop="1" thickBot="1">
      <c r="A70" s="65" t="s">
        <v>128</v>
      </c>
      <c r="B70" s="111" t="s">
        <v>147</v>
      </c>
      <c r="C70" s="111" t="s">
        <v>148</v>
      </c>
      <c r="D70" s="112" t="s">
        <v>149</v>
      </c>
      <c r="E70" s="69" t="s">
        <v>109</v>
      </c>
      <c r="F70" s="111" t="s">
        <v>147</v>
      </c>
      <c r="G70" s="111" t="s">
        <v>148</v>
      </c>
      <c r="H70" s="112" t="s">
        <v>149</v>
      </c>
      <c r="I70" s="69" t="s">
        <v>109</v>
      </c>
      <c r="J70" s="70" t="s">
        <v>110</v>
      </c>
      <c r="K70" s="69" t="s">
        <v>111</v>
      </c>
      <c r="L70" s="100"/>
      <c r="M70" s="94">
        <f>M65+1</f>
        <v>44471</v>
      </c>
      <c r="N70" s="4">
        <f>SUM(N66:N69)</f>
        <v>0</v>
      </c>
      <c r="O70" s="4">
        <f t="shared" ref="O70:P70" si="59">SUM(O66:O69)</f>
        <v>257</v>
      </c>
      <c r="P70" s="4">
        <f t="shared" si="59"/>
        <v>0</v>
      </c>
    </row>
    <row r="71" spans="1:16" ht="16.5" thickTop="1" thickBot="1">
      <c r="A71" s="71" t="s">
        <v>112</v>
      </c>
      <c r="B71" s="87"/>
      <c r="C71" s="113">
        <v>350</v>
      </c>
      <c r="D71" s="87"/>
      <c r="E71" s="75">
        <v>350</v>
      </c>
      <c r="F71" s="87"/>
      <c r="G71" s="113">
        <v>322</v>
      </c>
      <c r="H71" s="87"/>
      <c r="I71" s="75">
        <v>322</v>
      </c>
      <c r="J71" s="77">
        <v>28</v>
      </c>
      <c r="K71" s="1285">
        <v>517</v>
      </c>
      <c r="L71" s="101"/>
      <c r="N71" s="4">
        <f>B71-F71</f>
        <v>0</v>
      </c>
      <c r="O71" s="4">
        <f>C71-G71</f>
        <v>28</v>
      </c>
      <c r="P71" s="4">
        <f>D71-H71</f>
        <v>0</v>
      </c>
    </row>
    <row r="72" spans="1:16" ht="15.75" thickBot="1">
      <c r="A72" s="71" t="s">
        <v>113</v>
      </c>
      <c r="B72" s="87"/>
      <c r="C72" s="113">
        <v>700</v>
      </c>
      <c r="D72" s="87"/>
      <c r="E72" s="75">
        <v>700</v>
      </c>
      <c r="F72" s="87"/>
      <c r="G72" s="113">
        <v>400</v>
      </c>
      <c r="H72" s="87"/>
      <c r="I72" s="75">
        <v>400</v>
      </c>
      <c r="J72" s="77">
        <v>300</v>
      </c>
      <c r="K72" s="1286"/>
      <c r="L72" s="101"/>
      <c r="N72" s="4">
        <f t="shared" ref="N72:N74" si="60">B72-F72</f>
        <v>0</v>
      </c>
      <c r="O72" s="4">
        <f t="shared" ref="O72:O74" si="61">C72-G72</f>
        <v>300</v>
      </c>
      <c r="P72" s="4">
        <f t="shared" ref="P72:P74" si="62">D72-H72</f>
        <v>0</v>
      </c>
    </row>
    <row r="73" spans="1:16" ht="15.75" thickBot="1">
      <c r="A73" s="71" t="s">
        <v>114</v>
      </c>
      <c r="B73" s="87"/>
      <c r="C73" s="113">
        <v>500</v>
      </c>
      <c r="D73" s="87"/>
      <c r="E73" s="75">
        <v>500</v>
      </c>
      <c r="F73" s="87"/>
      <c r="G73" s="113">
        <v>449</v>
      </c>
      <c r="H73" s="87"/>
      <c r="I73" s="75">
        <v>449</v>
      </c>
      <c r="J73" s="77">
        <v>51</v>
      </c>
      <c r="K73" s="1286"/>
      <c r="L73" s="101"/>
      <c r="N73" s="4">
        <f t="shared" si="60"/>
        <v>0</v>
      </c>
      <c r="O73" s="4">
        <f t="shared" si="61"/>
        <v>51</v>
      </c>
      <c r="P73" s="4">
        <f t="shared" si="62"/>
        <v>0</v>
      </c>
    </row>
    <row r="74" spans="1:16" ht="15.75" thickBot="1">
      <c r="A74" s="86" t="s">
        <v>115</v>
      </c>
      <c r="B74" s="88"/>
      <c r="C74" s="115">
        <v>450</v>
      </c>
      <c r="D74" s="88"/>
      <c r="E74" s="83">
        <v>450</v>
      </c>
      <c r="F74" s="88"/>
      <c r="G74" s="115">
        <v>312</v>
      </c>
      <c r="H74" s="88"/>
      <c r="I74" s="83">
        <v>312</v>
      </c>
      <c r="J74" s="85">
        <v>138</v>
      </c>
      <c r="K74" s="1287"/>
      <c r="L74" s="101"/>
      <c r="N74" s="4">
        <f t="shared" si="60"/>
        <v>0</v>
      </c>
      <c r="O74" s="4">
        <f t="shared" si="61"/>
        <v>138</v>
      </c>
      <c r="P74" s="4">
        <f t="shared" si="62"/>
        <v>0</v>
      </c>
    </row>
    <row r="75" spans="1:16" ht="27.75" thickTop="1" thickBot="1">
      <c r="A75" s="65" t="s">
        <v>150</v>
      </c>
      <c r="B75" s="111" t="s">
        <v>147</v>
      </c>
      <c r="C75" s="111" t="s">
        <v>148</v>
      </c>
      <c r="D75" s="112" t="s">
        <v>149</v>
      </c>
      <c r="E75" s="69" t="s">
        <v>109</v>
      </c>
      <c r="F75" s="111" t="s">
        <v>147</v>
      </c>
      <c r="G75" s="111" t="s">
        <v>148</v>
      </c>
      <c r="H75" s="112" t="s">
        <v>149</v>
      </c>
      <c r="I75" s="69" t="s">
        <v>109</v>
      </c>
      <c r="J75" s="70" t="s">
        <v>110</v>
      </c>
      <c r="K75" s="69" t="s">
        <v>111</v>
      </c>
      <c r="L75" s="102"/>
      <c r="M75" s="94">
        <f>M70+1</f>
        <v>44472</v>
      </c>
      <c r="N75" s="4">
        <f>SUM(N71:N74)</f>
        <v>0</v>
      </c>
      <c r="O75" s="4">
        <f t="shared" ref="O75:P75" si="63">SUM(O71:O74)</f>
        <v>517</v>
      </c>
      <c r="P75" s="4">
        <f t="shared" si="63"/>
        <v>0</v>
      </c>
    </row>
    <row r="76" spans="1:16" ht="16.5" thickTop="1" thickBot="1">
      <c r="A76" s="71" t="s">
        <v>112</v>
      </c>
      <c r="B76" s="113">
        <v>250</v>
      </c>
      <c r="C76" s="113">
        <v>500</v>
      </c>
      <c r="D76" s="114">
        <v>220</v>
      </c>
      <c r="E76" s="75">
        <v>970</v>
      </c>
      <c r="F76" s="113">
        <v>211</v>
      </c>
      <c r="G76" s="113">
        <v>354</v>
      </c>
      <c r="H76" s="114">
        <v>154</v>
      </c>
      <c r="I76" s="75">
        <v>719</v>
      </c>
      <c r="J76" s="77">
        <v>251</v>
      </c>
      <c r="K76" s="1285">
        <v>3056</v>
      </c>
      <c r="L76" s="102">
        <f>SUM(F76:H76)</f>
        <v>719</v>
      </c>
      <c r="N76" s="4">
        <f>B76-F76</f>
        <v>39</v>
      </c>
      <c r="O76" s="4">
        <f>C76-G76</f>
        <v>146</v>
      </c>
      <c r="P76" s="4">
        <f>D76-H76</f>
        <v>66</v>
      </c>
    </row>
    <row r="77" spans="1:16" ht="15.75" thickBot="1">
      <c r="A77" s="71" t="s">
        <v>113</v>
      </c>
      <c r="B77" s="113">
        <v>800</v>
      </c>
      <c r="C77" s="113">
        <v>1600</v>
      </c>
      <c r="D77" s="114">
        <v>1050</v>
      </c>
      <c r="E77" s="75">
        <v>3450</v>
      </c>
      <c r="F77" s="113">
        <v>363</v>
      </c>
      <c r="G77" s="113">
        <v>766</v>
      </c>
      <c r="H77" s="114">
        <v>947</v>
      </c>
      <c r="I77" s="75">
        <v>2076</v>
      </c>
      <c r="J77" s="77">
        <v>1374</v>
      </c>
      <c r="K77" s="1286"/>
      <c r="L77" s="102"/>
      <c r="N77" s="4">
        <f t="shared" ref="N77:N79" si="64">B77-F77</f>
        <v>437</v>
      </c>
      <c r="O77" s="4">
        <f t="shared" ref="O77:O79" si="65">C77-G77</f>
        <v>834</v>
      </c>
      <c r="P77" s="4">
        <f t="shared" ref="P77:P79" si="66">D77-H77</f>
        <v>103</v>
      </c>
    </row>
    <row r="78" spans="1:16" ht="15.75" thickBot="1">
      <c r="A78" s="71" t="s">
        <v>114</v>
      </c>
      <c r="B78" s="113">
        <v>700</v>
      </c>
      <c r="C78" s="113">
        <v>1200</v>
      </c>
      <c r="D78" s="114">
        <v>850</v>
      </c>
      <c r="E78" s="75">
        <v>2750</v>
      </c>
      <c r="F78" s="113">
        <v>238</v>
      </c>
      <c r="G78" s="113">
        <v>558</v>
      </c>
      <c r="H78" s="114">
        <v>728</v>
      </c>
      <c r="I78" s="75">
        <v>1524</v>
      </c>
      <c r="J78" s="77">
        <v>1226</v>
      </c>
      <c r="K78" s="1286"/>
      <c r="L78" s="102"/>
      <c r="N78" s="4">
        <f t="shared" si="64"/>
        <v>462</v>
      </c>
      <c r="O78" s="4">
        <f t="shared" si="65"/>
        <v>642</v>
      </c>
      <c r="P78" s="4">
        <f t="shared" si="66"/>
        <v>122</v>
      </c>
    </row>
    <row r="79" spans="1:16" ht="15.75" thickBot="1">
      <c r="A79" s="86" t="s">
        <v>115</v>
      </c>
      <c r="B79" s="115">
        <v>250</v>
      </c>
      <c r="C79" s="115">
        <v>700</v>
      </c>
      <c r="D79" s="116">
        <v>380</v>
      </c>
      <c r="E79" s="83">
        <v>1330</v>
      </c>
      <c r="F79" s="115">
        <v>226</v>
      </c>
      <c r="G79" s="115">
        <v>647</v>
      </c>
      <c r="H79" s="116">
        <v>252</v>
      </c>
      <c r="I79" s="83">
        <v>1125</v>
      </c>
      <c r="J79" s="85">
        <v>205</v>
      </c>
      <c r="K79" s="1287"/>
      <c r="L79" s="102"/>
      <c r="N79" s="4">
        <f t="shared" si="64"/>
        <v>24</v>
      </c>
      <c r="O79" s="4">
        <f t="shared" si="65"/>
        <v>53</v>
      </c>
      <c r="P79" s="4">
        <f t="shared" si="66"/>
        <v>128</v>
      </c>
    </row>
    <row r="80" spans="1:16" ht="27.75" thickTop="1" thickBot="1">
      <c r="A80" s="65" t="s">
        <v>151</v>
      </c>
      <c r="B80" s="111" t="s">
        <v>147</v>
      </c>
      <c r="C80" s="111" t="s">
        <v>148</v>
      </c>
      <c r="D80" s="112" t="s">
        <v>149</v>
      </c>
      <c r="E80" s="69" t="s">
        <v>109</v>
      </c>
      <c r="F80" s="111" t="s">
        <v>147</v>
      </c>
      <c r="G80" s="111" t="s">
        <v>148</v>
      </c>
      <c r="H80" s="112" t="s">
        <v>149</v>
      </c>
      <c r="I80" s="69" t="s">
        <v>109</v>
      </c>
      <c r="J80" s="70" t="s">
        <v>110</v>
      </c>
      <c r="K80" s="69" t="s">
        <v>111</v>
      </c>
      <c r="L80" s="102"/>
      <c r="M80" s="94">
        <f>M75+1</f>
        <v>44473</v>
      </c>
      <c r="N80" s="4">
        <f>SUM(N76:N79)</f>
        <v>962</v>
      </c>
      <c r="O80" s="4">
        <f t="shared" ref="O80:P80" si="67">SUM(O76:O79)</f>
        <v>1675</v>
      </c>
      <c r="P80" s="4">
        <f t="shared" si="67"/>
        <v>419</v>
      </c>
    </row>
    <row r="81" spans="1:16" ht="16.5" thickTop="1" thickBot="1">
      <c r="A81" s="71" t="s">
        <v>112</v>
      </c>
      <c r="B81" s="113">
        <v>250</v>
      </c>
      <c r="C81" s="113">
        <v>500</v>
      </c>
      <c r="D81" s="114">
        <v>220</v>
      </c>
      <c r="E81" s="75">
        <v>970</v>
      </c>
      <c r="F81" s="113">
        <v>208</v>
      </c>
      <c r="G81" s="113">
        <v>339</v>
      </c>
      <c r="H81" s="114">
        <v>95</v>
      </c>
      <c r="I81" s="75">
        <v>642</v>
      </c>
      <c r="J81" s="77">
        <v>328</v>
      </c>
      <c r="K81" s="1285">
        <v>3438</v>
      </c>
      <c r="L81" s="102"/>
      <c r="N81" s="4">
        <f>B81-F81</f>
        <v>42</v>
      </c>
      <c r="O81" s="4">
        <f>C81-G81</f>
        <v>161</v>
      </c>
      <c r="P81" s="4">
        <f>D81-H81</f>
        <v>125</v>
      </c>
    </row>
    <row r="82" spans="1:16" ht="15.75" thickBot="1">
      <c r="A82" s="71" t="s">
        <v>113</v>
      </c>
      <c r="B82" s="113">
        <v>800</v>
      </c>
      <c r="C82" s="113">
        <v>1600</v>
      </c>
      <c r="D82" s="114">
        <v>1050</v>
      </c>
      <c r="E82" s="75">
        <v>3450</v>
      </c>
      <c r="F82" s="113">
        <v>405</v>
      </c>
      <c r="G82" s="113">
        <v>429</v>
      </c>
      <c r="H82" s="114">
        <v>825</v>
      </c>
      <c r="I82" s="75">
        <v>1659</v>
      </c>
      <c r="J82" s="77">
        <v>1791</v>
      </c>
      <c r="K82" s="1286"/>
      <c r="L82" s="102"/>
      <c r="N82" s="4">
        <f t="shared" ref="N82:N84" si="68">B82-F82</f>
        <v>395</v>
      </c>
      <c r="O82" s="4">
        <f t="shared" ref="O82:O84" si="69">C82-G82</f>
        <v>1171</v>
      </c>
      <c r="P82" s="4">
        <f t="shared" ref="P82:P84" si="70">D82-H82</f>
        <v>225</v>
      </c>
    </row>
    <row r="83" spans="1:16" ht="15.75" thickBot="1">
      <c r="A83" s="71" t="s">
        <v>114</v>
      </c>
      <c r="B83" s="113">
        <v>700</v>
      </c>
      <c r="C83" s="113">
        <v>1200</v>
      </c>
      <c r="D83" s="114">
        <v>850</v>
      </c>
      <c r="E83" s="75">
        <v>2750</v>
      </c>
      <c r="F83" s="113">
        <v>267</v>
      </c>
      <c r="G83" s="113">
        <v>721</v>
      </c>
      <c r="H83" s="114">
        <v>681</v>
      </c>
      <c r="I83" s="75">
        <v>1669</v>
      </c>
      <c r="J83" s="77">
        <v>1081</v>
      </c>
      <c r="K83" s="1286"/>
      <c r="L83" s="102"/>
      <c r="N83" s="4">
        <f t="shared" si="68"/>
        <v>433</v>
      </c>
      <c r="O83" s="4">
        <f t="shared" si="69"/>
        <v>479</v>
      </c>
      <c r="P83" s="4">
        <f t="shared" si="70"/>
        <v>169</v>
      </c>
    </row>
    <row r="84" spans="1:16" ht="15.75" thickBot="1">
      <c r="A84" s="86" t="s">
        <v>115</v>
      </c>
      <c r="B84" s="115">
        <v>250</v>
      </c>
      <c r="C84" s="115">
        <v>700</v>
      </c>
      <c r="D84" s="116">
        <v>380</v>
      </c>
      <c r="E84" s="83">
        <v>1330</v>
      </c>
      <c r="F84" s="115">
        <v>232</v>
      </c>
      <c r="G84" s="115">
        <v>643</v>
      </c>
      <c r="H84" s="116">
        <v>217</v>
      </c>
      <c r="I84" s="83">
        <v>1092</v>
      </c>
      <c r="J84" s="85">
        <v>238</v>
      </c>
      <c r="K84" s="1287"/>
      <c r="L84" s="102"/>
      <c r="N84" s="4">
        <f t="shared" si="68"/>
        <v>18</v>
      </c>
      <c r="O84" s="4">
        <f t="shared" si="69"/>
        <v>57</v>
      </c>
      <c r="P84" s="4">
        <f t="shared" si="70"/>
        <v>163</v>
      </c>
    </row>
    <row r="85" spans="1:16" ht="27.75" thickTop="1" thickBot="1">
      <c r="A85" s="65" t="s">
        <v>152</v>
      </c>
      <c r="B85" s="111" t="s">
        <v>147</v>
      </c>
      <c r="C85" s="111" t="s">
        <v>148</v>
      </c>
      <c r="D85" s="112" t="s">
        <v>149</v>
      </c>
      <c r="E85" s="69" t="s">
        <v>109</v>
      </c>
      <c r="F85" s="111" t="s">
        <v>147</v>
      </c>
      <c r="G85" s="111" t="s">
        <v>148</v>
      </c>
      <c r="H85" s="112" t="s">
        <v>149</v>
      </c>
      <c r="I85" s="69" t="s">
        <v>109</v>
      </c>
      <c r="J85" s="70" t="s">
        <v>110</v>
      </c>
      <c r="K85" s="69" t="s">
        <v>111</v>
      </c>
      <c r="L85" s="102"/>
      <c r="M85" s="94">
        <f>M80+1</f>
        <v>44474</v>
      </c>
      <c r="N85" s="4">
        <f>SUM(N81:N84)</f>
        <v>888</v>
      </c>
      <c r="O85" s="4">
        <f t="shared" ref="O85:P85" si="71">SUM(O81:O84)</f>
        <v>1868</v>
      </c>
      <c r="P85" s="4">
        <f t="shared" si="71"/>
        <v>682</v>
      </c>
    </row>
    <row r="86" spans="1:16" ht="16.5" thickTop="1" thickBot="1">
      <c r="A86" s="71" t="s">
        <v>112</v>
      </c>
      <c r="B86" s="113">
        <v>250</v>
      </c>
      <c r="C86" s="113">
        <v>500</v>
      </c>
      <c r="D86" s="114">
        <v>220</v>
      </c>
      <c r="E86" s="75">
        <v>970</v>
      </c>
      <c r="F86" s="113">
        <v>181</v>
      </c>
      <c r="G86" s="113">
        <v>451</v>
      </c>
      <c r="H86" s="114">
        <v>113</v>
      </c>
      <c r="I86" s="75">
        <v>745</v>
      </c>
      <c r="J86" s="77">
        <v>225</v>
      </c>
      <c r="K86" s="1285">
        <v>2623</v>
      </c>
      <c r="L86" s="102"/>
      <c r="M86" s="150"/>
      <c r="N86" s="184">
        <f>B86-F86</f>
        <v>69</v>
      </c>
      <c r="O86" s="184">
        <f>C86-G86</f>
        <v>49</v>
      </c>
      <c r="P86" s="184">
        <f>D86-H86</f>
        <v>107</v>
      </c>
    </row>
    <row r="87" spans="1:16" ht="15.75" thickBot="1">
      <c r="A87" s="71" t="s">
        <v>113</v>
      </c>
      <c r="B87" s="113">
        <v>800</v>
      </c>
      <c r="C87" s="113">
        <v>1600</v>
      </c>
      <c r="D87" s="114">
        <v>1050</v>
      </c>
      <c r="E87" s="75">
        <v>3450</v>
      </c>
      <c r="F87" s="113">
        <v>419</v>
      </c>
      <c r="G87" s="113">
        <v>506</v>
      </c>
      <c r="H87" s="114">
        <v>765</v>
      </c>
      <c r="I87" s="75">
        <v>1690</v>
      </c>
      <c r="J87" s="77">
        <v>1760</v>
      </c>
      <c r="K87" s="1286"/>
      <c r="L87" s="102"/>
      <c r="M87" s="150"/>
      <c r="N87" s="184">
        <f t="shared" ref="N87:N89" si="72">B87-F87</f>
        <v>381</v>
      </c>
      <c r="O87" s="184">
        <f t="shared" ref="O87:O89" si="73">C87-G87</f>
        <v>1094</v>
      </c>
      <c r="P87" s="184">
        <f t="shared" ref="P87:P89" si="74">D87-H87</f>
        <v>285</v>
      </c>
    </row>
    <row r="88" spans="1:16" ht="15.75" thickBot="1">
      <c r="A88" s="71" t="s">
        <v>114</v>
      </c>
      <c r="B88" s="113">
        <v>700</v>
      </c>
      <c r="C88" s="113">
        <v>1200</v>
      </c>
      <c r="D88" s="114">
        <v>850</v>
      </c>
      <c r="E88" s="75">
        <v>2750</v>
      </c>
      <c r="F88" s="113">
        <v>700</v>
      </c>
      <c r="G88" s="113">
        <v>795</v>
      </c>
      <c r="H88" s="114">
        <v>866</v>
      </c>
      <c r="I88" s="75">
        <v>2361</v>
      </c>
      <c r="J88" s="77">
        <v>389</v>
      </c>
      <c r="K88" s="1286"/>
      <c r="L88" s="102"/>
      <c r="M88" s="150"/>
      <c r="N88" s="184">
        <f t="shared" si="72"/>
        <v>0</v>
      </c>
      <c r="O88" s="184">
        <f t="shared" si="73"/>
        <v>405</v>
      </c>
      <c r="P88" s="184">
        <f t="shared" si="74"/>
        <v>-16</v>
      </c>
    </row>
    <row r="89" spans="1:16" ht="15.75" thickBot="1">
      <c r="A89" s="86" t="s">
        <v>115</v>
      </c>
      <c r="B89" s="115">
        <v>250</v>
      </c>
      <c r="C89" s="115">
        <v>700</v>
      </c>
      <c r="D89" s="116">
        <v>380</v>
      </c>
      <c r="E89" s="83">
        <v>1330</v>
      </c>
      <c r="F89" s="115">
        <v>231</v>
      </c>
      <c r="G89" s="115">
        <v>638</v>
      </c>
      <c r="H89" s="116">
        <v>212</v>
      </c>
      <c r="I89" s="83">
        <v>1081</v>
      </c>
      <c r="J89" s="85">
        <v>249</v>
      </c>
      <c r="K89" s="1287"/>
      <c r="L89" s="102"/>
      <c r="M89" s="150"/>
      <c r="N89" s="184">
        <f t="shared" si="72"/>
        <v>19</v>
      </c>
      <c r="O89" s="184">
        <f t="shared" si="73"/>
        <v>62</v>
      </c>
      <c r="P89" s="184">
        <f t="shared" si="74"/>
        <v>168</v>
      </c>
    </row>
    <row r="90" spans="1:16" ht="27.75" thickTop="1" thickBot="1">
      <c r="A90" s="65" t="s">
        <v>153</v>
      </c>
      <c r="B90" s="111" t="s">
        <v>147</v>
      </c>
      <c r="C90" s="111" t="s">
        <v>148</v>
      </c>
      <c r="D90" s="112" t="s">
        <v>149</v>
      </c>
      <c r="E90" s="69" t="s">
        <v>109</v>
      </c>
      <c r="F90" s="111" t="s">
        <v>147</v>
      </c>
      <c r="G90" s="111" t="s">
        <v>148</v>
      </c>
      <c r="H90" s="112" t="s">
        <v>149</v>
      </c>
      <c r="I90" s="69" t="s">
        <v>109</v>
      </c>
      <c r="J90" s="70" t="s">
        <v>110</v>
      </c>
      <c r="K90" s="69" t="s">
        <v>111</v>
      </c>
      <c r="L90" s="102"/>
      <c r="M90" s="94">
        <f>M85+1</f>
        <v>44475</v>
      </c>
      <c r="N90" s="184">
        <f>SUM(N86:N89)</f>
        <v>469</v>
      </c>
      <c r="O90" s="184">
        <f t="shared" ref="O90:P90" si="75">SUM(O86:O89)</f>
        <v>1610</v>
      </c>
      <c r="P90" s="184">
        <f t="shared" si="75"/>
        <v>544</v>
      </c>
    </row>
    <row r="91" spans="1:16" ht="16.5" thickTop="1" thickBot="1">
      <c r="A91" s="71" t="s">
        <v>112</v>
      </c>
      <c r="B91" s="113">
        <v>250</v>
      </c>
      <c r="C91" s="113">
        <v>500</v>
      </c>
      <c r="D91" s="114">
        <v>220</v>
      </c>
      <c r="E91" s="75">
        <v>970</v>
      </c>
      <c r="F91" s="113">
        <v>173</v>
      </c>
      <c r="G91" s="113">
        <v>385</v>
      </c>
      <c r="H91" s="114">
        <v>129</v>
      </c>
      <c r="I91" s="75">
        <v>687</v>
      </c>
      <c r="J91" s="77">
        <v>283</v>
      </c>
      <c r="K91" s="1285">
        <v>3169</v>
      </c>
      <c r="L91" s="102"/>
      <c r="M91" s="150"/>
      <c r="N91" s="184">
        <f>B91-F91</f>
        <v>77</v>
      </c>
      <c r="O91" s="184">
        <f>C91-G91</f>
        <v>115</v>
      </c>
      <c r="P91" s="184">
        <f>D91-H91</f>
        <v>91</v>
      </c>
    </row>
    <row r="92" spans="1:16" ht="15.75" thickBot="1">
      <c r="A92" s="71" t="s">
        <v>113</v>
      </c>
      <c r="B92" s="113">
        <v>800</v>
      </c>
      <c r="C92" s="113">
        <v>1600</v>
      </c>
      <c r="D92" s="114">
        <v>1050</v>
      </c>
      <c r="E92" s="75">
        <v>3450</v>
      </c>
      <c r="F92" s="113">
        <v>351</v>
      </c>
      <c r="G92" s="113">
        <v>885</v>
      </c>
      <c r="H92" s="114">
        <v>875</v>
      </c>
      <c r="I92" s="75">
        <v>2111</v>
      </c>
      <c r="J92" s="77">
        <v>1339</v>
      </c>
      <c r="K92" s="1286"/>
      <c r="L92" s="102"/>
      <c r="M92" s="150"/>
      <c r="N92" s="184">
        <f t="shared" ref="N92:N94" si="76">B92-F92</f>
        <v>449</v>
      </c>
      <c r="O92" s="184">
        <f t="shared" ref="O92:O94" si="77">C92-G92</f>
        <v>715</v>
      </c>
      <c r="P92" s="184">
        <f t="shared" ref="P92:P94" si="78">D92-H92</f>
        <v>175</v>
      </c>
    </row>
    <row r="93" spans="1:16" ht="15.75" thickBot="1">
      <c r="A93" s="71" t="s">
        <v>114</v>
      </c>
      <c r="B93" s="113">
        <v>700</v>
      </c>
      <c r="C93" s="113">
        <v>1200</v>
      </c>
      <c r="D93" s="114">
        <v>850</v>
      </c>
      <c r="E93" s="75">
        <v>2750</v>
      </c>
      <c r="F93" s="113">
        <v>12</v>
      </c>
      <c r="G93" s="113">
        <v>545</v>
      </c>
      <c r="H93" s="114">
        <v>850</v>
      </c>
      <c r="I93" s="75">
        <v>1407</v>
      </c>
      <c r="J93" s="77">
        <v>1343</v>
      </c>
      <c r="K93" s="1286"/>
      <c r="L93" s="102"/>
      <c r="M93" s="150"/>
      <c r="N93" s="184">
        <f t="shared" si="76"/>
        <v>688</v>
      </c>
      <c r="O93" s="184">
        <f t="shared" si="77"/>
        <v>655</v>
      </c>
      <c r="P93" s="184">
        <f t="shared" si="78"/>
        <v>0</v>
      </c>
    </row>
    <row r="94" spans="1:16" ht="15.75" thickBot="1">
      <c r="A94" s="86" t="s">
        <v>115</v>
      </c>
      <c r="B94" s="115">
        <v>250</v>
      </c>
      <c r="C94" s="115">
        <v>700</v>
      </c>
      <c r="D94" s="116">
        <v>380</v>
      </c>
      <c r="E94" s="83">
        <v>1330</v>
      </c>
      <c r="F94" s="115">
        <v>232</v>
      </c>
      <c r="G94" s="115">
        <v>656</v>
      </c>
      <c r="H94" s="116">
        <v>238</v>
      </c>
      <c r="I94" s="83">
        <v>1126</v>
      </c>
      <c r="J94" s="85">
        <v>204</v>
      </c>
      <c r="K94" s="1287"/>
      <c r="L94" s="102"/>
      <c r="M94" s="150"/>
      <c r="N94" s="184">
        <f t="shared" si="76"/>
        <v>18</v>
      </c>
      <c r="O94" s="184">
        <f t="shared" si="77"/>
        <v>44</v>
      </c>
      <c r="P94" s="184">
        <f t="shared" si="78"/>
        <v>142</v>
      </c>
    </row>
    <row r="95" spans="1:16" ht="27.75" thickTop="1" thickBot="1">
      <c r="A95" s="65" t="s">
        <v>154</v>
      </c>
      <c r="B95" s="111" t="s">
        <v>147</v>
      </c>
      <c r="C95" s="111" t="s">
        <v>148</v>
      </c>
      <c r="D95" s="112" t="s">
        <v>149</v>
      </c>
      <c r="E95" s="69" t="s">
        <v>109</v>
      </c>
      <c r="F95" s="111" t="s">
        <v>147</v>
      </c>
      <c r="G95" s="111" t="s">
        <v>148</v>
      </c>
      <c r="H95" s="112" t="s">
        <v>149</v>
      </c>
      <c r="I95" s="69" t="s">
        <v>109</v>
      </c>
      <c r="J95" s="70" t="s">
        <v>110</v>
      </c>
      <c r="K95" s="69" t="s">
        <v>111</v>
      </c>
      <c r="L95" s="102"/>
      <c r="M95" s="94">
        <f>M90+1</f>
        <v>44476</v>
      </c>
      <c r="N95" s="184">
        <f>SUM(N91:N94)</f>
        <v>1232</v>
      </c>
      <c r="O95" s="184">
        <f t="shared" ref="O95:P95" si="79">SUM(O91:O94)</f>
        <v>1529</v>
      </c>
      <c r="P95" s="184">
        <f t="shared" si="79"/>
        <v>408</v>
      </c>
    </row>
    <row r="96" spans="1:16" ht="16.5" thickTop="1" thickBot="1">
      <c r="A96" s="71" t="s">
        <v>112</v>
      </c>
      <c r="B96" s="113">
        <v>250</v>
      </c>
      <c r="C96" s="113">
        <v>500</v>
      </c>
      <c r="D96" s="114">
        <v>220</v>
      </c>
      <c r="E96" s="75">
        <v>970</v>
      </c>
      <c r="F96" s="113">
        <v>191</v>
      </c>
      <c r="G96" s="113">
        <v>428</v>
      </c>
      <c r="H96" s="114">
        <v>141</v>
      </c>
      <c r="I96" s="75">
        <v>760</v>
      </c>
      <c r="J96" s="77">
        <v>210</v>
      </c>
      <c r="K96" s="1285">
        <v>2766</v>
      </c>
      <c r="L96" s="102"/>
      <c r="M96" s="150"/>
      <c r="N96" s="184">
        <f>B96-F96</f>
        <v>59</v>
      </c>
      <c r="O96" s="184">
        <f>C96-G96</f>
        <v>72</v>
      </c>
      <c r="P96" s="184">
        <f>D96-H96</f>
        <v>79</v>
      </c>
    </row>
    <row r="97" spans="1:16" ht="15.75" thickBot="1">
      <c r="A97" s="71" t="s">
        <v>113</v>
      </c>
      <c r="B97" s="113">
        <v>800</v>
      </c>
      <c r="C97" s="113">
        <v>1600</v>
      </c>
      <c r="D97" s="114">
        <v>1050</v>
      </c>
      <c r="E97" s="75">
        <v>3450</v>
      </c>
      <c r="F97" s="113">
        <v>565</v>
      </c>
      <c r="G97" s="113">
        <v>836</v>
      </c>
      <c r="H97" s="114">
        <v>834</v>
      </c>
      <c r="I97" s="75">
        <v>2235</v>
      </c>
      <c r="J97" s="77">
        <v>1215</v>
      </c>
      <c r="K97" s="1286"/>
      <c r="L97" s="102"/>
      <c r="M97" s="150"/>
      <c r="N97" s="184">
        <f t="shared" ref="N97:N99" si="80">B97-F97</f>
        <v>235</v>
      </c>
      <c r="O97" s="184">
        <f t="shared" ref="O97:O99" si="81">C97-G97</f>
        <v>764</v>
      </c>
      <c r="P97" s="184">
        <f t="shared" ref="P97:P99" si="82">D97-H97</f>
        <v>216</v>
      </c>
    </row>
    <row r="98" spans="1:16" ht="15.75" thickBot="1">
      <c r="A98" s="71" t="s">
        <v>114</v>
      </c>
      <c r="B98" s="113">
        <v>700</v>
      </c>
      <c r="C98" s="113">
        <v>1200</v>
      </c>
      <c r="D98" s="114">
        <v>850</v>
      </c>
      <c r="E98" s="75">
        <v>2750</v>
      </c>
      <c r="F98" s="113">
        <v>205</v>
      </c>
      <c r="G98" s="113">
        <v>671</v>
      </c>
      <c r="H98" s="114">
        <v>712</v>
      </c>
      <c r="I98" s="75">
        <v>1588</v>
      </c>
      <c r="J98" s="77">
        <v>1162</v>
      </c>
      <c r="K98" s="1286"/>
      <c r="L98" s="102"/>
      <c r="M98" s="150"/>
      <c r="N98" s="184">
        <f t="shared" si="80"/>
        <v>495</v>
      </c>
      <c r="O98" s="184">
        <f t="shared" si="81"/>
        <v>529</v>
      </c>
      <c r="P98" s="184">
        <f t="shared" si="82"/>
        <v>138</v>
      </c>
    </row>
    <row r="99" spans="1:16" ht="15.75" thickBot="1">
      <c r="A99" s="86" t="s">
        <v>115</v>
      </c>
      <c r="B99" s="115">
        <v>250</v>
      </c>
      <c r="C99" s="115">
        <v>700</v>
      </c>
      <c r="D99" s="116">
        <v>380</v>
      </c>
      <c r="E99" s="83">
        <v>1330</v>
      </c>
      <c r="F99" s="115">
        <v>234</v>
      </c>
      <c r="G99" s="115">
        <v>640</v>
      </c>
      <c r="H99" s="116">
        <v>277</v>
      </c>
      <c r="I99" s="83">
        <v>1151</v>
      </c>
      <c r="J99" s="85">
        <v>179</v>
      </c>
      <c r="K99" s="1287"/>
      <c r="L99" s="102"/>
      <c r="M99" s="150"/>
      <c r="N99" s="184">
        <f t="shared" si="80"/>
        <v>16</v>
      </c>
      <c r="O99" s="184">
        <f t="shared" si="81"/>
        <v>60</v>
      </c>
      <c r="P99" s="184">
        <f t="shared" si="82"/>
        <v>103</v>
      </c>
    </row>
    <row r="100" spans="1:16" ht="27.75" thickTop="1" thickBot="1">
      <c r="A100" s="65" t="s">
        <v>155</v>
      </c>
      <c r="B100" s="111" t="s">
        <v>147</v>
      </c>
      <c r="C100" s="111" t="s">
        <v>148</v>
      </c>
      <c r="D100" s="112" t="s">
        <v>149</v>
      </c>
      <c r="E100" s="69" t="s">
        <v>109</v>
      </c>
      <c r="F100" s="111" t="s">
        <v>147</v>
      </c>
      <c r="G100" s="111" t="s">
        <v>148</v>
      </c>
      <c r="H100" s="112" t="s">
        <v>149</v>
      </c>
      <c r="I100" s="69" t="s">
        <v>109</v>
      </c>
      <c r="J100" s="70" t="s">
        <v>110</v>
      </c>
      <c r="K100" s="69" t="s">
        <v>111</v>
      </c>
      <c r="L100" s="102"/>
      <c r="M100" s="94">
        <f>M95+1</f>
        <v>44477</v>
      </c>
      <c r="N100" s="184">
        <f>SUM(N96:N99)</f>
        <v>805</v>
      </c>
      <c r="O100" s="184">
        <f t="shared" ref="O100:P100" si="83">SUM(O96:O99)</f>
        <v>1425</v>
      </c>
      <c r="P100" s="184">
        <f t="shared" si="83"/>
        <v>536</v>
      </c>
    </row>
    <row r="101" spans="1:16" ht="16.5" thickTop="1" thickBot="1">
      <c r="A101" s="71" t="s">
        <v>112</v>
      </c>
      <c r="B101" s="87"/>
      <c r="C101" s="113">
        <v>250</v>
      </c>
      <c r="D101" s="192">
        <v>132</v>
      </c>
      <c r="E101" s="75">
        <v>382</v>
      </c>
      <c r="F101" s="192">
        <v>250</v>
      </c>
      <c r="G101" s="113">
        <v>250</v>
      </c>
      <c r="H101" s="192">
        <v>199</v>
      </c>
      <c r="I101" s="75">
        <v>699</v>
      </c>
      <c r="J101" s="77">
        <v>-317</v>
      </c>
      <c r="K101" s="1285">
        <v>1744</v>
      </c>
      <c r="L101" s="102"/>
      <c r="M101" s="150"/>
      <c r="N101" s="184">
        <f>B101-F101</f>
        <v>-250</v>
      </c>
      <c r="O101" s="184">
        <f>C101-G101</f>
        <v>0</v>
      </c>
      <c r="P101" s="184">
        <f>D101-H101</f>
        <v>-67</v>
      </c>
    </row>
    <row r="102" spans="1:16" ht="15.75" thickBot="1">
      <c r="A102" s="71" t="s">
        <v>113</v>
      </c>
      <c r="B102" s="192">
        <v>672</v>
      </c>
      <c r="C102" s="113">
        <v>800</v>
      </c>
      <c r="D102" s="192">
        <v>865</v>
      </c>
      <c r="E102" s="75">
        <v>2337</v>
      </c>
      <c r="F102" s="87"/>
      <c r="G102" s="113">
        <v>333</v>
      </c>
      <c r="H102" s="87"/>
      <c r="I102" s="75">
        <v>333</v>
      </c>
      <c r="J102" s="77">
        <v>2004</v>
      </c>
      <c r="K102" s="1286"/>
      <c r="L102" s="102"/>
      <c r="M102" s="150"/>
      <c r="N102" s="184">
        <f t="shared" ref="N102:N104" si="84">B102-F102</f>
        <v>672</v>
      </c>
      <c r="O102" s="184">
        <f t="shared" ref="O102:O104" si="85">C102-G102</f>
        <v>467</v>
      </c>
      <c r="P102" s="184">
        <f t="shared" ref="P102:P104" si="86">D102-H102</f>
        <v>865</v>
      </c>
    </row>
    <row r="103" spans="1:16" ht="15.75" thickBot="1">
      <c r="A103" s="71" t="s">
        <v>114</v>
      </c>
      <c r="B103" s="192">
        <v>575</v>
      </c>
      <c r="C103" s="113">
        <v>700</v>
      </c>
      <c r="D103" s="192">
        <v>653</v>
      </c>
      <c r="E103" s="75">
        <v>1928</v>
      </c>
      <c r="F103" s="192">
        <v>700</v>
      </c>
      <c r="G103" s="113">
        <v>629</v>
      </c>
      <c r="H103" s="192">
        <v>850</v>
      </c>
      <c r="I103" s="75">
        <v>2179</v>
      </c>
      <c r="J103" s="77">
        <v>-251</v>
      </c>
      <c r="K103" s="1286"/>
      <c r="L103" s="102"/>
      <c r="M103" s="150"/>
      <c r="N103" s="184">
        <f t="shared" si="84"/>
        <v>-125</v>
      </c>
      <c r="O103" s="184">
        <f t="shared" si="85"/>
        <v>71</v>
      </c>
      <c r="P103" s="184">
        <f t="shared" si="86"/>
        <v>-197</v>
      </c>
    </row>
    <row r="104" spans="1:16" ht="15.75" thickBot="1">
      <c r="A104" s="86" t="s">
        <v>115</v>
      </c>
      <c r="B104" s="193">
        <v>247</v>
      </c>
      <c r="C104" s="115">
        <v>640</v>
      </c>
      <c r="D104" s="193">
        <v>249</v>
      </c>
      <c r="E104" s="83">
        <v>1136</v>
      </c>
      <c r="F104" s="193">
        <v>250</v>
      </c>
      <c r="G104" s="115">
        <v>198</v>
      </c>
      <c r="H104" s="193">
        <v>380</v>
      </c>
      <c r="I104" s="83">
        <v>828</v>
      </c>
      <c r="J104" s="85">
        <v>308</v>
      </c>
      <c r="K104" s="1287"/>
      <c r="L104" s="102"/>
      <c r="M104" s="150"/>
      <c r="N104" s="184">
        <f t="shared" si="84"/>
        <v>-3</v>
      </c>
      <c r="O104" s="184">
        <f t="shared" si="85"/>
        <v>442</v>
      </c>
      <c r="P104" s="184">
        <f t="shared" si="86"/>
        <v>-131</v>
      </c>
    </row>
    <row r="105" spans="1:16" ht="27.75" thickTop="1" thickBot="1">
      <c r="A105" s="65" t="s">
        <v>156</v>
      </c>
      <c r="B105" s="111" t="s">
        <v>147</v>
      </c>
      <c r="C105" s="111" t="s">
        <v>148</v>
      </c>
      <c r="D105" s="112" t="s">
        <v>149</v>
      </c>
      <c r="E105" s="69" t="s">
        <v>109</v>
      </c>
      <c r="F105" s="111" t="s">
        <v>147</v>
      </c>
      <c r="G105" s="111" t="s">
        <v>148</v>
      </c>
      <c r="H105" s="112" t="s">
        <v>149</v>
      </c>
      <c r="I105" s="69" t="s">
        <v>109</v>
      </c>
      <c r="J105" s="70" t="s">
        <v>110</v>
      </c>
      <c r="K105" s="69" t="s">
        <v>111</v>
      </c>
      <c r="L105" s="102"/>
      <c r="M105" s="94">
        <f>M100+1</f>
        <v>44478</v>
      </c>
      <c r="N105" s="184">
        <f>SUM(N101:N104)</f>
        <v>294</v>
      </c>
      <c r="O105" s="184">
        <f t="shared" ref="O105:P105" si="87">SUM(O101:O104)</f>
        <v>980</v>
      </c>
      <c r="P105" s="184">
        <f t="shared" si="87"/>
        <v>470</v>
      </c>
    </row>
    <row r="106" spans="1:16" ht="16.5" thickTop="1" thickBot="1">
      <c r="A106" s="71" t="s">
        <v>112</v>
      </c>
      <c r="B106" s="87"/>
      <c r="C106" s="113">
        <v>250</v>
      </c>
      <c r="D106" s="192">
        <v>139</v>
      </c>
      <c r="E106" s="75">
        <v>389</v>
      </c>
      <c r="F106" s="192">
        <v>250</v>
      </c>
      <c r="G106" s="113">
        <v>166</v>
      </c>
      <c r="H106" s="192">
        <v>190</v>
      </c>
      <c r="I106" s="75">
        <v>606</v>
      </c>
      <c r="J106" s="77">
        <v>-217</v>
      </c>
      <c r="K106" s="1285">
        <v>214</v>
      </c>
      <c r="L106" s="102"/>
      <c r="M106" s="150"/>
      <c r="N106" s="184">
        <f>B106-F106</f>
        <v>-250</v>
      </c>
      <c r="O106" s="184">
        <f>C106-G106</f>
        <v>84</v>
      </c>
      <c r="P106" s="184">
        <f>D106-H106</f>
        <v>-51</v>
      </c>
    </row>
    <row r="107" spans="1:16" ht="15.75" thickBot="1">
      <c r="A107" s="71" t="s">
        <v>113</v>
      </c>
      <c r="B107" s="192">
        <v>351</v>
      </c>
      <c r="C107" s="113">
        <v>800</v>
      </c>
      <c r="D107" s="87"/>
      <c r="E107" s="75">
        <v>1151</v>
      </c>
      <c r="F107" s="87"/>
      <c r="G107" s="113">
        <v>396</v>
      </c>
      <c r="H107" s="87"/>
      <c r="I107" s="75">
        <v>396</v>
      </c>
      <c r="J107" s="77">
        <v>755</v>
      </c>
      <c r="K107" s="1286"/>
      <c r="L107" s="102"/>
      <c r="M107" s="150"/>
      <c r="N107" s="184">
        <f t="shared" ref="N107:N109" si="88">B107-F107</f>
        <v>351</v>
      </c>
      <c r="O107" s="184">
        <f t="shared" ref="O107:O109" si="89">C107-G107</f>
        <v>404</v>
      </c>
      <c r="P107" s="184">
        <f t="shared" ref="P107:P109" si="90">D107-H107</f>
        <v>0</v>
      </c>
    </row>
    <row r="108" spans="1:16" ht="15.75" thickBot="1">
      <c r="A108" s="71" t="s">
        <v>114</v>
      </c>
      <c r="B108" s="192">
        <v>534</v>
      </c>
      <c r="C108" s="113">
        <v>700</v>
      </c>
      <c r="D108" s="192">
        <v>688</v>
      </c>
      <c r="E108" s="75">
        <v>1922</v>
      </c>
      <c r="F108" s="192">
        <v>700</v>
      </c>
      <c r="G108" s="113">
        <v>600</v>
      </c>
      <c r="H108" s="192">
        <v>850</v>
      </c>
      <c r="I108" s="75">
        <v>2150</v>
      </c>
      <c r="J108" s="77">
        <v>-228</v>
      </c>
      <c r="K108" s="1286"/>
      <c r="L108" s="102"/>
      <c r="M108" s="150"/>
      <c r="N108" s="184">
        <f t="shared" si="88"/>
        <v>-166</v>
      </c>
      <c r="O108" s="184">
        <f t="shared" si="89"/>
        <v>100</v>
      </c>
      <c r="P108" s="184">
        <f t="shared" si="90"/>
        <v>-162</v>
      </c>
    </row>
    <row r="109" spans="1:16" ht="15.75" thickBot="1">
      <c r="A109" s="86" t="s">
        <v>115</v>
      </c>
      <c r="B109" s="193">
        <v>234</v>
      </c>
      <c r="C109" s="115">
        <v>250</v>
      </c>
      <c r="D109" s="193">
        <v>242</v>
      </c>
      <c r="E109" s="83">
        <v>726</v>
      </c>
      <c r="F109" s="193">
        <v>250</v>
      </c>
      <c r="G109" s="115">
        <v>192</v>
      </c>
      <c r="H109" s="193">
        <v>380</v>
      </c>
      <c r="I109" s="83">
        <v>822</v>
      </c>
      <c r="J109" s="85">
        <v>-96</v>
      </c>
      <c r="K109" s="1287"/>
      <c r="L109" s="102"/>
      <c r="M109" s="150"/>
      <c r="N109" s="184">
        <f t="shared" si="88"/>
        <v>-16</v>
      </c>
      <c r="O109" s="184">
        <f t="shared" si="89"/>
        <v>58</v>
      </c>
      <c r="P109" s="184">
        <f t="shared" si="90"/>
        <v>-138</v>
      </c>
    </row>
    <row r="110" spans="1:16" ht="27.75" thickTop="1" thickBot="1">
      <c r="A110" s="65" t="s">
        <v>174</v>
      </c>
      <c r="B110" s="111" t="s">
        <v>147</v>
      </c>
      <c r="C110" s="111" t="s">
        <v>148</v>
      </c>
      <c r="D110" s="112" t="s">
        <v>149</v>
      </c>
      <c r="E110" s="69" t="s">
        <v>109</v>
      </c>
      <c r="F110" s="111" t="s">
        <v>147</v>
      </c>
      <c r="G110" s="111" t="s">
        <v>148</v>
      </c>
      <c r="H110" s="112" t="s">
        <v>149</v>
      </c>
      <c r="I110" s="69" t="s">
        <v>109</v>
      </c>
      <c r="J110" s="70" t="s">
        <v>110</v>
      </c>
      <c r="K110" s="69" t="s">
        <v>111</v>
      </c>
      <c r="L110" s="102"/>
      <c r="M110" s="94">
        <f>M105+1</f>
        <v>44479</v>
      </c>
      <c r="N110" s="184">
        <f>SUM(N106:N109)</f>
        <v>-81</v>
      </c>
      <c r="O110" s="184">
        <f t="shared" ref="O110:P110" si="91">SUM(O106:O109)</f>
        <v>646</v>
      </c>
      <c r="P110" s="184">
        <f t="shared" si="91"/>
        <v>-351</v>
      </c>
    </row>
    <row r="111" spans="1:16" ht="16.5" thickTop="1" thickBot="1">
      <c r="A111" s="71" t="s">
        <v>112</v>
      </c>
      <c r="B111" s="113">
        <v>250</v>
      </c>
      <c r="C111" s="113">
        <v>500</v>
      </c>
      <c r="D111" s="114">
        <v>220</v>
      </c>
      <c r="E111" s="75">
        <v>970</v>
      </c>
      <c r="F111" s="113">
        <v>217</v>
      </c>
      <c r="G111" s="113">
        <v>194</v>
      </c>
      <c r="H111" s="114">
        <v>100</v>
      </c>
      <c r="I111" s="75">
        <v>511</v>
      </c>
      <c r="J111" s="77">
        <v>459</v>
      </c>
      <c r="K111" s="1285">
        <v>3271</v>
      </c>
      <c r="L111" s="102"/>
      <c r="N111" s="184">
        <f>B111-F111</f>
        <v>33</v>
      </c>
      <c r="O111" s="184">
        <f>C111-G111</f>
        <v>306</v>
      </c>
      <c r="P111" s="184">
        <f>D111-H111</f>
        <v>120</v>
      </c>
    </row>
    <row r="112" spans="1:16" ht="15.75" thickBot="1">
      <c r="A112" s="71" t="s">
        <v>113</v>
      </c>
      <c r="B112" s="113">
        <v>800</v>
      </c>
      <c r="C112" s="113">
        <v>1600</v>
      </c>
      <c r="D112" s="114">
        <v>1050</v>
      </c>
      <c r="E112" s="75">
        <v>3450</v>
      </c>
      <c r="F112" s="113">
        <v>233</v>
      </c>
      <c r="G112" s="113">
        <v>1000</v>
      </c>
      <c r="H112" s="114">
        <v>848</v>
      </c>
      <c r="I112" s="75">
        <v>2081</v>
      </c>
      <c r="J112" s="77">
        <v>1369</v>
      </c>
      <c r="K112" s="1286"/>
      <c r="L112" s="102"/>
      <c r="N112" s="184">
        <f t="shared" ref="N112:N114" si="92">B112-F112</f>
        <v>567</v>
      </c>
      <c r="O112" s="184">
        <f t="shared" ref="O112:O114" si="93">C112-G112</f>
        <v>600</v>
      </c>
      <c r="P112" s="184">
        <f t="shared" ref="P112:P114" si="94">D112-H112</f>
        <v>202</v>
      </c>
    </row>
    <row r="113" spans="1:16" ht="15.75" thickBot="1">
      <c r="A113" s="71" t="s">
        <v>114</v>
      </c>
      <c r="B113" s="113">
        <v>700</v>
      </c>
      <c r="C113" s="113">
        <v>1200</v>
      </c>
      <c r="D113" s="114">
        <v>538</v>
      </c>
      <c r="E113" s="75">
        <v>2438</v>
      </c>
      <c r="F113" s="113">
        <v>225</v>
      </c>
      <c r="G113" s="113">
        <v>483</v>
      </c>
      <c r="H113" s="114">
        <v>644</v>
      </c>
      <c r="I113" s="75">
        <v>1352</v>
      </c>
      <c r="J113" s="77">
        <v>1086</v>
      </c>
      <c r="K113" s="1286"/>
      <c r="L113" s="102"/>
      <c r="N113" s="184">
        <f t="shared" si="92"/>
        <v>475</v>
      </c>
      <c r="O113" s="184">
        <f t="shared" si="93"/>
        <v>717</v>
      </c>
      <c r="P113" s="184">
        <f t="shared" si="94"/>
        <v>-106</v>
      </c>
    </row>
    <row r="114" spans="1:16" ht="15.75" thickBot="1">
      <c r="A114" s="86" t="s">
        <v>115</v>
      </c>
      <c r="B114" s="115">
        <v>250</v>
      </c>
      <c r="C114" s="115">
        <v>700</v>
      </c>
      <c r="D114" s="116">
        <v>380</v>
      </c>
      <c r="E114" s="83">
        <v>1330</v>
      </c>
      <c r="F114" s="115">
        <v>220</v>
      </c>
      <c r="G114" s="115">
        <v>583</v>
      </c>
      <c r="H114" s="116">
        <v>170</v>
      </c>
      <c r="I114" s="83">
        <v>973</v>
      </c>
      <c r="J114" s="85">
        <v>357</v>
      </c>
      <c r="K114" s="1287"/>
      <c r="L114" s="102"/>
      <c r="N114" s="184">
        <f t="shared" si="92"/>
        <v>30</v>
      </c>
      <c r="O114" s="184">
        <f t="shared" si="93"/>
        <v>117</v>
      </c>
      <c r="P114" s="184">
        <f t="shared" si="94"/>
        <v>210</v>
      </c>
    </row>
    <row r="115" spans="1:16" ht="27.75" thickTop="1" thickBot="1">
      <c r="A115" s="65" t="s">
        <v>175</v>
      </c>
      <c r="B115" s="111" t="s">
        <v>147</v>
      </c>
      <c r="C115" s="111" t="s">
        <v>148</v>
      </c>
      <c r="D115" s="112" t="s">
        <v>149</v>
      </c>
      <c r="E115" s="69" t="s">
        <v>109</v>
      </c>
      <c r="F115" s="111" t="s">
        <v>147</v>
      </c>
      <c r="G115" s="111" t="s">
        <v>148</v>
      </c>
      <c r="H115" s="112" t="s">
        <v>149</v>
      </c>
      <c r="I115" s="69" t="s">
        <v>109</v>
      </c>
      <c r="J115" s="70" t="s">
        <v>110</v>
      </c>
      <c r="K115" s="69" t="s">
        <v>111</v>
      </c>
      <c r="L115" s="102"/>
      <c r="M115" s="94">
        <f>M110+1</f>
        <v>44480</v>
      </c>
      <c r="N115" s="184">
        <f>SUM(N111:N114)</f>
        <v>1105</v>
      </c>
      <c r="O115" s="184">
        <f t="shared" ref="O115:P115" si="95">SUM(O111:O114)</f>
        <v>1740</v>
      </c>
      <c r="P115" s="184">
        <f t="shared" si="95"/>
        <v>426</v>
      </c>
    </row>
    <row r="116" spans="1:16" ht="16.5" thickTop="1" thickBot="1">
      <c r="A116" s="71" t="s">
        <v>112</v>
      </c>
      <c r="B116" s="113">
        <v>250</v>
      </c>
      <c r="C116" s="113">
        <v>500</v>
      </c>
      <c r="D116" s="114">
        <v>220</v>
      </c>
      <c r="E116" s="75">
        <v>970</v>
      </c>
      <c r="F116" s="113">
        <v>191</v>
      </c>
      <c r="G116" s="113">
        <v>391</v>
      </c>
      <c r="H116" s="114">
        <v>104</v>
      </c>
      <c r="I116" s="75">
        <v>686</v>
      </c>
      <c r="J116" s="77">
        <v>284</v>
      </c>
      <c r="K116" s="1285">
        <v>3877</v>
      </c>
      <c r="L116" s="102"/>
      <c r="N116" s="184">
        <f>B116-F116</f>
        <v>59</v>
      </c>
      <c r="O116" s="184">
        <f>C116-G116</f>
        <v>109</v>
      </c>
      <c r="P116" s="184">
        <f>D116-H116</f>
        <v>116</v>
      </c>
    </row>
    <row r="117" spans="1:16" ht="15.75" thickBot="1">
      <c r="A117" s="71" t="s">
        <v>113</v>
      </c>
      <c r="B117" s="113">
        <v>800</v>
      </c>
      <c r="C117" s="113">
        <v>1600</v>
      </c>
      <c r="D117" s="114">
        <v>1050</v>
      </c>
      <c r="E117" s="75">
        <v>3450</v>
      </c>
      <c r="F117" s="113">
        <v>307</v>
      </c>
      <c r="G117" s="113">
        <v>660</v>
      </c>
      <c r="H117" s="114">
        <v>841</v>
      </c>
      <c r="I117" s="75">
        <v>1808</v>
      </c>
      <c r="J117" s="77">
        <v>1642</v>
      </c>
      <c r="K117" s="1286"/>
      <c r="L117" s="102"/>
      <c r="N117" s="184">
        <f t="shared" ref="N117:N119" si="96">B117-F117</f>
        <v>493</v>
      </c>
      <c r="O117" s="184">
        <f t="shared" ref="O117:O119" si="97">C117-G117</f>
        <v>940</v>
      </c>
      <c r="P117" s="184">
        <f t="shared" ref="P117:P119" si="98">D117-H117</f>
        <v>209</v>
      </c>
    </row>
    <row r="118" spans="1:16" ht="15.75" thickBot="1">
      <c r="A118" s="71" t="s">
        <v>114</v>
      </c>
      <c r="B118" s="113">
        <v>700</v>
      </c>
      <c r="C118" s="113">
        <v>1200</v>
      </c>
      <c r="D118" s="114">
        <v>850</v>
      </c>
      <c r="E118" s="75">
        <v>2750</v>
      </c>
      <c r="F118" s="113">
        <v>97</v>
      </c>
      <c r="G118" s="113">
        <v>447</v>
      </c>
      <c r="H118" s="114">
        <v>612</v>
      </c>
      <c r="I118" s="75">
        <v>1156</v>
      </c>
      <c r="J118" s="77">
        <v>1594</v>
      </c>
      <c r="K118" s="1286"/>
      <c r="L118" s="102"/>
      <c r="N118" s="184">
        <f t="shared" si="96"/>
        <v>603</v>
      </c>
      <c r="O118" s="184">
        <f t="shared" si="97"/>
        <v>753</v>
      </c>
      <c r="P118" s="184">
        <f t="shared" si="98"/>
        <v>238</v>
      </c>
    </row>
    <row r="119" spans="1:16" ht="15.75" thickBot="1">
      <c r="A119" s="86" t="s">
        <v>115</v>
      </c>
      <c r="B119" s="115">
        <v>250</v>
      </c>
      <c r="C119" s="115">
        <v>700</v>
      </c>
      <c r="D119" s="116">
        <v>380</v>
      </c>
      <c r="E119" s="83">
        <v>1330</v>
      </c>
      <c r="F119" s="115">
        <v>199</v>
      </c>
      <c r="G119" s="115">
        <v>598</v>
      </c>
      <c r="H119" s="116">
        <v>176</v>
      </c>
      <c r="I119" s="83">
        <v>973</v>
      </c>
      <c r="J119" s="85">
        <v>357</v>
      </c>
      <c r="K119" s="1287"/>
      <c r="L119" s="102"/>
      <c r="N119" s="184">
        <f t="shared" si="96"/>
        <v>51</v>
      </c>
      <c r="O119" s="184">
        <f t="shared" si="97"/>
        <v>102</v>
      </c>
      <c r="P119" s="184">
        <f t="shared" si="98"/>
        <v>204</v>
      </c>
    </row>
    <row r="120" spans="1:16" ht="15.6" customHeight="1" thickTop="1" thickBot="1">
      <c r="A120" s="65" t="s">
        <v>176</v>
      </c>
      <c r="B120" s="111" t="s">
        <v>147</v>
      </c>
      <c r="C120" s="111" t="s">
        <v>148</v>
      </c>
      <c r="D120" s="112" t="s">
        <v>149</v>
      </c>
      <c r="E120" s="69" t="s">
        <v>109</v>
      </c>
      <c r="F120" s="111" t="s">
        <v>147</v>
      </c>
      <c r="G120" s="111" t="s">
        <v>148</v>
      </c>
      <c r="H120" s="112" t="s">
        <v>149</v>
      </c>
      <c r="I120" s="69" t="s">
        <v>109</v>
      </c>
      <c r="J120" s="70" t="s">
        <v>110</v>
      </c>
      <c r="K120" s="69" t="s">
        <v>111</v>
      </c>
      <c r="L120" s="102"/>
      <c r="M120" s="94">
        <f>M115+1</f>
        <v>44481</v>
      </c>
      <c r="N120" s="184">
        <f>SUM(N116:N119)</f>
        <v>1206</v>
      </c>
      <c r="O120" s="184">
        <f t="shared" ref="O120:P120" si="99">SUM(O116:O119)</f>
        <v>1904</v>
      </c>
      <c r="P120" s="184">
        <f t="shared" si="99"/>
        <v>767</v>
      </c>
    </row>
    <row r="121" spans="1:16" ht="15.6" customHeight="1" thickTop="1" thickBot="1">
      <c r="A121" s="71" t="s">
        <v>112</v>
      </c>
      <c r="B121" s="113">
        <v>250</v>
      </c>
      <c r="C121" s="113">
        <v>500</v>
      </c>
      <c r="D121" s="114">
        <v>220</v>
      </c>
      <c r="E121" s="75">
        <v>970</v>
      </c>
      <c r="F121" s="113">
        <v>193</v>
      </c>
      <c r="G121" s="113">
        <v>369</v>
      </c>
      <c r="H121" s="114">
        <v>103</v>
      </c>
      <c r="I121" s="75">
        <v>665</v>
      </c>
      <c r="J121" s="77">
        <v>305</v>
      </c>
      <c r="K121" s="1285">
        <v>3551</v>
      </c>
      <c r="L121" s="102"/>
      <c r="N121" s="184">
        <f>B121-F121</f>
        <v>57</v>
      </c>
      <c r="O121" s="184">
        <f>C121-G121</f>
        <v>131</v>
      </c>
      <c r="P121" s="184">
        <f>D121-H121</f>
        <v>117</v>
      </c>
    </row>
    <row r="122" spans="1:16" ht="15.75" thickBot="1">
      <c r="A122" s="71" t="s">
        <v>113</v>
      </c>
      <c r="B122" s="113">
        <v>800</v>
      </c>
      <c r="C122" s="113">
        <v>1600</v>
      </c>
      <c r="D122" s="114">
        <v>1050</v>
      </c>
      <c r="E122" s="75">
        <v>3450</v>
      </c>
      <c r="F122" s="113">
        <v>364</v>
      </c>
      <c r="G122" s="113">
        <v>819</v>
      </c>
      <c r="H122" s="114">
        <v>822</v>
      </c>
      <c r="I122" s="75">
        <v>2005</v>
      </c>
      <c r="J122" s="77">
        <v>1445</v>
      </c>
      <c r="K122" s="1286"/>
      <c r="L122" s="102"/>
      <c r="N122" s="184">
        <f t="shared" ref="N122:N124" si="100">B122-F122</f>
        <v>436</v>
      </c>
      <c r="O122" s="184">
        <f t="shared" ref="O122:O124" si="101">C122-G122</f>
        <v>781</v>
      </c>
      <c r="P122" s="184">
        <f t="shared" ref="P122:P124" si="102">D122-H122</f>
        <v>228</v>
      </c>
    </row>
    <row r="123" spans="1:16" ht="15.75" thickBot="1">
      <c r="A123" s="71" t="s">
        <v>114</v>
      </c>
      <c r="B123" s="113">
        <v>700</v>
      </c>
      <c r="C123" s="113">
        <v>1200</v>
      </c>
      <c r="D123" s="114">
        <v>850</v>
      </c>
      <c r="E123" s="75">
        <v>2750</v>
      </c>
      <c r="F123" s="113">
        <v>167</v>
      </c>
      <c r="G123" s="113">
        <v>534</v>
      </c>
      <c r="H123" s="114">
        <v>558</v>
      </c>
      <c r="I123" s="75">
        <v>1259</v>
      </c>
      <c r="J123" s="77">
        <v>1491</v>
      </c>
      <c r="K123" s="1286"/>
      <c r="L123" s="102"/>
      <c r="N123" s="184">
        <f t="shared" si="100"/>
        <v>533</v>
      </c>
      <c r="O123" s="184">
        <f t="shared" si="101"/>
        <v>666</v>
      </c>
      <c r="P123" s="184">
        <f t="shared" si="102"/>
        <v>292</v>
      </c>
    </row>
    <row r="124" spans="1:16" ht="15.75" thickBot="1">
      <c r="A124" s="86" t="s">
        <v>115</v>
      </c>
      <c r="B124" s="115">
        <v>250</v>
      </c>
      <c r="C124" s="115">
        <v>700</v>
      </c>
      <c r="D124" s="116">
        <v>380</v>
      </c>
      <c r="E124" s="83">
        <v>1330</v>
      </c>
      <c r="F124" s="115">
        <v>225</v>
      </c>
      <c r="G124" s="115">
        <v>601</v>
      </c>
      <c r="H124" s="116">
        <v>194</v>
      </c>
      <c r="I124" s="83">
        <v>1020</v>
      </c>
      <c r="J124" s="85">
        <v>310</v>
      </c>
      <c r="K124" s="1287"/>
      <c r="L124" s="102"/>
      <c r="N124" s="184">
        <f t="shared" si="100"/>
        <v>25</v>
      </c>
      <c r="O124" s="184">
        <f t="shared" si="101"/>
        <v>99</v>
      </c>
      <c r="P124" s="184">
        <f t="shared" si="102"/>
        <v>186</v>
      </c>
    </row>
    <row r="125" spans="1:16" ht="27.75" thickTop="1" thickBot="1">
      <c r="A125" s="65" t="s">
        <v>177</v>
      </c>
      <c r="B125" s="111" t="s">
        <v>147</v>
      </c>
      <c r="C125" s="111" t="s">
        <v>148</v>
      </c>
      <c r="D125" s="112" t="s">
        <v>149</v>
      </c>
      <c r="E125" s="69" t="s">
        <v>109</v>
      </c>
      <c r="F125" s="111" t="s">
        <v>147</v>
      </c>
      <c r="G125" s="111" t="s">
        <v>148</v>
      </c>
      <c r="H125" s="112" t="s">
        <v>149</v>
      </c>
      <c r="I125" s="69" t="s">
        <v>109</v>
      </c>
      <c r="J125" s="70" t="s">
        <v>110</v>
      </c>
      <c r="K125" s="69" t="s">
        <v>111</v>
      </c>
      <c r="L125" s="102"/>
      <c r="M125" s="94">
        <f>M120+1</f>
        <v>44482</v>
      </c>
      <c r="N125" s="184">
        <f>SUM(N121:N124)</f>
        <v>1051</v>
      </c>
      <c r="O125" s="184">
        <f t="shared" ref="O125:P125" si="103">SUM(O121:O124)</f>
        <v>1677</v>
      </c>
      <c r="P125" s="184">
        <f t="shared" si="103"/>
        <v>823</v>
      </c>
    </row>
    <row r="126" spans="1:16" ht="16.5" thickTop="1" thickBot="1">
      <c r="A126" s="71" t="s">
        <v>112</v>
      </c>
      <c r="B126" s="113">
        <v>250</v>
      </c>
      <c r="C126" s="113">
        <v>500</v>
      </c>
      <c r="D126" s="114">
        <v>220</v>
      </c>
      <c r="E126" s="75">
        <v>970</v>
      </c>
      <c r="F126" s="113">
        <v>156</v>
      </c>
      <c r="G126" s="113">
        <v>385</v>
      </c>
      <c r="H126" s="114">
        <v>99</v>
      </c>
      <c r="I126" s="75">
        <v>640</v>
      </c>
      <c r="J126" s="77">
        <v>330</v>
      </c>
      <c r="K126" s="1285">
        <v>4195</v>
      </c>
      <c r="L126" s="102"/>
      <c r="N126" s="184">
        <f>B126-F126</f>
        <v>94</v>
      </c>
      <c r="O126" s="184">
        <f>C126-G126</f>
        <v>115</v>
      </c>
      <c r="P126" s="184">
        <f>D126-H126</f>
        <v>121</v>
      </c>
    </row>
    <row r="127" spans="1:16" ht="15.75" thickBot="1">
      <c r="A127" s="71" t="s">
        <v>113</v>
      </c>
      <c r="B127" s="113">
        <v>800</v>
      </c>
      <c r="C127" s="113">
        <v>1600</v>
      </c>
      <c r="D127" s="114">
        <v>1050</v>
      </c>
      <c r="E127" s="75">
        <v>3450</v>
      </c>
      <c r="F127" s="113">
        <v>324</v>
      </c>
      <c r="G127" s="113">
        <v>679</v>
      </c>
      <c r="H127" s="114">
        <v>823</v>
      </c>
      <c r="I127" s="75">
        <v>1826</v>
      </c>
      <c r="J127" s="77">
        <v>1624</v>
      </c>
      <c r="K127" s="1286"/>
      <c r="L127" s="102"/>
      <c r="N127" s="184">
        <f t="shared" ref="N127:N129" si="104">B127-F127</f>
        <v>476</v>
      </c>
      <c r="O127" s="184">
        <f t="shared" ref="O127:O129" si="105">C127-G127</f>
        <v>921</v>
      </c>
      <c r="P127" s="184">
        <f t="shared" ref="P127:P129" si="106">D127-H127</f>
        <v>227</v>
      </c>
    </row>
    <row r="128" spans="1:16" ht="15.6" customHeight="1" thickBot="1">
      <c r="A128" s="71" t="s">
        <v>114</v>
      </c>
      <c r="B128" s="113">
        <v>700</v>
      </c>
      <c r="C128" s="113">
        <v>1200</v>
      </c>
      <c r="D128" s="114">
        <v>850</v>
      </c>
      <c r="E128" s="75">
        <v>2750</v>
      </c>
      <c r="F128" s="113">
        <v>114</v>
      </c>
      <c r="G128" s="113">
        <v>241</v>
      </c>
      <c r="H128" s="114">
        <v>519</v>
      </c>
      <c r="I128" s="75">
        <v>874</v>
      </c>
      <c r="J128" s="77">
        <v>1876</v>
      </c>
      <c r="K128" s="1286"/>
      <c r="L128" s="102"/>
      <c r="N128" s="184">
        <f t="shared" si="104"/>
        <v>586</v>
      </c>
      <c r="O128" s="184">
        <f t="shared" si="105"/>
        <v>959</v>
      </c>
      <c r="P128" s="184">
        <f t="shared" si="106"/>
        <v>331</v>
      </c>
    </row>
    <row r="129" spans="1:16" ht="15.75" thickBot="1">
      <c r="A129" s="86" t="s">
        <v>115</v>
      </c>
      <c r="B129" s="115">
        <v>250</v>
      </c>
      <c r="C129" s="115">
        <v>700</v>
      </c>
      <c r="D129" s="116">
        <v>380</v>
      </c>
      <c r="E129" s="83">
        <v>1330</v>
      </c>
      <c r="F129" s="115">
        <v>204</v>
      </c>
      <c r="G129" s="115">
        <v>604</v>
      </c>
      <c r="H129" s="116">
        <v>157</v>
      </c>
      <c r="I129" s="83">
        <v>965</v>
      </c>
      <c r="J129" s="85">
        <v>365</v>
      </c>
      <c r="K129" s="1287"/>
      <c r="L129" s="102"/>
      <c r="N129" s="184">
        <f t="shared" si="104"/>
        <v>46</v>
      </c>
      <c r="O129" s="184">
        <f t="shared" si="105"/>
        <v>96</v>
      </c>
      <c r="P129" s="184">
        <f t="shared" si="106"/>
        <v>223</v>
      </c>
    </row>
    <row r="130" spans="1:16" ht="27.75" thickTop="1" thickBot="1">
      <c r="A130" s="65" t="s">
        <v>178</v>
      </c>
      <c r="B130" s="111" t="s">
        <v>147</v>
      </c>
      <c r="C130" s="111" t="s">
        <v>148</v>
      </c>
      <c r="D130" s="112" t="s">
        <v>149</v>
      </c>
      <c r="E130" s="69" t="s">
        <v>109</v>
      </c>
      <c r="F130" s="111" t="s">
        <v>147</v>
      </c>
      <c r="G130" s="111" t="s">
        <v>148</v>
      </c>
      <c r="H130" s="112" t="s">
        <v>149</v>
      </c>
      <c r="I130" s="69" t="s">
        <v>109</v>
      </c>
      <c r="J130" s="70" t="s">
        <v>110</v>
      </c>
      <c r="K130" s="69" t="s">
        <v>111</v>
      </c>
      <c r="L130" s="102"/>
      <c r="M130" s="94">
        <f>M125+1</f>
        <v>44483</v>
      </c>
      <c r="N130" s="184">
        <f>SUM(N126:N129)</f>
        <v>1202</v>
      </c>
      <c r="O130" s="184">
        <f t="shared" ref="O130:P130" si="107">SUM(O126:O129)</f>
        <v>2091</v>
      </c>
      <c r="P130" s="184">
        <f t="shared" si="107"/>
        <v>902</v>
      </c>
    </row>
    <row r="131" spans="1:16" ht="16.5" thickTop="1" thickBot="1">
      <c r="A131" s="71" t="s">
        <v>112</v>
      </c>
      <c r="B131" s="113">
        <v>250</v>
      </c>
      <c r="C131" s="113">
        <v>500</v>
      </c>
      <c r="D131" s="114">
        <v>220</v>
      </c>
      <c r="E131" s="75">
        <v>970</v>
      </c>
      <c r="F131" s="113">
        <v>208</v>
      </c>
      <c r="G131" s="113">
        <v>396</v>
      </c>
      <c r="H131" s="114">
        <v>94</v>
      </c>
      <c r="I131" s="75">
        <v>698</v>
      </c>
      <c r="J131" s="77">
        <v>272</v>
      </c>
      <c r="K131" s="1285">
        <v>2259</v>
      </c>
      <c r="L131" s="102"/>
      <c r="M131" s="150"/>
      <c r="N131" s="184">
        <f>B131-F131</f>
        <v>42</v>
      </c>
      <c r="O131" s="184">
        <f>C131-G131</f>
        <v>104</v>
      </c>
      <c r="P131" s="184">
        <f>D131-H131</f>
        <v>126</v>
      </c>
    </row>
    <row r="132" spans="1:16" ht="15.75" thickBot="1">
      <c r="A132" s="71" t="s">
        <v>113</v>
      </c>
      <c r="B132" s="113">
        <v>800</v>
      </c>
      <c r="C132" s="113">
        <v>1600</v>
      </c>
      <c r="D132" s="114">
        <v>1050</v>
      </c>
      <c r="E132" s="75">
        <v>3450</v>
      </c>
      <c r="F132" s="113">
        <v>498</v>
      </c>
      <c r="G132" s="113">
        <v>1600</v>
      </c>
      <c r="H132" s="114">
        <v>814</v>
      </c>
      <c r="I132" s="75">
        <v>2912</v>
      </c>
      <c r="J132" s="77">
        <v>538</v>
      </c>
      <c r="K132" s="1286"/>
      <c r="L132" s="102"/>
      <c r="M132" s="150"/>
      <c r="N132" s="184">
        <f t="shared" ref="N132:N134" si="108">B132-F132</f>
        <v>302</v>
      </c>
      <c r="O132" s="184">
        <f t="shared" ref="O132:O134" si="109">C132-G132</f>
        <v>0</v>
      </c>
      <c r="P132" s="184">
        <f t="shared" ref="P132:P134" si="110">D132-H132</f>
        <v>236</v>
      </c>
    </row>
    <row r="133" spans="1:16" ht="15.75" thickBot="1">
      <c r="A133" s="71" t="s">
        <v>114</v>
      </c>
      <c r="B133" s="113">
        <v>700</v>
      </c>
      <c r="C133" s="113">
        <v>1200</v>
      </c>
      <c r="D133" s="114">
        <v>850</v>
      </c>
      <c r="E133" s="75">
        <v>2750</v>
      </c>
      <c r="F133" s="113">
        <v>235</v>
      </c>
      <c r="G133" s="113">
        <v>666</v>
      </c>
      <c r="H133" s="114">
        <v>640</v>
      </c>
      <c r="I133" s="75">
        <v>1541</v>
      </c>
      <c r="J133" s="77">
        <v>1209</v>
      </c>
      <c r="K133" s="1286"/>
      <c r="L133" s="102"/>
      <c r="M133" s="150"/>
      <c r="N133" s="184">
        <f t="shared" si="108"/>
        <v>465</v>
      </c>
      <c r="O133" s="184">
        <f t="shared" si="109"/>
        <v>534</v>
      </c>
      <c r="P133" s="184">
        <f t="shared" si="110"/>
        <v>210</v>
      </c>
    </row>
    <row r="134" spans="1:16" ht="15.75" thickBot="1">
      <c r="A134" s="86" t="s">
        <v>115</v>
      </c>
      <c r="B134" s="115">
        <v>250</v>
      </c>
      <c r="C134" s="115">
        <v>700</v>
      </c>
      <c r="D134" s="116">
        <v>380</v>
      </c>
      <c r="E134" s="83">
        <v>1330</v>
      </c>
      <c r="F134" s="115">
        <v>224</v>
      </c>
      <c r="G134" s="115">
        <v>647</v>
      </c>
      <c r="H134" s="116">
        <v>219</v>
      </c>
      <c r="I134" s="83">
        <v>1090</v>
      </c>
      <c r="J134" s="85">
        <v>240</v>
      </c>
      <c r="K134" s="1287"/>
      <c r="L134" s="102"/>
      <c r="M134" s="150"/>
      <c r="N134" s="184">
        <f t="shared" si="108"/>
        <v>26</v>
      </c>
      <c r="O134" s="184">
        <f t="shared" si="109"/>
        <v>53</v>
      </c>
      <c r="P134" s="184">
        <f t="shared" si="110"/>
        <v>161</v>
      </c>
    </row>
    <row r="135" spans="1:16" ht="27.75" thickTop="1" thickBot="1">
      <c r="A135" s="65" t="s">
        <v>179</v>
      </c>
      <c r="B135" s="111" t="s">
        <v>147</v>
      </c>
      <c r="C135" s="111" t="s">
        <v>148</v>
      </c>
      <c r="D135" s="112" t="s">
        <v>149</v>
      </c>
      <c r="E135" s="69" t="s">
        <v>109</v>
      </c>
      <c r="F135" s="111" t="s">
        <v>147</v>
      </c>
      <c r="G135" s="111" t="s">
        <v>148</v>
      </c>
      <c r="H135" s="112" t="s">
        <v>149</v>
      </c>
      <c r="I135" s="69" t="s">
        <v>109</v>
      </c>
      <c r="J135" s="70" t="s">
        <v>110</v>
      </c>
      <c r="K135" s="69" t="s">
        <v>111</v>
      </c>
      <c r="L135" s="102"/>
      <c r="M135" s="94">
        <f>M130+1</f>
        <v>44484</v>
      </c>
      <c r="N135" s="184">
        <f>SUM(N131:N134)</f>
        <v>835</v>
      </c>
      <c r="O135" s="184">
        <f t="shared" ref="O135:P135" si="111">SUM(O131:O134)</f>
        <v>691</v>
      </c>
      <c r="P135" s="184">
        <f t="shared" si="111"/>
        <v>733</v>
      </c>
    </row>
    <row r="136" spans="1:16" ht="16.5" thickTop="1" thickBot="1">
      <c r="A136" s="71" t="s">
        <v>112</v>
      </c>
      <c r="B136" s="87"/>
      <c r="C136" s="113">
        <v>250</v>
      </c>
      <c r="D136" s="87"/>
      <c r="E136" s="75">
        <v>250</v>
      </c>
      <c r="F136" s="87"/>
      <c r="G136" s="113">
        <v>174</v>
      </c>
      <c r="H136" s="192">
        <v>103</v>
      </c>
      <c r="I136" s="75">
        <v>277</v>
      </c>
      <c r="J136" s="77">
        <v>-27</v>
      </c>
      <c r="K136" s="1285">
        <v>-830</v>
      </c>
      <c r="L136" s="102"/>
      <c r="M136" s="150"/>
      <c r="N136" s="184">
        <f>B136-F136</f>
        <v>0</v>
      </c>
      <c r="O136" s="184">
        <f>C136-G136</f>
        <v>76</v>
      </c>
      <c r="P136" s="184">
        <f>D136-H136</f>
        <v>-103</v>
      </c>
    </row>
    <row r="137" spans="1:16" ht="15.75" thickBot="1">
      <c r="A137" s="71" t="s">
        <v>113</v>
      </c>
      <c r="B137" s="87"/>
      <c r="C137" s="113">
        <v>800</v>
      </c>
      <c r="D137" s="87"/>
      <c r="E137" s="75">
        <v>800</v>
      </c>
      <c r="F137" s="87"/>
      <c r="G137" s="113">
        <v>611</v>
      </c>
      <c r="H137" s="87"/>
      <c r="I137" s="75">
        <v>611</v>
      </c>
      <c r="J137" s="77">
        <v>189</v>
      </c>
      <c r="K137" s="1286"/>
      <c r="L137" s="102"/>
      <c r="M137" s="150"/>
      <c r="N137" s="184">
        <f t="shared" ref="N137:N139" si="112">B137-F137</f>
        <v>0</v>
      </c>
      <c r="O137" s="184">
        <f t="shared" ref="O137:O139" si="113">C137-G137</f>
        <v>189</v>
      </c>
      <c r="P137" s="184">
        <f t="shared" ref="P137:P139" si="114">D137-H137</f>
        <v>0</v>
      </c>
    </row>
    <row r="138" spans="1:16" ht="15.75" thickBot="1">
      <c r="A138" s="71" t="s">
        <v>114</v>
      </c>
      <c r="B138" s="87"/>
      <c r="C138" s="113">
        <v>700</v>
      </c>
      <c r="D138" s="87"/>
      <c r="E138" s="75">
        <v>700</v>
      </c>
      <c r="F138" s="192">
        <v>225</v>
      </c>
      <c r="G138" s="113">
        <v>431</v>
      </c>
      <c r="H138" s="192">
        <v>650</v>
      </c>
      <c r="I138" s="75">
        <v>1306</v>
      </c>
      <c r="J138" s="77">
        <v>-606</v>
      </c>
      <c r="K138" s="1286"/>
      <c r="L138" s="102"/>
      <c r="M138" s="150"/>
      <c r="N138" s="184">
        <f t="shared" si="112"/>
        <v>-225</v>
      </c>
      <c r="O138" s="184">
        <f t="shared" si="113"/>
        <v>269</v>
      </c>
      <c r="P138" s="184">
        <f t="shared" si="114"/>
        <v>-650</v>
      </c>
    </row>
    <row r="139" spans="1:16" ht="15.75" thickBot="1">
      <c r="A139" s="86" t="s">
        <v>115</v>
      </c>
      <c r="B139" s="88"/>
      <c r="C139" s="115">
        <v>250</v>
      </c>
      <c r="D139" s="88"/>
      <c r="E139" s="83">
        <v>250</v>
      </c>
      <c r="F139" s="193">
        <v>220</v>
      </c>
      <c r="G139" s="115">
        <v>242</v>
      </c>
      <c r="H139" s="193">
        <v>174</v>
      </c>
      <c r="I139" s="83">
        <v>636</v>
      </c>
      <c r="J139" s="85">
        <v>-386</v>
      </c>
      <c r="K139" s="1287"/>
      <c r="L139" s="102"/>
      <c r="M139" s="150"/>
      <c r="N139" s="184">
        <f t="shared" si="112"/>
        <v>-220</v>
      </c>
      <c r="O139" s="184">
        <f t="shared" si="113"/>
        <v>8</v>
      </c>
      <c r="P139" s="184">
        <f t="shared" si="114"/>
        <v>-174</v>
      </c>
    </row>
    <row r="140" spans="1:16" ht="27.75" thickTop="1" thickBot="1">
      <c r="A140" s="65" t="s">
        <v>180</v>
      </c>
      <c r="B140" s="111" t="s">
        <v>147</v>
      </c>
      <c r="C140" s="111" t="s">
        <v>148</v>
      </c>
      <c r="D140" s="112" t="s">
        <v>149</v>
      </c>
      <c r="E140" s="69" t="s">
        <v>109</v>
      </c>
      <c r="F140" s="111" t="s">
        <v>147</v>
      </c>
      <c r="G140" s="111" t="s">
        <v>148</v>
      </c>
      <c r="H140" s="112" t="s">
        <v>149</v>
      </c>
      <c r="I140" s="69" t="s">
        <v>109</v>
      </c>
      <c r="J140" s="70" t="s">
        <v>110</v>
      </c>
      <c r="K140" s="69" t="s">
        <v>111</v>
      </c>
      <c r="L140" s="102"/>
      <c r="M140" s="94">
        <f>M135+1</f>
        <v>44485</v>
      </c>
      <c r="N140" s="184">
        <f>SUM(N136:N139)</f>
        <v>-445</v>
      </c>
      <c r="O140" s="184">
        <f t="shared" ref="O140:P140" si="115">SUM(O136:O139)</f>
        <v>542</v>
      </c>
      <c r="P140" s="184">
        <f t="shared" si="115"/>
        <v>-927</v>
      </c>
    </row>
    <row r="141" spans="1:16" ht="16.5" thickTop="1" thickBot="1">
      <c r="A141" s="71" t="s">
        <v>112</v>
      </c>
      <c r="B141" s="87"/>
      <c r="C141" s="113">
        <v>250</v>
      </c>
      <c r="D141" s="192">
        <v>100</v>
      </c>
      <c r="E141" s="75">
        <v>350</v>
      </c>
      <c r="F141" s="87"/>
      <c r="G141" s="117"/>
      <c r="H141" s="192">
        <v>107</v>
      </c>
      <c r="I141" s="75">
        <v>107</v>
      </c>
      <c r="J141" s="77">
        <v>243</v>
      </c>
      <c r="K141" s="1285">
        <v>277</v>
      </c>
      <c r="L141" s="102"/>
      <c r="M141" s="150"/>
      <c r="N141" s="184">
        <f>B141-F141</f>
        <v>0</v>
      </c>
      <c r="O141" s="184">
        <f>C141-G141</f>
        <v>250</v>
      </c>
      <c r="P141" s="184">
        <f>D141-H141</f>
        <v>-7</v>
      </c>
    </row>
    <row r="142" spans="1:16" ht="15.75" thickBot="1">
      <c r="A142" s="71" t="s">
        <v>113</v>
      </c>
      <c r="B142" s="87"/>
      <c r="C142" s="113">
        <v>800</v>
      </c>
      <c r="D142" s="87"/>
      <c r="E142" s="75">
        <v>800</v>
      </c>
      <c r="F142" s="192">
        <v>307</v>
      </c>
      <c r="G142" s="113">
        <v>49</v>
      </c>
      <c r="H142" s="192">
        <v>850</v>
      </c>
      <c r="I142" s="75">
        <v>1206</v>
      </c>
      <c r="J142" s="77">
        <v>-406</v>
      </c>
      <c r="K142" s="1286"/>
      <c r="L142" s="102"/>
      <c r="M142" s="150"/>
      <c r="N142" s="184">
        <f t="shared" ref="N142:N144" si="116">B142-F142</f>
        <v>-307</v>
      </c>
      <c r="O142" s="184">
        <f t="shared" ref="O142:O144" si="117">C142-G142</f>
        <v>751</v>
      </c>
      <c r="P142" s="184">
        <f t="shared" ref="P142:P144" si="118">D142-H142</f>
        <v>-850</v>
      </c>
    </row>
    <row r="143" spans="1:16" ht="15.75" thickBot="1">
      <c r="A143" s="71" t="s">
        <v>114</v>
      </c>
      <c r="B143" s="192">
        <v>225</v>
      </c>
      <c r="C143" s="113">
        <v>700</v>
      </c>
      <c r="D143" s="192">
        <v>647</v>
      </c>
      <c r="E143" s="75">
        <v>1572</v>
      </c>
      <c r="F143" s="192">
        <v>97</v>
      </c>
      <c r="G143" s="113">
        <v>422</v>
      </c>
      <c r="H143" s="192">
        <v>620</v>
      </c>
      <c r="I143" s="75">
        <v>1139</v>
      </c>
      <c r="J143" s="77">
        <v>433</v>
      </c>
      <c r="K143" s="1286"/>
      <c r="L143" s="102"/>
      <c r="M143" s="150"/>
      <c r="N143" s="184">
        <f t="shared" si="116"/>
        <v>128</v>
      </c>
      <c r="O143" s="184">
        <f t="shared" si="117"/>
        <v>278</v>
      </c>
      <c r="P143" s="184">
        <f t="shared" si="118"/>
        <v>27</v>
      </c>
    </row>
    <row r="144" spans="1:16" ht="15.75" thickBot="1">
      <c r="A144" s="86" t="s">
        <v>115</v>
      </c>
      <c r="B144" s="193">
        <v>220</v>
      </c>
      <c r="C144" s="115">
        <v>250</v>
      </c>
      <c r="D144" s="193">
        <v>171</v>
      </c>
      <c r="E144" s="83">
        <v>641</v>
      </c>
      <c r="F144" s="193">
        <v>211</v>
      </c>
      <c r="G144" s="115">
        <v>240</v>
      </c>
      <c r="H144" s="193">
        <v>183</v>
      </c>
      <c r="I144" s="83">
        <v>634</v>
      </c>
      <c r="J144" s="85">
        <v>7</v>
      </c>
      <c r="K144" s="1287"/>
      <c r="L144" s="102"/>
      <c r="M144" s="150"/>
      <c r="N144" s="184">
        <f t="shared" si="116"/>
        <v>9</v>
      </c>
      <c r="O144" s="184">
        <f t="shared" si="117"/>
        <v>10</v>
      </c>
      <c r="P144" s="184">
        <f t="shared" si="118"/>
        <v>-12</v>
      </c>
    </row>
    <row r="145" spans="1:16" ht="16.5" thickTop="1" thickBot="1">
      <c r="A145" s="89"/>
      <c r="B145" s="89"/>
      <c r="C145" s="89"/>
      <c r="D145" s="89"/>
      <c r="E145" s="89"/>
      <c r="F145" s="89"/>
      <c r="G145" s="89"/>
      <c r="H145" s="89"/>
      <c r="I145" s="89"/>
      <c r="J145" s="90"/>
      <c r="K145" s="89"/>
      <c r="L145" s="102"/>
      <c r="M145" s="94">
        <f>M140+1</f>
        <v>44486</v>
      </c>
      <c r="N145" s="184">
        <f>SUM(N141:N144)</f>
        <v>-170</v>
      </c>
      <c r="O145" s="184">
        <f t="shared" ref="O145:P145" si="119">SUM(O141:O144)</f>
        <v>1289</v>
      </c>
      <c r="P145" s="184">
        <f t="shared" si="119"/>
        <v>-842</v>
      </c>
    </row>
    <row r="146" spans="1:16" ht="15.75" thickBot="1">
      <c r="A146" s="89"/>
      <c r="B146" s="89"/>
      <c r="C146" s="89"/>
      <c r="D146" s="89"/>
      <c r="E146" s="89"/>
      <c r="F146" s="89"/>
      <c r="G146" s="89"/>
      <c r="H146" s="89"/>
      <c r="I146" s="89"/>
      <c r="J146" s="90"/>
      <c r="K146" s="89"/>
      <c r="L146" s="102"/>
      <c r="M146" s="150"/>
      <c r="N146" s="184">
        <f>B146-F146</f>
        <v>0</v>
      </c>
      <c r="O146" s="184">
        <f>C146-G146</f>
        <v>0</v>
      </c>
      <c r="P146" s="184">
        <f>D146-H146</f>
        <v>0</v>
      </c>
    </row>
    <row r="147" spans="1:16" ht="15.75" thickBot="1">
      <c r="A147" s="89"/>
      <c r="B147" s="89"/>
      <c r="C147" s="89"/>
      <c r="D147" s="89"/>
      <c r="E147" s="89"/>
      <c r="F147" s="89"/>
      <c r="G147" s="89"/>
      <c r="H147" s="89"/>
      <c r="I147" s="89"/>
      <c r="J147" s="90"/>
      <c r="K147" s="89"/>
      <c r="L147" s="102"/>
      <c r="M147" s="150"/>
      <c r="N147" s="184">
        <f t="shared" ref="N147:N149" si="120">B147-F147</f>
        <v>0</v>
      </c>
      <c r="O147" s="184">
        <f t="shared" ref="O147:O149" si="121">C147-G147</f>
        <v>0</v>
      </c>
      <c r="P147" s="184">
        <f t="shared" ref="P147:P149" si="122">D147-H147</f>
        <v>0</v>
      </c>
    </row>
    <row r="148" spans="1:16" ht="15.75" thickBot="1">
      <c r="A148" s="89"/>
      <c r="B148" s="89"/>
      <c r="C148" s="89"/>
      <c r="D148" s="89"/>
      <c r="E148" s="89"/>
      <c r="F148" s="89"/>
      <c r="G148" s="89"/>
      <c r="H148" s="89"/>
      <c r="I148" s="89"/>
      <c r="J148" s="90"/>
      <c r="K148" s="89"/>
      <c r="L148" s="102"/>
      <c r="M148" s="150"/>
      <c r="N148" s="184">
        <f t="shared" si="120"/>
        <v>0</v>
      </c>
      <c r="O148" s="184">
        <f t="shared" si="121"/>
        <v>0</v>
      </c>
      <c r="P148" s="184">
        <f t="shared" si="122"/>
        <v>0</v>
      </c>
    </row>
    <row r="149" spans="1:16" ht="15.75" thickBot="1">
      <c r="A149" s="89"/>
      <c r="B149" s="89"/>
      <c r="C149" s="89"/>
      <c r="D149" s="89"/>
      <c r="E149" s="89"/>
      <c r="F149" s="89"/>
      <c r="G149" s="89"/>
      <c r="H149" s="89"/>
      <c r="I149" s="89"/>
      <c r="J149" s="90"/>
      <c r="K149" s="89"/>
      <c r="L149" s="102"/>
      <c r="M149" s="150"/>
      <c r="N149" s="184">
        <f t="shared" si="120"/>
        <v>0</v>
      </c>
      <c r="O149" s="184">
        <f t="shared" si="121"/>
        <v>0</v>
      </c>
      <c r="P149" s="184">
        <f t="shared" si="122"/>
        <v>0</v>
      </c>
    </row>
    <row r="150" spans="1:16" ht="15.75" thickBot="1">
      <c r="A150" s="89"/>
      <c r="B150" s="89"/>
      <c r="C150" s="89"/>
      <c r="D150" s="89"/>
      <c r="E150" s="89"/>
      <c r="F150" s="89"/>
      <c r="G150" s="89"/>
      <c r="H150" s="89"/>
      <c r="I150" s="89"/>
      <c r="J150" s="90"/>
      <c r="K150" s="89"/>
      <c r="L150" s="102"/>
      <c r="M150" s="94">
        <f>M145+1</f>
        <v>44487</v>
      </c>
      <c r="N150" s="184">
        <f>SUM(N146:N149)</f>
        <v>0</v>
      </c>
      <c r="O150" s="184">
        <f t="shared" ref="O150:P150" si="123">SUM(O146:O149)</f>
        <v>0</v>
      </c>
      <c r="P150" s="184">
        <f t="shared" si="123"/>
        <v>0</v>
      </c>
    </row>
    <row r="151" spans="1:16" ht="15.75" thickBot="1">
      <c r="A151" s="89"/>
      <c r="B151" s="89"/>
      <c r="C151" s="89"/>
      <c r="D151" s="89"/>
      <c r="E151" s="89"/>
      <c r="F151" s="89"/>
      <c r="G151" s="89"/>
      <c r="H151" s="89"/>
      <c r="I151" s="89"/>
      <c r="J151" s="90"/>
      <c r="K151" s="89"/>
      <c r="L151" s="102"/>
    </row>
    <row r="152" spans="1:16" ht="15.75" thickBot="1">
      <c r="A152" s="89"/>
      <c r="B152" s="89"/>
      <c r="C152" s="89"/>
      <c r="D152" s="89"/>
      <c r="E152" s="89"/>
      <c r="F152" s="89"/>
      <c r="G152" s="89"/>
      <c r="H152" s="89"/>
      <c r="I152" s="89"/>
      <c r="J152" s="90"/>
      <c r="K152" s="89"/>
      <c r="L152" s="102"/>
    </row>
    <row r="153" spans="1:16" ht="15.75" thickBot="1">
      <c r="A153" s="89"/>
      <c r="B153" s="89"/>
      <c r="C153" s="89"/>
      <c r="D153" s="89"/>
      <c r="E153" s="89"/>
      <c r="F153" s="89"/>
      <c r="G153" s="89"/>
      <c r="H153" s="89"/>
      <c r="I153" s="89"/>
      <c r="J153" s="90"/>
      <c r="K153" s="89"/>
      <c r="L153" s="102"/>
    </row>
    <row r="154" spans="1:16" ht="15.75" thickBot="1">
      <c r="A154" s="89"/>
      <c r="B154" s="89"/>
      <c r="C154" s="89"/>
      <c r="D154" s="89"/>
      <c r="E154" s="89"/>
      <c r="F154" s="89"/>
      <c r="G154" s="89"/>
      <c r="H154" s="89"/>
      <c r="I154" s="89"/>
      <c r="J154" s="90"/>
      <c r="K154" s="89"/>
      <c r="L154" s="102"/>
    </row>
    <row r="155" spans="1:16" ht="15.75" thickBot="1">
      <c r="A155" s="89"/>
      <c r="B155" s="89"/>
      <c r="C155" s="89"/>
      <c r="D155" s="89"/>
      <c r="E155" s="89"/>
      <c r="F155" s="89"/>
      <c r="G155" s="89"/>
      <c r="H155" s="89"/>
      <c r="I155" s="89"/>
      <c r="J155" s="90"/>
      <c r="K155" s="89"/>
      <c r="L155" s="102"/>
    </row>
    <row r="156" spans="1:16" ht="15.75" thickBot="1">
      <c r="A156" s="89"/>
      <c r="B156" s="89"/>
      <c r="C156" s="89"/>
      <c r="D156" s="89"/>
      <c r="E156" s="89"/>
      <c r="F156" s="89"/>
      <c r="G156" s="89"/>
      <c r="H156" s="89"/>
      <c r="I156" s="89"/>
      <c r="J156" s="90"/>
      <c r="K156" s="89"/>
      <c r="L156" s="102"/>
    </row>
    <row r="157" spans="1:16" ht="15.75" thickBot="1">
      <c r="A157" s="89"/>
      <c r="B157" s="89"/>
      <c r="C157" s="89"/>
      <c r="D157" s="89"/>
      <c r="E157" s="89"/>
      <c r="F157" s="89"/>
      <c r="G157" s="89"/>
      <c r="H157" s="89"/>
      <c r="I157" s="89"/>
      <c r="J157" s="90"/>
      <c r="K157" s="89"/>
      <c r="L157" s="102"/>
    </row>
    <row r="158" spans="1:16" ht="15.75" thickBot="1">
      <c r="A158" s="89"/>
      <c r="B158" s="89"/>
      <c r="C158" s="89"/>
      <c r="D158" s="89"/>
      <c r="E158" s="89"/>
      <c r="F158" s="89"/>
      <c r="G158" s="89"/>
      <c r="H158" s="89"/>
      <c r="I158" s="89"/>
      <c r="J158" s="90"/>
      <c r="K158" s="89"/>
      <c r="L158" s="102"/>
    </row>
    <row r="159" spans="1:16" ht="15.75" thickBot="1">
      <c r="A159" s="89"/>
      <c r="B159" s="89"/>
      <c r="C159" s="89"/>
      <c r="D159" s="89"/>
      <c r="E159" s="89"/>
      <c r="F159" s="89"/>
      <c r="G159" s="89"/>
      <c r="H159" s="89"/>
      <c r="I159" s="89"/>
      <c r="J159" s="90"/>
      <c r="K159" s="89"/>
      <c r="L159" s="102"/>
    </row>
    <row r="160" spans="1:16" ht="15.75" thickBot="1">
      <c r="A160" s="89"/>
      <c r="B160" s="89"/>
      <c r="C160" s="89"/>
      <c r="D160" s="89"/>
      <c r="E160" s="89"/>
      <c r="F160" s="89"/>
      <c r="G160" s="89"/>
      <c r="H160" s="89"/>
      <c r="I160" s="89"/>
      <c r="J160" s="90"/>
      <c r="K160" s="89"/>
      <c r="L160" s="102"/>
    </row>
    <row r="161" spans="1:12" ht="15.75" thickBot="1">
      <c r="A161" s="89"/>
      <c r="B161" s="89"/>
      <c r="C161" s="89"/>
      <c r="D161" s="89"/>
      <c r="E161" s="89"/>
      <c r="F161" s="89"/>
      <c r="G161" s="89"/>
      <c r="H161" s="89"/>
      <c r="I161" s="89"/>
      <c r="J161" s="90"/>
      <c r="K161" s="89"/>
      <c r="L161" s="102"/>
    </row>
    <row r="162" spans="1:12" ht="15.75" thickBot="1">
      <c r="A162" s="89"/>
      <c r="B162" s="89"/>
      <c r="C162" s="89"/>
      <c r="D162" s="89"/>
      <c r="E162" s="89"/>
      <c r="F162" s="89"/>
      <c r="G162" s="89"/>
      <c r="H162" s="89"/>
      <c r="I162" s="89"/>
      <c r="J162" s="90"/>
      <c r="K162" s="89"/>
      <c r="L162" s="102"/>
    </row>
    <row r="163" spans="1:12" ht="15.75" thickBot="1">
      <c r="A163" s="89"/>
      <c r="B163" s="89"/>
      <c r="C163" s="89"/>
      <c r="D163" s="89"/>
      <c r="E163" s="89"/>
      <c r="F163" s="89"/>
      <c r="G163" s="89"/>
      <c r="H163" s="89"/>
      <c r="I163" s="89"/>
      <c r="J163" s="90"/>
      <c r="K163" s="89"/>
      <c r="L163" s="102"/>
    </row>
    <row r="164" spans="1:12" ht="15.75" thickBot="1">
      <c r="A164" s="89"/>
      <c r="B164" s="89"/>
      <c r="C164" s="89"/>
      <c r="D164" s="89"/>
      <c r="E164" s="89"/>
      <c r="F164" s="89"/>
      <c r="G164" s="89"/>
      <c r="H164" s="89"/>
      <c r="I164" s="89"/>
      <c r="J164" s="90"/>
      <c r="K164" s="89"/>
      <c r="L164" s="102"/>
    </row>
    <row r="165" spans="1:12" ht="15.75" thickBot="1">
      <c r="A165" s="89"/>
      <c r="B165" s="89"/>
      <c r="C165" s="89"/>
      <c r="D165" s="89"/>
      <c r="E165" s="89"/>
      <c r="F165" s="89"/>
      <c r="G165" s="89"/>
      <c r="H165" s="89"/>
      <c r="I165" s="89"/>
      <c r="J165" s="90"/>
      <c r="K165" s="89"/>
      <c r="L165" s="102"/>
    </row>
    <row r="166" spans="1:12" ht="15.75" thickBot="1">
      <c r="A166" s="89"/>
      <c r="B166" s="89"/>
      <c r="C166" s="89"/>
      <c r="D166" s="89"/>
      <c r="E166" s="89"/>
      <c r="F166" s="89"/>
      <c r="G166" s="89"/>
      <c r="H166" s="89"/>
      <c r="I166" s="89"/>
      <c r="J166" s="90"/>
      <c r="K166" s="89"/>
      <c r="L166" s="102"/>
    </row>
    <row r="167" spans="1:12" ht="15.75" thickBot="1">
      <c r="A167" s="89"/>
      <c r="B167" s="89"/>
      <c r="C167" s="89"/>
      <c r="D167" s="89"/>
      <c r="E167" s="89"/>
      <c r="F167" s="89"/>
      <c r="G167" s="89"/>
      <c r="H167" s="89"/>
      <c r="I167" s="89"/>
      <c r="J167" s="90"/>
      <c r="K167" s="89"/>
      <c r="L167" s="102"/>
    </row>
    <row r="168" spans="1:12" ht="15.75" thickBot="1">
      <c r="A168" s="89"/>
      <c r="B168" s="89"/>
      <c r="C168" s="89"/>
      <c r="D168" s="89"/>
      <c r="E168" s="89"/>
      <c r="F168" s="89"/>
      <c r="G168" s="89"/>
      <c r="H168" s="89"/>
      <c r="I168" s="89"/>
      <c r="J168" s="90"/>
      <c r="K168" s="89"/>
      <c r="L168" s="102"/>
    </row>
    <row r="169" spans="1:12" ht="15.75" thickBot="1">
      <c r="A169" s="89"/>
      <c r="B169" s="89"/>
      <c r="C169" s="89"/>
      <c r="D169" s="89"/>
      <c r="E169" s="89"/>
      <c r="F169" s="89"/>
      <c r="G169" s="89"/>
      <c r="H169" s="89"/>
      <c r="I169" s="89"/>
      <c r="J169" s="90"/>
      <c r="K169" s="89"/>
      <c r="L169" s="102"/>
    </row>
    <row r="170" spans="1:12" ht="15.75" thickBot="1">
      <c r="A170" s="89"/>
      <c r="B170" s="89"/>
      <c r="C170" s="89"/>
      <c r="D170" s="89"/>
      <c r="E170" s="89"/>
      <c r="F170" s="89"/>
      <c r="G170" s="89"/>
      <c r="H170" s="89"/>
      <c r="I170" s="89"/>
      <c r="J170" s="90"/>
      <c r="K170" s="89"/>
      <c r="L170" s="102"/>
    </row>
    <row r="171" spans="1:12" ht="15.75" thickBot="1">
      <c r="A171" s="89"/>
      <c r="B171" s="89"/>
      <c r="C171" s="89"/>
      <c r="D171" s="89"/>
      <c r="E171" s="89"/>
      <c r="F171" s="89"/>
      <c r="G171" s="89"/>
      <c r="H171" s="89"/>
      <c r="I171" s="89"/>
      <c r="J171" s="90"/>
      <c r="K171" s="89"/>
      <c r="L171" s="102"/>
    </row>
    <row r="172" spans="1:12" ht="15.75" thickBot="1">
      <c r="A172" s="89"/>
      <c r="B172" s="89"/>
      <c r="C172" s="89"/>
      <c r="D172" s="89"/>
      <c r="E172" s="89"/>
      <c r="F172" s="89"/>
      <c r="G172" s="89"/>
      <c r="H172" s="89"/>
      <c r="I172" s="89"/>
      <c r="J172" s="90"/>
      <c r="K172" s="89"/>
      <c r="L172" s="102"/>
    </row>
    <row r="173" spans="1:12" ht="15.75" thickBot="1">
      <c r="A173" s="89"/>
      <c r="B173" s="89"/>
      <c r="C173" s="89"/>
      <c r="D173" s="89"/>
      <c r="E173" s="89"/>
      <c r="F173" s="89"/>
      <c r="G173" s="89"/>
      <c r="H173" s="89"/>
      <c r="I173" s="89"/>
      <c r="J173" s="90"/>
      <c r="K173" s="89"/>
      <c r="L173" s="102"/>
    </row>
    <row r="174" spans="1:12" ht="15.75" thickBot="1">
      <c r="A174" s="89"/>
      <c r="B174" s="89"/>
      <c r="C174" s="89"/>
      <c r="D174" s="89"/>
      <c r="E174" s="89"/>
      <c r="F174" s="89"/>
      <c r="G174" s="89"/>
      <c r="H174" s="89"/>
      <c r="I174" s="89"/>
      <c r="J174" s="90"/>
      <c r="K174" s="89"/>
      <c r="L174" s="102"/>
    </row>
    <row r="175" spans="1:12" ht="15.75" thickBot="1">
      <c r="A175" s="89"/>
      <c r="B175" s="89"/>
      <c r="C175" s="89"/>
      <c r="D175" s="89"/>
      <c r="E175" s="89"/>
      <c r="F175" s="89"/>
      <c r="G175" s="89"/>
      <c r="H175" s="89"/>
      <c r="I175" s="89"/>
      <c r="J175" s="90"/>
      <c r="K175" s="89"/>
      <c r="L175" s="102"/>
    </row>
    <row r="176" spans="1:12" ht="15.75" thickBot="1">
      <c r="A176" s="89"/>
      <c r="B176" s="89"/>
      <c r="C176" s="89"/>
      <c r="D176" s="89"/>
      <c r="E176" s="89"/>
      <c r="F176" s="89"/>
      <c r="G176" s="89"/>
      <c r="H176" s="89"/>
      <c r="I176" s="89"/>
      <c r="J176" s="90"/>
      <c r="K176" s="89"/>
      <c r="L176" s="102"/>
    </row>
    <row r="177" spans="1:12" ht="15.75" thickBot="1">
      <c r="A177" s="89"/>
      <c r="B177" s="89"/>
      <c r="C177" s="89"/>
      <c r="D177" s="89"/>
      <c r="E177" s="89"/>
      <c r="F177" s="89"/>
      <c r="G177" s="89"/>
      <c r="H177" s="89"/>
      <c r="I177" s="89"/>
      <c r="J177" s="90"/>
      <c r="K177" s="89"/>
      <c r="L177" s="102"/>
    </row>
    <row r="178" spans="1:12" ht="15.75" thickBot="1">
      <c r="A178" s="89"/>
      <c r="B178" s="89"/>
      <c r="C178" s="89"/>
      <c r="D178" s="89"/>
      <c r="E178" s="89"/>
      <c r="F178" s="89"/>
      <c r="G178" s="89"/>
      <c r="H178" s="89"/>
      <c r="I178" s="89"/>
      <c r="J178" s="90"/>
      <c r="K178" s="89"/>
      <c r="L178" s="102"/>
    </row>
    <row r="179" spans="1:12" ht="15.75" thickBot="1">
      <c r="A179" s="89"/>
      <c r="B179" s="89"/>
      <c r="C179" s="89"/>
      <c r="D179" s="89"/>
      <c r="E179" s="89"/>
      <c r="F179" s="89"/>
      <c r="G179" s="89"/>
      <c r="H179" s="89"/>
      <c r="I179" s="89"/>
      <c r="J179" s="90"/>
      <c r="K179" s="89"/>
      <c r="L179" s="102"/>
    </row>
    <row r="180" spans="1:12" ht="15.75" thickBot="1">
      <c r="A180" s="89"/>
      <c r="B180" s="89"/>
      <c r="C180" s="89"/>
      <c r="D180" s="89"/>
      <c r="E180" s="89"/>
      <c r="F180" s="89"/>
      <c r="G180" s="89"/>
      <c r="H180" s="89"/>
      <c r="I180" s="89"/>
      <c r="J180" s="90"/>
      <c r="K180" s="89"/>
      <c r="L180" s="102"/>
    </row>
    <row r="181" spans="1:12" ht="15.75" thickBot="1">
      <c r="A181" s="89"/>
      <c r="B181" s="89"/>
      <c r="C181" s="89"/>
      <c r="D181" s="89"/>
      <c r="E181" s="89"/>
      <c r="F181" s="89"/>
      <c r="G181" s="89"/>
      <c r="H181" s="89"/>
      <c r="I181" s="89"/>
      <c r="J181" s="90"/>
      <c r="K181" s="89"/>
      <c r="L181" s="102"/>
    </row>
    <row r="182" spans="1:12" ht="15.75" thickBot="1">
      <c r="A182" s="89"/>
      <c r="B182" s="89"/>
      <c r="C182" s="89"/>
      <c r="D182" s="89"/>
      <c r="E182" s="89"/>
      <c r="F182" s="89"/>
      <c r="G182" s="89"/>
      <c r="H182" s="89"/>
      <c r="I182" s="89"/>
      <c r="J182" s="90"/>
      <c r="K182" s="89"/>
      <c r="L182" s="102"/>
    </row>
    <row r="183" spans="1:12" ht="15.75" thickBot="1">
      <c r="A183" s="89"/>
      <c r="B183" s="89"/>
      <c r="C183" s="89"/>
      <c r="D183" s="89"/>
      <c r="E183" s="89"/>
      <c r="F183" s="89"/>
      <c r="G183" s="89"/>
      <c r="H183" s="89"/>
      <c r="I183" s="89"/>
      <c r="J183" s="90"/>
      <c r="K183" s="89"/>
      <c r="L183" s="102"/>
    </row>
    <row r="184" spans="1:12" ht="15.75" thickBot="1">
      <c r="A184" s="89"/>
      <c r="B184" s="89"/>
      <c r="C184" s="89"/>
      <c r="D184" s="89"/>
      <c r="E184" s="89"/>
      <c r="F184" s="89"/>
      <c r="G184" s="89"/>
      <c r="H184" s="89"/>
      <c r="I184" s="89"/>
      <c r="J184" s="90"/>
      <c r="K184" s="89"/>
      <c r="L184" s="102"/>
    </row>
    <row r="185" spans="1:12" ht="15.75" thickBot="1">
      <c r="A185" s="89"/>
      <c r="B185" s="89"/>
      <c r="C185" s="89"/>
      <c r="D185" s="89"/>
      <c r="E185" s="89"/>
      <c r="F185" s="89"/>
      <c r="G185" s="89"/>
      <c r="H185" s="89"/>
      <c r="I185" s="89"/>
      <c r="J185" s="90"/>
      <c r="K185" s="89"/>
      <c r="L185" s="102"/>
    </row>
    <row r="186" spans="1:12" ht="15.75" thickBot="1">
      <c r="A186" s="89"/>
      <c r="B186" s="89"/>
      <c r="C186" s="89"/>
      <c r="D186" s="89"/>
      <c r="E186" s="89"/>
      <c r="F186" s="89"/>
      <c r="G186" s="89"/>
      <c r="H186" s="89"/>
      <c r="I186" s="89"/>
      <c r="J186" s="90"/>
      <c r="K186" s="89"/>
      <c r="L186" s="102"/>
    </row>
    <row r="187" spans="1:12" ht="15.75" thickBot="1">
      <c r="A187" s="89"/>
      <c r="B187" s="89"/>
      <c r="C187" s="89"/>
      <c r="D187" s="89"/>
      <c r="E187" s="89"/>
      <c r="F187" s="89"/>
      <c r="G187" s="89"/>
      <c r="H187" s="89"/>
      <c r="I187" s="89"/>
      <c r="J187" s="90"/>
      <c r="K187" s="89"/>
      <c r="L187" s="102"/>
    </row>
    <row r="188" spans="1:12" ht="15.75" thickBot="1">
      <c r="A188" s="89"/>
      <c r="B188" s="89"/>
      <c r="C188" s="89"/>
      <c r="D188" s="89"/>
      <c r="E188" s="89"/>
      <c r="F188" s="89"/>
      <c r="G188" s="89"/>
      <c r="H188" s="89"/>
      <c r="I188" s="89"/>
      <c r="J188" s="90"/>
      <c r="K188" s="89"/>
      <c r="L188" s="102"/>
    </row>
    <row r="189" spans="1:12" ht="15.75" thickBot="1">
      <c r="A189" s="89"/>
      <c r="B189" s="89"/>
      <c r="C189" s="89"/>
      <c r="D189" s="89"/>
      <c r="E189" s="89"/>
      <c r="F189" s="89"/>
      <c r="G189" s="89"/>
      <c r="H189" s="89"/>
      <c r="I189" s="89"/>
      <c r="J189" s="90"/>
      <c r="K189" s="89"/>
      <c r="L189" s="102"/>
    </row>
    <row r="190" spans="1:12" ht="15.75" thickBot="1">
      <c r="A190" s="89"/>
      <c r="B190" s="89"/>
      <c r="C190" s="89"/>
      <c r="D190" s="89"/>
      <c r="E190" s="89"/>
      <c r="F190" s="89"/>
      <c r="G190" s="89"/>
      <c r="H190" s="89"/>
      <c r="I190" s="89"/>
      <c r="J190" s="90"/>
      <c r="K190" s="89"/>
      <c r="L190" s="102"/>
    </row>
    <row r="191" spans="1:12" ht="15.75" thickBot="1">
      <c r="A191" s="89"/>
      <c r="B191" s="89"/>
      <c r="C191" s="89"/>
      <c r="D191" s="89"/>
      <c r="E191" s="89"/>
      <c r="F191" s="89"/>
      <c r="G191" s="89"/>
      <c r="H191" s="89"/>
      <c r="I191" s="89"/>
      <c r="J191" s="90"/>
      <c r="K191" s="89"/>
      <c r="L191" s="102"/>
    </row>
    <row r="192" spans="1:12" ht="15.75" thickBot="1">
      <c r="A192" s="89"/>
      <c r="B192" s="89"/>
      <c r="C192" s="89"/>
      <c r="D192" s="89"/>
      <c r="E192" s="89"/>
      <c r="F192" s="89"/>
      <c r="G192" s="89"/>
      <c r="H192" s="89"/>
      <c r="I192" s="89"/>
      <c r="J192" s="90"/>
      <c r="K192" s="89"/>
      <c r="L192" s="102"/>
    </row>
    <row r="193" spans="1:12" ht="15.75" thickBot="1">
      <c r="A193" s="89"/>
      <c r="B193" s="89"/>
      <c r="C193" s="89"/>
      <c r="D193" s="89"/>
      <c r="E193" s="89"/>
      <c r="F193" s="89"/>
      <c r="G193" s="89"/>
      <c r="H193" s="89"/>
      <c r="I193" s="89"/>
      <c r="J193" s="90"/>
      <c r="K193" s="89"/>
      <c r="L193" s="102"/>
    </row>
    <row r="194" spans="1:12" ht="15.75" thickBot="1">
      <c r="A194" s="89"/>
      <c r="B194" s="89"/>
      <c r="C194" s="89"/>
      <c r="D194" s="89"/>
      <c r="E194" s="89"/>
      <c r="F194" s="89"/>
      <c r="G194" s="89"/>
      <c r="H194" s="89"/>
      <c r="I194" s="89"/>
      <c r="J194" s="90"/>
      <c r="K194" s="89"/>
      <c r="L194" s="102"/>
    </row>
    <row r="195" spans="1:12" ht="15.75" thickBot="1">
      <c r="A195" s="89"/>
      <c r="B195" s="89"/>
      <c r="C195" s="89"/>
      <c r="D195" s="89"/>
      <c r="E195" s="89"/>
      <c r="F195" s="89"/>
      <c r="G195" s="89"/>
      <c r="H195" s="89"/>
      <c r="I195" s="89"/>
      <c r="J195" s="90"/>
      <c r="K195" s="89"/>
      <c r="L195" s="102"/>
    </row>
    <row r="196" spans="1:12" ht="15.75" thickBot="1">
      <c r="A196" s="89"/>
      <c r="B196" s="89"/>
      <c r="C196" s="89"/>
      <c r="D196" s="89"/>
      <c r="E196" s="89"/>
      <c r="F196" s="89"/>
      <c r="G196" s="89"/>
      <c r="H196" s="89"/>
      <c r="I196" s="89"/>
      <c r="J196" s="90"/>
      <c r="K196" s="89"/>
      <c r="L196" s="102"/>
    </row>
    <row r="197" spans="1:12" ht="15.75" thickBot="1">
      <c r="A197" s="89"/>
      <c r="B197" s="89"/>
      <c r="C197" s="89"/>
      <c r="D197" s="89"/>
      <c r="E197" s="89"/>
      <c r="F197" s="89"/>
      <c r="G197" s="89"/>
      <c r="H197" s="89"/>
      <c r="I197" s="89"/>
      <c r="J197" s="90"/>
      <c r="K197" s="89"/>
      <c r="L197" s="102"/>
    </row>
    <row r="198" spans="1:12" ht="15.75" thickBot="1">
      <c r="A198" s="89"/>
      <c r="B198" s="89"/>
      <c r="C198" s="89"/>
      <c r="D198" s="89"/>
      <c r="E198" s="89"/>
      <c r="F198" s="89"/>
      <c r="G198" s="89"/>
      <c r="H198" s="89"/>
      <c r="I198" s="89"/>
      <c r="J198" s="90"/>
      <c r="K198" s="89"/>
      <c r="L198" s="102"/>
    </row>
    <row r="199" spans="1:12" ht="15.75" thickBot="1">
      <c r="A199" s="89"/>
      <c r="B199" s="89"/>
      <c r="C199" s="89"/>
      <c r="D199" s="89"/>
      <c r="E199" s="89"/>
      <c r="F199" s="89"/>
      <c r="G199" s="89"/>
      <c r="H199" s="89"/>
      <c r="I199" s="89"/>
      <c r="J199" s="90"/>
      <c r="K199" s="89"/>
      <c r="L199" s="102"/>
    </row>
    <row r="200" spans="1:12" ht="15.75" thickBot="1">
      <c r="A200" s="89"/>
      <c r="B200" s="89"/>
      <c r="C200" s="89"/>
      <c r="D200" s="89"/>
      <c r="E200" s="89"/>
      <c r="F200" s="89"/>
      <c r="G200" s="89"/>
      <c r="H200" s="89"/>
      <c r="I200" s="89"/>
      <c r="J200" s="90"/>
      <c r="K200" s="89"/>
      <c r="L200" s="102"/>
    </row>
    <row r="201" spans="1:12" ht="15.75" thickBot="1">
      <c r="A201" s="89"/>
      <c r="B201" s="89"/>
      <c r="C201" s="89"/>
      <c r="D201" s="89"/>
      <c r="E201" s="89"/>
      <c r="F201" s="89"/>
      <c r="G201" s="89"/>
      <c r="H201" s="89"/>
      <c r="I201" s="89"/>
      <c r="J201" s="90"/>
      <c r="K201" s="89"/>
      <c r="L201" s="102"/>
    </row>
    <row r="202" spans="1:12" ht="15.75" thickBot="1">
      <c r="A202" s="89"/>
      <c r="B202" s="89"/>
      <c r="C202" s="89"/>
      <c r="D202" s="89"/>
      <c r="E202" s="89"/>
      <c r="F202" s="89"/>
      <c r="G202" s="89"/>
      <c r="H202" s="89"/>
      <c r="I202" s="89"/>
      <c r="J202" s="90"/>
      <c r="K202" s="89"/>
      <c r="L202" s="102"/>
    </row>
    <row r="203" spans="1:12" ht="15.75" thickBot="1">
      <c r="A203" s="89"/>
      <c r="B203" s="89"/>
      <c r="C203" s="89"/>
      <c r="D203" s="89"/>
      <c r="E203" s="89"/>
      <c r="F203" s="89"/>
      <c r="G203" s="89"/>
      <c r="H203" s="89"/>
      <c r="I203" s="89"/>
      <c r="J203" s="90"/>
      <c r="K203" s="89"/>
      <c r="L203" s="102"/>
    </row>
    <row r="204" spans="1:12" ht="15.75" thickBot="1">
      <c r="A204" s="89"/>
      <c r="B204" s="89"/>
      <c r="C204" s="89"/>
      <c r="D204" s="89"/>
      <c r="E204" s="89"/>
      <c r="F204" s="89"/>
      <c r="G204" s="89"/>
      <c r="H204" s="89"/>
      <c r="I204" s="89"/>
      <c r="J204" s="90"/>
      <c r="K204" s="89"/>
      <c r="L204" s="102"/>
    </row>
    <row r="205" spans="1:12" ht="15.75" thickBot="1">
      <c r="A205" s="89"/>
      <c r="B205" s="89"/>
      <c r="C205" s="89"/>
      <c r="D205" s="89"/>
      <c r="E205" s="89"/>
      <c r="F205" s="89"/>
      <c r="G205" s="89"/>
      <c r="H205" s="89"/>
      <c r="I205" s="89"/>
      <c r="J205" s="90"/>
      <c r="K205" s="89"/>
      <c r="L205" s="102"/>
    </row>
    <row r="206" spans="1:12" ht="15.75" thickBot="1">
      <c r="A206" s="89"/>
      <c r="B206" s="89"/>
      <c r="C206" s="89"/>
      <c r="D206" s="89"/>
      <c r="E206" s="89"/>
      <c r="F206" s="89"/>
      <c r="G206" s="89"/>
      <c r="H206" s="89"/>
      <c r="I206" s="89"/>
      <c r="J206" s="90"/>
      <c r="K206" s="89"/>
      <c r="L206" s="102"/>
    </row>
    <row r="207" spans="1:12" ht="15.75" thickBot="1">
      <c r="A207" s="89"/>
      <c r="B207" s="89"/>
      <c r="C207" s="89"/>
      <c r="D207" s="89"/>
      <c r="E207" s="89"/>
      <c r="F207" s="89"/>
      <c r="G207" s="89"/>
      <c r="H207" s="89"/>
      <c r="I207" s="89"/>
      <c r="J207" s="90"/>
      <c r="K207" s="89"/>
      <c r="L207" s="102"/>
    </row>
    <row r="208" spans="1:12" ht="15.75" thickBot="1">
      <c r="A208" s="89"/>
      <c r="B208" s="89"/>
      <c r="C208" s="89"/>
      <c r="D208" s="89"/>
      <c r="E208" s="89"/>
      <c r="F208" s="89"/>
      <c r="G208" s="89"/>
      <c r="H208" s="89"/>
      <c r="I208" s="89"/>
      <c r="J208" s="90"/>
      <c r="K208" s="89"/>
      <c r="L208" s="102"/>
    </row>
    <row r="209" spans="1:12" ht="15.75" thickBot="1">
      <c r="A209" s="89"/>
      <c r="B209" s="89"/>
      <c r="C209" s="89"/>
      <c r="D209" s="89"/>
      <c r="E209" s="89"/>
      <c r="F209" s="89"/>
      <c r="G209" s="89"/>
      <c r="H209" s="89"/>
      <c r="I209" s="89"/>
      <c r="J209" s="90"/>
      <c r="K209" s="89"/>
      <c r="L209" s="102"/>
    </row>
    <row r="210" spans="1:12" ht="15.75" thickBot="1">
      <c r="A210" s="89"/>
      <c r="B210" s="89"/>
      <c r="C210" s="89"/>
      <c r="D210" s="89"/>
      <c r="E210" s="89"/>
      <c r="F210" s="89"/>
      <c r="G210" s="89"/>
      <c r="H210" s="89"/>
      <c r="I210" s="89"/>
      <c r="J210" s="90"/>
      <c r="K210" s="89"/>
      <c r="L210" s="102"/>
    </row>
    <row r="211" spans="1:12" ht="15.75" thickBot="1">
      <c r="A211" s="89"/>
      <c r="B211" s="89"/>
      <c r="C211" s="89"/>
      <c r="D211" s="89"/>
      <c r="E211" s="89"/>
      <c r="F211" s="89"/>
      <c r="G211" s="89"/>
      <c r="H211" s="89"/>
      <c r="I211" s="89"/>
      <c r="J211" s="90"/>
      <c r="K211" s="89"/>
      <c r="L211" s="102"/>
    </row>
    <row r="212" spans="1:12" ht="15.75" thickBot="1">
      <c r="A212" s="89"/>
      <c r="B212" s="89"/>
      <c r="C212" s="89"/>
      <c r="D212" s="89"/>
      <c r="E212" s="89"/>
      <c r="F212" s="89"/>
      <c r="G212" s="89"/>
      <c r="H212" s="89"/>
      <c r="I212" s="89"/>
      <c r="J212" s="90"/>
      <c r="K212" s="89"/>
      <c r="L212" s="102"/>
    </row>
    <row r="213" spans="1:12" ht="15.75" thickBot="1">
      <c r="A213" s="89"/>
      <c r="B213" s="89"/>
      <c r="C213" s="89"/>
      <c r="D213" s="89"/>
      <c r="E213" s="89"/>
      <c r="F213" s="89"/>
      <c r="G213" s="89"/>
      <c r="H213" s="89"/>
      <c r="I213" s="89"/>
      <c r="J213" s="90"/>
      <c r="K213" s="89"/>
      <c r="L213" s="102"/>
    </row>
    <row r="214" spans="1:12" ht="15.75" thickBot="1">
      <c r="A214" s="89"/>
      <c r="B214" s="89"/>
      <c r="C214" s="89"/>
      <c r="D214" s="89"/>
      <c r="E214" s="89"/>
      <c r="F214" s="89"/>
      <c r="G214" s="89"/>
      <c r="H214" s="89"/>
      <c r="I214" s="89"/>
      <c r="J214" s="90"/>
      <c r="K214" s="89"/>
      <c r="L214" s="102"/>
    </row>
    <row r="215" spans="1:12" ht="15.75" thickBot="1">
      <c r="A215" s="89"/>
      <c r="B215" s="89"/>
      <c r="C215" s="89"/>
      <c r="D215" s="89"/>
      <c r="E215" s="89"/>
      <c r="F215" s="89"/>
      <c r="G215" s="89"/>
      <c r="H215" s="89"/>
      <c r="I215" s="89"/>
      <c r="J215" s="90"/>
      <c r="K215" s="89"/>
      <c r="L215" s="102"/>
    </row>
    <row r="216" spans="1:12" ht="15.75" thickBot="1">
      <c r="A216" s="89"/>
      <c r="B216" s="89"/>
      <c r="C216" s="89"/>
      <c r="D216" s="89"/>
      <c r="E216" s="89"/>
      <c r="F216" s="89"/>
      <c r="G216" s="89"/>
      <c r="H216" s="89"/>
      <c r="I216" s="89"/>
      <c r="J216" s="90"/>
      <c r="K216" s="89"/>
      <c r="L216" s="102"/>
    </row>
    <row r="217" spans="1:12" ht="15.75" thickBot="1">
      <c r="A217" s="89"/>
      <c r="B217" s="89"/>
      <c r="C217" s="89"/>
      <c r="D217" s="89"/>
      <c r="E217" s="89"/>
      <c r="F217" s="89"/>
      <c r="G217" s="89"/>
      <c r="H217" s="89"/>
      <c r="I217" s="89"/>
      <c r="J217" s="90"/>
      <c r="K217" s="89"/>
      <c r="L217" s="102"/>
    </row>
    <row r="218" spans="1:12" ht="15.75" thickBot="1">
      <c r="A218" s="89"/>
      <c r="B218" s="89"/>
      <c r="C218" s="89"/>
      <c r="D218" s="89"/>
      <c r="E218" s="89"/>
      <c r="F218" s="89"/>
      <c r="G218" s="89"/>
      <c r="H218" s="89"/>
      <c r="I218" s="89"/>
      <c r="J218" s="90"/>
      <c r="K218" s="89"/>
      <c r="L218" s="102"/>
    </row>
    <row r="219" spans="1:12" ht="15.75" thickBot="1">
      <c r="A219" s="89"/>
      <c r="B219" s="89"/>
      <c r="C219" s="89"/>
      <c r="D219" s="89"/>
      <c r="E219" s="89"/>
      <c r="F219" s="89"/>
      <c r="G219" s="89"/>
      <c r="H219" s="89"/>
      <c r="I219" s="89"/>
      <c r="J219" s="90"/>
      <c r="K219" s="89"/>
      <c r="L219" s="102"/>
    </row>
    <row r="220" spans="1:12" ht="15.75" thickBot="1">
      <c r="A220" s="89"/>
      <c r="B220" s="89"/>
      <c r="C220" s="89"/>
      <c r="D220" s="89"/>
      <c r="E220" s="89"/>
      <c r="F220" s="89"/>
      <c r="G220" s="89"/>
      <c r="H220" s="89"/>
      <c r="I220" s="89"/>
      <c r="J220" s="90"/>
      <c r="K220" s="89"/>
      <c r="L220" s="102"/>
    </row>
    <row r="221" spans="1:12" ht="15.75" thickBot="1">
      <c r="A221" s="89"/>
      <c r="B221" s="89"/>
      <c r="C221" s="89"/>
      <c r="D221" s="89"/>
      <c r="E221" s="89"/>
      <c r="F221" s="89"/>
      <c r="G221" s="89"/>
      <c r="H221" s="89"/>
      <c r="I221" s="89"/>
      <c r="J221" s="90"/>
      <c r="K221" s="89"/>
      <c r="L221" s="102"/>
    </row>
    <row r="222" spans="1:12" ht="15.75" thickBot="1">
      <c r="A222" s="89"/>
      <c r="B222" s="89"/>
      <c r="C222" s="89"/>
      <c r="D222" s="89"/>
      <c r="E222" s="89"/>
      <c r="F222" s="89"/>
      <c r="G222" s="89"/>
      <c r="H222" s="89"/>
      <c r="I222" s="89"/>
      <c r="J222" s="90"/>
      <c r="K222" s="89"/>
      <c r="L222" s="102"/>
    </row>
    <row r="223" spans="1:12" ht="15.75" thickBot="1">
      <c r="A223" s="89"/>
      <c r="B223" s="89"/>
      <c r="C223" s="89"/>
      <c r="D223" s="89"/>
      <c r="E223" s="89"/>
      <c r="F223" s="89"/>
      <c r="G223" s="89"/>
      <c r="H223" s="89"/>
      <c r="I223" s="89"/>
      <c r="J223" s="90"/>
      <c r="K223" s="89"/>
      <c r="L223" s="102"/>
    </row>
    <row r="224" spans="1:12" ht="15.75" thickBot="1">
      <c r="A224" s="89"/>
      <c r="B224" s="89"/>
      <c r="C224" s="89"/>
      <c r="D224" s="89"/>
      <c r="E224" s="89"/>
      <c r="F224" s="89"/>
      <c r="G224" s="89"/>
      <c r="H224" s="89"/>
      <c r="I224" s="89"/>
      <c r="J224" s="90"/>
      <c r="K224" s="89"/>
      <c r="L224" s="102"/>
    </row>
    <row r="225" spans="1:12" ht="15.75" thickBot="1">
      <c r="A225" s="89"/>
      <c r="B225" s="89"/>
      <c r="C225" s="89"/>
      <c r="D225" s="89"/>
      <c r="E225" s="89"/>
      <c r="F225" s="89"/>
      <c r="G225" s="89"/>
      <c r="H225" s="89"/>
      <c r="I225" s="89"/>
      <c r="J225" s="90"/>
      <c r="K225" s="89"/>
      <c r="L225" s="102"/>
    </row>
    <row r="226" spans="1:12" ht="15.75" thickBot="1">
      <c r="A226" s="89"/>
      <c r="B226" s="89"/>
      <c r="C226" s="89"/>
      <c r="D226" s="89"/>
      <c r="E226" s="89"/>
      <c r="F226" s="89"/>
      <c r="G226" s="89"/>
      <c r="H226" s="89"/>
      <c r="I226" s="89"/>
      <c r="J226" s="90"/>
      <c r="K226" s="89"/>
      <c r="L226" s="102"/>
    </row>
    <row r="227" spans="1:12" ht="15.75" thickBot="1">
      <c r="A227" s="89"/>
      <c r="B227" s="89"/>
      <c r="C227" s="89"/>
      <c r="D227" s="89"/>
      <c r="E227" s="89"/>
      <c r="F227" s="89"/>
      <c r="G227" s="89"/>
      <c r="H227" s="89"/>
      <c r="I227" s="89"/>
      <c r="J227" s="90"/>
      <c r="K227" s="89"/>
      <c r="L227" s="102"/>
    </row>
    <row r="228" spans="1:12" ht="15.75" thickBot="1">
      <c r="A228" s="89"/>
      <c r="B228" s="89"/>
      <c r="C228" s="89"/>
      <c r="D228" s="89"/>
      <c r="E228" s="89"/>
      <c r="F228" s="89"/>
      <c r="G228" s="89"/>
      <c r="H228" s="89"/>
      <c r="I228" s="89"/>
      <c r="J228" s="90"/>
      <c r="K228" s="89"/>
      <c r="L228" s="102"/>
    </row>
    <row r="229" spans="1:12" ht="15.75" thickBot="1">
      <c r="A229" s="89"/>
      <c r="B229" s="89"/>
      <c r="C229" s="89"/>
      <c r="D229" s="89"/>
      <c r="E229" s="89"/>
      <c r="F229" s="89"/>
      <c r="G229" s="89"/>
      <c r="H229" s="89"/>
      <c r="I229" s="89"/>
      <c r="J229" s="90"/>
      <c r="K229" s="89"/>
      <c r="L229" s="102"/>
    </row>
    <row r="230" spans="1:12" ht="15.75" thickBot="1">
      <c r="A230" s="89"/>
      <c r="B230" s="89"/>
      <c r="C230" s="89"/>
      <c r="D230" s="89"/>
      <c r="E230" s="89"/>
      <c r="F230" s="89"/>
      <c r="G230" s="89"/>
      <c r="H230" s="89"/>
      <c r="I230" s="89"/>
      <c r="J230" s="90"/>
      <c r="K230" s="89"/>
      <c r="L230" s="102"/>
    </row>
    <row r="231" spans="1:12" ht="15.75" thickBot="1">
      <c r="A231" s="89"/>
      <c r="B231" s="89"/>
      <c r="C231" s="89"/>
      <c r="D231" s="89"/>
      <c r="E231" s="89"/>
      <c r="F231" s="89"/>
      <c r="G231" s="89"/>
      <c r="H231" s="89"/>
      <c r="I231" s="89"/>
      <c r="J231" s="90"/>
      <c r="K231" s="89"/>
      <c r="L231" s="102"/>
    </row>
    <row r="232" spans="1:12" ht="15.75" thickBot="1">
      <c r="A232" s="89"/>
      <c r="B232" s="89"/>
      <c r="C232" s="89"/>
      <c r="D232" s="89"/>
      <c r="E232" s="89"/>
      <c r="F232" s="89"/>
      <c r="G232" s="89"/>
      <c r="H232" s="89"/>
      <c r="I232" s="89"/>
      <c r="J232" s="90"/>
      <c r="K232" s="89"/>
      <c r="L232" s="102"/>
    </row>
    <row r="233" spans="1:12" ht="15.75" thickBot="1">
      <c r="A233" s="89"/>
      <c r="B233" s="89"/>
      <c r="C233" s="89"/>
      <c r="D233" s="89"/>
      <c r="E233" s="89"/>
      <c r="F233" s="89"/>
      <c r="G233" s="89"/>
      <c r="H233" s="89"/>
      <c r="I233" s="89"/>
      <c r="J233" s="90"/>
      <c r="K233" s="89"/>
      <c r="L233" s="102"/>
    </row>
    <row r="234" spans="1:12" ht="15.75" thickBot="1">
      <c r="A234" s="89"/>
      <c r="B234" s="89"/>
      <c r="C234" s="89"/>
      <c r="D234" s="89"/>
      <c r="E234" s="89"/>
      <c r="F234" s="89"/>
      <c r="G234" s="89"/>
      <c r="H234" s="89"/>
      <c r="I234" s="89"/>
      <c r="J234" s="90"/>
      <c r="K234" s="89"/>
      <c r="L234" s="102"/>
    </row>
    <row r="235" spans="1:12" ht="15.75" thickBot="1">
      <c r="A235" s="89"/>
      <c r="B235" s="89"/>
      <c r="C235" s="89"/>
      <c r="D235" s="89"/>
      <c r="E235" s="89"/>
      <c r="F235" s="89"/>
      <c r="G235" s="89"/>
      <c r="H235" s="89"/>
      <c r="I235" s="89"/>
      <c r="J235" s="90"/>
      <c r="K235" s="89"/>
      <c r="L235" s="102"/>
    </row>
    <row r="236" spans="1:12" ht="15.75" thickBot="1">
      <c r="A236" s="89"/>
      <c r="B236" s="89"/>
      <c r="C236" s="89"/>
      <c r="D236" s="89"/>
      <c r="E236" s="89"/>
      <c r="F236" s="89"/>
      <c r="G236" s="89"/>
      <c r="H236" s="89"/>
      <c r="I236" s="89"/>
      <c r="J236" s="90"/>
      <c r="K236" s="89"/>
      <c r="L236" s="102"/>
    </row>
    <row r="237" spans="1:12" ht="15.75" thickBot="1">
      <c r="A237" s="89"/>
      <c r="B237" s="89"/>
      <c r="C237" s="89"/>
      <c r="D237" s="89"/>
      <c r="E237" s="89"/>
      <c r="F237" s="89"/>
      <c r="G237" s="89"/>
      <c r="H237" s="89"/>
      <c r="I237" s="89"/>
      <c r="J237" s="90"/>
      <c r="K237" s="89"/>
      <c r="L237" s="102"/>
    </row>
    <row r="238" spans="1:12" ht="15.75" thickBot="1">
      <c r="A238" s="89"/>
      <c r="B238" s="89"/>
      <c r="C238" s="89"/>
      <c r="D238" s="89"/>
      <c r="E238" s="89"/>
      <c r="F238" s="89"/>
      <c r="G238" s="89"/>
      <c r="H238" s="89"/>
      <c r="I238" s="89"/>
      <c r="J238" s="90"/>
      <c r="K238" s="89"/>
      <c r="L238" s="102"/>
    </row>
    <row r="239" spans="1:12" ht="15.75" thickBot="1">
      <c r="A239" s="89"/>
      <c r="B239" s="89"/>
      <c r="C239" s="89"/>
      <c r="D239" s="89"/>
      <c r="E239" s="89"/>
      <c r="F239" s="89"/>
      <c r="G239" s="89"/>
      <c r="H239" s="89"/>
      <c r="I239" s="89"/>
      <c r="J239" s="90"/>
      <c r="K239" s="89"/>
      <c r="L239" s="102"/>
    </row>
    <row r="240" spans="1:12" ht="15.75" thickBot="1">
      <c r="A240" s="89"/>
      <c r="B240" s="89"/>
      <c r="C240" s="89"/>
      <c r="D240" s="89"/>
      <c r="E240" s="89"/>
      <c r="F240" s="89"/>
      <c r="G240" s="89"/>
      <c r="H240" s="89"/>
      <c r="I240" s="89"/>
      <c r="J240" s="90"/>
      <c r="K240" s="89"/>
      <c r="L240" s="102"/>
    </row>
    <row r="241" spans="1:12" ht="15.75" thickBot="1">
      <c r="A241" s="89"/>
      <c r="B241" s="89"/>
      <c r="C241" s="89"/>
      <c r="D241" s="89"/>
      <c r="E241" s="89"/>
      <c r="F241" s="89"/>
      <c r="G241" s="89"/>
      <c r="H241" s="89"/>
      <c r="I241" s="89"/>
      <c r="J241" s="90"/>
      <c r="K241" s="89"/>
      <c r="L241" s="102"/>
    </row>
    <row r="242" spans="1:12" ht="15.75" thickBot="1">
      <c r="A242" s="89"/>
      <c r="B242" s="89"/>
      <c r="C242" s="89"/>
      <c r="D242" s="89"/>
      <c r="E242" s="89"/>
      <c r="F242" s="89"/>
      <c r="G242" s="89"/>
      <c r="H242" s="89"/>
      <c r="I242" s="89"/>
      <c r="J242" s="90"/>
      <c r="K242" s="89"/>
      <c r="L242" s="102"/>
    </row>
    <row r="243" spans="1:12" ht="15.75" thickBot="1">
      <c r="A243" s="89"/>
      <c r="B243" s="89"/>
      <c r="C243" s="89"/>
      <c r="D243" s="89"/>
      <c r="E243" s="89"/>
      <c r="F243" s="89"/>
      <c r="G243" s="89"/>
      <c r="H243" s="89"/>
      <c r="I243" s="89"/>
      <c r="J243" s="90"/>
      <c r="K243" s="89"/>
      <c r="L243" s="102"/>
    </row>
    <row r="244" spans="1:12" ht="15.75" thickBot="1">
      <c r="A244" s="89"/>
      <c r="B244" s="89"/>
      <c r="C244" s="89"/>
      <c r="D244" s="89"/>
      <c r="E244" s="89"/>
      <c r="F244" s="89"/>
      <c r="G244" s="89"/>
      <c r="H244" s="89"/>
      <c r="I244" s="89"/>
      <c r="J244" s="90"/>
      <c r="K244" s="89"/>
      <c r="L244" s="102"/>
    </row>
    <row r="245" spans="1:12" ht="15.75" thickBot="1">
      <c r="A245" s="89"/>
      <c r="B245" s="89"/>
      <c r="C245" s="89"/>
      <c r="D245" s="89"/>
      <c r="E245" s="89"/>
      <c r="F245" s="89"/>
      <c r="G245" s="89"/>
      <c r="H245" s="89"/>
      <c r="I245" s="89"/>
      <c r="J245" s="90"/>
      <c r="K245" s="89"/>
      <c r="L245" s="102"/>
    </row>
    <row r="246" spans="1:12" ht="15.75" thickBot="1">
      <c r="A246" s="89"/>
      <c r="B246" s="89"/>
      <c r="C246" s="89"/>
      <c r="D246" s="89"/>
      <c r="E246" s="89"/>
      <c r="F246" s="89"/>
      <c r="G246" s="89"/>
      <c r="H246" s="89"/>
      <c r="I246" s="89"/>
      <c r="J246" s="90"/>
      <c r="K246" s="89"/>
      <c r="L246" s="102"/>
    </row>
    <row r="247" spans="1:12" ht="15.75" thickBot="1">
      <c r="A247" s="89"/>
      <c r="B247" s="89"/>
      <c r="C247" s="89"/>
      <c r="D247" s="89"/>
      <c r="E247" s="89"/>
      <c r="F247" s="89"/>
      <c r="G247" s="89"/>
      <c r="H247" s="89"/>
      <c r="I247" s="89"/>
      <c r="J247" s="90"/>
      <c r="K247" s="89"/>
      <c r="L247" s="102"/>
    </row>
    <row r="248" spans="1:12" ht="15.75" thickBot="1">
      <c r="A248" s="89"/>
      <c r="B248" s="89"/>
      <c r="C248" s="89"/>
      <c r="D248" s="89"/>
      <c r="E248" s="89"/>
      <c r="F248" s="89"/>
      <c r="G248" s="89"/>
      <c r="H248" s="89"/>
      <c r="I248" s="89"/>
      <c r="J248" s="90"/>
      <c r="K248" s="89"/>
      <c r="L248" s="102"/>
    </row>
    <row r="249" spans="1:12" ht="15.75" thickBot="1">
      <c r="A249" s="89"/>
      <c r="B249" s="89"/>
      <c r="C249" s="89"/>
      <c r="D249" s="89"/>
      <c r="E249" s="89"/>
      <c r="F249" s="89"/>
      <c r="G249" s="89"/>
      <c r="H249" s="89"/>
      <c r="I249" s="89"/>
      <c r="J249" s="90"/>
      <c r="K249" s="89"/>
      <c r="L249" s="102"/>
    </row>
    <row r="250" spans="1:12" ht="15.75" thickBot="1">
      <c r="A250" s="89"/>
      <c r="B250" s="89"/>
      <c r="C250" s="89"/>
      <c r="D250" s="89"/>
      <c r="E250" s="89"/>
      <c r="F250" s="89"/>
      <c r="G250" s="89"/>
      <c r="H250" s="89"/>
      <c r="I250" s="89"/>
      <c r="J250" s="90"/>
      <c r="K250" s="89"/>
      <c r="L250" s="102"/>
    </row>
    <row r="251" spans="1:12" ht="15.75" thickBot="1">
      <c r="A251" s="89"/>
      <c r="B251" s="89"/>
      <c r="C251" s="89"/>
      <c r="D251" s="89"/>
      <c r="E251" s="89"/>
      <c r="F251" s="89"/>
      <c r="G251" s="89"/>
      <c r="H251" s="89"/>
      <c r="I251" s="89"/>
      <c r="J251" s="90"/>
      <c r="K251" s="89"/>
      <c r="L251" s="102"/>
    </row>
    <row r="252" spans="1:12" ht="15.75" thickBot="1">
      <c r="A252" s="89"/>
      <c r="B252" s="89"/>
      <c r="C252" s="89"/>
      <c r="D252" s="89"/>
      <c r="E252" s="89"/>
      <c r="F252" s="89"/>
      <c r="G252" s="89"/>
      <c r="H252" s="89"/>
      <c r="I252" s="89"/>
      <c r="J252" s="90"/>
      <c r="K252" s="89"/>
      <c r="L252" s="102"/>
    </row>
    <row r="253" spans="1:12" ht="15.75" thickBot="1">
      <c r="A253" s="89"/>
      <c r="B253" s="89"/>
      <c r="C253" s="89"/>
      <c r="D253" s="89"/>
      <c r="E253" s="89"/>
      <c r="F253" s="89"/>
      <c r="G253" s="89"/>
      <c r="H253" s="89"/>
      <c r="I253" s="89"/>
      <c r="J253" s="90"/>
      <c r="K253" s="89"/>
      <c r="L253" s="102"/>
    </row>
    <row r="254" spans="1:12" ht="15.75" thickBot="1">
      <c r="A254" s="89"/>
      <c r="B254" s="89"/>
      <c r="C254" s="89"/>
      <c r="D254" s="89"/>
      <c r="E254" s="89"/>
      <c r="F254" s="89"/>
      <c r="G254" s="89"/>
      <c r="H254" s="89"/>
      <c r="I254" s="89"/>
      <c r="J254" s="90"/>
      <c r="K254" s="89"/>
      <c r="L254" s="102"/>
    </row>
    <row r="255" spans="1:12" ht="15.75" thickBot="1">
      <c r="A255" s="89"/>
      <c r="B255" s="89"/>
      <c r="C255" s="89"/>
      <c r="D255" s="89"/>
      <c r="E255" s="89"/>
      <c r="F255" s="89"/>
      <c r="G255" s="89"/>
      <c r="H255" s="89"/>
      <c r="I255" s="89"/>
      <c r="J255" s="90"/>
      <c r="K255" s="89"/>
      <c r="L255" s="102"/>
    </row>
    <row r="256" spans="1:12" ht="15.75" thickBot="1">
      <c r="A256" s="89"/>
      <c r="B256" s="89"/>
      <c r="C256" s="89"/>
      <c r="D256" s="89"/>
      <c r="E256" s="89"/>
      <c r="F256" s="89"/>
      <c r="G256" s="89"/>
      <c r="H256" s="89"/>
      <c r="I256" s="89"/>
      <c r="J256" s="90"/>
      <c r="K256" s="89"/>
      <c r="L256" s="102"/>
    </row>
    <row r="257" spans="1:12" ht="15.75" thickBot="1">
      <c r="A257" s="89"/>
      <c r="B257" s="89"/>
      <c r="C257" s="89"/>
      <c r="D257" s="89"/>
      <c r="E257" s="89"/>
      <c r="F257" s="89"/>
      <c r="G257" s="89"/>
      <c r="H257" s="89"/>
      <c r="I257" s="89"/>
      <c r="J257" s="90"/>
      <c r="K257" s="89"/>
      <c r="L257" s="102"/>
    </row>
    <row r="258" spans="1:12" ht="15.75" thickBot="1">
      <c r="A258" s="89"/>
      <c r="B258" s="89"/>
      <c r="C258" s="89"/>
      <c r="D258" s="89"/>
      <c r="E258" s="89"/>
      <c r="F258" s="89"/>
      <c r="G258" s="89"/>
      <c r="H258" s="89"/>
      <c r="I258" s="89"/>
      <c r="J258" s="90"/>
      <c r="K258" s="89"/>
      <c r="L258" s="102"/>
    </row>
    <row r="259" spans="1:12" ht="15.75" thickBot="1">
      <c r="A259" s="89"/>
      <c r="B259" s="89"/>
      <c r="C259" s="89"/>
      <c r="D259" s="89"/>
      <c r="E259" s="89"/>
      <c r="F259" s="89"/>
      <c r="G259" s="89"/>
      <c r="H259" s="89"/>
      <c r="I259" s="89"/>
      <c r="J259" s="90"/>
      <c r="K259" s="89"/>
      <c r="L259" s="102"/>
    </row>
    <row r="260" spans="1:12" ht="15.75" thickBot="1">
      <c r="A260" s="89"/>
      <c r="B260" s="89"/>
      <c r="C260" s="89"/>
      <c r="D260" s="89"/>
      <c r="E260" s="89"/>
      <c r="F260" s="89"/>
      <c r="G260" s="89"/>
      <c r="H260" s="89"/>
      <c r="I260" s="89"/>
      <c r="J260" s="90"/>
      <c r="K260" s="89"/>
      <c r="L260" s="102"/>
    </row>
    <row r="261" spans="1:12" ht="15.75" thickBot="1">
      <c r="A261" s="89"/>
      <c r="B261" s="89"/>
      <c r="C261" s="89"/>
      <c r="D261" s="89"/>
      <c r="E261" s="89"/>
      <c r="F261" s="89"/>
      <c r="G261" s="89"/>
      <c r="H261" s="89"/>
      <c r="I261" s="89"/>
      <c r="J261" s="90"/>
      <c r="K261" s="89"/>
      <c r="L261" s="102"/>
    </row>
    <row r="262" spans="1:12" ht="15.75" thickBot="1">
      <c r="A262" s="89"/>
      <c r="B262" s="89"/>
      <c r="C262" s="89"/>
      <c r="D262" s="89"/>
      <c r="E262" s="89"/>
      <c r="F262" s="89"/>
      <c r="G262" s="89"/>
      <c r="H262" s="89"/>
      <c r="I262" s="89"/>
      <c r="J262" s="90"/>
      <c r="K262" s="89"/>
      <c r="L262" s="102"/>
    </row>
    <row r="263" spans="1:12" ht="15.75" thickBot="1">
      <c r="A263" s="89"/>
      <c r="B263" s="89"/>
      <c r="C263" s="89"/>
      <c r="D263" s="89"/>
      <c r="E263" s="89"/>
      <c r="F263" s="89"/>
      <c r="G263" s="89"/>
      <c r="H263" s="89"/>
      <c r="I263" s="89"/>
      <c r="J263" s="90"/>
      <c r="K263" s="89"/>
      <c r="L263" s="102"/>
    </row>
    <row r="264" spans="1:12" ht="15.75" thickBot="1">
      <c r="A264" s="89"/>
      <c r="B264" s="89"/>
      <c r="C264" s="89"/>
      <c r="D264" s="89"/>
      <c r="E264" s="89"/>
      <c r="F264" s="89"/>
      <c r="G264" s="89"/>
      <c r="H264" s="89"/>
      <c r="I264" s="89"/>
      <c r="J264" s="90"/>
      <c r="K264" s="89"/>
      <c r="L264" s="102"/>
    </row>
    <row r="265" spans="1:12" ht="15.75" thickBot="1">
      <c r="A265" s="89"/>
      <c r="B265" s="89"/>
      <c r="C265" s="89"/>
      <c r="D265" s="89"/>
      <c r="E265" s="89"/>
      <c r="F265" s="89"/>
      <c r="G265" s="89"/>
      <c r="H265" s="89"/>
      <c r="I265" s="89"/>
      <c r="J265" s="90"/>
      <c r="K265" s="89"/>
      <c r="L265" s="102"/>
    </row>
    <row r="266" spans="1:12" ht="15.75" thickBot="1">
      <c r="A266" s="89"/>
      <c r="B266" s="89"/>
      <c r="C266" s="89"/>
      <c r="D266" s="89"/>
      <c r="E266" s="89"/>
      <c r="F266" s="89"/>
      <c r="G266" s="89"/>
      <c r="H266" s="89"/>
      <c r="I266" s="89"/>
      <c r="J266" s="90"/>
      <c r="K266" s="89"/>
      <c r="L266" s="102"/>
    </row>
    <row r="267" spans="1:12" ht="15.75" thickBot="1">
      <c r="A267" s="89"/>
      <c r="B267" s="89"/>
      <c r="C267" s="89"/>
      <c r="D267" s="89"/>
      <c r="E267" s="89"/>
      <c r="F267" s="89"/>
      <c r="G267" s="89"/>
      <c r="H267" s="89"/>
      <c r="I267" s="89"/>
      <c r="J267" s="90"/>
      <c r="K267" s="89"/>
      <c r="L267" s="102"/>
    </row>
    <row r="268" spans="1:12" ht="15.75" thickBot="1">
      <c r="A268" s="89"/>
      <c r="B268" s="89"/>
      <c r="C268" s="89"/>
      <c r="D268" s="89"/>
      <c r="E268" s="89"/>
      <c r="F268" s="89"/>
      <c r="G268" s="89"/>
      <c r="H268" s="89"/>
      <c r="I268" s="89"/>
      <c r="J268" s="90"/>
      <c r="K268" s="89"/>
      <c r="L268" s="102"/>
    </row>
    <row r="269" spans="1:12" ht="15.75" thickBot="1">
      <c r="A269" s="89"/>
      <c r="B269" s="89"/>
      <c r="C269" s="89"/>
      <c r="D269" s="89"/>
      <c r="E269" s="89"/>
      <c r="F269" s="89"/>
      <c r="G269" s="89"/>
      <c r="H269" s="89"/>
      <c r="I269" s="89"/>
      <c r="J269" s="90"/>
      <c r="K269" s="89"/>
      <c r="L269" s="102"/>
    </row>
    <row r="270" spans="1:12" ht="15.75" thickBot="1">
      <c r="A270" s="89"/>
      <c r="B270" s="89"/>
      <c r="C270" s="89"/>
      <c r="D270" s="89"/>
      <c r="E270" s="89"/>
      <c r="F270" s="89"/>
      <c r="G270" s="89"/>
      <c r="H270" s="89"/>
      <c r="I270" s="89"/>
      <c r="J270" s="90"/>
      <c r="K270" s="89"/>
      <c r="L270" s="102"/>
    </row>
    <row r="271" spans="1:12" ht="15.75" thickBot="1">
      <c r="A271" s="89"/>
      <c r="B271" s="89"/>
      <c r="C271" s="89"/>
      <c r="D271" s="89"/>
      <c r="E271" s="89"/>
      <c r="F271" s="89"/>
      <c r="G271" s="89"/>
      <c r="H271" s="89"/>
      <c r="I271" s="89"/>
      <c r="J271" s="90"/>
      <c r="K271" s="89"/>
      <c r="L271" s="102"/>
    </row>
    <row r="272" spans="1:12" ht="15.75" thickBot="1">
      <c r="A272" s="89"/>
      <c r="B272" s="89"/>
      <c r="C272" s="89"/>
      <c r="D272" s="89"/>
      <c r="E272" s="89"/>
      <c r="F272" s="89"/>
      <c r="G272" s="89"/>
      <c r="H272" s="89"/>
      <c r="I272" s="89"/>
      <c r="J272" s="90"/>
      <c r="K272" s="89"/>
      <c r="L272" s="102"/>
    </row>
    <row r="273" spans="1:12" ht="15.75" thickBot="1">
      <c r="A273" s="89"/>
      <c r="B273" s="89"/>
      <c r="C273" s="89"/>
      <c r="D273" s="89"/>
      <c r="E273" s="89"/>
      <c r="F273" s="89"/>
      <c r="G273" s="89"/>
      <c r="H273" s="89"/>
      <c r="I273" s="89"/>
      <c r="J273" s="90"/>
      <c r="K273" s="89"/>
      <c r="L273" s="102"/>
    </row>
    <row r="274" spans="1:12" ht="15.75" thickBot="1">
      <c r="A274" s="89"/>
      <c r="B274" s="89"/>
      <c r="C274" s="89"/>
      <c r="D274" s="89"/>
      <c r="E274" s="89"/>
      <c r="F274" s="89"/>
      <c r="G274" s="89"/>
      <c r="H274" s="89"/>
      <c r="I274" s="89"/>
      <c r="J274" s="90"/>
      <c r="K274" s="89"/>
      <c r="L274" s="102"/>
    </row>
    <row r="275" spans="1:12" ht="15.75" thickBot="1">
      <c r="A275" s="89"/>
      <c r="B275" s="89"/>
      <c r="C275" s="89"/>
      <c r="D275" s="89"/>
      <c r="E275" s="89"/>
      <c r="F275" s="89"/>
      <c r="G275" s="89"/>
      <c r="H275" s="89"/>
      <c r="I275" s="89"/>
      <c r="J275" s="90"/>
      <c r="K275" s="89"/>
      <c r="L275" s="102"/>
    </row>
    <row r="276" spans="1:12" ht="15.75" thickBot="1">
      <c r="A276" s="89"/>
      <c r="B276" s="89"/>
      <c r="C276" s="89"/>
      <c r="D276" s="89"/>
      <c r="E276" s="89"/>
      <c r="F276" s="89"/>
      <c r="G276" s="89"/>
      <c r="H276" s="89"/>
      <c r="I276" s="89"/>
      <c r="J276" s="90"/>
      <c r="K276" s="89"/>
      <c r="L276" s="102"/>
    </row>
    <row r="277" spans="1:12" ht="15.75" thickBot="1">
      <c r="A277" s="89"/>
      <c r="B277" s="89"/>
      <c r="C277" s="89"/>
      <c r="D277" s="89"/>
      <c r="E277" s="89"/>
      <c r="F277" s="89"/>
      <c r="G277" s="89"/>
      <c r="H277" s="89"/>
      <c r="I277" s="89"/>
      <c r="J277" s="90"/>
      <c r="K277" s="89"/>
      <c r="L277" s="102"/>
    </row>
    <row r="278" spans="1:12" ht="15.75" thickBot="1">
      <c r="A278" s="89"/>
      <c r="B278" s="89"/>
      <c r="C278" s="89"/>
      <c r="D278" s="89"/>
      <c r="E278" s="89"/>
      <c r="F278" s="89"/>
      <c r="G278" s="89"/>
      <c r="H278" s="89"/>
      <c r="I278" s="89"/>
      <c r="J278" s="90"/>
      <c r="K278" s="89"/>
      <c r="L278" s="102"/>
    </row>
    <row r="279" spans="1:12" ht="15.75" thickBot="1">
      <c r="A279" s="89"/>
      <c r="B279" s="89"/>
      <c r="C279" s="89"/>
      <c r="D279" s="89"/>
      <c r="E279" s="89"/>
      <c r="F279" s="89"/>
      <c r="G279" s="89"/>
      <c r="H279" s="89"/>
      <c r="I279" s="89"/>
      <c r="J279" s="90"/>
      <c r="K279" s="89"/>
      <c r="L279" s="102"/>
    </row>
    <row r="280" spans="1:12" ht="15.75" thickBot="1">
      <c r="A280" s="89"/>
      <c r="B280" s="89"/>
      <c r="C280" s="89"/>
      <c r="D280" s="89"/>
      <c r="E280" s="89"/>
      <c r="F280" s="89"/>
      <c r="G280" s="89"/>
      <c r="H280" s="89"/>
      <c r="I280" s="89"/>
      <c r="J280" s="90"/>
      <c r="K280" s="89"/>
      <c r="L280" s="102"/>
    </row>
    <row r="281" spans="1:12" ht="15.75" thickBot="1">
      <c r="A281" s="89"/>
      <c r="B281" s="89"/>
      <c r="C281" s="89"/>
      <c r="D281" s="89"/>
      <c r="E281" s="89"/>
      <c r="F281" s="89"/>
      <c r="G281" s="89"/>
      <c r="H281" s="89"/>
      <c r="I281" s="89"/>
      <c r="J281" s="90"/>
      <c r="K281" s="89"/>
      <c r="L281" s="102"/>
    </row>
    <row r="282" spans="1:12" ht="15.75" thickBot="1">
      <c r="A282" s="89"/>
      <c r="B282" s="89"/>
      <c r="C282" s="89"/>
      <c r="D282" s="89"/>
      <c r="E282" s="89"/>
      <c r="F282" s="89"/>
      <c r="G282" s="89"/>
      <c r="H282" s="89"/>
      <c r="I282" s="89"/>
      <c r="J282" s="90"/>
      <c r="K282" s="89"/>
      <c r="L282" s="102"/>
    </row>
    <row r="283" spans="1:12" ht="15.75" thickBot="1">
      <c r="A283" s="89"/>
      <c r="B283" s="89"/>
      <c r="C283" s="89"/>
      <c r="D283" s="89"/>
      <c r="E283" s="89"/>
      <c r="F283" s="89"/>
      <c r="G283" s="89"/>
      <c r="H283" s="89"/>
      <c r="I283" s="89"/>
      <c r="J283" s="90"/>
      <c r="K283" s="89"/>
      <c r="L283" s="102"/>
    </row>
    <row r="284" spans="1:12" ht="15.75" thickBot="1">
      <c r="A284" s="89"/>
      <c r="B284" s="89"/>
      <c r="C284" s="89"/>
      <c r="D284" s="89"/>
      <c r="E284" s="89"/>
      <c r="F284" s="89"/>
      <c r="G284" s="89"/>
      <c r="H284" s="89"/>
      <c r="I284" s="89"/>
      <c r="J284" s="90"/>
      <c r="K284" s="89"/>
      <c r="L284" s="102"/>
    </row>
    <row r="285" spans="1:12" ht="15.75" thickBot="1">
      <c r="A285" s="89"/>
      <c r="B285" s="89"/>
      <c r="C285" s="89"/>
      <c r="D285" s="89"/>
      <c r="E285" s="89"/>
      <c r="F285" s="89"/>
      <c r="G285" s="89"/>
      <c r="H285" s="89"/>
      <c r="I285" s="89"/>
      <c r="J285" s="90"/>
      <c r="K285" s="89"/>
      <c r="L285" s="102"/>
    </row>
    <row r="286" spans="1:12" ht="15.75" thickBot="1">
      <c r="A286" s="89"/>
      <c r="B286" s="89"/>
      <c r="C286" s="89"/>
      <c r="D286" s="89"/>
      <c r="E286" s="89"/>
      <c r="F286" s="89"/>
      <c r="G286" s="89"/>
      <c r="H286" s="89"/>
      <c r="I286" s="89"/>
      <c r="J286" s="90"/>
      <c r="K286" s="89"/>
      <c r="L286" s="102"/>
    </row>
    <row r="287" spans="1:12" ht="15.75" thickBot="1">
      <c r="A287" s="89"/>
      <c r="B287" s="89"/>
      <c r="C287" s="89"/>
      <c r="D287" s="89"/>
      <c r="E287" s="89"/>
      <c r="F287" s="89"/>
      <c r="G287" s="89"/>
      <c r="H287" s="89"/>
      <c r="I287" s="89"/>
      <c r="J287" s="90"/>
      <c r="K287" s="89"/>
      <c r="L287" s="102"/>
    </row>
    <row r="288" spans="1:12" ht="15.75" thickBot="1">
      <c r="A288" s="89"/>
      <c r="B288" s="89"/>
      <c r="C288" s="89"/>
      <c r="D288" s="89"/>
      <c r="E288" s="89"/>
      <c r="F288" s="89"/>
      <c r="G288" s="89"/>
      <c r="H288" s="89"/>
      <c r="I288" s="89"/>
      <c r="J288" s="90"/>
      <c r="K288" s="89"/>
      <c r="L288" s="102"/>
    </row>
    <row r="289" spans="1:12" ht="15.75" thickBot="1">
      <c r="A289" s="89"/>
      <c r="B289" s="89"/>
      <c r="C289" s="89"/>
      <c r="D289" s="89"/>
      <c r="E289" s="89"/>
      <c r="F289" s="89"/>
      <c r="G289" s="89"/>
      <c r="H289" s="89"/>
      <c r="I289" s="89"/>
      <c r="J289" s="90"/>
      <c r="K289" s="89"/>
      <c r="L289" s="102"/>
    </row>
    <row r="290" spans="1:12" ht="15.75" thickBot="1">
      <c r="A290" s="89"/>
      <c r="B290" s="89"/>
      <c r="C290" s="89"/>
      <c r="D290" s="89"/>
      <c r="E290" s="89"/>
      <c r="F290" s="89"/>
      <c r="G290" s="89"/>
      <c r="H290" s="89"/>
      <c r="I290" s="89"/>
      <c r="J290" s="90"/>
      <c r="K290" s="89"/>
      <c r="L290" s="102"/>
    </row>
    <row r="291" spans="1:12" ht="15.75" thickBot="1">
      <c r="A291" s="89"/>
      <c r="B291" s="89"/>
      <c r="C291" s="89"/>
      <c r="D291" s="89"/>
      <c r="E291" s="89"/>
      <c r="F291" s="89"/>
      <c r="G291" s="89"/>
      <c r="H291" s="89"/>
      <c r="I291" s="89"/>
      <c r="J291" s="90"/>
      <c r="K291" s="89"/>
      <c r="L291" s="102"/>
    </row>
    <row r="292" spans="1:12" ht="15.75" thickBot="1">
      <c r="A292" s="89"/>
      <c r="B292" s="89"/>
      <c r="C292" s="89"/>
      <c r="D292" s="89"/>
      <c r="E292" s="89"/>
      <c r="F292" s="89"/>
      <c r="G292" s="89"/>
      <c r="H292" s="89"/>
      <c r="I292" s="89"/>
      <c r="J292" s="90"/>
      <c r="K292" s="89"/>
      <c r="L292" s="102"/>
    </row>
    <row r="293" spans="1:12" ht="15.75" thickBot="1">
      <c r="A293" s="89"/>
      <c r="B293" s="89"/>
      <c r="C293" s="89"/>
      <c r="D293" s="89"/>
      <c r="E293" s="89"/>
      <c r="F293" s="89"/>
      <c r="G293" s="89"/>
      <c r="H293" s="89"/>
      <c r="I293" s="89"/>
      <c r="J293" s="90"/>
      <c r="K293" s="89"/>
      <c r="L293" s="102"/>
    </row>
    <row r="294" spans="1:12" ht="15.75" thickBot="1">
      <c r="A294" s="89"/>
      <c r="B294" s="89"/>
      <c r="C294" s="89"/>
      <c r="D294" s="89"/>
      <c r="E294" s="89"/>
      <c r="F294" s="89"/>
      <c r="G294" s="89"/>
      <c r="H294" s="89"/>
      <c r="I294" s="89"/>
      <c r="J294" s="90"/>
      <c r="K294" s="89"/>
      <c r="L294" s="102"/>
    </row>
    <row r="295" spans="1:12" ht="15.75" thickBot="1">
      <c r="A295" s="89"/>
      <c r="B295" s="89"/>
      <c r="C295" s="89"/>
      <c r="D295" s="89"/>
      <c r="E295" s="89"/>
      <c r="F295" s="89"/>
      <c r="G295" s="89"/>
      <c r="H295" s="89"/>
      <c r="I295" s="89"/>
      <c r="J295" s="90"/>
      <c r="K295" s="89"/>
      <c r="L295" s="102"/>
    </row>
    <row r="296" spans="1:12" ht="15.75" thickBot="1">
      <c r="A296" s="89"/>
      <c r="B296" s="89"/>
      <c r="C296" s="89"/>
      <c r="D296" s="89"/>
      <c r="E296" s="89"/>
      <c r="F296" s="89"/>
      <c r="G296" s="89"/>
      <c r="H296" s="89"/>
      <c r="I296" s="89"/>
      <c r="J296" s="90"/>
      <c r="K296" s="89"/>
      <c r="L296" s="102"/>
    </row>
    <row r="297" spans="1:12" ht="15.75" thickBot="1">
      <c r="A297" s="89"/>
      <c r="B297" s="89"/>
      <c r="C297" s="89"/>
      <c r="D297" s="89"/>
      <c r="E297" s="89"/>
      <c r="F297" s="89"/>
      <c r="G297" s="89"/>
      <c r="H297" s="89"/>
      <c r="I297" s="89"/>
      <c r="J297" s="90"/>
      <c r="K297" s="89"/>
      <c r="L297" s="102"/>
    </row>
    <row r="298" spans="1:12" ht="15.75" thickBot="1">
      <c r="A298" s="89"/>
      <c r="B298" s="89"/>
      <c r="C298" s="89"/>
      <c r="D298" s="89"/>
      <c r="E298" s="89"/>
      <c r="F298" s="89"/>
      <c r="G298" s="89"/>
      <c r="H298" s="89"/>
      <c r="I298" s="89"/>
      <c r="J298" s="90"/>
      <c r="K298" s="89"/>
      <c r="L298" s="102"/>
    </row>
    <row r="299" spans="1:12" ht="15.75" thickBot="1">
      <c r="A299" s="89"/>
      <c r="B299" s="89"/>
      <c r="C299" s="89"/>
      <c r="D299" s="89"/>
      <c r="E299" s="89"/>
      <c r="F299" s="89"/>
      <c r="G299" s="89"/>
      <c r="H299" s="89"/>
      <c r="I299" s="89"/>
      <c r="J299" s="90"/>
      <c r="K299" s="89"/>
      <c r="L299" s="102"/>
    </row>
    <row r="300" spans="1:12" ht="15.75" thickBot="1">
      <c r="A300" s="89"/>
      <c r="B300" s="89"/>
      <c r="C300" s="89"/>
      <c r="D300" s="89"/>
      <c r="E300" s="89"/>
      <c r="F300" s="89"/>
      <c r="G300" s="89"/>
      <c r="H300" s="89"/>
      <c r="I300" s="89"/>
      <c r="J300" s="90"/>
      <c r="K300" s="89"/>
      <c r="L300" s="102"/>
    </row>
    <row r="301" spans="1:12" ht="15.75" thickBot="1">
      <c r="A301" s="89"/>
      <c r="B301" s="89"/>
      <c r="C301" s="89"/>
      <c r="D301" s="89"/>
      <c r="E301" s="89"/>
      <c r="F301" s="89"/>
      <c r="G301" s="89"/>
      <c r="H301" s="89"/>
      <c r="I301" s="89"/>
      <c r="J301" s="90"/>
      <c r="K301" s="89"/>
      <c r="L301" s="102"/>
    </row>
    <row r="302" spans="1:12" ht="15.75" thickBot="1">
      <c r="A302" s="89"/>
      <c r="B302" s="89"/>
      <c r="C302" s="89"/>
      <c r="D302" s="89"/>
      <c r="E302" s="89"/>
      <c r="F302" s="89"/>
      <c r="G302" s="89"/>
      <c r="H302" s="89"/>
      <c r="I302" s="89"/>
      <c r="J302" s="90"/>
      <c r="K302" s="89"/>
      <c r="L302" s="102"/>
    </row>
    <row r="303" spans="1:12" ht="15.75" thickBot="1">
      <c r="A303" s="89"/>
      <c r="B303" s="89"/>
      <c r="C303" s="89"/>
      <c r="D303" s="89"/>
      <c r="E303" s="89"/>
      <c r="F303" s="89"/>
      <c r="G303" s="89"/>
      <c r="H303" s="89"/>
      <c r="I303" s="89"/>
      <c r="J303" s="90"/>
      <c r="K303" s="89"/>
      <c r="L303" s="102"/>
    </row>
    <row r="304" spans="1:12" ht="15.75" thickBot="1">
      <c r="A304" s="89"/>
      <c r="B304" s="89"/>
      <c r="C304" s="89"/>
      <c r="D304" s="89"/>
      <c r="E304" s="89"/>
      <c r="F304" s="89"/>
      <c r="G304" s="89"/>
      <c r="H304" s="89"/>
      <c r="I304" s="89"/>
      <c r="J304" s="90"/>
      <c r="K304" s="89"/>
      <c r="L304" s="102"/>
    </row>
    <row r="305" spans="1:12" ht="15.75" thickBot="1">
      <c r="A305" s="89"/>
      <c r="B305" s="89"/>
      <c r="C305" s="89"/>
      <c r="D305" s="89"/>
      <c r="E305" s="89"/>
      <c r="F305" s="89"/>
      <c r="G305" s="89"/>
      <c r="H305" s="89"/>
      <c r="I305" s="89"/>
      <c r="J305" s="90"/>
      <c r="K305" s="89"/>
      <c r="L305" s="102"/>
    </row>
    <row r="306" spans="1:12" ht="15.75" thickBot="1">
      <c r="A306" s="89"/>
      <c r="B306" s="89"/>
      <c r="C306" s="89"/>
      <c r="D306" s="89"/>
      <c r="E306" s="89"/>
      <c r="F306" s="89"/>
      <c r="G306" s="89"/>
      <c r="H306" s="89"/>
      <c r="I306" s="89"/>
      <c r="J306" s="90"/>
      <c r="K306" s="89"/>
      <c r="L306" s="102"/>
    </row>
    <row r="307" spans="1:12" ht="15.75" thickBot="1">
      <c r="A307" s="89"/>
      <c r="B307" s="89"/>
      <c r="C307" s="89"/>
      <c r="D307" s="89"/>
      <c r="E307" s="89"/>
      <c r="F307" s="89"/>
      <c r="G307" s="89"/>
      <c r="H307" s="89"/>
      <c r="I307" s="89"/>
      <c r="J307" s="90"/>
      <c r="K307" s="89"/>
      <c r="L307" s="102"/>
    </row>
    <row r="308" spans="1:12" ht="15.75" thickBot="1">
      <c r="A308" s="89"/>
      <c r="B308" s="89"/>
      <c r="C308" s="89"/>
      <c r="D308" s="89"/>
      <c r="E308" s="89"/>
      <c r="F308" s="89"/>
      <c r="G308" s="89"/>
      <c r="H308" s="89"/>
      <c r="I308" s="89"/>
      <c r="J308" s="90"/>
      <c r="K308" s="89"/>
      <c r="L308" s="102"/>
    </row>
    <row r="309" spans="1:12" ht="15.75" thickBot="1">
      <c r="A309" s="89"/>
      <c r="B309" s="89"/>
      <c r="C309" s="89"/>
      <c r="D309" s="89"/>
      <c r="E309" s="89"/>
      <c r="F309" s="89"/>
      <c r="G309" s="89"/>
      <c r="H309" s="89"/>
      <c r="I309" s="89"/>
      <c r="J309" s="90"/>
      <c r="K309" s="89"/>
      <c r="L309" s="102"/>
    </row>
    <row r="310" spans="1:12" ht="15.75" thickBot="1">
      <c r="A310" s="89"/>
      <c r="B310" s="89"/>
      <c r="C310" s="89"/>
      <c r="D310" s="89"/>
      <c r="E310" s="89"/>
      <c r="F310" s="89"/>
      <c r="G310" s="89"/>
      <c r="H310" s="89"/>
      <c r="I310" s="89"/>
      <c r="J310" s="90"/>
      <c r="K310" s="89"/>
      <c r="L310" s="102"/>
    </row>
    <row r="311" spans="1:12" ht="15.75" thickBot="1">
      <c r="A311" s="89"/>
      <c r="B311" s="89"/>
      <c r="C311" s="89"/>
      <c r="D311" s="89"/>
      <c r="E311" s="89"/>
      <c r="F311" s="89"/>
      <c r="G311" s="89"/>
      <c r="H311" s="89"/>
      <c r="I311" s="89"/>
      <c r="J311" s="90"/>
      <c r="K311" s="89"/>
      <c r="L311" s="102"/>
    </row>
    <row r="312" spans="1:12" ht="15.75" thickBot="1">
      <c r="A312" s="89"/>
      <c r="B312" s="89"/>
      <c r="C312" s="89"/>
      <c r="D312" s="89"/>
      <c r="E312" s="89"/>
      <c r="F312" s="89"/>
      <c r="G312" s="89"/>
      <c r="H312" s="89"/>
      <c r="I312" s="89"/>
      <c r="J312" s="90"/>
      <c r="K312" s="89"/>
      <c r="L312" s="102"/>
    </row>
    <row r="313" spans="1:12" ht="15.75" thickBot="1">
      <c r="A313" s="89"/>
      <c r="B313" s="89"/>
      <c r="C313" s="89"/>
      <c r="D313" s="89"/>
      <c r="E313" s="89"/>
      <c r="F313" s="89"/>
      <c r="G313" s="89"/>
      <c r="H313" s="89"/>
      <c r="I313" s="89"/>
      <c r="J313" s="90"/>
      <c r="K313" s="89"/>
      <c r="L313" s="102"/>
    </row>
    <row r="314" spans="1:12" ht="15.75" thickBot="1">
      <c r="A314" s="89"/>
      <c r="B314" s="89"/>
      <c r="C314" s="89"/>
      <c r="D314" s="89"/>
      <c r="E314" s="89"/>
      <c r="F314" s="89"/>
      <c r="G314" s="89"/>
      <c r="H314" s="89"/>
      <c r="I314" s="89"/>
      <c r="J314" s="90"/>
      <c r="K314" s="89"/>
      <c r="L314" s="102"/>
    </row>
    <row r="315" spans="1:12" ht="15.75" thickBot="1">
      <c r="A315" s="89"/>
      <c r="B315" s="89"/>
      <c r="C315" s="89"/>
      <c r="D315" s="89"/>
      <c r="E315" s="89"/>
      <c r="F315" s="89"/>
      <c r="G315" s="89"/>
      <c r="H315" s="89"/>
      <c r="I315" s="89"/>
      <c r="J315" s="90"/>
      <c r="K315" s="89"/>
      <c r="L315" s="102"/>
    </row>
    <row r="316" spans="1:12" ht="15.75" thickBot="1">
      <c r="A316" s="89"/>
      <c r="B316" s="89"/>
      <c r="C316" s="89"/>
      <c r="D316" s="89"/>
      <c r="E316" s="89"/>
      <c r="F316" s="89"/>
      <c r="G316" s="89"/>
      <c r="H316" s="89"/>
      <c r="I316" s="89"/>
      <c r="J316" s="90"/>
      <c r="K316" s="89"/>
      <c r="L316" s="102"/>
    </row>
    <row r="317" spans="1:12" ht="15.75" thickBot="1">
      <c r="A317" s="89"/>
      <c r="B317" s="89"/>
      <c r="C317" s="89"/>
      <c r="D317" s="89"/>
      <c r="E317" s="89"/>
      <c r="F317" s="89"/>
      <c r="G317" s="89"/>
      <c r="H317" s="89"/>
      <c r="I317" s="89"/>
      <c r="J317" s="90"/>
      <c r="K317" s="89"/>
      <c r="L317" s="102"/>
    </row>
    <row r="318" spans="1:12" ht="15.75" thickBot="1">
      <c r="A318" s="89"/>
      <c r="B318" s="89"/>
      <c r="C318" s="89"/>
      <c r="D318" s="89"/>
      <c r="E318" s="89"/>
      <c r="F318" s="89"/>
      <c r="G318" s="89"/>
      <c r="H318" s="89"/>
      <c r="I318" s="89"/>
      <c r="J318" s="90"/>
      <c r="K318" s="89"/>
      <c r="L318" s="102"/>
    </row>
    <row r="319" spans="1:12" ht="15.75" thickBot="1">
      <c r="A319" s="89"/>
      <c r="B319" s="89"/>
      <c r="C319" s="89"/>
      <c r="D319" s="89"/>
      <c r="E319" s="89"/>
      <c r="F319" s="89"/>
      <c r="G319" s="89"/>
      <c r="H319" s="89"/>
      <c r="I319" s="89"/>
      <c r="J319" s="90"/>
      <c r="K319" s="89"/>
      <c r="L319" s="102"/>
    </row>
    <row r="320" spans="1:12" ht="15.75" thickBot="1">
      <c r="A320" s="89"/>
      <c r="B320" s="89"/>
      <c r="C320" s="89"/>
      <c r="D320" s="89"/>
      <c r="E320" s="89"/>
      <c r="F320" s="89"/>
      <c r="G320" s="89"/>
      <c r="H320" s="89"/>
      <c r="I320" s="89"/>
      <c r="J320" s="90"/>
      <c r="K320" s="89"/>
      <c r="L320" s="102"/>
    </row>
    <row r="321" spans="1:12" ht="15.75" thickBot="1">
      <c r="A321" s="89"/>
      <c r="B321" s="89"/>
      <c r="C321" s="89"/>
      <c r="D321" s="89"/>
      <c r="E321" s="89"/>
      <c r="F321" s="89"/>
      <c r="G321" s="89"/>
      <c r="H321" s="89"/>
      <c r="I321" s="89"/>
      <c r="J321" s="90"/>
      <c r="K321" s="89"/>
      <c r="L321" s="102"/>
    </row>
    <row r="322" spans="1:12" ht="15.75" thickBot="1">
      <c r="A322" s="89"/>
      <c r="B322" s="89"/>
      <c r="C322" s="89"/>
      <c r="D322" s="89"/>
      <c r="E322" s="89"/>
      <c r="F322" s="89"/>
      <c r="G322" s="89"/>
      <c r="H322" s="89"/>
      <c r="I322" s="89"/>
      <c r="J322" s="90"/>
      <c r="K322" s="89"/>
      <c r="L322" s="102"/>
    </row>
    <row r="323" spans="1:12" ht="15.75" thickBot="1">
      <c r="A323" s="89"/>
      <c r="B323" s="89"/>
      <c r="C323" s="89"/>
      <c r="D323" s="89"/>
      <c r="E323" s="89"/>
      <c r="F323" s="89"/>
      <c r="G323" s="89"/>
      <c r="H323" s="89"/>
      <c r="I323" s="89"/>
      <c r="J323" s="90"/>
      <c r="K323" s="89"/>
      <c r="L323" s="102"/>
    </row>
    <row r="324" spans="1:12" ht="15.75" thickBot="1">
      <c r="A324" s="89"/>
      <c r="B324" s="89"/>
      <c r="C324" s="89"/>
      <c r="D324" s="89"/>
      <c r="E324" s="89"/>
      <c r="F324" s="89"/>
      <c r="G324" s="89"/>
      <c r="H324" s="89"/>
      <c r="I324" s="89"/>
      <c r="J324" s="90"/>
      <c r="K324" s="89"/>
      <c r="L324" s="102"/>
    </row>
    <row r="325" spans="1:12" ht="15.75" thickBot="1">
      <c r="A325" s="89"/>
      <c r="B325" s="89"/>
      <c r="C325" s="89"/>
      <c r="D325" s="89"/>
      <c r="E325" s="89"/>
      <c r="F325" s="89"/>
      <c r="G325" s="89"/>
      <c r="H325" s="89"/>
      <c r="I325" s="89"/>
      <c r="J325" s="90"/>
      <c r="K325" s="89"/>
      <c r="L325" s="102"/>
    </row>
    <row r="326" spans="1:12" ht="15.75" thickBot="1">
      <c r="A326" s="89"/>
      <c r="B326" s="89"/>
      <c r="C326" s="89"/>
      <c r="D326" s="89"/>
      <c r="E326" s="89"/>
      <c r="F326" s="89"/>
      <c r="G326" s="89"/>
      <c r="H326" s="89"/>
      <c r="I326" s="89"/>
      <c r="J326" s="90"/>
      <c r="K326" s="89"/>
      <c r="L326" s="102"/>
    </row>
    <row r="327" spans="1:12" ht="15.75" thickBot="1">
      <c r="A327" s="89"/>
      <c r="B327" s="89"/>
      <c r="C327" s="89"/>
      <c r="D327" s="89"/>
      <c r="E327" s="89"/>
      <c r="F327" s="89"/>
      <c r="G327" s="89"/>
      <c r="H327" s="89"/>
      <c r="I327" s="89"/>
      <c r="J327" s="90"/>
      <c r="K327" s="89"/>
      <c r="L327" s="102"/>
    </row>
    <row r="328" spans="1:12" ht="15.75" thickBot="1">
      <c r="A328" s="89"/>
      <c r="B328" s="89"/>
      <c r="C328" s="89"/>
      <c r="D328" s="89"/>
      <c r="E328" s="89"/>
      <c r="F328" s="89"/>
      <c r="G328" s="89"/>
      <c r="H328" s="89"/>
      <c r="I328" s="89"/>
      <c r="J328" s="90"/>
      <c r="K328" s="89"/>
      <c r="L328" s="102"/>
    </row>
    <row r="329" spans="1:12" ht="15.75" thickBot="1">
      <c r="A329" s="89"/>
      <c r="B329" s="89"/>
      <c r="C329" s="89"/>
      <c r="D329" s="89"/>
      <c r="E329" s="89"/>
      <c r="F329" s="89"/>
      <c r="G329" s="89"/>
      <c r="H329" s="89"/>
      <c r="I329" s="89"/>
      <c r="J329" s="90"/>
      <c r="K329" s="89"/>
      <c r="L329" s="102"/>
    </row>
    <row r="330" spans="1:12" ht="15.75" thickBot="1">
      <c r="A330" s="89"/>
      <c r="B330" s="89"/>
      <c r="C330" s="89"/>
      <c r="D330" s="89"/>
      <c r="E330" s="89"/>
      <c r="F330" s="89"/>
      <c r="G330" s="89"/>
      <c r="H330" s="89"/>
      <c r="I330" s="89"/>
      <c r="J330" s="90"/>
      <c r="K330" s="89"/>
      <c r="L330" s="102"/>
    </row>
    <row r="331" spans="1:12" ht="15.75" thickBot="1">
      <c r="A331" s="89"/>
      <c r="B331" s="89"/>
      <c r="C331" s="89"/>
      <c r="D331" s="89"/>
      <c r="E331" s="89"/>
      <c r="F331" s="89"/>
      <c r="G331" s="89"/>
      <c r="H331" s="89"/>
      <c r="I331" s="89"/>
      <c r="J331" s="90"/>
      <c r="K331" s="89"/>
      <c r="L331" s="102"/>
    </row>
    <row r="332" spans="1:12" ht="15.75" thickBot="1">
      <c r="A332" s="89"/>
      <c r="B332" s="89"/>
      <c r="C332" s="89"/>
      <c r="D332" s="89"/>
      <c r="E332" s="89"/>
      <c r="F332" s="89"/>
      <c r="G332" s="89"/>
      <c r="H332" s="89"/>
      <c r="I332" s="89"/>
      <c r="J332" s="90"/>
      <c r="K332" s="89"/>
      <c r="L332" s="102"/>
    </row>
    <row r="333" spans="1:12" ht="15.75" thickBot="1">
      <c r="A333" s="89"/>
      <c r="B333" s="89"/>
      <c r="C333" s="89"/>
      <c r="D333" s="89"/>
      <c r="E333" s="89"/>
      <c r="F333" s="89"/>
      <c r="G333" s="89"/>
      <c r="H333" s="89"/>
      <c r="I333" s="89"/>
      <c r="J333" s="90"/>
      <c r="K333" s="89"/>
      <c r="L333" s="102"/>
    </row>
    <row r="334" spans="1:12" ht="15.75" thickBot="1">
      <c r="A334" s="89"/>
      <c r="B334" s="89"/>
      <c r="C334" s="89"/>
      <c r="D334" s="89"/>
      <c r="E334" s="89"/>
      <c r="F334" s="89"/>
      <c r="G334" s="89"/>
      <c r="H334" s="89"/>
      <c r="I334" s="89"/>
      <c r="J334" s="90"/>
      <c r="K334" s="89"/>
      <c r="L334" s="102"/>
    </row>
    <row r="335" spans="1:12" ht="15.75" thickBot="1">
      <c r="A335" s="89"/>
      <c r="B335" s="89"/>
      <c r="C335" s="89"/>
      <c r="D335" s="89"/>
      <c r="E335" s="89"/>
      <c r="F335" s="89"/>
      <c r="G335" s="89"/>
      <c r="H335" s="89"/>
      <c r="I335" s="89"/>
      <c r="J335" s="90"/>
      <c r="K335" s="89"/>
      <c r="L335" s="102"/>
    </row>
    <row r="336" spans="1:12" ht="15.75" thickBot="1">
      <c r="A336" s="89"/>
      <c r="B336" s="89"/>
      <c r="C336" s="89"/>
      <c r="D336" s="89"/>
      <c r="E336" s="89"/>
      <c r="F336" s="89"/>
      <c r="G336" s="89"/>
      <c r="H336" s="89"/>
      <c r="I336" s="89"/>
      <c r="J336" s="90"/>
      <c r="K336" s="89"/>
      <c r="L336" s="102"/>
    </row>
    <row r="337" spans="1:12" ht="15.75" thickBot="1">
      <c r="A337" s="89"/>
      <c r="B337" s="89"/>
      <c r="C337" s="89"/>
      <c r="D337" s="89"/>
      <c r="E337" s="89"/>
      <c r="F337" s="89"/>
      <c r="G337" s="89"/>
      <c r="H337" s="89"/>
      <c r="I337" s="89"/>
      <c r="J337" s="90"/>
      <c r="K337" s="89"/>
      <c r="L337" s="102"/>
    </row>
    <row r="338" spans="1:12" ht="15.75" thickBot="1">
      <c r="A338" s="89"/>
      <c r="B338" s="89"/>
      <c r="C338" s="89"/>
      <c r="D338" s="89"/>
      <c r="E338" s="89"/>
      <c r="F338" s="89"/>
      <c r="G338" s="89"/>
      <c r="H338" s="89"/>
      <c r="I338" s="89"/>
      <c r="J338" s="90"/>
      <c r="K338" s="89"/>
      <c r="L338" s="102"/>
    </row>
    <row r="339" spans="1:12" ht="15.75" thickBot="1">
      <c r="A339" s="89"/>
      <c r="B339" s="89"/>
      <c r="C339" s="89"/>
      <c r="D339" s="89"/>
      <c r="E339" s="89"/>
      <c r="F339" s="89"/>
      <c r="G339" s="89"/>
      <c r="H339" s="89"/>
      <c r="I339" s="89"/>
      <c r="J339" s="90"/>
      <c r="K339" s="89"/>
      <c r="L339" s="102"/>
    </row>
    <row r="340" spans="1:12" ht="15.75" thickBot="1">
      <c r="A340" s="89"/>
      <c r="B340" s="89"/>
      <c r="C340" s="89"/>
      <c r="D340" s="89"/>
      <c r="E340" s="89"/>
      <c r="F340" s="89"/>
      <c r="G340" s="89"/>
      <c r="H340" s="89"/>
      <c r="I340" s="89"/>
      <c r="J340" s="90"/>
      <c r="K340" s="89"/>
      <c r="L340" s="102"/>
    </row>
    <row r="341" spans="1:12" ht="15.75" thickBot="1">
      <c r="A341" s="89"/>
      <c r="B341" s="89"/>
      <c r="C341" s="89"/>
      <c r="D341" s="89"/>
      <c r="E341" s="89"/>
      <c r="F341" s="89"/>
      <c r="G341" s="89"/>
      <c r="H341" s="89"/>
      <c r="I341" s="89"/>
      <c r="J341" s="90"/>
      <c r="K341" s="89"/>
      <c r="L341" s="102"/>
    </row>
    <row r="342" spans="1:12" ht="15.75" thickBot="1">
      <c r="A342" s="89"/>
      <c r="B342" s="89"/>
      <c r="C342" s="89"/>
      <c r="D342" s="89"/>
      <c r="E342" s="89"/>
      <c r="F342" s="89"/>
      <c r="G342" s="89"/>
      <c r="H342" s="89"/>
      <c r="I342" s="89"/>
      <c r="J342" s="90"/>
      <c r="K342" s="89"/>
      <c r="L342" s="102"/>
    </row>
    <row r="343" spans="1:12" ht="15.75" thickBot="1">
      <c r="A343" s="89"/>
      <c r="B343" s="89"/>
      <c r="C343" s="89"/>
      <c r="D343" s="89"/>
      <c r="E343" s="89"/>
      <c r="F343" s="89"/>
      <c r="G343" s="89"/>
      <c r="H343" s="89"/>
      <c r="I343" s="89"/>
      <c r="J343" s="90"/>
      <c r="K343" s="89"/>
      <c r="L343" s="102"/>
    </row>
    <row r="344" spans="1:12" ht="15.75" thickBot="1">
      <c r="A344" s="89"/>
      <c r="B344" s="89"/>
      <c r="C344" s="89"/>
      <c r="D344" s="89"/>
      <c r="E344" s="89"/>
      <c r="F344" s="89"/>
      <c r="G344" s="89"/>
      <c r="H344" s="89"/>
      <c r="I344" s="89"/>
      <c r="J344" s="90"/>
      <c r="K344" s="89"/>
      <c r="L344" s="102"/>
    </row>
    <row r="345" spans="1:12" ht="15.75" thickBot="1">
      <c r="A345" s="89"/>
      <c r="B345" s="89"/>
      <c r="C345" s="89"/>
      <c r="D345" s="89"/>
      <c r="E345" s="89"/>
      <c r="F345" s="89"/>
      <c r="G345" s="89"/>
      <c r="H345" s="89"/>
      <c r="I345" s="89"/>
      <c r="J345" s="90"/>
      <c r="K345" s="89"/>
      <c r="L345" s="102"/>
    </row>
    <row r="346" spans="1:12" ht="15.75" thickBot="1">
      <c r="A346" s="89"/>
      <c r="B346" s="89"/>
      <c r="C346" s="89"/>
      <c r="D346" s="89"/>
      <c r="E346" s="89"/>
      <c r="F346" s="89"/>
      <c r="G346" s="89"/>
      <c r="H346" s="89"/>
      <c r="I346" s="89"/>
      <c r="J346" s="90"/>
      <c r="K346" s="89"/>
      <c r="L346" s="102"/>
    </row>
    <row r="347" spans="1:12" ht="15.75" thickBot="1">
      <c r="A347" s="89"/>
      <c r="B347" s="89"/>
      <c r="C347" s="89"/>
      <c r="D347" s="89"/>
      <c r="E347" s="89"/>
      <c r="F347" s="89"/>
      <c r="G347" s="89"/>
      <c r="H347" s="89"/>
      <c r="I347" s="89"/>
      <c r="J347" s="90"/>
      <c r="K347" s="89"/>
      <c r="L347" s="102"/>
    </row>
    <row r="348" spans="1:12" ht="15.75" thickBot="1">
      <c r="A348" s="89"/>
      <c r="B348" s="89"/>
      <c r="C348" s="89"/>
      <c r="D348" s="89"/>
      <c r="E348" s="89"/>
      <c r="F348" s="89"/>
      <c r="G348" s="89"/>
      <c r="H348" s="89"/>
      <c r="I348" s="89"/>
      <c r="J348" s="90"/>
      <c r="K348" s="89"/>
      <c r="L348" s="102"/>
    </row>
    <row r="349" spans="1:12" ht="15.75" thickBot="1">
      <c r="A349" s="89"/>
      <c r="B349" s="89"/>
      <c r="C349" s="89"/>
      <c r="D349" s="89"/>
      <c r="E349" s="89"/>
      <c r="F349" s="89"/>
      <c r="G349" s="89"/>
      <c r="H349" s="89"/>
      <c r="I349" s="89"/>
      <c r="J349" s="90"/>
      <c r="K349" s="89"/>
      <c r="L349" s="102"/>
    </row>
    <row r="350" spans="1:12" ht="15.75" thickBot="1">
      <c r="A350" s="89"/>
      <c r="B350" s="89"/>
      <c r="C350" s="89"/>
      <c r="D350" s="89"/>
      <c r="E350" s="89"/>
      <c r="F350" s="89"/>
      <c r="G350" s="89"/>
      <c r="H350" s="89"/>
      <c r="I350" s="89"/>
      <c r="J350" s="90"/>
      <c r="K350" s="89"/>
      <c r="L350" s="102"/>
    </row>
    <row r="351" spans="1:12" ht="15.75" thickBot="1">
      <c r="A351" s="89"/>
      <c r="B351" s="89"/>
      <c r="C351" s="89"/>
      <c r="D351" s="89"/>
      <c r="E351" s="89"/>
      <c r="F351" s="89"/>
      <c r="G351" s="89"/>
      <c r="H351" s="89"/>
      <c r="I351" s="89"/>
      <c r="J351" s="90"/>
      <c r="K351" s="89"/>
      <c r="L351" s="102"/>
    </row>
    <row r="352" spans="1:12" ht="15.75" thickBot="1">
      <c r="A352" s="89"/>
      <c r="B352" s="89"/>
      <c r="C352" s="89"/>
      <c r="D352" s="89"/>
      <c r="E352" s="89"/>
      <c r="F352" s="89"/>
      <c r="G352" s="89"/>
      <c r="H352" s="89"/>
      <c r="I352" s="89"/>
      <c r="J352" s="90"/>
      <c r="K352" s="89"/>
      <c r="L352" s="102"/>
    </row>
    <row r="353" spans="1:12" ht="15.75" thickBot="1">
      <c r="A353" s="89"/>
      <c r="B353" s="89"/>
      <c r="C353" s="89"/>
      <c r="D353" s="89"/>
      <c r="E353" s="89"/>
      <c r="F353" s="89"/>
      <c r="G353" s="89"/>
      <c r="H353" s="89"/>
      <c r="I353" s="89"/>
      <c r="J353" s="90"/>
      <c r="K353" s="89"/>
      <c r="L353" s="102"/>
    </row>
    <row r="354" spans="1:12" ht="15.75" thickBot="1">
      <c r="A354" s="89"/>
      <c r="B354" s="89"/>
      <c r="C354" s="89"/>
      <c r="D354" s="89"/>
      <c r="E354" s="89"/>
      <c r="F354" s="89"/>
      <c r="G354" s="89"/>
      <c r="H354" s="89"/>
      <c r="I354" s="89"/>
      <c r="J354" s="90"/>
      <c r="K354" s="89"/>
      <c r="L354" s="102"/>
    </row>
    <row r="355" spans="1:12" ht="15.75" thickBot="1">
      <c r="A355" s="89"/>
      <c r="B355" s="89"/>
      <c r="C355" s="89"/>
      <c r="D355" s="89"/>
      <c r="E355" s="89"/>
      <c r="F355" s="89"/>
      <c r="G355" s="89"/>
      <c r="H355" s="89"/>
      <c r="I355" s="89"/>
      <c r="J355" s="90"/>
      <c r="K355" s="89"/>
      <c r="L355" s="102"/>
    </row>
    <row r="356" spans="1:12" ht="15.75" thickBot="1">
      <c r="A356" s="89"/>
      <c r="B356" s="89"/>
      <c r="C356" s="89"/>
      <c r="D356" s="89"/>
      <c r="E356" s="89"/>
      <c r="F356" s="89"/>
      <c r="G356" s="89"/>
      <c r="H356" s="89"/>
      <c r="I356" s="89"/>
      <c r="J356" s="90"/>
      <c r="K356" s="89"/>
      <c r="L356" s="102"/>
    </row>
    <row r="357" spans="1:12" ht="15.75" thickBot="1">
      <c r="A357" s="89"/>
      <c r="B357" s="89"/>
      <c r="C357" s="89"/>
      <c r="D357" s="89"/>
      <c r="E357" s="89"/>
      <c r="F357" s="89"/>
      <c r="G357" s="89"/>
      <c r="H357" s="89"/>
      <c r="I357" s="89"/>
      <c r="J357" s="90"/>
      <c r="K357" s="89"/>
      <c r="L357" s="102"/>
    </row>
    <row r="358" spans="1:12" ht="15.75" thickBot="1">
      <c r="A358" s="89"/>
      <c r="B358" s="89"/>
      <c r="C358" s="89"/>
      <c r="D358" s="89"/>
      <c r="E358" s="89"/>
      <c r="F358" s="89"/>
      <c r="G358" s="89"/>
      <c r="H358" s="89"/>
      <c r="I358" s="89"/>
      <c r="J358" s="90"/>
      <c r="K358" s="89"/>
      <c r="L358" s="102"/>
    </row>
    <row r="359" spans="1:12" ht="15.75" thickBot="1">
      <c r="A359" s="89"/>
      <c r="B359" s="89"/>
      <c r="C359" s="89"/>
      <c r="D359" s="89"/>
      <c r="E359" s="89"/>
      <c r="F359" s="89"/>
      <c r="G359" s="89"/>
      <c r="H359" s="89"/>
      <c r="I359" s="89"/>
      <c r="J359" s="90"/>
      <c r="K359" s="89"/>
      <c r="L359" s="102"/>
    </row>
    <row r="360" spans="1:12" ht="15.75" thickBot="1">
      <c r="A360" s="89"/>
      <c r="B360" s="89"/>
      <c r="C360" s="89"/>
      <c r="D360" s="89"/>
      <c r="E360" s="89"/>
      <c r="F360" s="89"/>
      <c r="G360" s="89"/>
      <c r="H360" s="89"/>
      <c r="I360" s="89"/>
      <c r="J360" s="90"/>
      <c r="K360" s="89"/>
      <c r="L360" s="102"/>
    </row>
    <row r="361" spans="1:12" ht="15.75" thickBot="1">
      <c r="A361" s="89"/>
      <c r="B361" s="89"/>
      <c r="C361" s="89"/>
      <c r="D361" s="89"/>
      <c r="E361" s="89"/>
      <c r="F361" s="89"/>
      <c r="G361" s="89"/>
      <c r="H361" s="89"/>
      <c r="I361" s="89"/>
      <c r="J361" s="90"/>
      <c r="K361" s="89"/>
      <c r="L361" s="102"/>
    </row>
    <row r="362" spans="1:12" ht="15.75" thickBot="1">
      <c r="A362" s="89"/>
      <c r="B362" s="89"/>
      <c r="C362" s="89"/>
      <c r="D362" s="89"/>
      <c r="E362" s="89"/>
      <c r="F362" s="89"/>
      <c r="G362" s="89"/>
      <c r="H362" s="89"/>
      <c r="I362" s="89"/>
      <c r="J362" s="90"/>
      <c r="K362" s="89"/>
      <c r="L362" s="102"/>
    </row>
    <row r="363" spans="1:12" ht="15.75" thickBot="1">
      <c r="A363" s="89"/>
      <c r="B363" s="89"/>
      <c r="C363" s="89"/>
      <c r="D363" s="89"/>
      <c r="E363" s="89"/>
      <c r="F363" s="89"/>
      <c r="G363" s="89"/>
      <c r="H363" s="89"/>
      <c r="I363" s="89"/>
      <c r="J363" s="90"/>
      <c r="K363" s="89"/>
      <c r="L363" s="102"/>
    </row>
    <row r="364" spans="1:12" ht="15.75" thickBot="1">
      <c r="A364" s="89"/>
      <c r="B364" s="89"/>
      <c r="C364" s="89"/>
      <c r="D364" s="89"/>
      <c r="E364" s="89"/>
      <c r="F364" s="89"/>
      <c r="G364" s="89"/>
      <c r="H364" s="89"/>
      <c r="I364" s="89"/>
      <c r="J364" s="90"/>
      <c r="K364" s="89"/>
      <c r="L364" s="102"/>
    </row>
    <row r="365" spans="1:12" ht="15.75" thickBot="1">
      <c r="A365" s="89"/>
      <c r="B365" s="89"/>
      <c r="C365" s="89"/>
      <c r="D365" s="89"/>
      <c r="E365" s="89"/>
      <c r="F365" s="89"/>
      <c r="G365" s="89"/>
      <c r="H365" s="89"/>
      <c r="I365" s="89"/>
      <c r="J365" s="90"/>
      <c r="K365" s="89"/>
      <c r="L365" s="102"/>
    </row>
    <row r="366" spans="1:12" ht="15.75" thickBot="1">
      <c r="A366" s="89"/>
      <c r="B366" s="89"/>
      <c r="C366" s="89"/>
      <c r="D366" s="89"/>
      <c r="E366" s="89"/>
      <c r="F366" s="89"/>
      <c r="G366" s="89"/>
      <c r="H366" s="89"/>
      <c r="I366" s="89"/>
      <c r="J366" s="90"/>
      <c r="K366" s="89"/>
      <c r="L366" s="102"/>
    </row>
    <row r="367" spans="1:12" ht="15.75" thickBot="1">
      <c r="A367" s="89"/>
      <c r="B367" s="89"/>
      <c r="C367" s="89"/>
      <c r="D367" s="89"/>
      <c r="E367" s="89"/>
      <c r="F367" s="89"/>
      <c r="G367" s="89"/>
      <c r="H367" s="89"/>
      <c r="I367" s="89"/>
      <c r="J367" s="90"/>
      <c r="K367" s="89"/>
      <c r="L367" s="102"/>
    </row>
    <row r="368" spans="1:12" ht="15.75" thickBot="1">
      <c r="A368" s="89"/>
      <c r="B368" s="89"/>
      <c r="C368" s="89"/>
      <c r="D368" s="89"/>
      <c r="E368" s="89"/>
      <c r="F368" s="89"/>
      <c r="G368" s="89"/>
      <c r="H368" s="89"/>
      <c r="I368" s="89"/>
      <c r="J368" s="90"/>
      <c r="K368" s="89"/>
      <c r="L368" s="102"/>
    </row>
    <row r="369" spans="1:12" ht="15.75" thickBot="1">
      <c r="A369" s="89"/>
      <c r="B369" s="89"/>
      <c r="C369" s="89"/>
      <c r="D369" s="89"/>
      <c r="E369" s="89"/>
      <c r="F369" s="89"/>
      <c r="G369" s="89"/>
      <c r="H369" s="89"/>
      <c r="I369" s="89"/>
      <c r="J369" s="90"/>
      <c r="K369" s="89"/>
      <c r="L369" s="102"/>
    </row>
    <row r="370" spans="1:12" ht="15.75" thickBot="1">
      <c r="A370" s="89"/>
      <c r="B370" s="89"/>
      <c r="C370" s="89"/>
      <c r="D370" s="89"/>
      <c r="E370" s="89"/>
      <c r="F370" s="89"/>
      <c r="G370" s="89"/>
      <c r="H370" s="89"/>
      <c r="I370" s="89"/>
      <c r="J370" s="90"/>
      <c r="K370" s="89"/>
      <c r="L370" s="102"/>
    </row>
    <row r="371" spans="1:12" ht="15.75" thickBot="1">
      <c r="A371" s="89"/>
      <c r="B371" s="89"/>
      <c r="C371" s="89"/>
      <c r="D371" s="89"/>
      <c r="E371" s="89"/>
      <c r="F371" s="89"/>
      <c r="G371" s="89"/>
      <c r="H371" s="89"/>
      <c r="I371" s="89"/>
      <c r="J371" s="90"/>
      <c r="K371" s="89"/>
      <c r="L371" s="102"/>
    </row>
    <row r="372" spans="1:12" ht="15.75" thickBot="1">
      <c r="A372" s="89"/>
      <c r="B372" s="89"/>
      <c r="C372" s="89"/>
      <c r="D372" s="89"/>
      <c r="E372" s="89"/>
      <c r="F372" s="89"/>
      <c r="G372" s="89"/>
      <c r="H372" s="89"/>
      <c r="I372" s="89"/>
      <c r="J372" s="90"/>
      <c r="K372" s="89"/>
      <c r="L372" s="102"/>
    </row>
    <row r="373" spans="1:12" ht="15.75" thickBot="1">
      <c r="A373" s="89"/>
      <c r="B373" s="89"/>
      <c r="C373" s="89"/>
      <c r="D373" s="89"/>
      <c r="E373" s="89"/>
      <c r="F373" s="89"/>
      <c r="G373" s="89"/>
      <c r="H373" s="89"/>
      <c r="I373" s="89"/>
      <c r="J373" s="90"/>
      <c r="K373" s="89"/>
      <c r="L373" s="102"/>
    </row>
    <row r="374" spans="1:12" ht="15.75" thickBot="1">
      <c r="A374" s="89"/>
      <c r="B374" s="89"/>
      <c r="C374" s="89"/>
      <c r="D374" s="89"/>
      <c r="E374" s="89"/>
      <c r="F374" s="89"/>
      <c r="G374" s="89"/>
      <c r="H374" s="89"/>
      <c r="I374" s="89"/>
      <c r="J374" s="90"/>
      <c r="K374" s="89"/>
      <c r="L374" s="102"/>
    </row>
    <row r="375" spans="1:12" ht="15.75" thickBot="1">
      <c r="A375" s="89"/>
      <c r="B375" s="89"/>
      <c r="C375" s="89"/>
      <c r="D375" s="89"/>
      <c r="E375" s="89"/>
      <c r="F375" s="89"/>
      <c r="G375" s="89"/>
      <c r="H375" s="89"/>
      <c r="I375" s="89"/>
      <c r="J375" s="90"/>
      <c r="K375" s="89"/>
      <c r="L375" s="102"/>
    </row>
    <row r="376" spans="1:12" ht="15.75" thickBot="1">
      <c r="A376" s="89"/>
      <c r="B376" s="89"/>
      <c r="C376" s="89"/>
      <c r="D376" s="89"/>
      <c r="E376" s="89"/>
      <c r="F376" s="89"/>
      <c r="G376" s="89"/>
      <c r="H376" s="89"/>
      <c r="I376" s="89"/>
      <c r="J376" s="90"/>
      <c r="K376" s="89"/>
      <c r="L376" s="102"/>
    </row>
    <row r="377" spans="1:12" ht="15.75" thickBot="1">
      <c r="A377" s="89"/>
      <c r="B377" s="89"/>
      <c r="C377" s="89"/>
      <c r="D377" s="89"/>
      <c r="E377" s="89"/>
      <c r="F377" s="89"/>
      <c r="G377" s="89"/>
      <c r="H377" s="89"/>
      <c r="I377" s="89"/>
      <c r="J377" s="90"/>
      <c r="K377" s="89"/>
      <c r="L377" s="102"/>
    </row>
    <row r="378" spans="1:12" ht="15.75" thickBot="1">
      <c r="A378" s="89"/>
      <c r="B378" s="89"/>
      <c r="C378" s="89"/>
      <c r="D378" s="89"/>
      <c r="E378" s="89"/>
      <c r="F378" s="89"/>
      <c r="G378" s="89"/>
      <c r="H378" s="89"/>
      <c r="I378" s="89"/>
      <c r="J378" s="90"/>
      <c r="K378" s="89"/>
      <c r="L378" s="102"/>
    </row>
    <row r="379" spans="1:12" ht="15.75" thickBot="1">
      <c r="A379" s="89"/>
      <c r="B379" s="89"/>
      <c r="C379" s="89"/>
      <c r="D379" s="89"/>
      <c r="E379" s="89"/>
      <c r="F379" s="89"/>
      <c r="G379" s="89"/>
      <c r="H379" s="89"/>
      <c r="I379" s="89"/>
      <c r="J379" s="90"/>
      <c r="K379" s="89"/>
      <c r="L379" s="102"/>
    </row>
    <row r="380" spans="1:12" ht="15.75" thickBot="1">
      <c r="A380" s="89"/>
      <c r="B380" s="89"/>
      <c r="C380" s="89"/>
      <c r="D380" s="89"/>
      <c r="E380" s="89"/>
      <c r="F380" s="89"/>
      <c r="G380" s="89"/>
      <c r="H380" s="89"/>
      <c r="I380" s="89"/>
      <c r="J380" s="90"/>
      <c r="K380" s="89"/>
      <c r="L380" s="102"/>
    </row>
    <row r="381" spans="1:12" ht="15.75" thickBot="1">
      <c r="A381" s="89"/>
      <c r="B381" s="89"/>
      <c r="C381" s="89"/>
      <c r="D381" s="89"/>
      <c r="E381" s="89"/>
      <c r="F381" s="89"/>
      <c r="G381" s="89"/>
      <c r="H381" s="89"/>
      <c r="I381" s="89"/>
      <c r="J381" s="90"/>
      <c r="K381" s="89"/>
      <c r="L381" s="102"/>
    </row>
    <row r="382" spans="1:12" ht="15.75" thickBot="1">
      <c r="A382" s="89"/>
      <c r="B382" s="89"/>
      <c r="C382" s="89"/>
      <c r="D382" s="89"/>
      <c r="E382" s="89"/>
      <c r="F382" s="89"/>
      <c r="G382" s="89"/>
      <c r="H382" s="89"/>
      <c r="I382" s="89"/>
      <c r="J382" s="90"/>
      <c r="K382" s="89"/>
      <c r="L382" s="102"/>
    </row>
    <row r="383" spans="1:12" ht="15.75" thickBot="1">
      <c r="A383" s="89"/>
      <c r="B383" s="89"/>
      <c r="C383" s="89"/>
      <c r="D383" s="89"/>
      <c r="E383" s="89"/>
      <c r="F383" s="89"/>
      <c r="G383" s="89"/>
      <c r="H383" s="89"/>
      <c r="I383" s="89"/>
      <c r="J383" s="90"/>
      <c r="K383" s="89"/>
      <c r="L383" s="102"/>
    </row>
    <row r="384" spans="1:12" ht="15.75" thickBot="1">
      <c r="A384" s="89"/>
      <c r="B384" s="89"/>
      <c r="C384" s="89"/>
      <c r="D384" s="89"/>
      <c r="E384" s="89"/>
      <c r="F384" s="89"/>
      <c r="G384" s="89"/>
      <c r="H384" s="89"/>
      <c r="I384" s="89"/>
      <c r="J384" s="90"/>
      <c r="K384" s="89"/>
      <c r="L384" s="102"/>
    </row>
    <row r="385" spans="1:12" ht="15.75" thickBot="1">
      <c r="A385" s="89"/>
      <c r="B385" s="89"/>
      <c r="C385" s="89"/>
      <c r="D385" s="89"/>
      <c r="E385" s="89"/>
      <c r="F385" s="89"/>
      <c r="G385" s="89"/>
      <c r="H385" s="89"/>
      <c r="I385" s="89"/>
      <c r="J385" s="90"/>
      <c r="K385" s="89"/>
      <c r="L385" s="102"/>
    </row>
    <row r="386" spans="1:12" ht="15.75" thickBot="1">
      <c r="A386" s="89"/>
      <c r="B386" s="89"/>
      <c r="C386" s="89"/>
      <c r="D386" s="89"/>
      <c r="E386" s="89"/>
      <c r="F386" s="89"/>
      <c r="G386" s="89"/>
      <c r="H386" s="89"/>
      <c r="I386" s="89"/>
      <c r="J386" s="90"/>
      <c r="K386" s="89"/>
      <c r="L386" s="102"/>
    </row>
    <row r="387" spans="1:12" ht="15.75" thickBot="1">
      <c r="A387" s="89"/>
      <c r="B387" s="89"/>
      <c r="C387" s="89"/>
      <c r="D387" s="89"/>
      <c r="E387" s="89"/>
      <c r="F387" s="89"/>
      <c r="G387" s="89"/>
      <c r="H387" s="89"/>
      <c r="I387" s="89"/>
      <c r="J387" s="90"/>
      <c r="K387" s="89"/>
      <c r="L387" s="102"/>
    </row>
    <row r="388" spans="1:12" ht="15.75" thickBot="1">
      <c r="A388" s="89"/>
      <c r="B388" s="89"/>
      <c r="C388" s="89"/>
      <c r="D388" s="89"/>
      <c r="E388" s="89"/>
      <c r="F388" s="89"/>
      <c r="G388" s="89"/>
      <c r="H388" s="89"/>
      <c r="I388" s="89"/>
      <c r="J388" s="90"/>
      <c r="K388" s="89"/>
      <c r="L388" s="102"/>
    </row>
    <row r="389" spans="1:12" ht="15.75" thickBot="1">
      <c r="A389" s="89"/>
      <c r="B389" s="89"/>
      <c r="C389" s="89"/>
      <c r="D389" s="89"/>
      <c r="E389" s="89"/>
      <c r="F389" s="89"/>
      <c r="G389" s="89"/>
      <c r="H389" s="89"/>
      <c r="I389" s="89"/>
      <c r="J389" s="90"/>
      <c r="K389" s="89"/>
      <c r="L389" s="102"/>
    </row>
    <row r="390" spans="1:12" ht="15.75" thickBot="1">
      <c r="A390" s="89"/>
      <c r="B390" s="89"/>
      <c r="C390" s="89"/>
      <c r="D390" s="89"/>
      <c r="E390" s="89"/>
      <c r="F390" s="89"/>
      <c r="G390" s="89"/>
      <c r="H390" s="89"/>
      <c r="I390" s="89"/>
      <c r="J390" s="90"/>
      <c r="K390" s="89"/>
      <c r="L390" s="102"/>
    </row>
    <row r="391" spans="1:12" ht="15.75" thickBot="1">
      <c r="A391" s="89"/>
      <c r="B391" s="89"/>
      <c r="C391" s="89"/>
      <c r="D391" s="89"/>
      <c r="E391" s="89"/>
      <c r="F391" s="89"/>
      <c r="G391" s="89"/>
      <c r="H391" s="89"/>
      <c r="I391" s="89"/>
      <c r="J391" s="90"/>
      <c r="K391" s="89"/>
      <c r="L391" s="102"/>
    </row>
    <row r="392" spans="1:12" ht="15.75" thickBot="1">
      <c r="A392" s="89"/>
      <c r="B392" s="89"/>
      <c r="C392" s="89"/>
      <c r="D392" s="89"/>
      <c r="E392" s="89"/>
      <c r="F392" s="89"/>
      <c r="G392" s="89"/>
      <c r="H392" s="89"/>
      <c r="I392" s="89"/>
      <c r="J392" s="90"/>
      <c r="K392" s="89"/>
      <c r="L392" s="102"/>
    </row>
    <row r="393" spans="1:12" ht="15.75" thickBot="1">
      <c r="A393" s="89"/>
      <c r="B393" s="89"/>
      <c r="C393" s="89"/>
      <c r="D393" s="89"/>
      <c r="E393" s="89"/>
      <c r="F393" s="89"/>
      <c r="G393" s="89"/>
      <c r="H393" s="89"/>
      <c r="I393" s="89"/>
      <c r="J393" s="90"/>
      <c r="K393" s="89"/>
      <c r="L393" s="102"/>
    </row>
    <row r="394" spans="1:12" ht="15.75" thickBot="1">
      <c r="A394" s="89"/>
      <c r="B394" s="89"/>
      <c r="C394" s="89"/>
      <c r="D394" s="89"/>
      <c r="E394" s="89"/>
      <c r="F394" s="89"/>
      <c r="G394" s="89"/>
      <c r="H394" s="89"/>
      <c r="I394" s="89"/>
      <c r="J394" s="90"/>
      <c r="K394" s="89"/>
      <c r="L394" s="102"/>
    </row>
    <row r="395" spans="1:12" ht="15.75" thickBot="1">
      <c r="A395" s="89"/>
      <c r="B395" s="89"/>
      <c r="C395" s="89"/>
      <c r="D395" s="89"/>
      <c r="E395" s="89"/>
      <c r="F395" s="89"/>
      <c r="G395" s="89"/>
      <c r="H395" s="89"/>
      <c r="I395" s="89"/>
      <c r="J395" s="90"/>
      <c r="K395" s="89"/>
      <c r="L395" s="102"/>
    </row>
    <row r="396" spans="1:12" ht="15.75" thickBot="1">
      <c r="A396" s="89"/>
      <c r="B396" s="89"/>
      <c r="C396" s="89"/>
      <c r="D396" s="89"/>
      <c r="E396" s="89"/>
      <c r="F396" s="89"/>
      <c r="G396" s="89"/>
      <c r="H396" s="89"/>
      <c r="I396" s="89"/>
      <c r="J396" s="90"/>
      <c r="K396" s="89"/>
      <c r="L396" s="102"/>
    </row>
    <row r="397" spans="1:12" ht="15.75" thickBot="1">
      <c r="A397" s="89"/>
      <c r="B397" s="89"/>
      <c r="C397" s="89"/>
      <c r="D397" s="89"/>
      <c r="E397" s="89"/>
      <c r="F397" s="89"/>
      <c r="G397" s="89"/>
      <c r="H397" s="89"/>
      <c r="I397" s="89"/>
      <c r="J397" s="90"/>
      <c r="K397" s="89"/>
      <c r="L397" s="102"/>
    </row>
    <row r="398" spans="1:12" ht="15.75" thickBot="1">
      <c r="A398" s="89"/>
      <c r="B398" s="89"/>
      <c r="C398" s="89"/>
      <c r="D398" s="89"/>
      <c r="E398" s="89"/>
      <c r="F398" s="89"/>
      <c r="G398" s="89"/>
      <c r="H398" s="89"/>
      <c r="I398" s="89"/>
      <c r="J398" s="90"/>
      <c r="K398" s="89"/>
      <c r="L398" s="102"/>
    </row>
    <row r="399" spans="1:12" ht="15.75" thickBot="1">
      <c r="A399" s="89"/>
      <c r="B399" s="89"/>
      <c r="C399" s="89"/>
      <c r="D399" s="89"/>
      <c r="E399" s="89"/>
      <c r="F399" s="89"/>
      <c r="G399" s="89"/>
      <c r="H399" s="89"/>
      <c r="I399" s="89"/>
      <c r="J399" s="90"/>
      <c r="K399" s="89"/>
      <c r="L399" s="102"/>
    </row>
    <row r="400" spans="1:12" ht="15.75" thickBot="1">
      <c r="A400" s="89"/>
      <c r="B400" s="89"/>
      <c r="C400" s="89"/>
      <c r="D400" s="89"/>
      <c r="E400" s="89"/>
      <c r="F400" s="89"/>
      <c r="G400" s="89"/>
      <c r="H400" s="89"/>
      <c r="I400" s="89"/>
      <c r="J400" s="90"/>
      <c r="K400" s="89"/>
      <c r="L400" s="102"/>
    </row>
    <row r="401" spans="1:12" ht="15.75" thickBot="1">
      <c r="A401" s="89"/>
      <c r="B401" s="89"/>
      <c r="C401" s="89"/>
      <c r="D401" s="89"/>
      <c r="E401" s="89"/>
      <c r="F401" s="89"/>
      <c r="G401" s="89"/>
      <c r="H401" s="89"/>
      <c r="I401" s="89"/>
      <c r="J401" s="90"/>
      <c r="K401" s="89"/>
      <c r="L401" s="102"/>
    </row>
    <row r="402" spans="1:12" ht="15.75" thickBot="1">
      <c r="A402" s="89"/>
      <c r="B402" s="89"/>
      <c r="C402" s="89"/>
      <c r="D402" s="89"/>
      <c r="E402" s="89"/>
      <c r="F402" s="89"/>
      <c r="G402" s="89"/>
      <c r="H402" s="89"/>
      <c r="I402" s="89"/>
      <c r="J402" s="90"/>
      <c r="K402" s="89"/>
      <c r="L402" s="102"/>
    </row>
    <row r="403" spans="1:12" ht="15.75" thickBot="1">
      <c r="A403" s="89"/>
      <c r="B403" s="89"/>
      <c r="C403" s="89"/>
      <c r="D403" s="89"/>
      <c r="E403" s="89"/>
      <c r="F403" s="89"/>
      <c r="G403" s="89"/>
      <c r="H403" s="89"/>
      <c r="I403" s="89"/>
      <c r="J403" s="90"/>
      <c r="K403" s="89"/>
      <c r="L403" s="102"/>
    </row>
    <row r="404" spans="1:12" ht="15.75" thickBot="1">
      <c r="A404" s="89"/>
      <c r="B404" s="89"/>
      <c r="C404" s="89"/>
      <c r="D404" s="89"/>
      <c r="E404" s="89"/>
      <c r="F404" s="89"/>
      <c r="G404" s="89"/>
      <c r="H404" s="89"/>
      <c r="I404" s="89"/>
      <c r="J404" s="90"/>
      <c r="K404" s="89"/>
      <c r="L404" s="102"/>
    </row>
    <row r="405" spans="1:12" ht="15.75" thickBot="1">
      <c r="A405" s="89"/>
      <c r="B405" s="89"/>
      <c r="C405" s="89"/>
      <c r="D405" s="89"/>
      <c r="E405" s="89"/>
      <c r="F405" s="89"/>
      <c r="G405" s="89"/>
      <c r="H405" s="89"/>
      <c r="I405" s="89"/>
      <c r="J405" s="90"/>
      <c r="K405" s="89"/>
      <c r="L405" s="102"/>
    </row>
    <row r="406" spans="1:12" ht="15.75" thickBot="1">
      <c r="A406" s="89"/>
      <c r="B406" s="89"/>
      <c r="C406" s="89"/>
      <c r="D406" s="89"/>
      <c r="E406" s="89"/>
      <c r="F406" s="89"/>
      <c r="G406" s="89"/>
      <c r="H406" s="89"/>
      <c r="I406" s="89"/>
      <c r="J406" s="90"/>
      <c r="K406" s="89"/>
      <c r="L406" s="102"/>
    </row>
    <row r="407" spans="1:12" ht="15.75" thickBot="1">
      <c r="A407" s="89"/>
      <c r="B407" s="89"/>
      <c r="C407" s="89"/>
      <c r="D407" s="89"/>
      <c r="E407" s="89"/>
      <c r="F407" s="89"/>
      <c r="G407" s="89"/>
      <c r="H407" s="89"/>
      <c r="I407" s="89"/>
      <c r="J407" s="90"/>
      <c r="K407" s="89"/>
      <c r="L407" s="102"/>
    </row>
    <row r="408" spans="1:12" ht="15.75" thickBot="1">
      <c r="A408" s="89"/>
      <c r="B408" s="89"/>
      <c r="C408" s="89"/>
      <c r="D408" s="89"/>
      <c r="E408" s="89"/>
      <c r="F408" s="89"/>
      <c r="G408" s="89"/>
      <c r="H408" s="89"/>
      <c r="I408" s="89"/>
      <c r="J408" s="90"/>
      <c r="K408" s="89"/>
      <c r="L408" s="102"/>
    </row>
    <row r="409" spans="1:12" ht="15.75" thickBot="1">
      <c r="A409" s="89"/>
      <c r="B409" s="89"/>
      <c r="C409" s="89"/>
      <c r="D409" s="89"/>
      <c r="E409" s="89"/>
      <c r="F409" s="89"/>
      <c r="G409" s="89"/>
      <c r="H409" s="89"/>
      <c r="I409" s="89"/>
      <c r="J409" s="90"/>
      <c r="K409" s="89"/>
      <c r="L409" s="102"/>
    </row>
    <row r="410" spans="1:12" ht="15.75" thickBot="1">
      <c r="A410" s="89"/>
      <c r="B410" s="89"/>
      <c r="C410" s="89"/>
      <c r="D410" s="89"/>
      <c r="E410" s="89"/>
      <c r="F410" s="89"/>
      <c r="G410" s="89"/>
      <c r="H410" s="89"/>
      <c r="I410" s="89"/>
      <c r="J410" s="90"/>
      <c r="K410" s="89"/>
      <c r="L410" s="102"/>
    </row>
    <row r="411" spans="1:12" ht="15.75" thickBot="1">
      <c r="A411" s="89"/>
      <c r="B411" s="89"/>
      <c r="C411" s="89"/>
      <c r="D411" s="89"/>
      <c r="E411" s="89"/>
      <c r="F411" s="89"/>
      <c r="G411" s="89"/>
      <c r="H411" s="89"/>
      <c r="I411" s="89"/>
      <c r="J411" s="90"/>
      <c r="K411" s="89"/>
      <c r="L411" s="102"/>
    </row>
    <row r="412" spans="1:12" ht="15.75" thickBot="1">
      <c r="A412" s="89"/>
      <c r="B412" s="89"/>
      <c r="C412" s="89"/>
      <c r="D412" s="89"/>
      <c r="E412" s="89"/>
      <c r="F412" s="89"/>
      <c r="G412" s="89"/>
      <c r="H412" s="89"/>
      <c r="I412" s="89"/>
      <c r="J412" s="90"/>
      <c r="K412" s="89"/>
      <c r="L412" s="102"/>
    </row>
    <row r="413" spans="1:12" ht="15.75" thickBot="1">
      <c r="A413" s="89"/>
      <c r="B413" s="89"/>
      <c r="C413" s="89"/>
      <c r="D413" s="89"/>
      <c r="E413" s="89"/>
      <c r="F413" s="89"/>
      <c r="G413" s="89"/>
      <c r="H413" s="89"/>
      <c r="I413" s="89"/>
      <c r="J413" s="90"/>
      <c r="K413" s="89"/>
      <c r="L413" s="102"/>
    </row>
    <row r="414" spans="1:12" ht="15.75" thickBot="1">
      <c r="A414" s="89"/>
      <c r="B414" s="89"/>
      <c r="C414" s="89"/>
      <c r="D414" s="89"/>
      <c r="E414" s="89"/>
      <c r="F414" s="89"/>
      <c r="G414" s="89"/>
      <c r="H414" s="89"/>
      <c r="I414" s="89"/>
      <c r="J414" s="90"/>
      <c r="K414" s="89"/>
      <c r="L414" s="102"/>
    </row>
    <row r="415" spans="1:12" ht="15.75" thickBot="1">
      <c r="A415" s="89"/>
      <c r="B415" s="89"/>
      <c r="C415" s="89"/>
      <c r="D415" s="89"/>
      <c r="E415" s="89"/>
      <c r="F415" s="89"/>
      <c r="G415" s="89"/>
      <c r="H415" s="89"/>
      <c r="I415" s="89"/>
      <c r="J415" s="90"/>
      <c r="K415" s="89"/>
      <c r="L415" s="102"/>
    </row>
    <row r="416" spans="1:12" ht="15.75" thickBot="1">
      <c r="A416" s="89"/>
      <c r="B416" s="89"/>
      <c r="C416" s="89"/>
      <c r="D416" s="89"/>
      <c r="E416" s="89"/>
      <c r="F416" s="89"/>
      <c r="G416" s="89"/>
      <c r="H416" s="89"/>
      <c r="I416" s="89"/>
      <c r="J416" s="90"/>
      <c r="K416" s="89"/>
      <c r="L416" s="102"/>
    </row>
    <row r="417" spans="1:12" ht="15.75" thickBot="1">
      <c r="A417" s="89"/>
      <c r="B417" s="89"/>
      <c r="C417" s="89"/>
      <c r="D417" s="89"/>
      <c r="E417" s="89"/>
      <c r="F417" s="89"/>
      <c r="G417" s="89"/>
      <c r="H417" s="89"/>
      <c r="I417" s="89"/>
      <c r="J417" s="90"/>
      <c r="K417" s="89"/>
      <c r="L417" s="102"/>
    </row>
    <row r="418" spans="1:12" ht="15.75" thickBot="1">
      <c r="A418" s="89"/>
      <c r="B418" s="89"/>
      <c r="C418" s="89"/>
      <c r="D418" s="89"/>
      <c r="E418" s="89"/>
      <c r="F418" s="89"/>
      <c r="G418" s="89"/>
      <c r="H418" s="89"/>
      <c r="I418" s="89"/>
      <c r="J418" s="90"/>
      <c r="K418" s="89"/>
      <c r="L418" s="102"/>
    </row>
    <row r="419" spans="1:12" ht="15.75" thickBot="1">
      <c r="A419" s="89"/>
      <c r="B419" s="89"/>
      <c r="C419" s="89"/>
      <c r="D419" s="89"/>
      <c r="E419" s="89"/>
      <c r="F419" s="89"/>
      <c r="G419" s="89"/>
      <c r="H419" s="89"/>
      <c r="I419" s="89"/>
      <c r="J419" s="90"/>
      <c r="K419" s="89"/>
      <c r="L419" s="102"/>
    </row>
    <row r="420" spans="1:12" ht="15.75" thickBot="1">
      <c r="A420" s="89"/>
      <c r="B420" s="89"/>
      <c r="C420" s="89"/>
      <c r="D420" s="89"/>
      <c r="E420" s="89"/>
      <c r="F420" s="89"/>
      <c r="G420" s="89"/>
      <c r="H420" s="89"/>
      <c r="I420" s="89"/>
      <c r="J420" s="90"/>
      <c r="K420" s="89"/>
      <c r="L420" s="102"/>
    </row>
    <row r="421" spans="1:12" ht="15.75" thickBot="1">
      <c r="A421" s="89"/>
      <c r="B421" s="89"/>
      <c r="C421" s="89"/>
      <c r="D421" s="89"/>
      <c r="E421" s="89"/>
      <c r="F421" s="89"/>
      <c r="G421" s="89"/>
      <c r="H421" s="89"/>
      <c r="I421" s="89"/>
      <c r="J421" s="90"/>
      <c r="K421" s="89"/>
      <c r="L421" s="102"/>
    </row>
    <row r="422" spans="1:12" ht="15.75" thickBot="1">
      <c r="A422" s="89"/>
      <c r="B422" s="89"/>
      <c r="C422" s="89"/>
      <c r="D422" s="89"/>
      <c r="E422" s="89"/>
      <c r="F422" s="89"/>
      <c r="G422" s="89"/>
      <c r="H422" s="89"/>
      <c r="I422" s="89"/>
      <c r="J422" s="90"/>
      <c r="K422" s="89"/>
      <c r="L422" s="102"/>
    </row>
    <row r="423" spans="1:12" ht="15.75" thickBot="1">
      <c r="A423" s="89"/>
      <c r="B423" s="89"/>
      <c r="C423" s="89"/>
      <c r="D423" s="89"/>
      <c r="E423" s="89"/>
      <c r="F423" s="89"/>
      <c r="G423" s="89"/>
      <c r="H423" s="89"/>
      <c r="I423" s="89"/>
      <c r="J423" s="90"/>
      <c r="K423" s="89"/>
      <c r="L423" s="102"/>
    </row>
    <row r="424" spans="1:12" ht="15.75" thickBot="1">
      <c r="A424" s="89"/>
      <c r="B424" s="89"/>
      <c r="C424" s="89"/>
      <c r="D424" s="89"/>
      <c r="E424" s="89"/>
      <c r="F424" s="89"/>
      <c r="G424" s="89"/>
      <c r="H424" s="89"/>
      <c r="I424" s="89"/>
      <c r="J424" s="90"/>
      <c r="K424" s="89"/>
      <c r="L424" s="102"/>
    </row>
    <row r="425" spans="1:12" ht="15.75" thickBot="1">
      <c r="A425" s="89"/>
      <c r="B425" s="89"/>
      <c r="C425" s="89"/>
      <c r="D425" s="89"/>
      <c r="E425" s="89"/>
      <c r="F425" s="89"/>
      <c r="G425" s="89"/>
      <c r="H425" s="89"/>
      <c r="I425" s="89"/>
      <c r="J425" s="90"/>
      <c r="K425" s="89"/>
      <c r="L425" s="102"/>
    </row>
    <row r="426" spans="1:12" ht="15.75" thickBot="1">
      <c r="A426" s="89"/>
      <c r="B426" s="89"/>
      <c r="C426" s="89"/>
      <c r="D426" s="89"/>
      <c r="E426" s="89"/>
      <c r="F426" s="89"/>
      <c r="G426" s="89"/>
      <c r="H426" s="89"/>
      <c r="I426" s="89"/>
      <c r="J426" s="90"/>
      <c r="K426" s="89"/>
      <c r="L426" s="102"/>
    </row>
    <row r="427" spans="1:12" ht="15.75" thickBot="1">
      <c r="A427" s="89"/>
      <c r="B427" s="89"/>
      <c r="C427" s="89"/>
      <c r="D427" s="89"/>
      <c r="E427" s="89"/>
      <c r="F427" s="89"/>
      <c r="G427" s="89"/>
      <c r="H427" s="89"/>
      <c r="I427" s="89"/>
      <c r="J427" s="90"/>
      <c r="K427" s="89"/>
      <c r="L427" s="102"/>
    </row>
    <row r="428" spans="1:12" ht="15.75" thickBot="1">
      <c r="A428" s="89"/>
      <c r="B428" s="89"/>
      <c r="C428" s="89"/>
      <c r="D428" s="89"/>
      <c r="E428" s="89"/>
      <c r="F428" s="89"/>
      <c r="G428" s="89"/>
      <c r="H428" s="89"/>
      <c r="I428" s="89"/>
      <c r="J428" s="90"/>
      <c r="K428" s="89"/>
      <c r="L428" s="102"/>
    </row>
    <row r="429" spans="1:12" ht="15.75" thickBot="1">
      <c r="A429" s="89"/>
      <c r="B429" s="89"/>
      <c r="C429" s="89"/>
      <c r="D429" s="89"/>
      <c r="E429" s="89"/>
      <c r="F429" s="89"/>
      <c r="G429" s="89"/>
      <c r="H429" s="89"/>
      <c r="I429" s="89"/>
      <c r="J429" s="90"/>
      <c r="K429" s="89"/>
      <c r="L429" s="102"/>
    </row>
    <row r="430" spans="1:12" ht="15.75" thickBot="1">
      <c r="A430" s="89"/>
      <c r="B430" s="89"/>
      <c r="C430" s="89"/>
      <c r="D430" s="89"/>
      <c r="E430" s="89"/>
      <c r="F430" s="89"/>
      <c r="G430" s="89"/>
      <c r="H430" s="89"/>
      <c r="I430" s="89"/>
      <c r="J430" s="90"/>
      <c r="K430" s="89"/>
      <c r="L430" s="102"/>
    </row>
    <row r="431" spans="1:12" ht="15.75" thickBot="1">
      <c r="A431" s="89"/>
      <c r="B431" s="89"/>
      <c r="C431" s="89"/>
      <c r="D431" s="89"/>
      <c r="E431" s="89"/>
      <c r="F431" s="89"/>
      <c r="G431" s="89"/>
      <c r="H431" s="89"/>
      <c r="I431" s="89"/>
      <c r="J431" s="90"/>
      <c r="K431" s="89"/>
      <c r="L431" s="102"/>
    </row>
    <row r="432" spans="1:12" ht="15.75" thickBot="1">
      <c r="A432" s="89"/>
      <c r="B432" s="89"/>
      <c r="C432" s="89"/>
      <c r="D432" s="89"/>
      <c r="E432" s="89"/>
      <c r="F432" s="89"/>
      <c r="G432" s="89"/>
      <c r="H432" s="89"/>
      <c r="I432" s="89"/>
      <c r="J432" s="90"/>
      <c r="K432" s="89"/>
      <c r="L432" s="102"/>
    </row>
    <row r="433" spans="1:12" ht="15.75" thickBot="1">
      <c r="A433" s="89"/>
      <c r="B433" s="89"/>
      <c r="C433" s="89"/>
      <c r="D433" s="89"/>
      <c r="E433" s="89"/>
      <c r="F433" s="89"/>
      <c r="G433" s="89"/>
      <c r="H433" s="89"/>
      <c r="I433" s="89"/>
      <c r="J433" s="90"/>
      <c r="K433" s="89"/>
      <c r="L433" s="102"/>
    </row>
    <row r="434" spans="1:12" ht="15.75" thickBot="1">
      <c r="A434" s="89"/>
      <c r="B434" s="89"/>
      <c r="C434" s="89"/>
      <c r="D434" s="89"/>
      <c r="E434" s="89"/>
      <c r="F434" s="89"/>
      <c r="G434" s="89"/>
      <c r="H434" s="89"/>
      <c r="I434" s="89"/>
      <c r="J434" s="90"/>
      <c r="K434" s="89"/>
      <c r="L434" s="102"/>
    </row>
    <row r="435" spans="1:12" ht="15.75" thickBot="1">
      <c r="A435" s="89"/>
      <c r="B435" s="89"/>
      <c r="C435" s="89"/>
      <c r="D435" s="89"/>
      <c r="E435" s="89"/>
      <c r="F435" s="89"/>
      <c r="G435" s="89"/>
      <c r="H435" s="89"/>
      <c r="I435" s="89"/>
      <c r="J435" s="90"/>
      <c r="K435" s="89"/>
      <c r="L435" s="102"/>
    </row>
    <row r="436" spans="1:12" ht="15.75" thickBot="1">
      <c r="A436" s="89"/>
      <c r="B436" s="89"/>
      <c r="C436" s="89"/>
      <c r="D436" s="89"/>
      <c r="E436" s="89"/>
      <c r="F436" s="89"/>
      <c r="G436" s="89"/>
      <c r="H436" s="89"/>
      <c r="I436" s="89"/>
      <c r="J436" s="90"/>
      <c r="K436" s="89"/>
      <c r="L436" s="102"/>
    </row>
    <row r="437" spans="1:12" ht="15.75" thickBot="1">
      <c r="A437" s="89"/>
      <c r="B437" s="89"/>
      <c r="C437" s="89"/>
      <c r="D437" s="89"/>
      <c r="E437" s="89"/>
      <c r="F437" s="89"/>
      <c r="G437" s="89"/>
      <c r="H437" s="89"/>
      <c r="I437" s="89"/>
      <c r="J437" s="90"/>
      <c r="K437" s="89"/>
      <c r="L437" s="102"/>
    </row>
    <row r="438" spans="1:12" ht="15.75" thickBot="1">
      <c r="A438" s="89"/>
      <c r="B438" s="89"/>
      <c r="C438" s="89"/>
      <c r="D438" s="89"/>
      <c r="E438" s="89"/>
      <c r="F438" s="89"/>
      <c r="G438" s="89"/>
      <c r="H438" s="89"/>
      <c r="I438" s="89"/>
      <c r="J438" s="90"/>
      <c r="K438" s="89"/>
      <c r="L438" s="102"/>
    </row>
    <row r="439" spans="1:12" ht="15.75" thickBot="1">
      <c r="A439" s="89"/>
      <c r="B439" s="89"/>
      <c r="C439" s="89"/>
      <c r="D439" s="89"/>
      <c r="E439" s="89"/>
      <c r="F439" s="89"/>
      <c r="G439" s="89"/>
      <c r="H439" s="89"/>
      <c r="I439" s="89"/>
      <c r="J439" s="90"/>
      <c r="K439" s="89"/>
      <c r="L439" s="102"/>
    </row>
    <row r="440" spans="1:12" ht="15.75" thickBot="1">
      <c r="A440" s="89"/>
      <c r="B440" s="89"/>
      <c r="C440" s="89"/>
      <c r="D440" s="89"/>
      <c r="E440" s="89"/>
      <c r="F440" s="89"/>
      <c r="G440" s="89"/>
      <c r="H440" s="89"/>
      <c r="I440" s="89"/>
      <c r="J440" s="90"/>
      <c r="K440" s="89"/>
      <c r="L440" s="102"/>
    </row>
    <row r="441" spans="1:12" ht="15.75" thickBot="1">
      <c r="A441" s="89"/>
      <c r="B441" s="89"/>
      <c r="C441" s="89"/>
      <c r="D441" s="89"/>
      <c r="E441" s="89"/>
      <c r="F441" s="89"/>
      <c r="G441" s="89"/>
      <c r="H441" s="89"/>
      <c r="I441" s="89"/>
      <c r="J441" s="90"/>
      <c r="K441" s="89"/>
      <c r="L441" s="102"/>
    </row>
    <row r="442" spans="1:12" ht="15.75" thickBot="1">
      <c r="A442" s="89"/>
      <c r="B442" s="89"/>
      <c r="C442" s="89"/>
      <c r="D442" s="89"/>
      <c r="E442" s="89"/>
      <c r="F442" s="89"/>
      <c r="G442" s="89"/>
      <c r="H442" s="89"/>
      <c r="I442" s="89"/>
      <c r="J442" s="90"/>
      <c r="K442" s="89"/>
      <c r="L442" s="102"/>
    </row>
    <row r="443" spans="1:12" ht="15.75" thickBot="1">
      <c r="A443" s="89"/>
      <c r="B443" s="89"/>
      <c r="C443" s="89"/>
      <c r="D443" s="89"/>
      <c r="E443" s="89"/>
      <c r="F443" s="89"/>
      <c r="G443" s="89"/>
      <c r="H443" s="89"/>
      <c r="I443" s="89"/>
      <c r="J443" s="90"/>
      <c r="K443" s="89"/>
      <c r="L443" s="102"/>
    </row>
    <row r="444" spans="1:12" ht="15.75" thickBot="1">
      <c r="A444" s="89"/>
      <c r="B444" s="89"/>
      <c r="C444" s="89"/>
      <c r="D444" s="89"/>
      <c r="E444" s="89"/>
      <c r="F444" s="89"/>
      <c r="G444" s="89"/>
      <c r="H444" s="89"/>
      <c r="I444" s="89"/>
      <c r="J444" s="90"/>
      <c r="K444" s="89"/>
      <c r="L444" s="102"/>
    </row>
    <row r="445" spans="1:12" ht="15.75" thickBot="1">
      <c r="A445" s="89"/>
      <c r="B445" s="89"/>
      <c r="C445" s="89"/>
      <c r="D445" s="89"/>
      <c r="E445" s="89"/>
      <c r="F445" s="89"/>
      <c r="G445" s="89"/>
      <c r="H445" s="89"/>
      <c r="I445" s="89"/>
      <c r="J445" s="90"/>
      <c r="K445" s="89"/>
      <c r="L445" s="102"/>
    </row>
    <row r="446" spans="1:12" ht="15.75" thickBot="1">
      <c r="A446" s="89"/>
      <c r="B446" s="89"/>
      <c r="C446" s="89"/>
      <c r="D446" s="89"/>
      <c r="E446" s="89"/>
      <c r="F446" s="89"/>
      <c r="G446" s="89"/>
      <c r="H446" s="89"/>
      <c r="I446" s="89"/>
      <c r="J446" s="90"/>
      <c r="K446" s="89"/>
      <c r="L446" s="102"/>
    </row>
    <row r="447" spans="1:12" ht="15.75" thickBot="1">
      <c r="A447" s="89"/>
      <c r="B447" s="89"/>
      <c r="C447" s="89"/>
      <c r="D447" s="89"/>
      <c r="E447" s="89"/>
      <c r="F447" s="89"/>
      <c r="G447" s="89"/>
      <c r="H447" s="89"/>
      <c r="I447" s="89"/>
      <c r="J447" s="90"/>
      <c r="K447" s="89"/>
      <c r="L447" s="102"/>
    </row>
    <row r="448" spans="1:12" ht="15.75" thickBot="1">
      <c r="A448" s="89"/>
      <c r="B448" s="89"/>
      <c r="C448" s="89"/>
      <c r="D448" s="89"/>
      <c r="E448" s="89"/>
      <c r="F448" s="89"/>
      <c r="G448" s="89"/>
      <c r="H448" s="89"/>
      <c r="I448" s="89"/>
      <c r="J448" s="90"/>
      <c r="K448" s="89"/>
      <c r="L448" s="102"/>
    </row>
    <row r="449" spans="1:12" ht="15.75" thickBot="1">
      <c r="A449" s="89"/>
      <c r="B449" s="89"/>
      <c r="C449" s="89"/>
      <c r="D449" s="89"/>
      <c r="E449" s="89"/>
      <c r="F449" s="89"/>
      <c r="G449" s="89"/>
      <c r="H449" s="89"/>
      <c r="I449" s="89"/>
      <c r="J449" s="90"/>
      <c r="K449" s="89"/>
      <c r="L449" s="102"/>
    </row>
    <row r="450" spans="1:12" ht="15.75" thickBot="1">
      <c r="A450" s="89"/>
      <c r="B450" s="89"/>
      <c r="C450" s="89"/>
      <c r="D450" s="89"/>
      <c r="E450" s="89"/>
      <c r="F450" s="89"/>
      <c r="G450" s="89"/>
      <c r="H450" s="89"/>
      <c r="I450" s="89"/>
      <c r="J450" s="90"/>
      <c r="K450" s="89"/>
      <c r="L450" s="102"/>
    </row>
    <row r="451" spans="1:12" ht="15.75" thickBot="1">
      <c r="A451" s="89"/>
      <c r="B451" s="89"/>
      <c r="C451" s="89"/>
      <c r="D451" s="89"/>
      <c r="E451" s="89"/>
      <c r="F451" s="89"/>
      <c r="G451" s="89"/>
      <c r="H451" s="89"/>
      <c r="I451" s="89"/>
      <c r="J451" s="90"/>
      <c r="K451" s="89"/>
      <c r="L451" s="102"/>
    </row>
    <row r="452" spans="1:12" ht="15.75" thickBot="1">
      <c r="A452" s="89"/>
      <c r="B452" s="89"/>
      <c r="C452" s="89"/>
      <c r="D452" s="89"/>
      <c r="E452" s="89"/>
      <c r="F452" s="89"/>
      <c r="G452" s="89"/>
      <c r="H452" s="89"/>
      <c r="I452" s="89"/>
      <c r="J452" s="90"/>
      <c r="K452" s="89"/>
      <c r="L452" s="102"/>
    </row>
    <row r="453" spans="1:12" ht="15.75" thickBot="1">
      <c r="A453" s="89"/>
      <c r="B453" s="89"/>
      <c r="C453" s="89"/>
      <c r="D453" s="89"/>
      <c r="E453" s="89"/>
      <c r="F453" s="89"/>
      <c r="G453" s="89"/>
      <c r="H453" s="89"/>
      <c r="I453" s="89"/>
      <c r="J453" s="90"/>
      <c r="K453" s="89"/>
      <c r="L453" s="102"/>
    </row>
    <row r="454" spans="1:12" ht="15.75" thickBot="1">
      <c r="A454" s="89"/>
      <c r="B454" s="89"/>
      <c r="C454" s="89"/>
      <c r="D454" s="89"/>
      <c r="E454" s="89"/>
      <c r="F454" s="89"/>
      <c r="G454" s="89"/>
      <c r="H454" s="89"/>
      <c r="I454" s="89"/>
      <c r="J454" s="90"/>
      <c r="K454" s="89"/>
      <c r="L454" s="102"/>
    </row>
    <row r="455" spans="1:12" ht="15.75" thickBot="1">
      <c r="A455" s="89"/>
      <c r="B455" s="89"/>
      <c r="C455" s="89"/>
      <c r="D455" s="89"/>
      <c r="E455" s="89"/>
      <c r="F455" s="89"/>
      <c r="G455" s="89"/>
      <c r="H455" s="89"/>
      <c r="I455" s="89"/>
      <c r="J455" s="90"/>
      <c r="K455" s="89"/>
      <c r="L455" s="102"/>
    </row>
    <row r="456" spans="1:12" ht="15.75" thickBot="1">
      <c r="A456" s="89"/>
      <c r="B456" s="89"/>
      <c r="C456" s="89"/>
      <c r="D456" s="89"/>
      <c r="E456" s="89"/>
      <c r="F456" s="89"/>
      <c r="G456" s="89"/>
      <c r="H456" s="89"/>
      <c r="I456" s="89"/>
      <c r="J456" s="90"/>
      <c r="K456" s="89"/>
      <c r="L456" s="102"/>
    </row>
    <row r="457" spans="1:12" ht="15.75" thickBot="1">
      <c r="A457" s="89"/>
      <c r="B457" s="89"/>
      <c r="C457" s="89"/>
      <c r="D457" s="89"/>
      <c r="E457" s="89"/>
      <c r="F457" s="89"/>
      <c r="G457" s="89"/>
      <c r="H457" s="89"/>
      <c r="I457" s="89"/>
      <c r="J457" s="90"/>
      <c r="K457" s="89"/>
      <c r="L457" s="102"/>
    </row>
    <row r="458" spans="1:12" ht="15.75" thickBot="1">
      <c r="A458" s="89"/>
      <c r="B458" s="89"/>
      <c r="C458" s="89"/>
      <c r="D458" s="89"/>
      <c r="E458" s="89"/>
      <c r="F458" s="89"/>
      <c r="G458" s="89"/>
      <c r="H458" s="89"/>
      <c r="I458" s="89"/>
      <c r="J458" s="90"/>
      <c r="K458" s="89"/>
      <c r="L458" s="102"/>
    </row>
    <row r="459" spans="1:12" ht="15.75" thickBot="1">
      <c r="A459" s="89"/>
      <c r="B459" s="89"/>
      <c r="C459" s="89"/>
      <c r="D459" s="89"/>
      <c r="E459" s="89"/>
      <c r="F459" s="89"/>
      <c r="G459" s="89"/>
      <c r="H459" s="89"/>
      <c r="I459" s="89"/>
      <c r="J459" s="90"/>
      <c r="K459" s="89"/>
      <c r="L459" s="102"/>
    </row>
    <row r="460" spans="1:12" ht="15.75" thickBot="1">
      <c r="A460" s="89"/>
      <c r="B460" s="89"/>
      <c r="C460" s="89"/>
      <c r="D460" s="89"/>
      <c r="E460" s="89"/>
      <c r="F460" s="89"/>
      <c r="G460" s="89"/>
      <c r="H460" s="89"/>
      <c r="I460" s="89"/>
      <c r="J460" s="90"/>
      <c r="K460" s="89"/>
      <c r="L460" s="102"/>
    </row>
    <row r="461" spans="1:12" ht="15.75" thickBot="1">
      <c r="A461" s="89"/>
      <c r="B461" s="89"/>
      <c r="C461" s="89"/>
      <c r="D461" s="89"/>
      <c r="E461" s="89"/>
      <c r="F461" s="89"/>
      <c r="G461" s="89"/>
      <c r="H461" s="89"/>
      <c r="I461" s="89"/>
      <c r="J461" s="90"/>
      <c r="K461" s="89"/>
      <c r="L461" s="102"/>
    </row>
    <row r="462" spans="1:12" ht="15.75" thickBot="1">
      <c r="A462" s="89"/>
      <c r="B462" s="89"/>
      <c r="C462" s="89"/>
      <c r="D462" s="89"/>
      <c r="E462" s="89"/>
      <c r="F462" s="89"/>
      <c r="G462" s="89"/>
      <c r="H462" s="89"/>
      <c r="I462" s="89"/>
      <c r="J462" s="90"/>
      <c r="K462" s="89"/>
      <c r="L462" s="102"/>
    </row>
    <row r="463" spans="1:12" ht="15.75" thickBot="1">
      <c r="A463" s="89"/>
      <c r="B463" s="89"/>
      <c r="C463" s="89"/>
      <c r="D463" s="89"/>
      <c r="E463" s="89"/>
      <c r="F463" s="89"/>
      <c r="G463" s="89"/>
      <c r="H463" s="89"/>
      <c r="I463" s="89"/>
      <c r="J463" s="90"/>
      <c r="K463" s="89"/>
      <c r="L463" s="102"/>
    </row>
    <row r="464" spans="1:12" ht="15.75" thickBot="1">
      <c r="A464" s="89"/>
      <c r="B464" s="89"/>
      <c r="C464" s="89"/>
      <c r="D464" s="89"/>
      <c r="E464" s="89"/>
      <c r="F464" s="89"/>
      <c r="G464" s="89"/>
      <c r="H464" s="89"/>
      <c r="I464" s="89"/>
      <c r="J464" s="90"/>
      <c r="K464" s="89"/>
      <c r="L464" s="102"/>
    </row>
    <row r="465" spans="1:12" ht="15.75" thickBot="1">
      <c r="A465" s="89"/>
      <c r="B465" s="89"/>
      <c r="C465" s="89"/>
      <c r="D465" s="89"/>
      <c r="E465" s="89"/>
      <c r="F465" s="89"/>
      <c r="G465" s="89"/>
      <c r="H465" s="89"/>
      <c r="I465" s="89"/>
      <c r="J465" s="90"/>
      <c r="K465" s="89"/>
      <c r="L465" s="102"/>
    </row>
    <row r="466" spans="1:12" ht="15.75" thickBot="1">
      <c r="A466" s="89"/>
      <c r="B466" s="89"/>
      <c r="C466" s="89"/>
      <c r="D466" s="89"/>
      <c r="E466" s="89"/>
      <c r="F466" s="89"/>
      <c r="G466" s="89"/>
      <c r="H466" s="89"/>
      <c r="I466" s="89"/>
      <c r="J466" s="90"/>
      <c r="K466" s="89"/>
      <c r="L466" s="102"/>
    </row>
    <row r="467" spans="1:12" ht="15.75" thickBot="1">
      <c r="A467" s="89"/>
      <c r="B467" s="89"/>
      <c r="C467" s="89"/>
      <c r="D467" s="89"/>
      <c r="E467" s="89"/>
      <c r="F467" s="89"/>
      <c r="G467" s="89"/>
      <c r="H467" s="89"/>
      <c r="I467" s="89"/>
      <c r="J467" s="90"/>
      <c r="K467" s="89"/>
      <c r="L467" s="102"/>
    </row>
    <row r="468" spans="1:12" ht="15.75" thickBot="1">
      <c r="A468" s="89"/>
      <c r="B468" s="89"/>
      <c r="C468" s="89"/>
      <c r="D468" s="89"/>
      <c r="E468" s="89"/>
      <c r="F468" s="89"/>
      <c r="G468" s="89"/>
      <c r="H468" s="89"/>
      <c r="I468" s="89"/>
      <c r="J468" s="90"/>
      <c r="K468" s="89"/>
      <c r="L468" s="102"/>
    </row>
    <row r="469" spans="1:12" ht="15.75" thickBot="1">
      <c r="A469" s="89"/>
      <c r="B469" s="89"/>
      <c r="C469" s="89"/>
      <c r="D469" s="89"/>
      <c r="E469" s="89"/>
      <c r="F469" s="89"/>
      <c r="G469" s="89"/>
      <c r="H469" s="89"/>
      <c r="I469" s="89"/>
      <c r="J469" s="90"/>
      <c r="K469" s="89"/>
      <c r="L469" s="102"/>
    </row>
    <row r="470" spans="1:12" ht="15.75" thickBot="1">
      <c r="A470" s="89"/>
      <c r="B470" s="89"/>
      <c r="C470" s="89"/>
      <c r="D470" s="89"/>
      <c r="E470" s="89"/>
      <c r="F470" s="89"/>
      <c r="G470" s="89"/>
      <c r="H470" s="89"/>
      <c r="I470" s="89"/>
      <c r="J470" s="90"/>
      <c r="K470" s="89"/>
      <c r="L470" s="102"/>
    </row>
    <row r="471" spans="1:12" ht="15.75" thickBot="1">
      <c r="A471" s="89"/>
      <c r="B471" s="89"/>
      <c r="C471" s="89"/>
      <c r="D471" s="89"/>
      <c r="E471" s="89"/>
      <c r="F471" s="89"/>
      <c r="G471" s="89"/>
      <c r="H471" s="89"/>
      <c r="I471" s="89"/>
      <c r="J471" s="90"/>
      <c r="K471" s="89"/>
      <c r="L471" s="102"/>
    </row>
    <row r="472" spans="1:12" ht="15.75" thickBot="1">
      <c r="A472" s="89"/>
      <c r="B472" s="89"/>
      <c r="C472" s="89"/>
      <c r="D472" s="89"/>
      <c r="E472" s="89"/>
      <c r="F472" s="89"/>
      <c r="G472" s="89"/>
      <c r="H472" s="89"/>
      <c r="I472" s="89"/>
      <c r="J472" s="90"/>
      <c r="K472" s="89"/>
      <c r="L472" s="102"/>
    </row>
    <row r="473" spans="1:12" ht="15.75" thickBot="1">
      <c r="A473" s="89"/>
      <c r="B473" s="89"/>
      <c r="C473" s="89"/>
      <c r="D473" s="89"/>
      <c r="E473" s="89"/>
      <c r="F473" s="89"/>
      <c r="G473" s="89"/>
      <c r="H473" s="89"/>
      <c r="I473" s="89"/>
      <c r="J473" s="90"/>
      <c r="K473" s="89"/>
      <c r="L473" s="102"/>
    </row>
    <row r="474" spans="1:12" ht="15.75" thickBot="1">
      <c r="A474" s="89"/>
      <c r="B474" s="89"/>
      <c r="C474" s="89"/>
      <c r="D474" s="89"/>
      <c r="E474" s="89"/>
      <c r="F474" s="89"/>
      <c r="G474" s="89"/>
      <c r="H474" s="89"/>
      <c r="I474" s="89"/>
      <c r="J474" s="90"/>
      <c r="K474" s="89"/>
      <c r="L474" s="102"/>
    </row>
    <row r="475" spans="1:12" ht="15.75" thickBot="1">
      <c r="A475" s="89"/>
      <c r="B475" s="89"/>
      <c r="C475" s="89"/>
      <c r="D475" s="89"/>
      <c r="E475" s="89"/>
      <c r="F475" s="89"/>
      <c r="G475" s="89"/>
      <c r="H475" s="89"/>
      <c r="I475" s="89"/>
      <c r="J475" s="90"/>
      <c r="K475" s="89"/>
      <c r="L475" s="102"/>
    </row>
    <row r="476" spans="1:12" ht="15.75" thickBot="1">
      <c r="A476" s="89"/>
      <c r="B476" s="89"/>
      <c r="C476" s="89"/>
      <c r="D476" s="89"/>
      <c r="E476" s="89"/>
      <c r="F476" s="89"/>
      <c r="G476" s="89"/>
      <c r="H476" s="89"/>
      <c r="I476" s="89"/>
      <c r="J476" s="90"/>
      <c r="K476" s="89"/>
      <c r="L476" s="102"/>
    </row>
    <row r="477" spans="1:12" ht="15.75" thickBot="1">
      <c r="A477" s="89"/>
      <c r="B477" s="89"/>
      <c r="C477" s="89"/>
      <c r="D477" s="89"/>
      <c r="E477" s="89"/>
      <c r="F477" s="89"/>
      <c r="G477" s="89"/>
      <c r="H477" s="89"/>
      <c r="I477" s="89"/>
      <c r="J477" s="90"/>
      <c r="K477" s="89"/>
      <c r="L477" s="102"/>
    </row>
    <row r="478" spans="1:12" ht="15.75" thickBot="1">
      <c r="A478" s="89"/>
      <c r="B478" s="89"/>
      <c r="C478" s="89"/>
      <c r="D478" s="89"/>
      <c r="E478" s="89"/>
      <c r="F478" s="89"/>
      <c r="G478" s="89"/>
      <c r="H478" s="89"/>
      <c r="I478" s="89"/>
      <c r="J478" s="90"/>
      <c r="K478" s="89"/>
      <c r="L478" s="102"/>
    </row>
    <row r="479" spans="1:12" ht="15.75" thickBot="1">
      <c r="A479" s="89"/>
      <c r="B479" s="89"/>
      <c r="C479" s="89"/>
      <c r="D479" s="89"/>
      <c r="E479" s="89"/>
      <c r="F479" s="89"/>
      <c r="G479" s="89"/>
      <c r="H479" s="89"/>
      <c r="I479" s="89"/>
      <c r="J479" s="90"/>
      <c r="K479" s="89"/>
      <c r="L479" s="102"/>
    </row>
    <row r="480" spans="1:12" ht="15.75" thickBot="1">
      <c r="A480" s="89"/>
      <c r="B480" s="89"/>
      <c r="C480" s="89"/>
      <c r="D480" s="89"/>
      <c r="E480" s="89"/>
      <c r="F480" s="89"/>
      <c r="G480" s="89"/>
      <c r="H480" s="89"/>
      <c r="I480" s="89"/>
      <c r="J480" s="90"/>
      <c r="K480" s="89"/>
      <c r="L480" s="102"/>
    </row>
    <row r="481" spans="1:12" ht="15.75" thickBot="1">
      <c r="A481" s="89"/>
      <c r="B481" s="89"/>
      <c r="C481" s="89"/>
      <c r="D481" s="89"/>
      <c r="E481" s="89"/>
      <c r="F481" s="89"/>
      <c r="G481" s="89"/>
      <c r="H481" s="89"/>
      <c r="I481" s="89"/>
      <c r="J481" s="90"/>
      <c r="K481" s="89"/>
      <c r="L481" s="102"/>
    </row>
    <row r="482" spans="1:12" ht="15.75" thickBot="1">
      <c r="A482" s="89"/>
      <c r="B482" s="89"/>
      <c r="C482" s="89"/>
      <c r="D482" s="89"/>
      <c r="E482" s="89"/>
      <c r="F482" s="89"/>
      <c r="G482" s="89"/>
      <c r="H482" s="89"/>
      <c r="I482" s="89"/>
      <c r="J482" s="90"/>
      <c r="K482" s="89"/>
      <c r="L482" s="102"/>
    </row>
    <row r="483" spans="1:12" ht="15.75" thickBot="1">
      <c r="A483" s="89"/>
      <c r="B483" s="89"/>
      <c r="C483" s="89"/>
      <c r="D483" s="89"/>
      <c r="E483" s="89"/>
      <c r="F483" s="89"/>
      <c r="G483" s="89"/>
      <c r="H483" s="89"/>
      <c r="I483" s="89"/>
      <c r="J483" s="90"/>
      <c r="K483" s="89"/>
      <c r="L483" s="102"/>
    </row>
    <row r="484" spans="1:12" ht="15.75" thickBot="1">
      <c r="A484" s="89"/>
      <c r="B484" s="89"/>
      <c r="C484" s="89"/>
      <c r="D484" s="89"/>
      <c r="E484" s="89"/>
      <c r="F484" s="89"/>
      <c r="G484" s="89"/>
      <c r="H484" s="89"/>
      <c r="I484" s="89"/>
      <c r="J484" s="90"/>
      <c r="K484" s="89"/>
      <c r="L484" s="102"/>
    </row>
    <row r="485" spans="1:12" ht="15.75" thickBot="1">
      <c r="A485" s="89"/>
      <c r="B485" s="89"/>
      <c r="C485" s="89"/>
      <c r="D485" s="89"/>
      <c r="E485" s="89"/>
      <c r="F485" s="89"/>
      <c r="G485" s="89"/>
      <c r="H485" s="89"/>
      <c r="I485" s="89"/>
      <c r="J485" s="90"/>
      <c r="K485" s="89"/>
      <c r="L485" s="102"/>
    </row>
    <row r="486" spans="1:12" ht="15.75" thickBot="1">
      <c r="A486" s="89"/>
      <c r="B486" s="89"/>
      <c r="C486" s="89"/>
      <c r="D486" s="89"/>
      <c r="E486" s="89"/>
      <c r="F486" s="89"/>
      <c r="G486" s="89"/>
      <c r="H486" s="89"/>
      <c r="I486" s="89"/>
      <c r="J486" s="90"/>
      <c r="K486" s="89"/>
      <c r="L486" s="102"/>
    </row>
    <row r="487" spans="1:12" ht="15.75" thickBot="1">
      <c r="A487" s="89"/>
      <c r="B487" s="89"/>
      <c r="C487" s="89"/>
      <c r="D487" s="89"/>
      <c r="E487" s="89"/>
      <c r="F487" s="89"/>
      <c r="G487" s="89"/>
      <c r="H487" s="89"/>
      <c r="I487" s="89"/>
      <c r="J487" s="90"/>
      <c r="K487" s="89"/>
      <c r="L487" s="102"/>
    </row>
    <row r="488" spans="1:12" ht="15.75" thickBot="1">
      <c r="A488" s="89"/>
      <c r="B488" s="89"/>
      <c r="C488" s="89"/>
      <c r="D488" s="89"/>
      <c r="E488" s="89"/>
      <c r="F488" s="89"/>
      <c r="G488" s="89"/>
      <c r="H488" s="89"/>
      <c r="I488" s="89"/>
      <c r="J488" s="90"/>
      <c r="K488" s="89"/>
      <c r="L488" s="102"/>
    </row>
    <row r="489" spans="1:12" ht="15.75" thickBot="1">
      <c r="A489" s="89"/>
      <c r="B489" s="89"/>
      <c r="C489" s="89"/>
      <c r="D489" s="89"/>
      <c r="E489" s="89"/>
      <c r="F489" s="89"/>
      <c r="G489" s="89"/>
      <c r="H489" s="89"/>
      <c r="I489" s="89"/>
      <c r="J489" s="90"/>
      <c r="K489" s="89"/>
      <c r="L489" s="102"/>
    </row>
    <row r="490" spans="1:12" ht="15.75" thickBot="1">
      <c r="A490" s="89"/>
      <c r="B490" s="89"/>
      <c r="C490" s="89"/>
      <c r="D490" s="89"/>
      <c r="E490" s="89"/>
      <c r="F490" s="89"/>
      <c r="G490" s="89"/>
      <c r="H490" s="89"/>
      <c r="I490" s="89"/>
      <c r="J490" s="90"/>
      <c r="K490" s="89"/>
      <c r="L490" s="102"/>
    </row>
    <row r="491" spans="1:12" ht="15.75" thickBot="1">
      <c r="A491" s="89"/>
      <c r="B491" s="89"/>
      <c r="C491" s="89"/>
      <c r="D491" s="89"/>
      <c r="E491" s="89"/>
      <c r="F491" s="89"/>
      <c r="G491" s="89"/>
      <c r="H491" s="89"/>
      <c r="I491" s="89"/>
      <c r="J491" s="90"/>
      <c r="K491" s="89"/>
      <c r="L491" s="102"/>
    </row>
    <row r="492" spans="1:12" ht="15.75" thickBot="1">
      <c r="A492" s="89"/>
      <c r="B492" s="89"/>
      <c r="C492" s="89"/>
      <c r="D492" s="89"/>
      <c r="E492" s="89"/>
      <c r="F492" s="89"/>
      <c r="G492" s="89"/>
      <c r="H492" s="89"/>
      <c r="I492" s="89"/>
      <c r="J492" s="90"/>
      <c r="K492" s="89"/>
      <c r="L492" s="102"/>
    </row>
    <row r="493" spans="1:12" ht="15.75" thickBot="1">
      <c r="A493" s="89"/>
      <c r="B493" s="89"/>
      <c r="C493" s="89"/>
      <c r="D493" s="89"/>
      <c r="E493" s="89"/>
      <c r="F493" s="89"/>
      <c r="G493" s="89"/>
      <c r="H493" s="89"/>
      <c r="I493" s="89"/>
      <c r="J493" s="90"/>
      <c r="K493" s="89"/>
      <c r="L493" s="102"/>
    </row>
    <row r="494" spans="1:12" ht="15.75" thickBot="1">
      <c r="A494" s="89"/>
      <c r="B494" s="89"/>
      <c r="C494" s="89"/>
      <c r="D494" s="89"/>
      <c r="E494" s="89"/>
      <c r="F494" s="89"/>
      <c r="G494" s="89"/>
      <c r="H494" s="89"/>
      <c r="I494" s="89"/>
      <c r="J494" s="90"/>
      <c r="K494" s="89"/>
      <c r="L494" s="102"/>
    </row>
    <row r="495" spans="1:12" ht="15.75" thickBot="1">
      <c r="A495" s="89"/>
      <c r="B495" s="89"/>
      <c r="C495" s="89"/>
      <c r="D495" s="89"/>
      <c r="E495" s="89"/>
      <c r="F495" s="89"/>
      <c r="G495" s="89"/>
      <c r="H495" s="89"/>
      <c r="I495" s="89"/>
      <c r="J495" s="90"/>
      <c r="K495" s="89"/>
      <c r="L495" s="102"/>
    </row>
    <row r="496" spans="1:12" ht="15.75" thickBot="1">
      <c r="A496" s="89"/>
      <c r="B496" s="89"/>
      <c r="C496" s="89"/>
      <c r="D496" s="89"/>
      <c r="E496" s="89"/>
      <c r="F496" s="89"/>
      <c r="G496" s="89"/>
      <c r="H496" s="89"/>
      <c r="I496" s="89"/>
      <c r="J496" s="90"/>
      <c r="K496" s="89"/>
      <c r="L496" s="102"/>
    </row>
    <row r="497" spans="1:12" ht="15.75" thickBot="1">
      <c r="A497" s="89"/>
      <c r="B497" s="89"/>
      <c r="C497" s="89"/>
      <c r="D497" s="89"/>
      <c r="E497" s="89"/>
      <c r="F497" s="89"/>
      <c r="G497" s="89"/>
      <c r="H497" s="89"/>
      <c r="I497" s="89"/>
      <c r="J497" s="90"/>
      <c r="K497" s="89"/>
      <c r="L497" s="102"/>
    </row>
    <row r="498" spans="1:12" ht="15.75" thickBot="1">
      <c r="A498" s="89"/>
      <c r="B498" s="89"/>
      <c r="C498" s="89"/>
      <c r="D498" s="89"/>
      <c r="E498" s="89"/>
      <c r="F498" s="89"/>
      <c r="G498" s="89"/>
      <c r="H498" s="89"/>
      <c r="I498" s="89"/>
      <c r="J498" s="90"/>
      <c r="K498" s="89"/>
      <c r="L498" s="102"/>
    </row>
    <row r="499" spans="1:12" ht="15.75" thickBot="1">
      <c r="A499" s="89"/>
      <c r="B499" s="89"/>
      <c r="C499" s="89"/>
      <c r="D499" s="89"/>
      <c r="E499" s="89"/>
      <c r="F499" s="89"/>
      <c r="G499" s="89"/>
      <c r="H499" s="89"/>
      <c r="I499" s="89"/>
      <c r="J499" s="90"/>
      <c r="K499" s="89"/>
      <c r="L499" s="102"/>
    </row>
    <row r="500" spans="1:12" ht="15.75" thickBot="1">
      <c r="A500" s="89"/>
      <c r="B500" s="89"/>
      <c r="C500" s="89"/>
      <c r="D500" s="89"/>
      <c r="E500" s="89"/>
      <c r="F500" s="89"/>
      <c r="G500" s="89"/>
      <c r="H500" s="89"/>
      <c r="I500" s="89"/>
      <c r="J500" s="90"/>
      <c r="K500" s="89"/>
      <c r="L500" s="102"/>
    </row>
    <row r="501" spans="1:12" ht="15.75" thickBot="1">
      <c r="A501" s="89"/>
      <c r="B501" s="89"/>
      <c r="C501" s="89"/>
      <c r="D501" s="89"/>
      <c r="E501" s="89"/>
      <c r="F501" s="89"/>
      <c r="G501" s="89"/>
      <c r="H501" s="89"/>
      <c r="I501" s="89"/>
      <c r="J501" s="90"/>
      <c r="K501" s="89"/>
      <c r="L501" s="102"/>
    </row>
    <row r="502" spans="1:12" ht="15.75" thickBot="1">
      <c r="A502" s="89"/>
      <c r="B502" s="89"/>
      <c r="C502" s="89"/>
      <c r="D502" s="89"/>
      <c r="E502" s="89"/>
      <c r="F502" s="89"/>
      <c r="G502" s="89"/>
      <c r="H502" s="89"/>
      <c r="I502" s="89"/>
      <c r="J502" s="90"/>
      <c r="K502" s="89"/>
      <c r="L502" s="102"/>
    </row>
    <row r="503" spans="1:12" ht="15.75" thickBot="1">
      <c r="A503" s="89"/>
      <c r="B503" s="89"/>
      <c r="C503" s="89"/>
      <c r="D503" s="89"/>
      <c r="E503" s="89"/>
      <c r="F503" s="89"/>
      <c r="G503" s="89"/>
      <c r="H503" s="89"/>
      <c r="I503" s="89"/>
      <c r="J503" s="90"/>
      <c r="K503" s="89"/>
      <c r="L503" s="102"/>
    </row>
    <row r="504" spans="1:12" ht="15.75" thickBot="1">
      <c r="A504" s="89"/>
      <c r="B504" s="89"/>
      <c r="C504" s="89"/>
      <c r="D504" s="89"/>
      <c r="E504" s="89"/>
      <c r="F504" s="89"/>
      <c r="G504" s="89"/>
      <c r="H504" s="89"/>
      <c r="I504" s="89"/>
      <c r="J504" s="90"/>
      <c r="K504" s="89"/>
      <c r="L504" s="102"/>
    </row>
    <row r="505" spans="1:12" ht="15.75" thickBot="1">
      <c r="A505" s="89"/>
      <c r="B505" s="89"/>
      <c r="C505" s="89"/>
      <c r="D505" s="89"/>
      <c r="E505" s="89"/>
      <c r="F505" s="89"/>
      <c r="G505" s="89"/>
      <c r="H505" s="89"/>
      <c r="I505" s="89"/>
      <c r="J505" s="90"/>
      <c r="K505" s="89"/>
      <c r="L505" s="102"/>
    </row>
    <row r="506" spans="1:12" ht="15.75" thickBot="1">
      <c r="A506" s="89"/>
      <c r="B506" s="89"/>
      <c r="C506" s="89"/>
      <c r="D506" s="89"/>
      <c r="E506" s="89"/>
      <c r="F506" s="89"/>
      <c r="G506" s="89"/>
      <c r="H506" s="89"/>
      <c r="I506" s="89"/>
      <c r="J506" s="90"/>
      <c r="K506" s="89"/>
      <c r="L506" s="102"/>
    </row>
    <row r="507" spans="1:12" ht="15.75" thickBot="1">
      <c r="A507" s="89"/>
      <c r="B507" s="89"/>
      <c r="C507" s="89"/>
      <c r="D507" s="89"/>
      <c r="E507" s="89"/>
      <c r="F507" s="89"/>
      <c r="G507" s="89"/>
      <c r="H507" s="89"/>
      <c r="I507" s="89"/>
      <c r="J507" s="90"/>
      <c r="K507" s="89"/>
      <c r="L507" s="102"/>
    </row>
    <row r="508" spans="1:12" ht="15.75" thickBot="1">
      <c r="A508" s="89"/>
      <c r="B508" s="89"/>
      <c r="C508" s="89"/>
      <c r="D508" s="89"/>
      <c r="E508" s="89"/>
      <c r="F508" s="89"/>
      <c r="G508" s="89"/>
      <c r="H508" s="89"/>
      <c r="I508" s="89"/>
      <c r="J508" s="90"/>
      <c r="K508" s="89"/>
      <c r="L508" s="102"/>
    </row>
    <row r="509" spans="1:12" ht="15.75" thickBot="1">
      <c r="A509" s="89"/>
      <c r="B509" s="89"/>
      <c r="C509" s="89"/>
      <c r="D509" s="89"/>
      <c r="E509" s="89"/>
      <c r="F509" s="89"/>
      <c r="G509" s="89"/>
      <c r="H509" s="89"/>
      <c r="I509" s="89"/>
      <c r="J509" s="90"/>
      <c r="K509" s="89"/>
      <c r="L509" s="102"/>
    </row>
    <row r="510" spans="1:12" ht="15.75" thickBot="1">
      <c r="A510" s="89"/>
      <c r="B510" s="89"/>
      <c r="C510" s="89"/>
      <c r="D510" s="89"/>
      <c r="E510" s="89"/>
      <c r="F510" s="89"/>
      <c r="G510" s="89"/>
      <c r="H510" s="89"/>
      <c r="I510" s="89"/>
      <c r="J510" s="90"/>
      <c r="K510" s="89"/>
      <c r="L510" s="102"/>
    </row>
    <row r="511" spans="1:12" ht="15.75" thickBot="1">
      <c r="A511" s="89"/>
      <c r="B511" s="89"/>
      <c r="C511" s="89"/>
      <c r="D511" s="89"/>
      <c r="E511" s="89"/>
      <c r="F511" s="89"/>
      <c r="G511" s="89"/>
      <c r="H511" s="89"/>
      <c r="I511" s="89"/>
      <c r="J511" s="90"/>
      <c r="K511" s="89"/>
      <c r="L511" s="102"/>
    </row>
    <row r="512" spans="1:12" ht="15.75" thickBot="1">
      <c r="A512" s="89"/>
      <c r="B512" s="89"/>
      <c r="C512" s="89"/>
      <c r="D512" s="89"/>
      <c r="E512" s="89"/>
      <c r="F512" s="89"/>
      <c r="G512" s="89"/>
      <c r="H512" s="89"/>
      <c r="I512" s="89"/>
      <c r="J512" s="90"/>
      <c r="K512" s="89"/>
      <c r="L512" s="102"/>
    </row>
    <row r="513" spans="1:12" ht="15.75" thickBot="1">
      <c r="A513" s="89"/>
      <c r="B513" s="89"/>
      <c r="C513" s="89"/>
      <c r="D513" s="89"/>
      <c r="E513" s="89"/>
      <c r="F513" s="89"/>
      <c r="G513" s="89"/>
      <c r="H513" s="89"/>
      <c r="I513" s="89"/>
      <c r="J513" s="90"/>
      <c r="K513" s="89"/>
      <c r="L513" s="102"/>
    </row>
    <row r="514" spans="1:12" ht="15.75" thickBot="1">
      <c r="A514" s="89"/>
      <c r="B514" s="89"/>
      <c r="C514" s="89"/>
      <c r="D514" s="89"/>
      <c r="E514" s="89"/>
      <c r="F514" s="89"/>
      <c r="G514" s="89"/>
      <c r="H514" s="89"/>
      <c r="I514" s="89"/>
      <c r="J514" s="90"/>
      <c r="K514" s="89"/>
      <c r="L514" s="102"/>
    </row>
    <row r="515" spans="1:12" ht="15.75" thickBot="1">
      <c r="A515" s="89"/>
      <c r="B515" s="89"/>
      <c r="C515" s="89"/>
      <c r="D515" s="89"/>
      <c r="E515" s="89"/>
      <c r="F515" s="89"/>
      <c r="G515" s="89"/>
      <c r="H515" s="89"/>
      <c r="I515" s="89"/>
      <c r="J515" s="90"/>
      <c r="K515" s="89"/>
      <c r="L515" s="102"/>
    </row>
    <row r="516" spans="1:12" ht="15.75" thickBot="1">
      <c r="A516" s="89"/>
      <c r="B516" s="89"/>
      <c r="C516" s="89"/>
      <c r="D516" s="89"/>
      <c r="E516" s="89"/>
      <c r="F516" s="89"/>
      <c r="G516" s="89"/>
      <c r="H516" s="89"/>
      <c r="I516" s="89"/>
      <c r="J516" s="90"/>
      <c r="K516" s="89"/>
      <c r="L516" s="102"/>
    </row>
    <row r="517" spans="1:12" ht="15.75" thickBot="1">
      <c r="A517" s="89"/>
      <c r="B517" s="89"/>
      <c r="C517" s="89"/>
      <c r="D517" s="89"/>
      <c r="E517" s="89"/>
      <c r="F517" s="89"/>
      <c r="G517" s="89"/>
      <c r="H517" s="89"/>
      <c r="I517" s="89"/>
      <c r="J517" s="90"/>
      <c r="K517" s="89"/>
      <c r="L517" s="102"/>
    </row>
    <row r="518" spans="1:12" ht="15.75" thickBot="1">
      <c r="A518" s="89"/>
      <c r="B518" s="89"/>
      <c r="C518" s="89"/>
      <c r="D518" s="89"/>
      <c r="E518" s="89"/>
      <c r="F518" s="89"/>
      <c r="G518" s="89"/>
      <c r="H518" s="89"/>
      <c r="I518" s="89"/>
      <c r="J518" s="90"/>
      <c r="K518" s="89"/>
      <c r="L518" s="102"/>
    </row>
    <row r="519" spans="1:12" ht="15.75" thickBot="1">
      <c r="A519" s="89"/>
      <c r="B519" s="89"/>
      <c r="C519" s="89"/>
      <c r="D519" s="89"/>
      <c r="E519" s="89"/>
      <c r="F519" s="89"/>
      <c r="G519" s="89"/>
      <c r="H519" s="89"/>
      <c r="I519" s="89"/>
      <c r="J519" s="90"/>
      <c r="K519" s="89"/>
      <c r="L519" s="102"/>
    </row>
    <row r="520" spans="1:12" ht="15.75" thickBot="1">
      <c r="A520" s="89"/>
      <c r="B520" s="89"/>
      <c r="C520" s="89"/>
      <c r="D520" s="89"/>
      <c r="E520" s="89"/>
      <c r="F520" s="89"/>
      <c r="G520" s="89"/>
      <c r="H520" s="89"/>
      <c r="I520" s="89"/>
      <c r="J520" s="90"/>
      <c r="K520" s="89"/>
      <c r="L520" s="102"/>
    </row>
    <row r="521" spans="1:12" ht="15.75" thickBot="1">
      <c r="A521" s="89"/>
      <c r="B521" s="89"/>
      <c r="C521" s="89"/>
      <c r="D521" s="89"/>
      <c r="E521" s="89"/>
      <c r="F521" s="89"/>
      <c r="G521" s="89"/>
      <c r="H521" s="89"/>
      <c r="I521" s="89"/>
      <c r="J521" s="90"/>
      <c r="K521" s="89"/>
      <c r="L521" s="102"/>
    </row>
    <row r="522" spans="1:12" ht="15.75" thickBot="1">
      <c r="A522" s="89"/>
      <c r="B522" s="89"/>
      <c r="C522" s="89"/>
      <c r="D522" s="89"/>
      <c r="E522" s="89"/>
      <c r="F522" s="89"/>
      <c r="G522" s="89"/>
      <c r="H522" s="89"/>
      <c r="I522" s="89"/>
      <c r="J522" s="90"/>
      <c r="K522" s="89"/>
      <c r="L522" s="102"/>
    </row>
    <row r="523" spans="1:12" ht="15.75" thickBot="1">
      <c r="A523" s="89"/>
      <c r="B523" s="89"/>
      <c r="C523" s="89"/>
      <c r="D523" s="89"/>
      <c r="E523" s="89"/>
      <c r="F523" s="89"/>
      <c r="G523" s="89"/>
      <c r="H523" s="89"/>
      <c r="I523" s="89"/>
      <c r="J523" s="90"/>
      <c r="K523" s="89"/>
      <c r="L523" s="102"/>
    </row>
    <row r="524" spans="1:12" ht="15.75" thickBot="1">
      <c r="A524" s="89"/>
      <c r="B524" s="89"/>
      <c r="C524" s="89"/>
      <c r="D524" s="89"/>
      <c r="E524" s="89"/>
      <c r="F524" s="89"/>
      <c r="G524" s="89"/>
      <c r="H524" s="89"/>
      <c r="I524" s="89"/>
      <c r="J524" s="90"/>
      <c r="K524" s="89"/>
      <c r="L524" s="102"/>
    </row>
    <row r="525" spans="1:12" ht="15.75" thickBot="1">
      <c r="A525" s="89"/>
      <c r="B525" s="89"/>
      <c r="C525" s="89"/>
      <c r="D525" s="89"/>
      <c r="E525" s="89"/>
      <c r="F525" s="89"/>
      <c r="G525" s="89"/>
      <c r="H525" s="89"/>
      <c r="I525" s="89"/>
      <c r="J525" s="90"/>
      <c r="K525" s="89"/>
      <c r="L525" s="102"/>
    </row>
    <row r="526" spans="1:12" ht="15.75" thickBot="1">
      <c r="A526" s="89"/>
      <c r="B526" s="89"/>
      <c r="C526" s="89"/>
      <c r="D526" s="89"/>
      <c r="E526" s="89"/>
      <c r="F526" s="89"/>
      <c r="G526" s="89"/>
      <c r="H526" s="89"/>
      <c r="I526" s="89"/>
      <c r="J526" s="90"/>
      <c r="K526" s="89"/>
      <c r="L526" s="102"/>
    </row>
    <row r="527" spans="1:12" ht="15.75" thickBot="1">
      <c r="A527" s="89"/>
      <c r="B527" s="89"/>
      <c r="C527" s="89"/>
      <c r="D527" s="89"/>
      <c r="E527" s="89"/>
      <c r="F527" s="89"/>
      <c r="G527" s="89"/>
      <c r="H527" s="89"/>
      <c r="I527" s="89"/>
      <c r="J527" s="90"/>
      <c r="K527" s="89"/>
      <c r="L527" s="102"/>
    </row>
    <row r="528" spans="1:12" ht="15.75" thickBot="1">
      <c r="A528" s="89"/>
      <c r="B528" s="89"/>
      <c r="C528" s="89"/>
      <c r="D528" s="89"/>
      <c r="E528" s="89"/>
      <c r="F528" s="89"/>
      <c r="G528" s="89"/>
      <c r="H528" s="89"/>
      <c r="I528" s="89"/>
      <c r="J528" s="90"/>
      <c r="K528" s="89"/>
      <c r="L528" s="102"/>
    </row>
    <row r="529" spans="1:12" ht="15.75" thickBot="1">
      <c r="A529" s="89"/>
      <c r="B529" s="89"/>
      <c r="C529" s="89"/>
      <c r="D529" s="89"/>
      <c r="E529" s="89"/>
      <c r="F529" s="89"/>
      <c r="G529" s="89"/>
      <c r="H529" s="89"/>
      <c r="I529" s="89"/>
      <c r="J529" s="90"/>
      <c r="K529" s="89"/>
      <c r="L529" s="102"/>
    </row>
    <row r="530" spans="1:12" ht="15.75" thickBot="1">
      <c r="A530" s="89"/>
      <c r="B530" s="89"/>
      <c r="C530" s="89"/>
      <c r="D530" s="89"/>
      <c r="E530" s="89"/>
      <c r="F530" s="89"/>
      <c r="G530" s="89"/>
      <c r="H530" s="89"/>
      <c r="I530" s="89"/>
      <c r="J530" s="90"/>
      <c r="K530" s="89"/>
      <c r="L530" s="102"/>
    </row>
    <row r="531" spans="1:12" ht="15.75" thickBot="1">
      <c r="A531" s="89"/>
      <c r="B531" s="89"/>
      <c r="C531" s="89"/>
      <c r="D531" s="89"/>
      <c r="E531" s="89"/>
      <c r="F531" s="89"/>
      <c r="G531" s="89"/>
      <c r="H531" s="89"/>
      <c r="I531" s="89"/>
      <c r="J531" s="90"/>
      <c r="K531" s="89"/>
      <c r="L531" s="102"/>
    </row>
    <row r="532" spans="1:12" ht="15.75" thickBot="1">
      <c r="A532" s="89"/>
      <c r="B532" s="89"/>
      <c r="C532" s="89"/>
      <c r="D532" s="89"/>
      <c r="E532" s="89"/>
      <c r="F532" s="89"/>
      <c r="G532" s="89"/>
      <c r="H532" s="89"/>
      <c r="I532" s="89"/>
      <c r="J532" s="90"/>
      <c r="K532" s="89"/>
      <c r="L532" s="102"/>
    </row>
    <row r="533" spans="1:12" ht="15.75" thickBot="1">
      <c r="A533" s="89"/>
      <c r="B533" s="89"/>
      <c r="C533" s="89"/>
      <c r="D533" s="89"/>
      <c r="E533" s="89"/>
      <c r="F533" s="89"/>
      <c r="G533" s="89"/>
      <c r="H533" s="89"/>
      <c r="I533" s="89"/>
      <c r="J533" s="90"/>
      <c r="K533" s="89"/>
      <c r="L533" s="102"/>
    </row>
    <row r="534" spans="1:12" ht="15.75" thickBot="1">
      <c r="A534" s="89"/>
      <c r="B534" s="89"/>
      <c r="C534" s="89"/>
      <c r="D534" s="89"/>
      <c r="E534" s="89"/>
      <c r="F534" s="89"/>
      <c r="G534" s="89"/>
      <c r="H534" s="89"/>
      <c r="I534" s="89"/>
      <c r="J534" s="90"/>
      <c r="K534" s="89"/>
      <c r="L534" s="102"/>
    </row>
    <row r="535" spans="1:12" ht="15.75" thickBot="1">
      <c r="A535" s="89"/>
      <c r="B535" s="89"/>
      <c r="C535" s="89"/>
      <c r="D535" s="89"/>
      <c r="E535" s="89"/>
      <c r="F535" s="89"/>
      <c r="G535" s="89"/>
      <c r="H535" s="89"/>
      <c r="I535" s="89"/>
      <c r="J535" s="90"/>
      <c r="K535" s="89"/>
      <c r="L535" s="102"/>
    </row>
    <row r="536" spans="1:12" ht="15.75" thickBot="1">
      <c r="A536" s="89"/>
      <c r="B536" s="89"/>
      <c r="C536" s="89"/>
      <c r="D536" s="89"/>
      <c r="E536" s="89"/>
      <c r="F536" s="89"/>
      <c r="G536" s="89"/>
      <c r="H536" s="89"/>
      <c r="I536" s="89"/>
      <c r="J536" s="90"/>
      <c r="K536" s="89"/>
      <c r="L536" s="102"/>
    </row>
    <row r="537" spans="1:12" ht="15.75" thickBot="1">
      <c r="A537" s="89"/>
      <c r="B537" s="89"/>
      <c r="C537" s="89"/>
      <c r="D537" s="89"/>
      <c r="E537" s="89"/>
      <c r="F537" s="89"/>
      <c r="G537" s="89"/>
      <c r="H537" s="89"/>
      <c r="I537" s="89"/>
      <c r="J537" s="90"/>
      <c r="K537" s="89"/>
      <c r="L537" s="102"/>
    </row>
    <row r="538" spans="1:12" ht="15.75" thickBot="1">
      <c r="A538" s="89"/>
      <c r="B538" s="89"/>
      <c r="C538" s="89"/>
      <c r="D538" s="89"/>
      <c r="E538" s="89"/>
      <c r="F538" s="89"/>
      <c r="G538" s="89"/>
      <c r="H538" s="89"/>
      <c r="I538" s="89"/>
      <c r="J538" s="90"/>
      <c r="K538" s="89"/>
      <c r="L538" s="102"/>
    </row>
    <row r="539" spans="1:12" ht="15.75" thickBot="1">
      <c r="A539" s="89"/>
      <c r="B539" s="89"/>
      <c r="C539" s="89"/>
      <c r="D539" s="89"/>
      <c r="E539" s="89"/>
      <c r="F539" s="89"/>
      <c r="G539" s="89"/>
      <c r="H539" s="89"/>
      <c r="I539" s="89"/>
      <c r="J539" s="90"/>
      <c r="K539" s="89"/>
      <c r="L539" s="102"/>
    </row>
    <row r="540" spans="1:12" ht="15.75" thickBot="1">
      <c r="A540" s="89"/>
      <c r="B540" s="89"/>
      <c r="C540" s="89"/>
      <c r="D540" s="89"/>
      <c r="E540" s="89"/>
      <c r="F540" s="89"/>
      <c r="G540" s="89"/>
      <c r="H540" s="89"/>
      <c r="I540" s="89"/>
      <c r="J540" s="90"/>
      <c r="K540" s="89"/>
      <c r="L540" s="102"/>
    </row>
    <row r="541" spans="1:12" ht="15.75" thickBot="1">
      <c r="A541" s="89"/>
      <c r="B541" s="89"/>
      <c r="C541" s="89"/>
      <c r="D541" s="89"/>
      <c r="E541" s="89"/>
      <c r="F541" s="89"/>
      <c r="G541" s="89"/>
      <c r="H541" s="89"/>
      <c r="I541" s="89"/>
      <c r="J541" s="90"/>
      <c r="K541" s="89"/>
      <c r="L541" s="102"/>
    </row>
    <row r="542" spans="1:12" ht="15.75" thickBot="1">
      <c r="A542" s="89"/>
      <c r="B542" s="89"/>
      <c r="C542" s="89"/>
      <c r="D542" s="89"/>
      <c r="E542" s="89"/>
      <c r="F542" s="89"/>
      <c r="G542" s="89"/>
      <c r="H542" s="89"/>
      <c r="I542" s="89"/>
      <c r="J542" s="90"/>
      <c r="K542" s="89"/>
      <c r="L542" s="102"/>
    </row>
    <row r="543" spans="1:12" ht="15.75" thickBot="1">
      <c r="A543" s="89"/>
      <c r="B543" s="89"/>
      <c r="C543" s="89"/>
      <c r="D543" s="89"/>
      <c r="E543" s="89"/>
      <c r="F543" s="89"/>
      <c r="G543" s="89"/>
      <c r="H543" s="89"/>
      <c r="I543" s="89"/>
      <c r="J543" s="90"/>
      <c r="K543" s="89"/>
      <c r="L543" s="102"/>
    </row>
    <row r="544" spans="1:12" ht="15.75" thickBot="1">
      <c r="A544" s="89"/>
      <c r="B544" s="89"/>
      <c r="C544" s="89"/>
      <c r="D544" s="89"/>
      <c r="E544" s="89"/>
      <c r="F544" s="89"/>
      <c r="G544" s="89"/>
      <c r="H544" s="89"/>
      <c r="I544" s="89"/>
      <c r="J544" s="90"/>
      <c r="K544" s="89"/>
      <c r="L544" s="102"/>
    </row>
    <row r="545" spans="1:12" ht="15.75" thickBot="1">
      <c r="A545" s="89"/>
      <c r="B545" s="89"/>
      <c r="C545" s="89"/>
      <c r="D545" s="89"/>
      <c r="E545" s="89"/>
      <c r="F545" s="89"/>
      <c r="G545" s="89"/>
      <c r="H545" s="89"/>
      <c r="I545" s="89"/>
      <c r="J545" s="90"/>
      <c r="K545" s="89"/>
      <c r="L545" s="102"/>
    </row>
    <row r="546" spans="1:12" ht="15.75" thickBot="1">
      <c r="A546" s="89"/>
      <c r="B546" s="89"/>
      <c r="C546" s="89"/>
      <c r="D546" s="89"/>
      <c r="E546" s="89"/>
      <c r="F546" s="89"/>
      <c r="G546" s="89"/>
      <c r="H546" s="89"/>
      <c r="I546" s="89"/>
      <c r="J546" s="90"/>
      <c r="K546" s="89"/>
      <c r="L546" s="102"/>
    </row>
    <row r="547" spans="1:12" ht="15.75" thickBot="1">
      <c r="A547" s="89"/>
      <c r="B547" s="89"/>
      <c r="C547" s="89"/>
      <c r="D547" s="89"/>
      <c r="E547" s="89"/>
      <c r="F547" s="89"/>
      <c r="G547" s="89"/>
      <c r="H547" s="89"/>
      <c r="I547" s="89"/>
      <c r="J547" s="90"/>
      <c r="K547" s="89"/>
      <c r="L547" s="102"/>
    </row>
    <row r="548" spans="1:12" ht="15.75" thickBot="1">
      <c r="A548" s="89"/>
      <c r="B548" s="89"/>
      <c r="C548" s="89"/>
      <c r="D548" s="89"/>
      <c r="E548" s="89"/>
      <c r="F548" s="89"/>
      <c r="G548" s="89"/>
      <c r="H548" s="89"/>
      <c r="I548" s="89"/>
      <c r="J548" s="90"/>
      <c r="K548" s="89"/>
      <c r="L548" s="102"/>
    </row>
    <row r="549" spans="1:12" ht="15.75" thickBot="1">
      <c r="A549" s="89"/>
      <c r="B549" s="89"/>
      <c r="C549" s="89"/>
      <c r="D549" s="89"/>
      <c r="E549" s="89"/>
      <c r="F549" s="89"/>
      <c r="G549" s="89"/>
      <c r="H549" s="89"/>
      <c r="I549" s="89"/>
      <c r="J549" s="90"/>
      <c r="K549" s="89"/>
      <c r="L549" s="102"/>
    </row>
    <row r="550" spans="1:12" ht="15.75" thickBot="1">
      <c r="A550" s="89"/>
      <c r="B550" s="89"/>
      <c r="C550" s="89"/>
      <c r="D550" s="89"/>
      <c r="E550" s="89"/>
      <c r="F550" s="89"/>
      <c r="G550" s="89"/>
      <c r="H550" s="89"/>
      <c r="I550" s="89"/>
      <c r="J550" s="90"/>
      <c r="K550" s="89"/>
      <c r="L550" s="102"/>
    </row>
    <row r="551" spans="1:12" ht="15.75" thickBot="1">
      <c r="A551" s="89"/>
      <c r="B551" s="89"/>
      <c r="C551" s="89"/>
      <c r="D551" s="89"/>
      <c r="E551" s="89"/>
      <c r="F551" s="89"/>
      <c r="G551" s="89"/>
      <c r="H551" s="89"/>
      <c r="I551" s="89"/>
      <c r="J551" s="90"/>
      <c r="K551" s="89"/>
      <c r="L551" s="102"/>
    </row>
    <row r="552" spans="1:12" ht="15.75" thickBot="1">
      <c r="A552" s="89"/>
      <c r="B552" s="89"/>
      <c r="C552" s="89"/>
      <c r="D552" s="89"/>
      <c r="E552" s="89"/>
      <c r="F552" s="89"/>
      <c r="G552" s="89"/>
      <c r="H552" s="89"/>
      <c r="I552" s="89"/>
      <c r="J552" s="90"/>
      <c r="K552" s="89"/>
      <c r="L552" s="102"/>
    </row>
    <row r="553" spans="1:12" ht="15.75" thickBot="1">
      <c r="A553" s="89"/>
      <c r="B553" s="89"/>
      <c r="C553" s="89"/>
      <c r="D553" s="89"/>
      <c r="E553" s="89"/>
      <c r="F553" s="89"/>
      <c r="G553" s="89"/>
      <c r="H553" s="89"/>
      <c r="I553" s="89"/>
      <c r="J553" s="90"/>
      <c r="K553" s="89"/>
      <c r="L553" s="102"/>
    </row>
    <row r="554" spans="1:12" ht="15.75" thickBot="1">
      <c r="A554" s="89"/>
      <c r="B554" s="89"/>
      <c r="C554" s="89"/>
      <c r="D554" s="89"/>
      <c r="E554" s="89"/>
      <c r="F554" s="89"/>
      <c r="G554" s="89"/>
      <c r="H554" s="89"/>
      <c r="I554" s="89"/>
      <c r="J554" s="90"/>
      <c r="K554" s="89"/>
      <c r="L554" s="102"/>
    </row>
    <row r="555" spans="1:12" ht="15.75" thickBot="1">
      <c r="A555" s="89"/>
      <c r="B555" s="89"/>
      <c r="C555" s="89"/>
      <c r="D555" s="89"/>
      <c r="E555" s="89"/>
      <c r="F555" s="89"/>
      <c r="G555" s="89"/>
      <c r="H555" s="89"/>
      <c r="I555" s="89"/>
      <c r="J555" s="90"/>
      <c r="K555" s="89"/>
      <c r="L555" s="102"/>
    </row>
    <row r="556" spans="1:12" ht="15.75" thickBot="1">
      <c r="A556" s="89"/>
      <c r="B556" s="89"/>
      <c r="C556" s="89"/>
      <c r="D556" s="89"/>
      <c r="E556" s="89"/>
      <c r="F556" s="89"/>
      <c r="G556" s="89"/>
      <c r="H556" s="89"/>
      <c r="I556" s="89"/>
      <c r="J556" s="90"/>
      <c r="K556" s="89"/>
      <c r="L556" s="102"/>
    </row>
    <row r="557" spans="1:12" ht="15.75" thickBot="1">
      <c r="A557" s="89"/>
      <c r="B557" s="89"/>
      <c r="C557" s="89"/>
      <c r="D557" s="89"/>
      <c r="E557" s="89"/>
      <c r="F557" s="89"/>
      <c r="G557" s="89"/>
      <c r="H557" s="89"/>
      <c r="I557" s="89"/>
      <c r="J557" s="90"/>
      <c r="K557" s="89"/>
      <c r="L557" s="102"/>
    </row>
    <row r="558" spans="1:12" ht="15.75" thickBot="1">
      <c r="A558" s="89"/>
      <c r="B558" s="89"/>
      <c r="C558" s="89"/>
      <c r="D558" s="89"/>
      <c r="E558" s="89"/>
      <c r="F558" s="89"/>
      <c r="G558" s="89"/>
      <c r="H558" s="89"/>
      <c r="I558" s="89"/>
      <c r="J558" s="90"/>
      <c r="K558" s="89"/>
      <c r="L558" s="102"/>
    </row>
    <row r="559" spans="1:12" ht="15.75" thickBot="1">
      <c r="A559" s="89"/>
      <c r="B559" s="89"/>
      <c r="C559" s="89"/>
      <c r="D559" s="89"/>
      <c r="E559" s="89"/>
      <c r="F559" s="89"/>
      <c r="G559" s="89"/>
      <c r="H559" s="89"/>
      <c r="I559" s="89"/>
      <c r="J559" s="90"/>
      <c r="K559" s="89"/>
      <c r="L559" s="102"/>
    </row>
    <row r="560" spans="1:12" ht="15.75" thickBot="1">
      <c r="A560" s="89"/>
      <c r="B560" s="89"/>
      <c r="C560" s="89"/>
      <c r="D560" s="89"/>
      <c r="E560" s="89"/>
      <c r="F560" s="89"/>
      <c r="G560" s="89"/>
      <c r="H560" s="89"/>
      <c r="I560" s="89"/>
      <c r="J560" s="90"/>
      <c r="K560" s="89"/>
      <c r="L560" s="102"/>
    </row>
    <row r="561" spans="1:12" ht="15.75" thickBot="1">
      <c r="A561" s="89"/>
      <c r="B561" s="89"/>
      <c r="C561" s="89"/>
      <c r="D561" s="89"/>
      <c r="E561" s="89"/>
      <c r="F561" s="89"/>
      <c r="G561" s="89"/>
      <c r="H561" s="89"/>
      <c r="I561" s="89"/>
      <c r="J561" s="90"/>
      <c r="K561" s="89"/>
      <c r="L561" s="102"/>
    </row>
    <row r="562" spans="1:12" ht="15.75" thickBot="1">
      <c r="A562" s="89"/>
      <c r="B562" s="89"/>
      <c r="C562" s="89"/>
      <c r="D562" s="89"/>
      <c r="E562" s="89"/>
      <c r="F562" s="89"/>
      <c r="G562" s="89"/>
      <c r="H562" s="89"/>
      <c r="I562" s="89"/>
      <c r="J562" s="90"/>
      <c r="K562" s="89"/>
      <c r="L562" s="102"/>
    </row>
    <row r="563" spans="1:12" ht="15.75" thickBot="1">
      <c r="A563" s="89"/>
      <c r="B563" s="89"/>
      <c r="C563" s="89"/>
      <c r="D563" s="89"/>
      <c r="E563" s="89"/>
      <c r="F563" s="89"/>
      <c r="G563" s="89"/>
      <c r="H563" s="89"/>
      <c r="I563" s="89"/>
      <c r="J563" s="90"/>
      <c r="K563" s="89"/>
      <c r="L563" s="102"/>
    </row>
    <row r="564" spans="1:12" ht="15.75" thickBot="1">
      <c r="A564" s="89"/>
      <c r="B564" s="89"/>
      <c r="C564" s="89"/>
      <c r="D564" s="89"/>
      <c r="E564" s="89"/>
      <c r="F564" s="89"/>
      <c r="G564" s="89"/>
      <c r="H564" s="89"/>
      <c r="I564" s="89"/>
      <c r="J564" s="90"/>
      <c r="K564" s="89"/>
      <c r="L564" s="102"/>
    </row>
    <row r="565" spans="1:12" ht="15.75" thickBot="1">
      <c r="A565" s="89"/>
      <c r="B565" s="89"/>
      <c r="C565" s="89"/>
      <c r="D565" s="89"/>
      <c r="E565" s="89"/>
      <c r="F565" s="89"/>
      <c r="G565" s="89"/>
      <c r="H565" s="89"/>
      <c r="I565" s="89"/>
      <c r="J565" s="90"/>
      <c r="K565" s="89"/>
      <c r="L565" s="102"/>
    </row>
    <row r="566" spans="1:12" ht="15.75" thickBot="1">
      <c r="A566" s="89"/>
      <c r="B566" s="89"/>
      <c r="C566" s="89"/>
      <c r="D566" s="89"/>
      <c r="E566" s="89"/>
      <c r="F566" s="89"/>
      <c r="G566" s="89"/>
      <c r="H566" s="89"/>
      <c r="I566" s="89"/>
      <c r="J566" s="90"/>
      <c r="K566" s="89"/>
      <c r="L566" s="102"/>
    </row>
    <row r="567" spans="1:12" ht="15.75" thickBot="1">
      <c r="A567" s="89"/>
      <c r="B567" s="89"/>
      <c r="C567" s="89"/>
      <c r="D567" s="89"/>
      <c r="E567" s="89"/>
      <c r="F567" s="89"/>
      <c r="G567" s="89"/>
      <c r="H567" s="89"/>
      <c r="I567" s="89"/>
      <c r="J567" s="90"/>
      <c r="K567" s="89"/>
      <c r="L567" s="102"/>
    </row>
    <row r="568" spans="1:12" ht="15.75" thickBot="1">
      <c r="A568" s="89"/>
      <c r="B568" s="89"/>
      <c r="C568" s="89"/>
      <c r="D568" s="89"/>
      <c r="E568" s="89"/>
      <c r="F568" s="89"/>
      <c r="G568" s="89"/>
      <c r="H568" s="89"/>
      <c r="I568" s="89"/>
      <c r="J568" s="90"/>
      <c r="K568" s="89"/>
      <c r="L568" s="102"/>
    </row>
    <row r="569" spans="1:12" ht="15.75" thickBot="1">
      <c r="A569" s="89"/>
      <c r="B569" s="89"/>
      <c r="C569" s="89"/>
      <c r="D569" s="89"/>
      <c r="E569" s="89"/>
      <c r="F569" s="89"/>
      <c r="G569" s="89"/>
      <c r="H569" s="89"/>
      <c r="I569" s="89"/>
      <c r="J569" s="90"/>
      <c r="K569" s="89"/>
      <c r="L569" s="102"/>
    </row>
    <row r="570" spans="1:12" ht="15.75" thickBot="1">
      <c r="A570" s="89"/>
      <c r="B570" s="89"/>
      <c r="C570" s="89"/>
      <c r="D570" s="89"/>
      <c r="E570" s="89"/>
      <c r="F570" s="89"/>
      <c r="G570" s="89"/>
      <c r="H570" s="89"/>
      <c r="I570" s="89"/>
      <c r="J570" s="90"/>
      <c r="K570" s="89"/>
      <c r="L570" s="102"/>
    </row>
    <row r="571" spans="1:12" ht="15.75" thickBot="1">
      <c r="A571" s="89"/>
      <c r="B571" s="89"/>
      <c r="C571" s="89"/>
      <c r="D571" s="89"/>
      <c r="E571" s="89"/>
      <c r="F571" s="89"/>
      <c r="G571" s="89"/>
      <c r="H571" s="89"/>
      <c r="I571" s="89"/>
      <c r="J571" s="90"/>
      <c r="K571" s="89"/>
      <c r="L571" s="102"/>
    </row>
    <row r="572" spans="1:12" ht="15.75" thickBot="1">
      <c r="A572" s="89"/>
      <c r="B572" s="89"/>
      <c r="C572" s="89"/>
      <c r="D572" s="89"/>
      <c r="E572" s="89"/>
      <c r="F572" s="89"/>
      <c r="G572" s="89"/>
      <c r="H572" s="89"/>
      <c r="I572" s="89"/>
      <c r="J572" s="90"/>
      <c r="K572" s="89"/>
      <c r="L572" s="102"/>
    </row>
    <row r="573" spans="1:12" ht="15.75" thickBot="1">
      <c r="A573" s="89"/>
      <c r="B573" s="89"/>
      <c r="C573" s="89"/>
      <c r="D573" s="89"/>
      <c r="E573" s="89"/>
      <c r="F573" s="89"/>
      <c r="G573" s="89"/>
      <c r="H573" s="89"/>
      <c r="I573" s="89"/>
      <c r="J573" s="90"/>
      <c r="K573" s="89"/>
      <c r="L573" s="102"/>
    </row>
    <row r="574" spans="1:12" ht="15.75" thickBot="1">
      <c r="A574" s="89"/>
      <c r="B574" s="89"/>
      <c r="C574" s="89"/>
      <c r="D574" s="89"/>
      <c r="E574" s="89"/>
      <c r="F574" s="89"/>
      <c r="G574" s="89"/>
      <c r="H574" s="89"/>
      <c r="I574" s="89"/>
      <c r="J574" s="90"/>
      <c r="K574" s="89"/>
      <c r="L574" s="102"/>
    </row>
    <row r="575" spans="1:12" ht="15.75" thickBot="1">
      <c r="A575" s="89"/>
      <c r="B575" s="89"/>
      <c r="C575" s="89"/>
      <c r="D575" s="89"/>
      <c r="E575" s="89"/>
      <c r="F575" s="89"/>
      <c r="G575" s="89"/>
      <c r="H575" s="89"/>
      <c r="I575" s="89"/>
      <c r="J575" s="90"/>
      <c r="K575" s="89"/>
      <c r="L575" s="102"/>
    </row>
    <row r="576" spans="1:12" ht="15.75" thickBot="1">
      <c r="A576" s="89"/>
      <c r="B576" s="89"/>
      <c r="C576" s="89"/>
      <c r="D576" s="89"/>
      <c r="E576" s="89"/>
      <c r="F576" s="89"/>
      <c r="G576" s="89"/>
      <c r="H576" s="89"/>
      <c r="I576" s="89"/>
      <c r="J576" s="90"/>
      <c r="K576" s="89"/>
      <c r="L576" s="102"/>
    </row>
    <row r="577" spans="1:12" ht="15.75" thickBot="1">
      <c r="A577" s="89"/>
      <c r="B577" s="89"/>
      <c r="C577" s="89"/>
      <c r="D577" s="89"/>
      <c r="E577" s="89"/>
      <c r="F577" s="89"/>
      <c r="G577" s="89"/>
      <c r="H577" s="89"/>
      <c r="I577" s="89"/>
      <c r="J577" s="90"/>
      <c r="K577" s="89"/>
      <c r="L577" s="102"/>
    </row>
    <row r="578" spans="1:12" ht="15.75" thickBot="1">
      <c r="A578" s="89"/>
      <c r="B578" s="89"/>
      <c r="C578" s="89"/>
      <c r="D578" s="89"/>
      <c r="E578" s="89"/>
      <c r="F578" s="89"/>
      <c r="G578" s="89"/>
      <c r="H578" s="89"/>
      <c r="I578" s="89"/>
      <c r="J578" s="90"/>
      <c r="K578" s="89"/>
      <c r="L578" s="102"/>
    </row>
    <row r="579" spans="1:12" ht="15.75" thickBot="1">
      <c r="A579" s="89"/>
      <c r="B579" s="89"/>
      <c r="C579" s="89"/>
      <c r="D579" s="89"/>
      <c r="E579" s="89"/>
      <c r="F579" s="89"/>
      <c r="G579" s="89"/>
      <c r="H579" s="89"/>
      <c r="I579" s="89"/>
      <c r="J579" s="90"/>
      <c r="K579" s="89"/>
      <c r="L579" s="102"/>
    </row>
    <row r="580" spans="1:12" ht="15.75" thickBot="1">
      <c r="A580" s="89"/>
      <c r="B580" s="89"/>
      <c r="C580" s="89"/>
      <c r="D580" s="89"/>
      <c r="E580" s="89"/>
      <c r="F580" s="89"/>
      <c r="G580" s="89"/>
      <c r="H580" s="89"/>
      <c r="I580" s="89"/>
      <c r="J580" s="90"/>
      <c r="K580" s="89"/>
      <c r="L580" s="102"/>
    </row>
    <row r="581" spans="1:12" ht="15.75" thickBot="1">
      <c r="A581" s="89"/>
      <c r="B581" s="89"/>
      <c r="C581" s="89"/>
      <c r="D581" s="89"/>
      <c r="E581" s="89"/>
      <c r="F581" s="89"/>
      <c r="G581" s="89"/>
      <c r="H581" s="89"/>
      <c r="I581" s="89"/>
      <c r="J581" s="90"/>
      <c r="K581" s="89"/>
      <c r="L581" s="102"/>
    </row>
    <row r="582" spans="1:12" ht="15.75" thickBot="1">
      <c r="A582" s="89"/>
      <c r="B582" s="89"/>
      <c r="C582" s="89"/>
      <c r="D582" s="89"/>
      <c r="E582" s="89"/>
      <c r="F582" s="89"/>
      <c r="G582" s="89"/>
      <c r="H582" s="89"/>
      <c r="I582" s="89"/>
      <c r="J582" s="90"/>
      <c r="K582" s="89"/>
      <c r="L582" s="102"/>
    </row>
    <row r="583" spans="1:12" ht="15.75" thickBot="1">
      <c r="A583" s="89"/>
      <c r="B583" s="89"/>
      <c r="C583" s="89"/>
      <c r="D583" s="89"/>
      <c r="E583" s="89"/>
      <c r="F583" s="89"/>
      <c r="G583" s="89"/>
      <c r="H583" s="89"/>
      <c r="I583" s="89"/>
      <c r="J583" s="90"/>
      <c r="K583" s="89"/>
      <c r="L583" s="102"/>
    </row>
    <row r="584" spans="1:12" ht="15.75" thickBot="1">
      <c r="A584" s="89"/>
      <c r="B584" s="89"/>
      <c r="C584" s="89"/>
      <c r="D584" s="89"/>
      <c r="E584" s="89"/>
      <c r="F584" s="89"/>
      <c r="G584" s="89"/>
      <c r="H584" s="89"/>
      <c r="I584" s="89"/>
      <c r="J584" s="90"/>
      <c r="K584" s="89"/>
      <c r="L584" s="102"/>
    </row>
    <row r="585" spans="1:12" ht="15.75" thickBot="1">
      <c r="A585" s="89"/>
      <c r="B585" s="89"/>
      <c r="C585" s="89"/>
      <c r="D585" s="89"/>
      <c r="E585" s="89"/>
      <c r="F585" s="89"/>
      <c r="G585" s="89"/>
      <c r="H585" s="89"/>
      <c r="I585" s="89"/>
      <c r="J585" s="90"/>
      <c r="K585" s="89"/>
      <c r="L585" s="102"/>
    </row>
    <row r="586" spans="1:12" ht="15.75" thickBot="1">
      <c r="A586" s="89"/>
      <c r="B586" s="89"/>
      <c r="C586" s="89"/>
      <c r="D586" s="89"/>
      <c r="E586" s="89"/>
      <c r="F586" s="89"/>
      <c r="G586" s="89"/>
      <c r="H586" s="89"/>
      <c r="I586" s="89"/>
      <c r="J586" s="90"/>
      <c r="K586" s="89"/>
      <c r="L586" s="102"/>
    </row>
    <row r="587" spans="1:12" ht="15.75" thickBot="1">
      <c r="A587" s="89"/>
      <c r="B587" s="89"/>
      <c r="C587" s="89"/>
      <c r="D587" s="89"/>
      <c r="E587" s="89"/>
      <c r="F587" s="89"/>
      <c r="G587" s="89"/>
      <c r="H587" s="89"/>
      <c r="I587" s="89"/>
      <c r="J587" s="90"/>
      <c r="K587" s="89"/>
      <c r="L587" s="102"/>
    </row>
    <row r="588" spans="1:12" ht="15.75" thickBot="1">
      <c r="A588" s="89"/>
      <c r="B588" s="89"/>
      <c r="C588" s="89"/>
      <c r="D588" s="89"/>
      <c r="E588" s="89"/>
      <c r="F588" s="89"/>
      <c r="G588" s="89"/>
      <c r="H588" s="89"/>
      <c r="I588" s="89"/>
      <c r="J588" s="90"/>
      <c r="K588" s="89"/>
      <c r="L588" s="102"/>
    </row>
    <row r="589" spans="1:12" ht="15.75" thickBot="1">
      <c r="A589" s="89"/>
      <c r="B589" s="89"/>
      <c r="C589" s="89"/>
      <c r="D589" s="89"/>
      <c r="E589" s="89"/>
      <c r="F589" s="89"/>
      <c r="G589" s="89"/>
      <c r="H589" s="89"/>
      <c r="I589" s="89"/>
      <c r="J589" s="90"/>
      <c r="K589" s="89"/>
      <c r="L589" s="102"/>
    </row>
    <row r="590" spans="1:12" ht="15.75" thickBot="1">
      <c r="A590" s="89"/>
      <c r="B590" s="89"/>
      <c r="C590" s="89"/>
      <c r="D590" s="89"/>
      <c r="E590" s="89"/>
      <c r="F590" s="89"/>
      <c r="G590" s="89"/>
      <c r="H590" s="89"/>
      <c r="I590" s="89"/>
      <c r="J590" s="90"/>
      <c r="K590" s="89"/>
      <c r="L590" s="102"/>
    </row>
    <row r="591" spans="1:12" ht="15.75" thickBot="1">
      <c r="A591" s="89"/>
      <c r="B591" s="89"/>
      <c r="C591" s="89"/>
      <c r="D591" s="89"/>
      <c r="E591" s="89"/>
      <c r="F591" s="89"/>
      <c r="G591" s="89"/>
      <c r="H591" s="89"/>
      <c r="I591" s="89"/>
      <c r="J591" s="90"/>
      <c r="K591" s="89"/>
      <c r="L591" s="102"/>
    </row>
    <row r="592" spans="1:12" ht="15.75" thickBot="1">
      <c r="A592" s="89"/>
      <c r="B592" s="89"/>
      <c r="C592" s="89"/>
      <c r="D592" s="89"/>
      <c r="E592" s="89"/>
      <c r="F592" s="89"/>
      <c r="G592" s="89"/>
      <c r="H592" s="89"/>
      <c r="I592" s="89"/>
      <c r="J592" s="90"/>
      <c r="K592" s="89"/>
      <c r="L592" s="102"/>
    </row>
    <row r="593" spans="1:12" ht="15.75" thickBot="1">
      <c r="A593" s="89"/>
      <c r="B593" s="89"/>
      <c r="C593" s="89"/>
      <c r="D593" s="89"/>
      <c r="E593" s="89"/>
      <c r="F593" s="89"/>
      <c r="G593" s="89"/>
      <c r="H593" s="89"/>
      <c r="I593" s="89"/>
      <c r="J593" s="90"/>
      <c r="K593" s="89"/>
      <c r="L593" s="102"/>
    </row>
    <row r="594" spans="1:12" ht="15.75" thickBot="1">
      <c r="A594" s="89"/>
      <c r="B594" s="89"/>
      <c r="C594" s="89"/>
      <c r="D594" s="89"/>
      <c r="E594" s="89"/>
      <c r="F594" s="89"/>
      <c r="G594" s="89"/>
      <c r="H594" s="89"/>
      <c r="I594" s="89"/>
      <c r="J594" s="90"/>
      <c r="K594" s="89"/>
      <c r="L594" s="102"/>
    </row>
    <row r="595" spans="1:12" ht="15.75" thickBot="1">
      <c r="A595" s="89"/>
      <c r="B595" s="89"/>
      <c r="C595" s="89"/>
      <c r="D595" s="89"/>
      <c r="E595" s="89"/>
      <c r="F595" s="89"/>
      <c r="G595" s="89"/>
      <c r="H595" s="89"/>
      <c r="I595" s="89"/>
      <c r="J595" s="90"/>
      <c r="K595" s="89"/>
      <c r="L595" s="102"/>
    </row>
    <row r="596" spans="1:12" ht="15.75" thickBot="1">
      <c r="A596" s="89"/>
      <c r="B596" s="89"/>
      <c r="C596" s="89"/>
      <c r="D596" s="89"/>
      <c r="E596" s="89"/>
      <c r="F596" s="89"/>
      <c r="G596" s="89"/>
      <c r="H596" s="89"/>
      <c r="I596" s="89"/>
      <c r="J596" s="90"/>
      <c r="K596" s="89"/>
      <c r="L596" s="102"/>
    </row>
    <row r="597" spans="1:12" ht="15.75" thickBot="1">
      <c r="A597" s="89"/>
      <c r="B597" s="89"/>
      <c r="C597" s="89"/>
      <c r="D597" s="89"/>
      <c r="E597" s="89"/>
      <c r="F597" s="89"/>
      <c r="G597" s="89"/>
      <c r="H597" s="89"/>
      <c r="I597" s="89"/>
      <c r="J597" s="90"/>
      <c r="K597" s="89"/>
      <c r="L597" s="102"/>
    </row>
    <row r="598" spans="1:12" ht="15.75" thickBot="1">
      <c r="A598" s="89"/>
      <c r="B598" s="89"/>
      <c r="C598" s="89"/>
      <c r="D598" s="89"/>
      <c r="E598" s="89"/>
      <c r="F598" s="89"/>
      <c r="G598" s="89"/>
      <c r="H598" s="89"/>
      <c r="I598" s="89"/>
      <c r="J598" s="90"/>
      <c r="K598" s="89"/>
      <c r="L598" s="102"/>
    </row>
    <row r="599" spans="1:12" ht="15.75" thickBot="1">
      <c r="A599" s="89"/>
      <c r="B599" s="89"/>
      <c r="C599" s="89"/>
      <c r="D599" s="89"/>
      <c r="E599" s="89"/>
      <c r="F599" s="89"/>
      <c r="G599" s="89"/>
      <c r="H599" s="89"/>
      <c r="I599" s="89"/>
      <c r="J599" s="90"/>
      <c r="K599" s="89"/>
      <c r="L599" s="102"/>
    </row>
    <row r="600" spans="1:12" ht="15.75" thickBot="1">
      <c r="A600" s="89"/>
      <c r="B600" s="89"/>
      <c r="C600" s="89"/>
      <c r="D600" s="89"/>
      <c r="E600" s="89"/>
      <c r="F600" s="89"/>
      <c r="G600" s="89"/>
      <c r="H600" s="89"/>
      <c r="I600" s="89"/>
      <c r="J600" s="90"/>
      <c r="K600" s="89"/>
      <c r="L600" s="102"/>
    </row>
    <row r="601" spans="1:12" ht="15.75" thickBot="1">
      <c r="A601" s="89"/>
      <c r="B601" s="89"/>
      <c r="C601" s="89"/>
      <c r="D601" s="89"/>
      <c r="E601" s="89"/>
      <c r="F601" s="89"/>
      <c r="G601" s="89"/>
      <c r="H601" s="89"/>
      <c r="I601" s="89"/>
      <c r="J601" s="90"/>
      <c r="K601" s="89"/>
      <c r="L601" s="102"/>
    </row>
    <row r="602" spans="1:12" ht="15.75" thickBot="1">
      <c r="A602" s="89"/>
      <c r="B602" s="89"/>
      <c r="C602" s="89"/>
      <c r="D602" s="89"/>
      <c r="E602" s="89"/>
      <c r="F602" s="89"/>
      <c r="G602" s="89"/>
      <c r="H602" s="89"/>
      <c r="I602" s="89"/>
      <c r="J602" s="90"/>
      <c r="K602" s="89"/>
      <c r="L602" s="102"/>
    </row>
    <row r="603" spans="1:12" ht="15.75" thickBot="1">
      <c r="A603" s="89"/>
      <c r="B603" s="89"/>
      <c r="C603" s="89"/>
      <c r="D603" s="89"/>
      <c r="E603" s="89"/>
      <c r="F603" s="89"/>
      <c r="G603" s="89"/>
      <c r="H603" s="89"/>
      <c r="I603" s="89"/>
      <c r="J603" s="90"/>
      <c r="K603" s="89"/>
      <c r="L603" s="102"/>
    </row>
    <row r="604" spans="1:12" ht="15.75" thickBot="1">
      <c r="A604" s="89"/>
      <c r="B604" s="89"/>
      <c r="C604" s="89"/>
      <c r="D604" s="89"/>
      <c r="E604" s="89"/>
      <c r="F604" s="89"/>
      <c r="G604" s="89"/>
      <c r="H604" s="89"/>
      <c r="I604" s="89"/>
      <c r="J604" s="90"/>
      <c r="K604" s="89"/>
      <c r="L604" s="102"/>
    </row>
    <row r="605" spans="1:12" ht="15.75" thickBot="1">
      <c r="A605" s="89"/>
      <c r="B605" s="89"/>
      <c r="C605" s="89"/>
      <c r="D605" s="89"/>
      <c r="E605" s="89"/>
      <c r="F605" s="89"/>
      <c r="G605" s="89"/>
      <c r="H605" s="89"/>
      <c r="I605" s="89"/>
      <c r="J605" s="90"/>
      <c r="K605" s="89"/>
      <c r="L605" s="102"/>
    </row>
    <row r="606" spans="1:12" ht="15.75" thickBot="1">
      <c r="A606" s="89"/>
      <c r="B606" s="89"/>
      <c r="C606" s="89"/>
      <c r="D606" s="89"/>
      <c r="E606" s="89"/>
      <c r="F606" s="89"/>
      <c r="G606" s="89"/>
      <c r="H606" s="89"/>
      <c r="I606" s="89"/>
      <c r="J606" s="90"/>
      <c r="K606" s="89"/>
      <c r="L606" s="102"/>
    </row>
    <row r="607" spans="1:12" ht="15.75" thickBot="1">
      <c r="A607" s="89"/>
      <c r="B607" s="89"/>
      <c r="C607" s="89"/>
      <c r="D607" s="89"/>
      <c r="E607" s="89"/>
      <c r="F607" s="89"/>
      <c r="G607" s="89"/>
      <c r="H607" s="89"/>
      <c r="I607" s="89"/>
      <c r="J607" s="90"/>
      <c r="K607" s="89"/>
      <c r="L607" s="102"/>
    </row>
    <row r="608" spans="1:12" ht="15.75" thickBot="1">
      <c r="A608" s="89"/>
      <c r="B608" s="89"/>
      <c r="C608" s="89"/>
      <c r="D608" s="89"/>
      <c r="E608" s="89"/>
      <c r="F608" s="89"/>
      <c r="G608" s="89"/>
      <c r="H608" s="89"/>
      <c r="I608" s="89"/>
      <c r="J608" s="90"/>
      <c r="K608" s="89"/>
      <c r="L608" s="102"/>
    </row>
    <row r="609" spans="1:12" ht="15.75" thickBot="1">
      <c r="A609" s="89"/>
      <c r="B609" s="89"/>
      <c r="C609" s="89"/>
      <c r="D609" s="89"/>
      <c r="E609" s="89"/>
      <c r="F609" s="89"/>
      <c r="G609" s="89"/>
      <c r="H609" s="89"/>
      <c r="I609" s="89"/>
      <c r="J609" s="90"/>
      <c r="K609" s="89"/>
      <c r="L609" s="102"/>
    </row>
    <row r="610" spans="1:12" ht="15.75" thickBot="1">
      <c r="A610" s="89"/>
      <c r="B610" s="89"/>
      <c r="C610" s="89"/>
      <c r="D610" s="89"/>
      <c r="E610" s="89"/>
      <c r="F610" s="89"/>
      <c r="G610" s="89"/>
      <c r="H610" s="89"/>
      <c r="I610" s="89"/>
      <c r="J610" s="90"/>
      <c r="K610" s="89"/>
      <c r="L610" s="102"/>
    </row>
    <row r="611" spans="1:12" ht="15.75" thickBot="1">
      <c r="A611" s="89"/>
      <c r="B611" s="89"/>
      <c r="C611" s="89"/>
      <c r="D611" s="89"/>
      <c r="E611" s="89"/>
      <c r="F611" s="89"/>
      <c r="G611" s="89"/>
      <c r="H611" s="89"/>
      <c r="I611" s="89"/>
      <c r="J611" s="90"/>
      <c r="K611" s="89"/>
      <c r="L611" s="102"/>
    </row>
    <row r="612" spans="1:12" ht="15.75" thickBot="1">
      <c r="A612" s="89"/>
      <c r="B612" s="89"/>
      <c r="C612" s="89"/>
      <c r="D612" s="89"/>
      <c r="E612" s="89"/>
      <c r="F612" s="89"/>
      <c r="G612" s="89"/>
      <c r="H612" s="89"/>
      <c r="I612" s="89"/>
      <c r="J612" s="90"/>
      <c r="K612" s="89"/>
      <c r="L612" s="102"/>
    </row>
    <row r="613" spans="1:12" ht="15.75" thickBot="1">
      <c r="A613" s="89"/>
      <c r="B613" s="89"/>
      <c r="C613" s="89"/>
      <c r="D613" s="89"/>
      <c r="E613" s="89"/>
      <c r="F613" s="89"/>
      <c r="G613" s="89"/>
      <c r="H613" s="89"/>
      <c r="I613" s="89"/>
      <c r="J613" s="90"/>
      <c r="K613" s="89"/>
      <c r="L613" s="102"/>
    </row>
    <row r="614" spans="1:12" ht="15.75" thickBot="1">
      <c r="A614" s="89"/>
      <c r="B614" s="89"/>
      <c r="C614" s="89"/>
      <c r="D614" s="89"/>
      <c r="E614" s="89"/>
      <c r="F614" s="89"/>
      <c r="G614" s="89"/>
      <c r="H614" s="89"/>
      <c r="I614" s="89"/>
      <c r="J614" s="90"/>
      <c r="K614" s="89"/>
      <c r="L614" s="102"/>
    </row>
    <row r="615" spans="1:12" ht="15.75" thickBot="1">
      <c r="A615" s="89"/>
      <c r="B615" s="89"/>
      <c r="C615" s="89"/>
      <c r="D615" s="89"/>
      <c r="E615" s="89"/>
      <c r="F615" s="89"/>
      <c r="G615" s="89"/>
      <c r="H615" s="89"/>
      <c r="I615" s="89"/>
      <c r="J615" s="90"/>
      <c r="K615" s="89"/>
      <c r="L615" s="102"/>
    </row>
    <row r="616" spans="1:12" ht="15.75" thickBot="1">
      <c r="A616" s="89"/>
      <c r="B616" s="89"/>
      <c r="C616" s="89"/>
      <c r="D616" s="89"/>
      <c r="E616" s="89"/>
      <c r="F616" s="89"/>
      <c r="G616" s="89"/>
      <c r="H616" s="89"/>
      <c r="I616" s="89"/>
      <c r="J616" s="90"/>
      <c r="K616" s="89"/>
      <c r="L616" s="102"/>
    </row>
    <row r="617" spans="1:12" ht="15.75" thickBot="1">
      <c r="A617" s="89"/>
      <c r="B617" s="89"/>
      <c r="C617" s="89"/>
      <c r="D617" s="89"/>
      <c r="E617" s="89"/>
      <c r="F617" s="89"/>
      <c r="G617" s="89"/>
      <c r="H617" s="89"/>
      <c r="I617" s="89"/>
      <c r="J617" s="90"/>
      <c r="K617" s="89"/>
      <c r="L617" s="102"/>
    </row>
    <row r="618" spans="1:12" ht="15.75" thickBot="1">
      <c r="A618" s="89"/>
      <c r="B618" s="89"/>
      <c r="C618" s="89"/>
      <c r="D618" s="89"/>
      <c r="E618" s="89"/>
      <c r="F618" s="89"/>
      <c r="G618" s="89"/>
      <c r="H618" s="89"/>
      <c r="I618" s="89"/>
      <c r="J618" s="90"/>
      <c r="K618" s="89"/>
      <c r="L618" s="102"/>
    </row>
    <row r="619" spans="1:12" ht="15.75" thickBot="1">
      <c r="A619" s="89"/>
      <c r="B619" s="89"/>
      <c r="C619" s="89"/>
      <c r="D619" s="89"/>
      <c r="E619" s="89"/>
      <c r="F619" s="89"/>
      <c r="G619" s="89"/>
      <c r="H619" s="89"/>
      <c r="I619" s="89"/>
      <c r="J619" s="90"/>
      <c r="K619" s="89"/>
      <c r="L619" s="102"/>
    </row>
    <row r="620" spans="1:12" ht="15.75" thickBot="1">
      <c r="A620" s="89"/>
      <c r="B620" s="89"/>
      <c r="C620" s="89"/>
      <c r="D620" s="89"/>
      <c r="E620" s="89"/>
      <c r="F620" s="89"/>
      <c r="G620" s="89"/>
      <c r="H620" s="89"/>
      <c r="I620" s="89"/>
      <c r="J620" s="90"/>
      <c r="K620" s="89"/>
      <c r="L620" s="102"/>
    </row>
    <row r="621" spans="1:12" ht="15.75" thickBot="1">
      <c r="A621" s="89"/>
      <c r="B621" s="89"/>
      <c r="C621" s="89"/>
      <c r="D621" s="89"/>
      <c r="E621" s="89"/>
      <c r="F621" s="89"/>
      <c r="G621" s="89"/>
      <c r="H621" s="89"/>
      <c r="I621" s="89"/>
      <c r="J621" s="90"/>
      <c r="K621" s="89"/>
      <c r="L621" s="102"/>
    </row>
    <row r="622" spans="1:12" ht="15.75" thickBot="1">
      <c r="A622" s="89"/>
      <c r="B622" s="89"/>
      <c r="C622" s="89"/>
      <c r="D622" s="89"/>
      <c r="E622" s="89"/>
      <c r="F622" s="89"/>
      <c r="G622" s="89"/>
      <c r="H622" s="89"/>
      <c r="I622" s="89"/>
      <c r="J622" s="90"/>
      <c r="K622" s="89"/>
      <c r="L622" s="102"/>
    </row>
    <row r="623" spans="1:12" ht="15.75" thickBot="1">
      <c r="A623" s="89"/>
      <c r="B623" s="89"/>
      <c r="C623" s="89"/>
      <c r="D623" s="89"/>
      <c r="E623" s="89"/>
      <c r="F623" s="89"/>
      <c r="G623" s="89"/>
      <c r="H623" s="89"/>
      <c r="I623" s="89"/>
      <c r="J623" s="90"/>
      <c r="K623" s="89"/>
      <c r="L623" s="102"/>
    </row>
    <row r="624" spans="1:12" ht="15.75" thickBot="1">
      <c r="A624" s="89"/>
      <c r="B624" s="89"/>
      <c r="C624" s="89"/>
      <c r="D624" s="89"/>
      <c r="E624" s="89"/>
      <c r="F624" s="89"/>
      <c r="G624" s="89"/>
      <c r="H624" s="89"/>
      <c r="I624" s="89"/>
      <c r="J624" s="90"/>
      <c r="K624" s="89"/>
      <c r="L624" s="102"/>
    </row>
    <row r="625" spans="1:12" ht="15.75" thickBot="1">
      <c r="A625" s="89"/>
      <c r="B625" s="89"/>
      <c r="C625" s="89"/>
      <c r="D625" s="89"/>
      <c r="E625" s="89"/>
      <c r="F625" s="89"/>
      <c r="G625" s="89"/>
      <c r="H625" s="89"/>
      <c r="I625" s="89"/>
      <c r="J625" s="90"/>
      <c r="K625" s="89"/>
      <c r="L625" s="102"/>
    </row>
    <row r="626" spans="1:12" ht="15.75" thickBot="1">
      <c r="A626" s="89"/>
      <c r="B626" s="89"/>
      <c r="C626" s="89"/>
      <c r="D626" s="89"/>
      <c r="E626" s="89"/>
      <c r="F626" s="89"/>
      <c r="G626" s="89"/>
      <c r="H626" s="89"/>
      <c r="I626" s="89"/>
      <c r="J626" s="90"/>
      <c r="K626" s="89"/>
      <c r="L626" s="102"/>
    </row>
    <row r="627" spans="1:12" ht="15.75" thickBot="1">
      <c r="A627" s="89"/>
      <c r="B627" s="89"/>
      <c r="C627" s="89"/>
      <c r="D627" s="89"/>
      <c r="E627" s="89"/>
      <c r="F627" s="89"/>
      <c r="G627" s="89"/>
      <c r="H627" s="89"/>
      <c r="I627" s="89"/>
      <c r="J627" s="90"/>
      <c r="K627" s="89"/>
      <c r="L627" s="102"/>
    </row>
    <row r="628" spans="1:12" ht="15.75" thickBot="1">
      <c r="A628" s="89"/>
      <c r="B628" s="89"/>
      <c r="C628" s="89"/>
      <c r="D628" s="89"/>
      <c r="E628" s="89"/>
      <c r="F628" s="89"/>
      <c r="G628" s="89"/>
      <c r="H628" s="89"/>
      <c r="I628" s="89"/>
      <c r="J628" s="90"/>
      <c r="K628" s="89"/>
      <c r="L628" s="102"/>
    </row>
    <row r="629" spans="1:12" ht="15.75" thickBot="1">
      <c r="A629" s="89"/>
      <c r="B629" s="89"/>
      <c r="C629" s="89"/>
      <c r="D629" s="89"/>
      <c r="E629" s="89"/>
      <c r="F629" s="89"/>
      <c r="G629" s="89"/>
      <c r="H629" s="89"/>
      <c r="I629" s="89"/>
      <c r="J629" s="90"/>
      <c r="K629" s="89"/>
      <c r="L629" s="102"/>
    </row>
    <row r="630" spans="1:12" ht="15.75" thickBot="1">
      <c r="A630" s="89"/>
      <c r="B630" s="89"/>
      <c r="C630" s="89"/>
      <c r="D630" s="89"/>
      <c r="E630" s="89"/>
      <c r="F630" s="89"/>
      <c r="G630" s="89"/>
      <c r="H630" s="89"/>
      <c r="I630" s="89"/>
      <c r="J630" s="90"/>
      <c r="K630" s="89"/>
      <c r="L630" s="102"/>
    </row>
    <row r="631" spans="1:12" ht="15.75" thickBot="1">
      <c r="A631" s="89"/>
      <c r="B631" s="89"/>
      <c r="C631" s="89"/>
      <c r="D631" s="89"/>
      <c r="E631" s="89"/>
      <c r="F631" s="89"/>
      <c r="G631" s="89"/>
      <c r="H631" s="89"/>
      <c r="I631" s="89"/>
      <c r="J631" s="90"/>
      <c r="K631" s="89"/>
      <c r="L631" s="102"/>
    </row>
    <row r="632" spans="1:12" ht="15.75" thickBot="1">
      <c r="A632" s="89"/>
      <c r="B632" s="89"/>
      <c r="C632" s="89"/>
      <c r="D632" s="89"/>
      <c r="E632" s="89"/>
      <c r="F632" s="89"/>
      <c r="G632" s="89"/>
      <c r="H632" s="89"/>
      <c r="I632" s="89"/>
      <c r="J632" s="90"/>
      <c r="K632" s="89"/>
      <c r="L632" s="102"/>
    </row>
    <row r="633" spans="1:12" ht="15.75" thickBot="1">
      <c r="A633" s="89"/>
      <c r="B633" s="89"/>
      <c r="C633" s="89"/>
      <c r="D633" s="89"/>
      <c r="E633" s="89"/>
      <c r="F633" s="89"/>
      <c r="G633" s="89"/>
      <c r="H633" s="89"/>
      <c r="I633" s="89"/>
      <c r="J633" s="90"/>
      <c r="K633" s="89"/>
      <c r="L633" s="102"/>
    </row>
    <row r="634" spans="1:12" ht="15.75" thickBot="1">
      <c r="A634" s="89"/>
      <c r="B634" s="89"/>
      <c r="C634" s="89"/>
      <c r="D634" s="89"/>
      <c r="E634" s="89"/>
      <c r="F634" s="89"/>
      <c r="G634" s="89"/>
      <c r="H634" s="89"/>
      <c r="I634" s="89"/>
      <c r="J634" s="90"/>
      <c r="K634" s="89"/>
      <c r="L634" s="102"/>
    </row>
    <row r="635" spans="1:12" ht="15.75" thickBot="1">
      <c r="A635" s="89"/>
      <c r="B635" s="89"/>
      <c r="C635" s="89"/>
      <c r="D635" s="89"/>
      <c r="E635" s="89"/>
      <c r="F635" s="89"/>
      <c r="G635" s="89"/>
      <c r="H635" s="89"/>
      <c r="I635" s="89"/>
      <c r="J635" s="90"/>
      <c r="K635" s="89"/>
      <c r="L635" s="102"/>
    </row>
    <row r="636" spans="1:12" ht="15.75" thickBot="1">
      <c r="A636" s="89"/>
      <c r="B636" s="89"/>
      <c r="C636" s="89"/>
      <c r="D636" s="89"/>
      <c r="E636" s="89"/>
      <c r="F636" s="89"/>
      <c r="G636" s="89"/>
      <c r="H636" s="89"/>
      <c r="I636" s="89"/>
      <c r="J636" s="90"/>
      <c r="K636" s="89"/>
      <c r="L636" s="102"/>
    </row>
    <row r="637" spans="1:12" ht="15.75" thickBot="1">
      <c r="A637" s="89"/>
      <c r="B637" s="89"/>
      <c r="C637" s="89"/>
      <c r="D637" s="89"/>
      <c r="E637" s="89"/>
      <c r="F637" s="89"/>
      <c r="G637" s="89"/>
      <c r="H637" s="89"/>
      <c r="I637" s="89"/>
      <c r="J637" s="90"/>
      <c r="K637" s="89"/>
      <c r="L637" s="102"/>
    </row>
    <row r="638" spans="1:12" ht="15.75" thickBot="1">
      <c r="A638" s="89"/>
      <c r="B638" s="89"/>
      <c r="C638" s="89"/>
      <c r="D638" s="89"/>
      <c r="E638" s="89"/>
      <c r="F638" s="89"/>
      <c r="G638" s="89"/>
      <c r="H638" s="89"/>
      <c r="I638" s="89"/>
      <c r="J638" s="90"/>
      <c r="K638" s="89"/>
      <c r="L638" s="102"/>
    </row>
    <row r="639" spans="1:12" ht="15.75" thickBot="1">
      <c r="A639" s="89"/>
      <c r="B639" s="89"/>
      <c r="C639" s="89"/>
      <c r="D639" s="89"/>
      <c r="E639" s="89"/>
      <c r="F639" s="89"/>
      <c r="G639" s="89"/>
      <c r="H639" s="89"/>
      <c r="I639" s="89"/>
      <c r="J639" s="90"/>
      <c r="K639" s="89"/>
      <c r="L639" s="102"/>
    </row>
    <row r="640" spans="1:12" ht="15.75" thickBot="1">
      <c r="A640" s="89"/>
      <c r="B640" s="89"/>
      <c r="C640" s="89"/>
      <c r="D640" s="89"/>
      <c r="E640" s="89"/>
      <c r="F640" s="89"/>
      <c r="G640" s="89"/>
      <c r="H640" s="89"/>
      <c r="I640" s="89"/>
      <c r="J640" s="90"/>
      <c r="K640" s="89"/>
      <c r="L640" s="102"/>
    </row>
    <row r="641" spans="1:12" ht="15.75" thickBot="1">
      <c r="A641" s="89"/>
      <c r="B641" s="89"/>
      <c r="C641" s="89"/>
      <c r="D641" s="89"/>
      <c r="E641" s="89"/>
      <c r="F641" s="89"/>
      <c r="G641" s="89"/>
      <c r="H641" s="89"/>
      <c r="I641" s="89"/>
      <c r="J641" s="90"/>
      <c r="K641" s="89"/>
      <c r="L641" s="102"/>
    </row>
    <row r="642" spans="1:12" ht="15.75" thickBot="1">
      <c r="A642" s="89"/>
      <c r="B642" s="89"/>
      <c r="C642" s="89"/>
      <c r="D642" s="89"/>
      <c r="E642" s="89"/>
      <c r="F642" s="89"/>
      <c r="G642" s="89"/>
      <c r="H642" s="89"/>
      <c r="I642" s="89"/>
      <c r="J642" s="90"/>
      <c r="K642" s="89"/>
      <c r="L642" s="102"/>
    </row>
    <row r="643" spans="1:12" ht="15.75" thickBot="1">
      <c r="A643" s="89"/>
      <c r="B643" s="89"/>
      <c r="C643" s="89"/>
      <c r="D643" s="89"/>
      <c r="E643" s="89"/>
      <c r="F643" s="89"/>
      <c r="G643" s="89"/>
      <c r="H643" s="89"/>
      <c r="I643" s="89"/>
      <c r="J643" s="90"/>
      <c r="K643" s="89"/>
      <c r="L643" s="102"/>
    </row>
    <row r="644" spans="1:12" ht="15.75" thickBot="1">
      <c r="A644" s="89"/>
      <c r="B644" s="89"/>
      <c r="C644" s="89"/>
      <c r="D644" s="89"/>
      <c r="E644" s="89"/>
      <c r="F644" s="89"/>
      <c r="G644" s="89"/>
      <c r="H644" s="89"/>
      <c r="I644" s="89"/>
      <c r="J644" s="90"/>
      <c r="K644" s="89"/>
      <c r="L644" s="102"/>
    </row>
    <row r="645" spans="1:12" ht="15.75" thickBot="1">
      <c r="A645" s="89"/>
      <c r="B645" s="89"/>
      <c r="C645" s="89"/>
      <c r="D645" s="89"/>
      <c r="E645" s="89"/>
      <c r="F645" s="89"/>
      <c r="G645" s="89"/>
      <c r="H645" s="89"/>
      <c r="I645" s="89"/>
      <c r="J645" s="90"/>
      <c r="K645" s="89"/>
      <c r="L645" s="102"/>
    </row>
    <row r="646" spans="1:12" ht="15.75" thickBot="1">
      <c r="A646" s="89"/>
      <c r="B646" s="89"/>
      <c r="C646" s="89"/>
      <c r="D646" s="89"/>
      <c r="E646" s="89"/>
      <c r="F646" s="89"/>
      <c r="G646" s="89"/>
      <c r="H646" s="89"/>
      <c r="I646" s="89"/>
      <c r="J646" s="90"/>
      <c r="K646" s="89"/>
      <c r="L646" s="102"/>
    </row>
    <row r="647" spans="1:12" ht="15.75" thickBot="1">
      <c r="A647" s="89"/>
      <c r="B647" s="89"/>
      <c r="C647" s="89"/>
      <c r="D647" s="89"/>
      <c r="E647" s="89"/>
      <c r="F647" s="89"/>
      <c r="G647" s="89"/>
      <c r="H647" s="89"/>
      <c r="I647" s="89"/>
      <c r="J647" s="90"/>
      <c r="K647" s="89"/>
      <c r="L647" s="102"/>
    </row>
    <row r="648" spans="1:12" ht="15.75" thickBot="1">
      <c r="A648" s="89"/>
      <c r="B648" s="89"/>
      <c r="C648" s="89"/>
      <c r="D648" s="89"/>
      <c r="E648" s="89"/>
      <c r="F648" s="89"/>
      <c r="G648" s="89"/>
      <c r="H648" s="89"/>
      <c r="I648" s="89"/>
      <c r="J648" s="90"/>
      <c r="K648" s="89"/>
      <c r="L648" s="102"/>
    </row>
    <row r="649" spans="1:12" ht="15.75" thickBot="1">
      <c r="A649" s="89"/>
      <c r="B649" s="89"/>
      <c r="C649" s="89"/>
      <c r="D649" s="89"/>
      <c r="E649" s="89"/>
      <c r="F649" s="89"/>
      <c r="G649" s="89"/>
      <c r="H649" s="89"/>
      <c r="I649" s="89"/>
      <c r="J649" s="90"/>
      <c r="K649" s="89"/>
      <c r="L649" s="102"/>
    </row>
    <row r="650" spans="1:12" ht="15.75" thickBot="1">
      <c r="A650" s="89"/>
      <c r="B650" s="89"/>
      <c r="C650" s="89"/>
      <c r="D650" s="89"/>
      <c r="E650" s="89"/>
      <c r="F650" s="89"/>
      <c r="G650" s="89"/>
      <c r="H650" s="89"/>
      <c r="I650" s="89"/>
      <c r="J650" s="90"/>
      <c r="K650" s="89"/>
      <c r="L650" s="102"/>
    </row>
    <row r="651" spans="1:12" ht="15.75" thickBot="1">
      <c r="A651" s="89"/>
      <c r="B651" s="89"/>
      <c r="C651" s="89"/>
      <c r="D651" s="89"/>
      <c r="E651" s="89"/>
      <c r="F651" s="89"/>
      <c r="G651" s="89"/>
      <c r="H651" s="89"/>
      <c r="I651" s="89"/>
      <c r="J651" s="90"/>
      <c r="K651" s="89"/>
      <c r="L651" s="102"/>
    </row>
    <row r="652" spans="1:12" ht="15.75" thickBot="1">
      <c r="A652" s="89"/>
      <c r="B652" s="89"/>
      <c r="C652" s="89"/>
      <c r="D652" s="89"/>
      <c r="E652" s="89"/>
      <c r="F652" s="89"/>
      <c r="G652" s="89"/>
      <c r="H652" s="89"/>
      <c r="I652" s="89"/>
      <c r="J652" s="90"/>
      <c r="K652" s="89"/>
      <c r="L652" s="102"/>
    </row>
    <row r="653" spans="1:12" ht="15.75" thickBot="1">
      <c r="A653" s="89"/>
      <c r="B653" s="89"/>
      <c r="C653" s="89"/>
      <c r="D653" s="89"/>
      <c r="E653" s="89"/>
      <c r="F653" s="89"/>
      <c r="G653" s="89"/>
      <c r="H653" s="89"/>
      <c r="I653" s="89"/>
      <c r="J653" s="90"/>
      <c r="K653" s="89"/>
      <c r="L653" s="102"/>
    </row>
    <row r="654" spans="1:12" ht="15.75" thickBot="1">
      <c r="A654" s="89"/>
      <c r="B654" s="89"/>
      <c r="C654" s="89"/>
      <c r="D654" s="89"/>
      <c r="E654" s="89"/>
      <c r="F654" s="89"/>
      <c r="G654" s="89"/>
      <c r="H654" s="89"/>
      <c r="I654" s="89"/>
      <c r="J654" s="90"/>
      <c r="K654" s="89"/>
      <c r="L654" s="102"/>
    </row>
    <row r="655" spans="1:12" ht="15.75" thickBot="1">
      <c r="A655" s="89"/>
      <c r="B655" s="89"/>
      <c r="C655" s="89"/>
      <c r="D655" s="89"/>
      <c r="E655" s="89"/>
      <c r="F655" s="89"/>
      <c r="G655" s="89"/>
      <c r="H655" s="89"/>
      <c r="I655" s="89"/>
      <c r="J655" s="90"/>
      <c r="K655" s="89"/>
      <c r="L655" s="102"/>
    </row>
    <row r="656" spans="1:12" ht="15.75" thickBot="1">
      <c r="A656" s="89"/>
      <c r="B656" s="89"/>
      <c r="C656" s="89"/>
      <c r="D656" s="89"/>
      <c r="E656" s="89"/>
      <c r="F656" s="89"/>
      <c r="G656" s="89"/>
      <c r="H656" s="89"/>
      <c r="I656" s="89"/>
      <c r="J656" s="90"/>
      <c r="K656" s="89"/>
      <c r="L656" s="102"/>
    </row>
    <row r="657" spans="1:12" ht="15.75" thickBot="1">
      <c r="A657" s="89"/>
      <c r="B657" s="89"/>
      <c r="C657" s="89"/>
      <c r="D657" s="89"/>
      <c r="E657" s="89"/>
      <c r="F657" s="89"/>
      <c r="G657" s="89"/>
      <c r="H657" s="89"/>
      <c r="I657" s="89"/>
      <c r="J657" s="90"/>
      <c r="K657" s="89"/>
      <c r="L657" s="102"/>
    </row>
    <row r="658" spans="1:12" ht="15.75" thickBot="1">
      <c r="A658" s="89"/>
      <c r="B658" s="89"/>
      <c r="C658" s="89"/>
      <c r="D658" s="89"/>
      <c r="E658" s="89"/>
      <c r="F658" s="89"/>
      <c r="G658" s="89"/>
      <c r="H658" s="89"/>
      <c r="I658" s="89"/>
      <c r="J658" s="90"/>
      <c r="K658" s="89"/>
      <c r="L658" s="102"/>
    </row>
    <row r="659" spans="1:12" ht="15.75" thickBot="1">
      <c r="A659" s="89"/>
      <c r="B659" s="89"/>
      <c r="C659" s="89"/>
      <c r="D659" s="89"/>
      <c r="E659" s="89"/>
      <c r="F659" s="89"/>
      <c r="G659" s="89"/>
      <c r="H659" s="89"/>
      <c r="I659" s="89"/>
      <c r="J659" s="90"/>
      <c r="K659" s="89"/>
      <c r="L659" s="102"/>
    </row>
    <row r="660" spans="1:12" ht="15.75" thickBot="1">
      <c r="A660" s="89"/>
      <c r="B660" s="89"/>
      <c r="C660" s="89"/>
      <c r="D660" s="89"/>
      <c r="E660" s="89"/>
      <c r="F660" s="89"/>
      <c r="G660" s="89"/>
      <c r="H660" s="89"/>
      <c r="I660" s="89"/>
      <c r="J660" s="90"/>
      <c r="K660" s="89"/>
      <c r="L660" s="102"/>
    </row>
    <row r="661" spans="1:12" ht="15.75" thickBot="1">
      <c r="A661" s="89"/>
      <c r="B661" s="89"/>
      <c r="C661" s="89"/>
      <c r="D661" s="89"/>
      <c r="E661" s="89"/>
      <c r="F661" s="89"/>
      <c r="G661" s="89"/>
      <c r="H661" s="89"/>
      <c r="I661" s="89"/>
      <c r="J661" s="90"/>
      <c r="K661" s="89"/>
      <c r="L661" s="102"/>
    </row>
    <row r="662" spans="1:12" ht="15.75" thickBot="1">
      <c r="A662" s="89"/>
      <c r="B662" s="89"/>
      <c r="C662" s="89"/>
      <c r="D662" s="89"/>
      <c r="E662" s="89"/>
      <c r="F662" s="89"/>
      <c r="G662" s="89"/>
      <c r="H662" s="89"/>
      <c r="I662" s="89"/>
      <c r="J662" s="90"/>
      <c r="K662" s="89"/>
      <c r="L662" s="102"/>
    </row>
    <row r="663" spans="1:12" ht="15.75" thickBot="1">
      <c r="A663" s="89"/>
      <c r="B663" s="89"/>
      <c r="C663" s="89"/>
      <c r="D663" s="89"/>
      <c r="E663" s="89"/>
      <c r="F663" s="89"/>
      <c r="G663" s="89"/>
      <c r="H663" s="89"/>
      <c r="I663" s="89"/>
      <c r="J663" s="90"/>
      <c r="K663" s="89"/>
      <c r="L663" s="102"/>
    </row>
    <row r="664" spans="1:12" ht="15.75" thickBot="1">
      <c r="A664" s="89"/>
      <c r="B664" s="89"/>
      <c r="C664" s="89"/>
      <c r="D664" s="89"/>
      <c r="E664" s="89"/>
      <c r="F664" s="89"/>
      <c r="G664" s="89"/>
      <c r="H664" s="89"/>
      <c r="I664" s="89"/>
      <c r="J664" s="90"/>
      <c r="K664" s="89"/>
      <c r="L664" s="102"/>
    </row>
    <row r="665" spans="1:12" ht="15.75" thickBot="1">
      <c r="A665" s="89"/>
      <c r="B665" s="89"/>
      <c r="C665" s="89"/>
      <c r="D665" s="89"/>
      <c r="E665" s="89"/>
      <c r="F665" s="89"/>
      <c r="G665" s="89"/>
      <c r="H665" s="89"/>
      <c r="I665" s="89"/>
      <c r="J665" s="90"/>
      <c r="K665" s="89"/>
      <c r="L665" s="102"/>
    </row>
    <row r="666" spans="1:12" ht="15.75" thickBot="1">
      <c r="A666" s="89"/>
      <c r="B666" s="89"/>
      <c r="C666" s="89"/>
      <c r="D666" s="89"/>
      <c r="E666" s="89"/>
      <c r="F666" s="89"/>
      <c r="G666" s="89"/>
      <c r="H666" s="89"/>
      <c r="I666" s="89"/>
      <c r="J666" s="90"/>
      <c r="K666" s="89"/>
      <c r="L666" s="102"/>
    </row>
    <row r="667" spans="1:12" ht="15.75" thickBot="1">
      <c r="A667" s="89"/>
      <c r="B667" s="89"/>
      <c r="C667" s="89"/>
      <c r="D667" s="89"/>
      <c r="E667" s="89"/>
      <c r="F667" s="89"/>
      <c r="G667" s="89"/>
      <c r="H667" s="89"/>
      <c r="I667" s="89"/>
      <c r="J667" s="90"/>
      <c r="K667" s="89"/>
      <c r="L667" s="102"/>
    </row>
    <row r="668" spans="1:12" ht="15.75" thickBot="1">
      <c r="A668" s="89"/>
      <c r="B668" s="89"/>
      <c r="C668" s="89"/>
      <c r="D668" s="89"/>
      <c r="E668" s="89"/>
      <c r="F668" s="89"/>
      <c r="G668" s="89"/>
      <c r="H668" s="89"/>
      <c r="I668" s="89"/>
      <c r="J668" s="90"/>
      <c r="K668" s="89"/>
      <c r="L668" s="102"/>
    </row>
    <row r="669" spans="1:12" ht="15.75" thickBot="1">
      <c r="A669" s="89"/>
      <c r="B669" s="89"/>
      <c r="C669" s="89"/>
      <c r="D669" s="89"/>
      <c r="E669" s="89"/>
      <c r="F669" s="89"/>
      <c r="G669" s="89"/>
      <c r="H669" s="89"/>
      <c r="I669" s="89"/>
      <c r="J669" s="90"/>
      <c r="K669" s="89"/>
      <c r="L669" s="102"/>
    </row>
    <row r="670" spans="1:12" ht="15.75" thickBot="1">
      <c r="A670" s="89"/>
      <c r="B670" s="89"/>
      <c r="C670" s="89"/>
      <c r="D670" s="89"/>
      <c r="E670" s="89"/>
      <c r="F670" s="89"/>
      <c r="G670" s="89"/>
      <c r="H670" s="89"/>
      <c r="I670" s="89"/>
      <c r="J670" s="90"/>
      <c r="K670" s="89"/>
      <c r="L670" s="102"/>
    </row>
    <row r="671" spans="1:12" ht="15.75" thickBot="1">
      <c r="A671" s="89"/>
      <c r="B671" s="89"/>
      <c r="C671" s="89"/>
      <c r="D671" s="89"/>
      <c r="E671" s="89"/>
      <c r="F671" s="89"/>
      <c r="G671" s="89"/>
      <c r="H671" s="89"/>
      <c r="I671" s="89"/>
      <c r="J671" s="90"/>
      <c r="K671" s="89"/>
      <c r="L671" s="102"/>
    </row>
    <row r="672" spans="1:12" ht="15.75" thickBot="1">
      <c r="A672" s="89"/>
      <c r="B672" s="89"/>
      <c r="C672" s="89"/>
      <c r="D672" s="89"/>
      <c r="E672" s="89"/>
      <c r="F672" s="89"/>
      <c r="G672" s="89"/>
      <c r="H672" s="89"/>
      <c r="I672" s="89"/>
      <c r="J672" s="90"/>
      <c r="K672" s="89"/>
      <c r="L672" s="102"/>
    </row>
    <row r="673" spans="1:12" ht="15.75" thickBot="1">
      <c r="A673" s="89"/>
      <c r="B673" s="89"/>
      <c r="C673" s="89"/>
      <c r="D673" s="89"/>
      <c r="E673" s="89"/>
      <c r="F673" s="89"/>
      <c r="G673" s="89"/>
      <c r="H673" s="89"/>
      <c r="I673" s="89"/>
      <c r="J673" s="90"/>
      <c r="K673" s="89"/>
      <c r="L673" s="102"/>
    </row>
    <row r="674" spans="1:12" ht="15.75" thickBot="1">
      <c r="A674" s="89"/>
      <c r="B674" s="89"/>
      <c r="C674" s="89"/>
      <c r="D674" s="89"/>
      <c r="E674" s="89"/>
      <c r="F674" s="89"/>
      <c r="G674" s="89"/>
      <c r="H674" s="89"/>
      <c r="I674" s="89"/>
      <c r="J674" s="90"/>
      <c r="K674" s="89"/>
      <c r="L674" s="102"/>
    </row>
    <row r="675" spans="1:12" ht="15.75" thickBot="1">
      <c r="A675" s="89"/>
      <c r="B675" s="89"/>
      <c r="C675" s="89"/>
      <c r="D675" s="89"/>
      <c r="E675" s="89"/>
      <c r="F675" s="89"/>
      <c r="G675" s="89"/>
      <c r="H675" s="89"/>
      <c r="I675" s="89"/>
      <c r="J675" s="90"/>
      <c r="K675" s="89"/>
      <c r="L675" s="102"/>
    </row>
    <row r="676" spans="1:12" ht="15.75" thickBot="1">
      <c r="A676" s="89"/>
      <c r="B676" s="89"/>
      <c r="C676" s="89"/>
      <c r="D676" s="89"/>
      <c r="E676" s="89"/>
      <c r="F676" s="89"/>
      <c r="G676" s="89"/>
      <c r="H676" s="89"/>
      <c r="I676" s="89"/>
      <c r="J676" s="90"/>
      <c r="K676" s="89"/>
      <c r="L676" s="102"/>
    </row>
    <row r="677" spans="1:12" ht="15.75" thickBot="1">
      <c r="A677" s="89"/>
      <c r="B677" s="89"/>
      <c r="C677" s="89"/>
      <c r="D677" s="89"/>
      <c r="E677" s="89"/>
      <c r="F677" s="89"/>
      <c r="G677" s="89"/>
      <c r="H677" s="89"/>
      <c r="I677" s="89"/>
      <c r="J677" s="90"/>
      <c r="K677" s="89"/>
      <c r="L677" s="102"/>
    </row>
    <row r="678" spans="1:12" ht="15.75" thickBot="1">
      <c r="A678" s="89"/>
      <c r="B678" s="89"/>
      <c r="C678" s="89"/>
      <c r="D678" s="89"/>
      <c r="E678" s="89"/>
      <c r="F678" s="89"/>
      <c r="G678" s="89"/>
      <c r="H678" s="89"/>
      <c r="I678" s="89"/>
      <c r="J678" s="90"/>
      <c r="K678" s="89"/>
      <c r="L678" s="102"/>
    </row>
    <row r="679" spans="1:12" ht="15.75" thickBot="1">
      <c r="A679" s="89"/>
      <c r="B679" s="89"/>
      <c r="C679" s="89"/>
      <c r="D679" s="89"/>
      <c r="E679" s="89"/>
      <c r="F679" s="89"/>
      <c r="G679" s="89"/>
      <c r="H679" s="89"/>
      <c r="I679" s="89"/>
      <c r="J679" s="90"/>
      <c r="K679" s="89"/>
      <c r="L679" s="102"/>
    </row>
    <row r="680" spans="1:12" ht="15.75" thickBot="1">
      <c r="A680" s="89"/>
      <c r="B680" s="89"/>
      <c r="C680" s="89"/>
      <c r="D680" s="89"/>
      <c r="E680" s="89"/>
      <c r="F680" s="89"/>
      <c r="G680" s="89"/>
      <c r="H680" s="89"/>
      <c r="I680" s="89"/>
      <c r="J680" s="90"/>
      <c r="K680" s="89"/>
      <c r="L680" s="102"/>
    </row>
    <row r="681" spans="1:12" ht="15.75" thickBot="1">
      <c r="A681" s="89"/>
      <c r="B681" s="89"/>
      <c r="C681" s="89"/>
      <c r="D681" s="89"/>
      <c r="E681" s="89"/>
      <c r="F681" s="89"/>
      <c r="G681" s="89"/>
      <c r="H681" s="89"/>
      <c r="I681" s="89"/>
      <c r="J681" s="90"/>
      <c r="K681" s="89"/>
      <c r="L681" s="102"/>
    </row>
    <row r="682" spans="1:12" ht="15.75" thickBot="1">
      <c r="A682" s="89"/>
      <c r="B682" s="89"/>
      <c r="C682" s="89"/>
      <c r="D682" s="89"/>
      <c r="E682" s="89"/>
      <c r="F682" s="89"/>
      <c r="G682" s="89"/>
      <c r="H682" s="89"/>
      <c r="I682" s="89"/>
      <c r="J682" s="90"/>
      <c r="K682" s="89"/>
      <c r="L682" s="102"/>
    </row>
    <row r="683" spans="1:12" ht="15.75" thickBot="1">
      <c r="A683" s="89"/>
      <c r="B683" s="89"/>
      <c r="C683" s="89"/>
      <c r="D683" s="89"/>
      <c r="E683" s="89"/>
      <c r="F683" s="89"/>
      <c r="G683" s="89"/>
      <c r="H683" s="89"/>
      <c r="I683" s="89"/>
      <c r="J683" s="90"/>
      <c r="K683" s="89"/>
      <c r="L683" s="102"/>
    </row>
    <row r="684" spans="1:12" ht="15.75" thickBot="1">
      <c r="A684" s="89"/>
      <c r="B684" s="89"/>
      <c r="C684" s="89"/>
      <c r="D684" s="89"/>
      <c r="E684" s="89"/>
      <c r="F684" s="89"/>
      <c r="G684" s="89"/>
      <c r="H684" s="89"/>
      <c r="I684" s="89"/>
      <c r="J684" s="90"/>
      <c r="K684" s="89"/>
      <c r="L684" s="102"/>
    </row>
    <row r="685" spans="1:12" ht="15.75" thickBot="1">
      <c r="A685" s="89"/>
      <c r="B685" s="89"/>
      <c r="C685" s="89"/>
      <c r="D685" s="89"/>
      <c r="E685" s="89"/>
      <c r="F685" s="89"/>
      <c r="G685" s="89"/>
      <c r="H685" s="89"/>
      <c r="I685" s="89"/>
      <c r="J685" s="90"/>
      <c r="K685" s="89"/>
      <c r="L685" s="102"/>
    </row>
    <row r="686" spans="1:12" ht="15.75" thickBot="1">
      <c r="A686" s="89"/>
      <c r="B686" s="89"/>
      <c r="C686" s="89"/>
      <c r="D686" s="89"/>
      <c r="E686" s="89"/>
      <c r="F686" s="89"/>
      <c r="G686" s="89"/>
      <c r="H686" s="89"/>
      <c r="I686" s="89"/>
      <c r="J686" s="90"/>
      <c r="K686" s="89"/>
      <c r="L686" s="102"/>
    </row>
    <row r="687" spans="1:12" ht="15.75" thickBot="1">
      <c r="A687" s="89"/>
      <c r="B687" s="89"/>
      <c r="C687" s="89"/>
      <c r="D687" s="89"/>
      <c r="E687" s="89"/>
      <c r="F687" s="89"/>
      <c r="G687" s="89"/>
      <c r="H687" s="89"/>
      <c r="I687" s="89"/>
      <c r="J687" s="90"/>
      <c r="K687" s="89"/>
      <c r="L687" s="102"/>
    </row>
    <row r="688" spans="1:12" ht="15.75" thickBot="1">
      <c r="A688" s="89"/>
      <c r="B688" s="89"/>
      <c r="C688" s="89"/>
      <c r="D688" s="89"/>
      <c r="E688" s="89"/>
      <c r="F688" s="89"/>
      <c r="G688" s="89"/>
      <c r="H688" s="89"/>
      <c r="I688" s="89"/>
      <c r="J688" s="90"/>
      <c r="K688" s="89"/>
      <c r="L688" s="102"/>
    </row>
    <row r="689" spans="1:12" ht="15.75" thickBot="1">
      <c r="A689" s="89"/>
      <c r="B689" s="89"/>
      <c r="C689" s="89"/>
      <c r="D689" s="89"/>
      <c r="E689" s="89"/>
      <c r="F689" s="89"/>
      <c r="G689" s="89"/>
      <c r="H689" s="89"/>
      <c r="I689" s="89"/>
      <c r="J689" s="90"/>
      <c r="K689" s="89"/>
      <c r="L689" s="102"/>
    </row>
    <row r="690" spans="1:12" ht="15.75" thickBot="1">
      <c r="A690" s="89"/>
      <c r="B690" s="89"/>
      <c r="C690" s="89"/>
      <c r="D690" s="89"/>
      <c r="E690" s="89"/>
      <c r="F690" s="89"/>
      <c r="G690" s="89"/>
      <c r="H690" s="89"/>
      <c r="I690" s="89"/>
      <c r="J690" s="90"/>
      <c r="K690" s="89"/>
      <c r="L690" s="102"/>
    </row>
    <row r="691" spans="1:12" ht="15.75" thickBot="1">
      <c r="A691" s="89"/>
      <c r="B691" s="89"/>
      <c r="C691" s="89"/>
      <c r="D691" s="89"/>
      <c r="E691" s="89"/>
      <c r="F691" s="89"/>
      <c r="G691" s="89"/>
      <c r="H691" s="89"/>
      <c r="I691" s="89"/>
      <c r="J691" s="90"/>
      <c r="K691" s="89"/>
      <c r="L691" s="102"/>
    </row>
    <row r="692" spans="1:12" ht="15.75" thickBot="1">
      <c r="A692" s="89"/>
      <c r="B692" s="89"/>
      <c r="C692" s="89"/>
      <c r="D692" s="89"/>
      <c r="E692" s="89"/>
      <c r="F692" s="89"/>
      <c r="G692" s="89"/>
      <c r="H692" s="89"/>
      <c r="I692" s="89"/>
      <c r="J692" s="90"/>
      <c r="K692" s="89"/>
      <c r="L692" s="102"/>
    </row>
    <row r="693" spans="1:12" ht="15.75" thickBot="1">
      <c r="A693" s="89"/>
      <c r="B693" s="89"/>
      <c r="C693" s="89"/>
      <c r="D693" s="89"/>
      <c r="E693" s="89"/>
      <c r="F693" s="89"/>
      <c r="G693" s="89"/>
      <c r="H693" s="89"/>
      <c r="I693" s="89"/>
      <c r="J693" s="90"/>
      <c r="K693" s="89"/>
      <c r="L693" s="102"/>
    </row>
    <row r="694" spans="1:12" ht="15.75" thickBot="1">
      <c r="A694" s="89"/>
      <c r="B694" s="89"/>
      <c r="C694" s="89"/>
      <c r="D694" s="89"/>
      <c r="E694" s="89"/>
      <c r="F694" s="89"/>
      <c r="G694" s="89"/>
      <c r="H694" s="89"/>
      <c r="I694" s="89"/>
      <c r="J694" s="90"/>
      <c r="K694" s="89"/>
      <c r="L694" s="102"/>
    </row>
    <row r="695" spans="1:12" ht="15.75" thickBot="1">
      <c r="A695" s="89"/>
      <c r="B695" s="89"/>
      <c r="C695" s="89"/>
      <c r="D695" s="89"/>
      <c r="E695" s="89"/>
      <c r="F695" s="89"/>
      <c r="G695" s="89"/>
      <c r="H695" s="89"/>
      <c r="I695" s="89"/>
      <c r="J695" s="90"/>
      <c r="K695" s="89"/>
      <c r="L695" s="102"/>
    </row>
    <row r="696" spans="1:12" ht="15.75" thickBot="1">
      <c r="A696" s="89"/>
      <c r="B696" s="89"/>
      <c r="C696" s="89"/>
      <c r="D696" s="89"/>
      <c r="E696" s="89"/>
      <c r="F696" s="89"/>
      <c r="G696" s="89"/>
      <c r="H696" s="89"/>
      <c r="I696" s="89"/>
      <c r="J696" s="90"/>
      <c r="K696" s="89"/>
      <c r="L696" s="102"/>
    </row>
    <row r="697" spans="1:12" ht="15.75" thickBot="1">
      <c r="A697" s="89"/>
      <c r="B697" s="89"/>
      <c r="C697" s="89"/>
      <c r="D697" s="89"/>
      <c r="E697" s="89"/>
      <c r="F697" s="89"/>
      <c r="G697" s="89"/>
      <c r="H697" s="89"/>
      <c r="I697" s="89"/>
      <c r="J697" s="90"/>
      <c r="K697" s="89"/>
      <c r="L697" s="102"/>
    </row>
    <row r="698" spans="1:12" ht="15.75" thickBot="1">
      <c r="A698" s="89"/>
      <c r="B698" s="89"/>
      <c r="C698" s="89"/>
      <c r="D698" s="89"/>
      <c r="E698" s="89"/>
      <c r="F698" s="89"/>
      <c r="G698" s="89"/>
      <c r="H698" s="89"/>
      <c r="I698" s="89"/>
      <c r="J698" s="90"/>
      <c r="K698" s="89"/>
      <c r="L698" s="102"/>
    </row>
    <row r="699" spans="1:12" ht="15.75" thickBot="1">
      <c r="A699" s="89"/>
      <c r="B699" s="89"/>
      <c r="C699" s="89"/>
      <c r="D699" s="89"/>
      <c r="E699" s="89"/>
      <c r="F699" s="89"/>
      <c r="G699" s="89"/>
      <c r="H699" s="89"/>
      <c r="I699" s="89"/>
      <c r="J699" s="90"/>
      <c r="K699" s="89"/>
      <c r="L699" s="102"/>
    </row>
    <row r="700" spans="1:12" ht="15.75" thickBot="1">
      <c r="A700" s="89"/>
      <c r="B700" s="89"/>
      <c r="C700" s="89"/>
      <c r="D700" s="89"/>
      <c r="E700" s="89"/>
      <c r="F700" s="89"/>
      <c r="G700" s="89"/>
      <c r="H700" s="89"/>
      <c r="I700" s="89"/>
      <c r="J700" s="90"/>
      <c r="K700" s="89"/>
      <c r="L700" s="102"/>
    </row>
    <row r="701" spans="1:12" ht="15.75" thickBot="1">
      <c r="A701" s="89"/>
      <c r="B701" s="89"/>
      <c r="C701" s="89"/>
      <c r="D701" s="89"/>
      <c r="E701" s="89"/>
      <c r="F701" s="89"/>
      <c r="G701" s="89"/>
      <c r="H701" s="89"/>
      <c r="I701" s="89"/>
      <c r="J701" s="90"/>
      <c r="K701" s="89"/>
      <c r="L701" s="102"/>
    </row>
    <row r="702" spans="1:12" ht="15.75" thickBot="1">
      <c r="A702" s="89"/>
      <c r="B702" s="89"/>
      <c r="C702" s="89"/>
      <c r="D702" s="89"/>
      <c r="E702" s="89"/>
      <c r="F702" s="89"/>
      <c r="G702" s="89"/>
      <c r="H702" s="89"/>
      <c r="I702" s="89"/>
      <c r="J702" s="90"/>
      <c r="K702" s="89"/>
      <c r="L702" s="102"/>
    </row>
    <row r="703" spans="1:12" ht="15.75" thickBot="1">
      <c r="A703" s="89"/>
      <c r="B703" s="89"/>
      <c r="C703" s="89"/>
      <c r="D703" s="89"/>
      <c r="E703" s="89"/>
      <c r="F703" s="89"/>
      <c r="G703" s="89"/>
      <c r="H703" s="89"/>
      <c r="I703" s="89"/>
      <c r="J703" s="90"/>
      <c r="K703" s="89"/>
      <c r="L703" s="102"/>
    </row>
    <row r="704" spans="1:12" ht="15.75" thickBot="1">
      <c r="A704" s="89"/>
      <c r="B704" s="89"/>
      <c r="C704" s="89"/>
      <c r="D704" s="89"/>
      <c r="E704" s="89"/>
      <c r="F704" s="89"/>
      <c r="G704" s="89"/>
      <c r="H704" s="89"/>
      <c r="I704" s="89"/>
      <c r="J704" s="90"/>
      <c r="K704" s="89"/>
      <c r="L704" s="102"/>
    </row>
    <row r="705" spans="1:12" ht="15.75" thickBot="1">
      <c r="A705" s="89"/>
      <c r="B705" s="89"/>
      <c r="C705" s="89"/>
      <c r="D705" s="89"/>
      <c r="E705" s="89"/>
      <c r="F705" s="89"/>
      <c r="G705" s="89"/>
      <c r="H705" s="89"/>
      <c r="I705" s="89"/>
      <c r="J705" s="90"/>
      <c r="K705" s="89"/>
      <c r="L705" s="102"/>
    </row>
    <row r="706" spans="1:12" ht="15.75" thickBot="1">
      <c r="A706" s="89"/>
      <c r="B706" s="89"/>
      <c r="C706" s="89"/>
      <c r="D706" s="89"/>
      <c r="E706" s="89"/>
      <c r="F706" s="89"/>
      <c r="G706" s="89"/>
      <c r="H706" s="89"/>
      <c r="I706" s="89"/>
      <c r="J706" s="90"/>
      <c r="K706" s="89"/>
      <c r="L706" s="102"/>
    </row>
    <row r="707" spans="1:12" ht="15.75" thickBot="1">
      <c r="A707" s="89"/>
      <c r="B707" s="89"/>
      <c r="C707" s="89"/>
      <c r="D707" s="89"/>
      <c r="E707" s="89"/>
      <c r="F707" s="89"/>
      <c r="G707" s="89"/>
      <c r="H707" s="89"/>
      <c r="I707" s="89"/>
      <c r="J707" s="90"/>
      <c r="K707" s="89"/>
      <c r="L707" s="102"/>
    </row>
    <row r="708" spans="1:12" ht="15.75" thickBot="1">
      <c r="A708" s="89"/>
      <c r="B708" s="89"/>
      <c r="C708" s="89"/>
      <c r="D708" s="89"/>
      <c r="E708" s="89"/>
      <c r="F708" s="89"/>
      <c r="G708" s="89"/>
      <c r="H708" s="89"/>
      <c r="I708" s="89"/>
      <c r="J708" s="90"/>
      <c r="K708" s="89"/>
      <c r="L708" s="102"/>
    </row>
    <row r="709" spans="1:12" ht="15.75" thickBot="1">
      <c r="A709" s="89"/>
      <c r="B709" s="89"/>
      <c r="C709" s="89"/>
      <c r="D709" s="89"/>
      <c r="E709" s="89"/>
      <c r="F709" s="89"/>
      <c r="G709" s="89"/>
      <c r="H709" s="89"/>
      <c r="I709" s="89"/>
      <c r="J709" s="90"/>
      <c r="K709" s="89"/>
      <c r="L709" s="102"/>
    </row>
    <row r="710" spans="1:12" ht="15.75" thickBot="1">
      <c r="A710" s="89"/>
      <c r="B710" s="89"/>
      <c r="C710" s="89"/>
      <c r="D710" s="89"/>
      <c r="E710" s="89"/>
      <c r="F710" s="89"/>
      <c r="G710" s="89"/>
      <c r="H710" s="89"/>
      <c r="I710" s="89"/>
      <c r="J710" s="90"/>
      <c r="K710" s="89"/>
      <c r="L710" s="102"/>
    </row>
    <row r="711" spans="1:12" ht="15.75" thickBot="1">
      <c r="A711" s="89"/>
      <c r="B711" s="89"/>
      <c r="C711" s="89"/>
      <c r="D711" s="89"/>
      <c r="E711" s="89"/>
      <c r="F711" s="89"/>
      <c r="G711" s="89"/>
      <c r="H711" s="89"/>
      <c r="I711" s="89"/>
      <c r="J711" s="90"/>
      <c r="K711" s="89"/>
      <c r="L711" s="102"/>
    </row>
    <row r="712" spans="1:12" ht="15.75" thickBot="1">
      <c r="A712" s="89"/>
      <c r="B712" s="89"/>
      <c r="C712" s="89"/>
      <c r="D712" s="89"/>
      <c r="E712" s="89"/>
      <c r="F712" s="89"/>
      <c r="G712" s="89"/>
      <c r="H712" s="89"/>
      <c r="I712" s="89"/>
      <c r="J712" s="90"/>
      <c r="K712" s="89"/>
      <c r="L712" s="102"/>
    </row>
    <row r="713" spans="1:12" ht="15.75" thickBot="1">
      <c r="A713" s="89"/>
      <c r="B713" s="89"/>
      <c r="C713" s="89"/>
      <c r="D713" s="89"/>
      <c r="E713" s="89"/>
      <c r="F713" s="89"/>
      <c r="G713" s="89"/>
      <c r="H713" s="89"/>
      <c r="I713" s="89"/>
      <c r="J713" s="90"/>
      <c r="K713" s="89"/>
      <c r="L713" s="102"/>
    </row>
    <row r="714" spans="1:12" ht="15.75" thickBot="1">
      <c r="A714" s="89"/>
      <c r="B714" s="89"/>
      <c r="C714" s="89"/>
      <c r="D714" s="89"/>
      <c r="E714" s="89"/>
      <c r="F714" s="89"/>
      <c r="G714" s="89"/>
      <c r="H714" s="89"/>
      <c r="I714" s="89"/>
      <c r="J714" s="90"/>
      <c r="K714" s="89"/>
      <c r="L714" s="102"/>
    </row>
    <row r="715" spans="1:12" ht="15.75" thickBot="1">
      <c r="A715" s="89"/>
      <c r="B715" s="89"/>
      <c r="C715" s="89"/>
      <c r="D715" s="89"/>
      <c r="E715" s="89"/>
      <c r="F715" s="89"/>
      <c r="G715" s="89"/>
      <c r="H715" s="89"/>
      <c r="I715" s="89"/>
      <c r="J715" s="90"/>
      <c r="K715" s="89"/>
      <c r="L715" s="102"/>
    </row>
    <row r="716" spans="1:12" ht="15.75" thickBot="1">
      <c r="A716" s="89"/>
      <c r="B716" s="89"/>
      <c r="C716" s="89"/>
      <c r="D716" s="89"/>
      <c r="E716" s="89"/>
      <c r="F716" s="89"/>
      <c r="G716" s="89"/>
      <c r="H716" s="89"/>
      <c r="I716" s="89"/>
      <c r="J716" s="90"/>
      <c r="K716" s="89"/>
      <c r="L716" s="102"/>
    </row>
    <row r="717" spans="1:12" ht="15.75" thickBot="1">
      <c r="A717" s="89"/>
      <c r="B717" s="89"/>
      <c r="C717" s="89"/>
      <c r="D717" s="89"/>
      <c r="E717" s="89"/>
      <c r="F717" s="89"/>
      <c r="G717" s="89"/>
      <c r="H717" s="89"/>
      <c r="I717" s="89"/>
      <c r="J717" s="90"/>
      <c r="K717" s="89"/>
      <c r="L717" s="102"/>
    </row>
    <row r="718" spans="1:12" ht="15.75" thickBot="1">
      <c r="A718" s="89"/>
      <c r="B718" s="89"/>
      <c r="C718" s="89"/>
      <c r="D718" s="89"/>
      <c r="E718" s="89"/>
      <c r="F718" s="89"/>
      <c r="G718" s="89"/>
      <c r="H718" s="89"/>
      <c r="I718" s="89"/>
      <c r="J718" s="90"/>
      <c r="K718" s="89"/>
      <c r="L718" s="102"/>
    </row>
    <row r="719" spans="1:12" ht="15.75" thickBot="1">
      <c r="A719" s="89"/>
      <c r="B719" s="89"/>
      <c r="C719" s="89"/>
      <c r="D719" s="89"/>
      <c r="E719" s="89"/>
      <c r="F719" s="89"/>
      <c r="G719" s="89"/>
      <c r="H719" s="89"/>
      <c r="I719" s="89"/>
      <c r="J719" s="90"/>
      <c r="K719" s="89"/>
      <c r="L719" s="102"/>
    </row>
    <row r="720" spans="1:12" ht="15.75" thickBot="1">
      <c r="A720" s="89"/>
      <c r="B720" s="89"/>
      <c r="C720" s="89"/>
      <c r="D720" s="89"/>
      <c r="E720" s="89"/>
      <c r="F720" s="89"/>
      <c r="G720" s="89"/>
      <c r="H720" s="89"/>
      <c r="I720" s="89"/>
      <c r="J720" s="90"/>
      <c r="K720" s="89"/>
      <c r="L720" s="102"/>
    </row>
    <row r="721" spans="1:12" ht="15.75" thickBot="1">
      <c r="A721" s="89"/>
      <c r="B721" s="89"/>
      <c r="C721" s="89"/>
      <c r="D721" s="89"/>
      <c r="E721" s="89"/>
      <c r="F721" s="89"/>
      <c r="G721" s="89"/>
      <c r="H721" s="89"/>
      <c r="I721" s="89"/>
      <c r="J721" s="90"/>
      <c r="K721" s="89"/>
      <c r="L721" s="102"/>
    </row>
    <row r="722" spans="1:12" ht="15.75" thickBot="1">
      <c r="A722" s="89"/>
      <c r="B722" s="89"/>
      <c r="C722" s="89"/>
      <c r="D722" s="89"/>
      <c r="E722" s="89"/>
      <c r="F722" s="89"/>
      <c r="G722" s="89"/>
      <c r="H722" s="89"/>
      <c r="I722" s="89"/>
      <c r="J722" s="90"/>
      <c r="K722" s="89"/>
      <c r="L722" s="102"/>
    </row>
    <row r="723" spans="1:12" ht="15.75" thickBot="1">
      <c r="A723" s="89"/>
      <c r="B723" s="89"/>
      <c r="C723" s="89"/>
      <c r="D723" s="89"/>
      <c r="E723" s="89"/>
      <c r="F723" s="89"/>
      <c r="G723" s="89"/>
      <c r="H723" s="89"/>
      <c r="I723" s="89"/>
      <c r="J723" s="90"/>
      <c r="K723" s="89"/>
      <c r="L723" s="102"/>
    </row>
    <row r="724" spans="1:12" ht="15.75" thickBot="1">
      <c r="A724" s="89"/>
      <c r="B724" s="89"/>
      <c r="C724" s="89"/>
      <c r="D724" s="89"/>
      <c r="E724" s="89"/>
      <c r="F724" s="89"/>
      <c r="G724" s="89"/>
      <c r="H724" s="89"/>
      <c r="I724" s="89"/>
      <c r="J724" s="90"/>
      <c r="K724" s="89"/>
      <c r="L724" s="102"/>
    </row>
    <row r="725" spans="1:12" ht="15.75" thickBot="1">
      <c r="A725" s="89"/>
      <c r="B725" s="89"/>
      <c r="C725" s="89"/>
      <c r="D725" s="89"/>
      <c r="E725" s="89"/>
      <c r="F725" s="89"/>
      <c r="G725" s="89"/>
      <c r="H725" s="89"/>
      <c r="I725" s="89"/>
      <c r="J725" s="90"/>
      <c r="K725" s="89"/>
      <c r="L725" s="102"/>
    </row>
    <row r="726" spans="1:12" ht="15.75" thickBot="1">
      <c r="A726" s="89"/>
      <c r="B726" s="89"/>
      <c r="C726" s="89"/>
      <c r="D726" s="89"/>
      <c r="E726" s="89"/>
      <c r="F726" s="89"/>
      <c r="G726" s="89"/>
      <c r="H726" s="89"/>
      <c r="I726" s="89"/>
      <c r="J726" s="90"/>
      <c r="K726" s="89"/>
      <c r="L726" s="102"/>
    </row>
    <row r="727" spans="1:12" ht="15.75" thickBot="1">
      <c r="A727" s="89"/>
      <c r="B727" s="89"/>
      <c r="C727" s="89"/>
      <c r="D727" s="89"/>
      <c r="E727" s="89"/>
      <c r="F727" s="89"/>
      <c r="G727" s="89"/>
      <c r="H727" s="89"/>
      <c r="I727" s="89"/>
      <c r="J727" s="90"/>
      <c r="K727" s="89"/>
      <c r="L727" s="102"/>
    </row>
    <row r="728" spans="1:12" ht="15.75" thickBot="1">
      <c r="A728" s="89"/>
      <c r="B728" s="89"/>
      <c r="C728" s="89"/>
      <c r="D728" s="89"/>
      <c r="E728" s="89"/>
      <c r="F728" s="89"/>
      <c r="G728" s="89"/>
      <c r="H728" s="89"/>
      <c r="I728" s="89"/>
      <c r="J728" s="90"/>
      <c r="K728" s="89"/>
      <c r="L728" s="102"/>
    </row>
    <row r="729" spans="1:12" ht="15.75" thickBot="1">
      <c r="A729" s="89"/>
      <c r="B729" s="89"/>
      <c r="C729" s="89"/>
      <c r="D729" s="89"/>
      <c r="E729" s="89"/>
      <c r="F729" s="89"/>
      <c r="G729" s="89"/>
      <c r="H729" s="89"/>
      <c r="I729" s="89"/>
      <c r="J729" s="90"/>
      <c r="K729" s="89"/>
      <c r="L729" s="102"/>
    </row>
    <row r="730" spans="1:12" ht="15.75" thickBot="1">
      <c r="A730" s="89"/>
      <c r="B730" s="89"/>
      <c r="C730" s="89"/>
      <c r="D730" s="89"/>
      <c r="E730" s="89"/>
      <c r="F730" s="89"/>
      <c r="G730" s="89"/>
      <c r="H730" s="89"/>
      <c r="I730" s="89"/>
      <c r="J730" s="90"/>
      <c r="K730" s="89"/>
      <c r="L730" s="102"/>
    </row>
    <row r="731" spans="1:12" ht="15.75" thickBot="1">
      <c r="A731" s="89"/>
      <c r="B731" s="89"/>
      <c r="C731" s="89"/>
      <c r="D731" s="89"/>
      <c r="E731" s="89"/>
      <c r="F731" s="89"/>
      <c r="G731" s="89"/>
      <c r="H731" s="89"/>
      <c r="I731" s="89"/>
      <c r="J731" s="90"/>
      <c r="K731" s="89"/>
      <c r="L731" s="102"/>
    </row>
    <row r="732" spans="1:12" ht="15.75" thickBot="1">
      <c r="A732" s="89"/>
      <c r="B732" s="89"/>
      <c r="C732" s="89"/>
      <c r="D732" s="89"/>
      <c r="E732" s="89"/>
      <c r="F732" s="89"/>
      <c r="G732" s="89"/>
      <c r="H732" s="89"/>
      <c r="I732" s="89"/>
      <c r="J732" s="90"/>
      <c r="K732" s="89"/>
      <c r="L732" s="102"/>
    </row>
    <row r="733" spans="1:12" ht="15.75" thickBot="1">
      <c r="A733" s="89"/>
      <c r="B733" s="89"/>
      <c r="C733" s="89"/>
      <c r="D733" s="89"/>
      <c r="E733" s="89"/>
      <c r="F733" s="89"/>
      <c r="G733" s="89"/>
      <c r="H733" s="89"/>
      <c r="I733" s="89"/>
      <c r="J733" s="90"/>
      <c r="K733" s="89"/>
      <c r="L733" s="102"/>
    </row>
    <row r="734" spans="1:12" ht="15.75" thickBot="1">
      <c r="A734" s="89"/>
      <c r="B734" s="89"/>
      <c r="C734" s="89"/>
      <c r="D734" s="89"/>
      <c r="E734" s="89"/>
      <c r="F734" s="89"/>
      <c r="G734" s="89"/>
      <c r="H734" s="89"/>
      <c r="I734" s="89"/>
      <c r="J734" s="90"/>
      <c r="K734" s="89"/>
      <c r="L734" s="102"/>
    </row>
    <row r="735" spans="1:12" ht="15.75" thickBot="1">
      <c r="A735" s="89"/>
      <c r="B735" s="89"/>
      <c r="C735" s="89"/>
      <c r="D735" s="89"/>
      <c r="E735" s="89"/>
      <c r="F735" s="89"/>
      <c r="G735" s="89"/>
      <c r="H735" s="89"/>
      <c r="I735" s="89"/>
      <c r="J735" s="90"/>
      <c r="K735" s="89"/>
      <c r="L735" s="102"/>
    </row>
    <row r="736" spans="1:12" ht="15.75" thickBot="1">
      <c r="A736" s="89"/>
      <c r="B736" s="89"/>
      <c r="C736" s="89"/>
      <c r="D736" s="89"/>
      <c r="E736" s="89"/>
      <c r="F736" s="89"/>
      <c r="G736" s="89"/>
      <c r="H736" s="89"/>
      <c r="I736" s="89"/>
      <c r="J736" s="90"/>
      <c r="K736" s="89"/>
      <c r="L736" s="102"/>
    </row>
    <row r="737" spans="1:12" ht="15.75" thickBot="1">
      <c r="A737" s="89"/>
      <c r="B737" s="89"/>
      <c r="C737" s="89"/>
      <c r="D737" s="89"/>
      <c r="E737" s="89"/>
      <c r="F737" s="89"/>
      <c r="G737" s="89"/>
      <c r="H737" s="89"/>
      <c r="I737" s="89"/>
      <c r="J737" s="90"/>
      <c r="K737" s="89"/>
      <c r="L737" s="102"/>
    </row>
    <row r="738" spans="1:12" ht="15.75" thickBot="1">
      <c r="A738" s="89"/>
      <c r="B738" s="89"/>
      <c r="C738" s="89"/>
      <c r="D738" s="89"/>
      <c r="E738" s="89"/>
      <c r="F738" s="89"/>
      <c r="G738" s="89"/>
      <c r="H738" s="89"/>
      <c r="I738" s="89"/>
      <c r="J738" s="90"/>
      <c r="K738" s="89"/>
      <c r="L738" s="102"/>
    </row>
    <row r="739" spans="1:12" ht="15.75" thickBot="1">
      <c r="A739" s="89"/>
      <c r="B739" s="89"/>
      <c r="C739" s="89"/>
      <c r="D739" s="89"/>
      <c r="E739" s="89"/>
      <c r="F739" s="89"/>
      <c r="G739" s="89"/>
      <c r="H739" s="89"/>
      <c r="I739" s="89"/>
      <c r="J739" s="90"/>
      <c r="K739" s="89"/>
      <c r="L739" s="102"/>
    </row>
    <row r="740" spans="1:12" ht="15.75" thickBot="1">
      <c r="A740" s="89"/>
      <c r="B740" s="89"/>
      <c r="C740" s="89"/>
      <c r="D740" s="89"/>
      <c r="E740" s="89"/>
      <c r="F740" s="89"/>
      <c r="G740" s="89"/>
      <c r="H740" s="89"/>
      <c r="I740" s="89"/>
      <c r="J740" s="90"/>
      <c r="K740" s="89"/>
      <c r="L740" s="102"/>
    </row>
    <row r="741" spans="1:12" ht="15.75" thickBot="1">
      <c r="A741" s="89"/>
      <c r="B741" s="89"/>
      <c r="C741" s="89"/>
      <c r="D741" s="89"/>
      <c r="E741" s="89"/>
      <c r="F741" s="89"/>
      <c r="G741" s="89"/>
      <c r="H741" s="89"/>
      <c r="I741" s="89"/>
      <c r="J741" s="90"/>
      <c r="K741" s="89"/>
      <c r="L741" s="102"/>
    </row>
    <row r="742" spans="1:12" ht="15.75" thickBot="1">
      <c r="A742" s="89"/>
      <c r="B742" s="89"/>
      <c r="C742" s="89"/>
      <c r="D742" s="89"/>
      <c r="E742" s="89"/>
      <c r="F742" s="89"/>
      <c r="G742" s="89"/>
      <c r="H742" s="89"/>
      <c r="I742" s="89"/>
      <c r="J742" s="90"/>
      <c r="K742" s="89"/>
      <c r="L742" s="102"/>
    </row>
    <row r="743" spans="1:12" ht="15.75" thickBot="1">
      <c r="A743" s="89"/>
      <c r="B743" s="89"/>
      <c r="C743" s="89"/>
      <c r="D743" s="89"/>
      <c r="E743" s="89"/>
      <c r="F743" s="89"/>
      <c r="G743" s="89"/>
      <c r="H743" s="89"/>
      <c r="I743" s="89"/>
      <c r="J743" s="90"/>
      <c r="K743" s="89"/>
      <c r="L743" s="102"/>
    </row>
    <row r="744" spans="1:12" ht="15.75" thickBot="1">
      <c r="A744" s="89"/>
      <c r="B744" s="89"/>
      <c r="C744" s="89"/>
      <c r="D744" s="89"/>
      <c r="E744" s="89"/>
      <c r="F744" s="89"/>
      <c r="G744" s="89"/>
      <c r="H744" s="89"/>
      <c r="I744" s="89"/>
      <c r="J744" s="90"/>
      <c r="K744" s="89"/>
      <c r="L744" s="102"/>
    </row>
    <row r="745" spans="1:12" ht="15.75" thickBot="1">
      <c r="A745" s="89"/>
      <c r="B745" s="89"/>
      <c r="C745" s="89"/>
      <c r="D745" s="89"/>
      <c r="E745" s="89"/>
      <c r="F745" s="89"/>
      <c r="G745" s="89"/>
      <c r="H745" s="89"/>
      <c r="I745" s="89"/>
      <c r="J745" s="90"/>
      <c r="K745" s="89"/>
      <c r="L745" s="102"/>
    </row>
    <row r="746" spans="1:12" ht="15.75" thickBot="1">
      <c r="A746" s="89"/>
      <c r="B746" s="89"/>
      <c r="C746" s="89"/>
      <c r="D746" s="89"/>
      <c r="E746" s="89"/>
      <c r="F746" s="89"/>
      <c r="G746" s="89"/>
      <c r="H746" s="89"/>
      <c r="I746" s="89"/>
      <c r="J746" s="90"/>
      <c r="K746" s="89"/>
      <c r="L746" s="102"/>
    </row>
    <row r="747" spans="1:12" ht="15.75" thickBot="1">
      <c r="A747" s="89"/>
      <c r="B747" s="89"/>
      <c r="C747" s="89"/>
      <c r="D747" s="89"/>
      <c r="E747" s="89"/>
      <c r="F747" s="89"/>
      <c r="G747" s="89"/>
      <c r="H747" s="89"/>
      <c r="I747" s="89"/>
      <c r="J747" s="90"/>
      <c r="K747" s="89"/>
      <c r="L747" s="102"/>
    </row>
    <row r="748" spans="1:12" ht="15.75" thickBot="1">
      <c r="A748" s="89"/>
      <c r="B748" s="89"/>
      <c r="C748" s="89"/>
      <c r="D748" s="89"/>
      <c r="E748" s="89"/>
      <c r="F748" s="89"/>
      <c r="G748" s="89"/>
      <c r="H748" s="89"/>
      <c r="I748" s="89"/>
      <c r="J748" s="90"/>
      <c r="K748" s="89"/>
      <c r="L748" s="102"/>
    </row>
    <row r="749" spans="1:12" ht="15.75" thickBot="1">
      <c r="A749" s="89"/>
      <c r="B749" s="89"/>
      <c r="C749" s="89"/>
      <c r="D749" s="89"/>
      <c r="E749" s="89"/>
      <c r="F749" s="89"/>
      <c r="G749" s="89"/>
      <c r="H749" s="89"/>
      <c r="I749" s="89"/>
      <c r="J749" s="90"/>
      <c r="K749" s="89"/>
      <c r="L749" s="102"/>
    </row>
    <row r="750" spans="1:12" ht="15.75" thickBot="1">
      <c r="A750" s="89"/>
      <c r="B750" s="89"/>
      <c r="C750" s="89"/>
      <c r="D750" s="89"/>
      <c r="E750" s="89"/>
      <c r="F750" s="89"/>
      <c r="G750" s="89"/>
      <c r="H750" s="89"/>
      <c r="I750" s="89"/>
      <c r="J750" s="90"/>
      <c r="K750" s="89"/>
      <c r="L750" s="102"/>
    </row>
    <row r="751" spans="1:12" ht="15.75" thickBot="1">
      <c r="A751" s="89"/>
      <c r="B751" s="89"/>
      <c r="C751" s="89"/>
      <c r="D751" s="89"/>
      <c r="E751" s="89"/>
      <c r="F751" s="89"/>
      <c r="G751" s="89"/>
      <c r="H751" s="89"/>
      <c r="I751" s="89"/>
      <c r="J751" s="90"/>
      <c r="K751" s="89"/>
      <c r="L751" s="102"/>
    </row>
    <row r="752" spans="1:12" ht="15.75" thickBot="1">
      <c r="A752" s="89"/>
      <c r="B752" s="89"/>
      <c r="C752" s="89"/>
      <c r="D752" s="89"/>
      <c r="E752" s="89"/>
      <c r="F752" s="89"/>
      <c r="G752" s="89"/>
      <c r="H752" s="89"/>
      <c r="I752" s="89"/>
      <c r="J752" s="90"/>
      <c r="K752" s="89"/>
      <c r="L752" s="102"/>
    </row>
    <row r="753" spans="1:12" ht="15.75" thickBot="1">
      <c r="A753" s="89"/>
      <c r="B753" s="89"/>
      <c r="C753" s="89"/>
      <c r="D753" s="89"/>
      <c r="E753" s="89"/>
      <c r="F753" s="89"/>
      <c r="G753" s="89"/>
      <c r="H753" s="89"/>
      <c r="I753" s="89"/>
      <c r="J753" s="90"/>
      <c r="K753" s="89"/>
      <c r="L753" s="102"/>
    </row>
    <row r="754" spans="1:12" ht="15.75" thickBot="1">
      <c r="A754" s="89"/>
      <c r="B754" s="89"/>
      <c r="C754" s="89"/>
      <c r="D754" s="89"/>
      <c r="E754" s="89"/>
      <c r="F754" s="89"/>
      <c r="G754" s="89"/>
      <c r="H754" s="89"/>
      <c r="I754" s="89"/>
      <c r="J754" s="90"/>
      <c r="K754" s="89"/>
      <c r="L754" s="102"/>
    </row>
    <row r="755" spans="1:12" ht="15.75" thickBot="1">
      <c r="A755" s="89"/>
      <c r="B755" s="89"/>
      <c r="C755" s="89"/>
      <c r="D755" s="89"/>
      <c r="E755" s="89"/>
      <c r="F755" s="89"/>
      <c r="G755" s="89"/>
      <c r="H755" s="89"/>
      <c r="I755" s="89"/>
      <c r="J755" s="90"/>
      <c r="K755" s="89"/>
      <c r="L755" s="102"/>
    </row>
    <row r="756" spans="1:12" ht="15.75" thickBot="1">
      <c r="A756" s="89"/>
      <c r="B756" s="89"/>
      <c r="C756" s="89"/>
      <c r="D756" s="89"/>
      <c r="E756" s="89"/>
      <c r="F756" s="89"/>
      <c r="G756" s="89"/>
      <c r="H756" s="89"/>
      <c r="I756" s="89"/>
      <c r="J756" s="90"/>
      <c r="K756" s="89"/>
      <c r="L756" s="102"/>
    </row>
    <row r="757" spans="1:12" ht="15.75" thickBot="1">
      <c r="A757" s="89"/>
      <c r="B757" s="89"/>
      <c r="C757" s="89"/>
      <c r="D757" s="89"/>
      <c r="E757" s="89"/>
      <c r="F757" s="89"/>
      <c r="G757" s="89"/>
      <c r="H757" s="89"/>
      <c r="I757" s="89"/>
      <c r="J757" s="90"/>
      <c r="K757" s="89"/>
      <c r="L757" s="102"/>
    </row>
    <row r="758" spans="1:12" ht="15.75" thickBot="1">
      <c r="A758" s="89"/>
      <c r="B758" s="89"/>
      <c r="C758" s="89"/>
      <c r="D758" s="89"/>
      <c r="E758" s="89"/>
      <c r="F758" s="89"/>
      <c r="G758" s="89"/>
      <c r="H758" s="89"/>
      <c r="I758" s="89"/>
      <c r="J758" s="90"/>
      <c r="K758" s="89"/>
      <c r="L758" s="102"/>
    </row>
    <row r="759" spans="1:12" ht="15.75" thickBot="1">
      <c r="A759" s="89"/>
      <c r="B759" s="89"/>
      <c r="C759" s="89"/>
      <c r="D759" s="89"/>
      <c r="E759" s="89"/>
      <c r="F759" s="89"/>
      <c r="G759" s="89"/>
      <c r="H759" s="89"/>
      <c r="I759" s="89"/>
      <c r="J759" s="90"/>
      <c r="K759" s="89"/>
      <c r="L759" s="102"/>
    </row>
    <row r="760" spans="1:12" ht="15.75" thickBot="1">
      <c r="A760" s="89"/>
      <c r="B760" s="89"/>
      <c r="C760" s="89"/>
      <c r="D760" s="89"/>
      <c r="E760" s="89"/>
      <c r="F760" s="89"/>
      <c r="G760" s="89"/>
      <c r="H760" s="89"/>
      <c r="I760" s="89"/>
      <c r="J760" s="90"/>
      <c r="K760" s="89"/>
      <c r="L760" s="102"/>
    </row>
    <row r="761" spans="1:12" ht="15.75" thickBot="1">
      <c r="A761" s="89"/>
      <c r="B761" s="89"/>
      <c r="C761" s="89"/>
      <c r="D761" s="89"/>
      <c r="E761" s="89"/>
      <c r="F761" s="89"/>
      <c r="G761" s="89"/>
      <c r="H761" s="89"/>
      <c r="I761" s="89"/>
      <c r="J761" s="90"/>
      <c r="K761" s="89"/>
      <c r="L761" s="102"/>
    </row>
    <row r="762" spans="1:12" ht="15.75" thickBot="1">
      <c r="A762" s="89"/>
      <c r="B762" s="89"/>
      <c r="C762" s="89"/>
      <c r="D762" s="89"/>
      <c r="E762" s="89"/>
      <c r="F762" s="89"/>
      <c r="G762" s="89"/>
      <c r="H762" s="89"/>
      <c r="I762" s="89"/>
      <c r="J762" s="90"/>
      <c r="K762" s="89"/>
      <c r="L762" s="102"/>
    </row>
    <row r="763" spans="1:12" ht="15.75" thickBot="1">
      <c r="A763" s="89"/>
      <c r="B763" s="89"/>
      <c r="C763" s="89"/>
      <c r="D763" s="89"/>
      <c r="E763" s="89"/>
      <c r="F763" s="89"/>
      <c r="G763" s="89"/>
      <c r="H763" s="89"/>
      <c r="I763" s="89"/>
      <c r="J763" s="90"/>
      <c r="K763" s="89"/>
      <c r="L763" s="102"/>
    </row>
    <row r="764" spans="1:12" ht="15.75" thickBot="1">
      <c r="A764" s="89"/>
      <c r="B764" s="89"/>
      <c r="C764" s="89"/>
      <c r="D764" s="89"/>
      <c r="E764" s="89"/>
      <c r="F764" s="89"/>
      <c r="G764" s="89"/>
      <c r="H764" s="89"/>
      <c r="I764" s="89"/>
      <c r="J764" s="90"/>
      <c r="K764" s="89"/>
      <c r="L764" s="102"/>
    </row>
    <row r="765" spans="1:12" ht="15.75" thickBot="1">
      <c r="A765" s="89"/>
      <c r="B765" s="89"/>
      <c r="C765" s="89"/>
      <c r="D765" s="89"/>
      <c r="E765" s="89"/>
      <c r="F765" s="89"/>
      <c r="G765" s="89"/>
      <c r="H765" s="89"/>
      <c r="I765" s="89"/>
      <c r="J765" s="90"/>
      <c r="K765" s="89"/>
      <c r="L765" s="102"/>
    </row>
    <row r="766" spans="1:12" ht="15.75" thickBot="1">
      <c r="A766" s="89"/>
      <c r="B766" s="89"/>
      <c r="C766" s="89"/>
      <c r="D766" s="89"/>
      <c r="E766" s="89"/>
      <c r="F766" s="89"/>
      <c r="G766" s="89"/>
      <c r="H766" s="89"/>
      <c r="I766" s="89"/>
      <c r="J766" s="90"/>
      <c r="K766" s="89"/>
      <c r="L766" s="102"/>
    </row>
    <row r="767" spans="1:12" ht="15.75" thickBot="1">
      <c r="A767" s="89"/>
      <c r="B767" s="89"/>
      <c r="C767" s="89"/>
      <c r="D767" s="89"/>
      <c r="E767" s="89"/>
      <c r="F767" s="89"/>
      <c r="G767" s="89"/>
      <c r="H767" s="89"/>
      <c r="I767" s="89"/>
      <c r="J767" s="90"/>
      <c r="K767" s="89"/>
      <c r="L767" s="102"/>
    </row>
    <row r="768" spans="1:12" ht="15.75" thickBot="1">
      <c r="A768" s="89"/>
      <c r="B768" s="89"/>
      <c r="C768" s="89"/>
      <c r="D768" s="89"/>
      <c r="E768" s="89"/>
      <c r="F768" s="89"/>
      <c r="G768" s="89"/>
      <c r="H768" s="89"/>
      <c r="I768" s="89"/>
      <c r="J768" s="90"/>
      <c r="K768" s="89"/>
      <c r="L768" s="102"/>
    </row>
    <row r="769" spans="1:12" ht="15.75" thickBot="1">
      <c r="A769" s="89"/>
      <c r="B769" s="89"/>
      <c r="C769" s="89"/>
      <c r="D769" s="89"/>
      <c r="E769" s="89"/>
      <c r="F769" s="89"/>
      <c r="G769" s="89"/>
      <c r="H769" s="89"/>
      <c r="I769" s="89"/>
      <c r="J769" s="90"/>
      <c r="K769" s="89"/>
      <c r="L769" s="102"/>
    </row>
    <row r="770" spans="1:12" ht="15.75" thickBot="1">
      <c r="A770" s="89"/>
      <c r="B770" s="89"/>
      <c r="C770" s="89"/>
      <c r="D770" s="89"/>
      <c r="E770" s="89"/>
      <c r="F770" s="89"/>
      <c r="G770" s="89"/>
      <c r="H770" s="89"/>
      <c r="I770" s="89"/>
      <c r="J770" s="90"/>
      <c r="K770" s="89"/>
      <c r="L770" s="102"/>
    </row>
    <row r="771" spans="1:12" ht="15.75" thickBot="1">
      <c r="A771" s="89"/>
      <c r="B771" s="89"/>
      <c r="C771" s="89"/>
      <c r="D771" s="89"/>
      <c r="E771" s="89"/>
      <c r="F771" s="89"/>
      <c r="G771" s="89"/>
      <c r="H771" s="89"/>
      <c r="I771" s="89"/>
      <c r="J771" s="90"/>
      <c r="K771" s="89"/>
      <c r="L771" s="102"/>
    </row>
    <row r="772" spans="1:12" ht="15.75" thickBot="1">
      <c r="A772" s="89"/>
      <c r="B772" s="89"/>
      <c r="C772" s="89"/>
      <c r="D772" s="89"/>
      <c r="E772" s="89"/>
      <c r="F772" s="89"/>
      <c r="G772" s="89"/>
      <c r="H772" s="89"/>
      <c r="I772" s="89"/>
      <c r="J772" s="90"/>
      <c r="K772" s="89"/>
      <c r="L772" s="102"/>
    </row>
    <row r="773" spans="1:12" ht="15.75" thickBot="1">
      <c r="A773" s="89"/>
      <c r="B773" s="89"/>
      <c r="C773" s="89"/>
      <c r="D773" s="89"/>
      <c r="E773" s="89"/>
      <c r="F773" s="89"/>
      <c r="G773" s="89"/>
      <c r="H773" s="89"/>
      <c r="I773" s="89"/>
      <c r="J773" s="90"/>
      <c r="K773" s="89"/>
      <c r="L773" s="102"/>
    </row>
    <row r="774" spans="1:12" ht="15.75" thickBot="1">
      <c r="A774" s="89"/>
      <c r="B774" s="89"/>
      <c r="C774" s="89"/>
      <c r="D774" s="89"/>
      <c r="E774" s="89"/>
      <c r="F774" s="89"/>
      <c r="G774" s="89"/>
      <c r="H774" s="89"/>
      <c r="I774" s="89"/>
      <c r="J774" s="90"/>
      <c r="K774" s="89"/>
      <c r="L774" s="102"/>
    </row>
    <row r="775" spans="1:12" ht="15.75" thickBot="1">
      <c r="A775" s="89"/>
      <c r="B775" s="89"/>
      <c r="C775" s="89"/>
      <c r="D775" s="89"/>
      <c r="E775" s="89"/>
      <c r="F775" s="89"/>
      <c r="G775" s="89"/>
      <c r="H775" s="89"/>
      <c r="I775" s="89"/>
      <c r="J775" s="90"/>
      <c r="K775" s="89"/>
      <c r="L775" s="102"/>
    </row>
    <row r="776" spans="1:12" ht="15.75" thickBot="1">
      <c r="A776" s="89"/>
      <c r="B776" s="89"/>
      <c r="C776" s="89"/>
      <c r="D776" s="89"/>
      <c r="E776" s="89"/>
      <c r="F776" s="89"/>
      <c r="G776" s="89"/>
      <c r="H776" s="89"/>
      <c r="I776" s="89"/>
      <c r="J776" s="90"/>
      <c r="K776" s="89"/>
      <c r="L776" s="102"/>
    </row>
    <row r="777" spans="1:12" ht="15.75" thickBot="1">
      <c r="A777" s="89"/>
      <c r="B777" s="89"/>
      <c r="C777" s="89"/>
      <c r="D777" s="89"/>
      <c r="E777" s="89"/>
      <c r="F777" s="89"/>
      <c r="G777" s="89"/>
      <c r="H777" s="89"/>
      <c r="I777" s="89"/>
      <c r="J777" s="90"/>
      <c r="K777" s="89"/>
      <c r="L777" s="102"/>
    </row>
    <row r="778" spans="1:12" ht="15.75" thickBot="1">
      <c r="A778" s="89"/>
      <c r="B778" s="89"/>
      <c r="C778" s="89"/>
      <c r="D778" s="89"/>
      <c r="E778" s="89"/>
      <c r="F778" s="89"/>
      <c r="G778" s="89"/>
      <c r="H778" s="89"/>
      <c r="I778" s="89"/>
      <c r="J778" s="90"/>
      <c r="K778" s="89"/>
      <c r="L778" s="102"/>
    </row>
    <row r="779" spans="1:12" ht="15.75" thickBot="1">
      <c r="A779" s="89"/>
      <c r="B779" s="89"/>
      <c r="C779" s="89"/>
      <c r="D779" s="89"/>
      <c r="E779" s="89"/>
      <c r="F779" s="89"/>
      <c r="G779" s="89"/>
      <c r="H779" s="89"/>
      <c r="I779" s="89"/>
      <c r="J779" s="90"/>
      <c r="K779" s="89"/>
      <c r="L779" s="102"/>
    </row>
    <row r="780" spans="1:12" ht="15.75" thickBot="1">
      <c r="A780" s="89"/>
      <c r="B780" s="89"/>
      <c r="C780" s="89"/>
      <c r="D780" s="89"/>
      <c r="E780" s="89"/>
      <c r="F780" s="89"/>
      <c r="G780" s="89"/>
      <c r="H780" s="89"/>
      <c r="I780" s="89"/>
      <c r="J780" s="90"/>
      <c r="K780" s="89"/>
      <c r="L780" s="102"/>
    </row>
    <row r="781" spans="1:12" ht="15.75" thickBot="1">
      <c r="A781" s="89"/>
      <c r="B781" s="89"/>
      <c r="C781" s="89"/>
      <c r="D781" s="89"/>
      <c r="E781" s="89"/>
      <c r="F781" s="89"/>
      <c r="G781" s="89"/>
      <c r="H781" s="89"/>
      <c r="I781" s="89"/>
      <c r="J781" s="90"/>
      <c r="K781" s="89"/>
      <c r="L781" s="102"/>
    </row>
    <row r="782" spans="1:12" ht="15.75" thickBot="1">
      <c r="A782" s="89"/>
      <c r="B782" s="89"/>
      <c r="C782" s="89"/>
      <c r="D782" s="89"/>
      <c r="E782" s="89"/>
      <c r="F782" s="89"/>
      <c r="G782" s="89"/>
      <c r="H782" s="89"/>
      <c r="I782" s="89"/>
      <c r="J782" s="90"/>
      <c r="K782" s="89"/>
      <c r="L782" s="102"/>
    </row>
    <row r="783" spans="1:12" ht="15.75" thickBot="1">
      <c r="A783" s="89"/>
      <c r="B783" s="89"/>
      <c r="C783" s="89"/>
      <c r="D783" s="89"/>
      <c r="E783" s="89"/>
      <c r="F783" s="89"/>
      <c r="G783" s="89"/>
      <c r="H783" s="89"/>
      <c r="I783" s="89"/>
      <c r="J783" s="90"/>
      <c r="K783" s="89"/>
      <c r="L783" s="102"/>
    </row>
    <row r="784" spans="1:12" ht="15.75" thickBot="1">
      <c r="A784" s="89"/>
      <c r="B784" s="89"/>
      <c r="C784" s="89"/>
      <c r="D784" s="89"/>
      <c r="E784" s="89"/>
      <c r="F784" s="89"/>
      <c r="G784" s="89"/>
      <c r="H784" s="89"/>
      <c r="I784" s="89"/>
      <c r="J784" s="90"/>
      <c r="K784" s="89"/>
      <c r="L784" s="102"/>
    </row>
    <row r="785" spans="1:12" ht="15.75" thickBot="1">
      <c r="A785" s="89"/>
      <c r="B785" s="89"/>
      <c r="C785" s="89"/>
      <c r="D785" s="89"/>
      <c r="E785" s="89"/>
      <c r="F785" s="89"/>
      <c r="G785" s="89"/>
      <c r="H785" s="89"/>
      <c r="I785" s="89"/>
      <c r="J785" s="90"/>
      <c r="K785" s="89"/>
      <c r="L785" s="102"/>
    </row>
    <row r="786" spans="1:12" ht="15.75" thickBot="1">
      <c r="A786" s="89"/>
      <c r="B786" s="89"/>
      <c r="C786" s="89"/>
      <c r="D786" s="89"/>
      <c r="E786" s="89"/>
      <c r="F786" s="89"/>
      <c r="G786" s="89"/>
      <c r="H786" s="89"/>
      <c r="I786" s="89"/>
      <c r="J786" s="90"/>
      <c r="K786" s="89"/>
      <c r="L786" s="102"/>
    </row>
    <row r="787" spans="1:12" ht="15.75" thickBot="1">
      <c r="A787" s="89"/>
      <c r="B787" s="89"/>
      <c r="C787" s="89"/>
      <c r="D787" s="89"/>
      <c r="E787" s="89"/>
      <c r="F787" s="89"/>
      <c r="G787" s="89"/>
      <c r="H787" s="89"/>
      <c r="I787" s="89"/>
      <c r="J787" s="90"/>
      <c r="K787" s="89"/>
      <c r="L787" s="102"/>
    </row>
    <row r="788" spans="1:12" ht="15.75" thickBot="1">
      <c r="A788" s="89"/>
      <c r="B788" s="89"/>
      <c r="C788" s="89"/>
      <c r="D788" s="89"/>
      <c r="E788" s="89"/>
      <c r="F788" s="89"/>
      <c r="G788" s="89"/>
      <c r="H788" s="89"/>
      <c r="I788" s="89"/>
      <c r="J788" s="90"/>
      <c r="K788" s="89"/>
      <c r="L788" s="102"/>
    </row>
    <row r="789" spans="1:12" ht="15.75" thickBot="1">
      <c r="A789" s="89"/>
      <c r="B789" s="89"/>
      <c r="C789" s="89"/>
      <c r="D789" s="89"/>
      <c r="E789" s="89"/>
      <c r="F789" s="89"/>
      <c r="G789" s="89"/>
      <c r="H789" s="89"/>
      <c r="I789" s="89"/>
      <c r="J789" s="90"/>
      <c r="K789" s="89"/>
      <c r="L789" s="102"/>
    </row>
    <row r="790" spans="1:12" ht="15.75" thickBot="1">
      <c r="A790" s="89"/>
      <c r="B790" s="89"/>
      <c r="C790" s="89"/>
      <c r="D790" s="89"/>
      <c r="E790" s="89"/>
      <c r="F790" s="89"/>
      <c r="G790" s="89"/>
      <c r="H790" s="89"/>
      <c r="I790" s="89"/>
      <c r="J790" s="90"/>
      <c r="K790" s="89"/>
      <c r="L790" s="102"/>
    </row>
    <row r="791" spans="1:12" ht="15.75" thickBot="1">
      <c r="A791" s="89"/>
      <c r="B791" s="89"/>
      <c r="C791" s="89"/>
      <c r="D791" s="89"/>
      <c r="E791" s="89"/>
      <c r="F791" s="89"/>
      <c r="G791" s="89"/>
      <c r="H791" s="89"/>
      <c r="I791" s="89"/>
      <c r="J791" s="90"/>
      <c r="K791" s="89"/>
      <c r="L791" s="102"/>
    </row>
    <row r="792" spans="1:12" ht="15.75" thickBot="1">
      <c r="A792" s="89"/>
      <c r="B792" s="89"/>
      <c r="C792" s="89"/>
      <c r="D792" s="89"/>
      <c r="E792" s="89"/>
      <c r="F792" s="89"/>
      <c r="G792" s="89"/>
      <c r="H792" s="89"/>
      <c r="I792" s="89"/>
      <c r="J792" s="90"/>
      <c r="K792" s="89"/>
      <c r="L792" s="102"/>
    </row>
    <row r="793" spans="1:12" ht="15.75" thickBot="1">
      <c r="A793" s="89"/>
      <c r="B793" s="89"/>
      <c r="C793" s="89"/>
      <c r="D793" s="89"/>
      <c r="E793" s="89"/>
      <c r="F793" s="89"/>
      <c r="G793" s="89"/>
      <c r="H793" s="89"/>
      <c r="I793" s="89"/>
      <c r="J793" s="90"/>
      <c r="K793" s="89"/>
      <c r="L793" s="102"/>
    </row>
    <row r="794" spans="1:12" ht="15.75" thickBot="1">
      <c r="A794" s="89"/>
      <c r="B794" s="89"/>
      <c r="C794" s="89"/>
      <c r="D794" s="89"/>
      <c r="E794" s="89"/>
      <c r="F794" s="89"/>
      <c r="G794" s="89"/>
      <c r="H794" s="89"/>
      <c r="I794" s="89"/>
      <c r="J794" s="90"/>
      <c r="K794" s="89"/>
      <c r="L794" s="102"/>
    </row>
    <row r="795" spans="1:12" ht="15.75" thickBot="1">
      <c r="A795" s="89"/>
      <c r="B795" s="89"/>
      <c r="C795" s="89"/>
      <c r="D795" s="89"/>
      <c r="E795" s="89"/>
      <c r="F795" s="89"/>
      <c r="G795" s="89"/>
      <c r="H795" s="89"/>
      <c r="I795" s="89"/>
      <c r="J795" s="90"/>
      <c r="K795" s="89"/>
      <c r="L795" s="102"/>
    </row>
    <row r="796" spans="1:12" ht="15.75" thickBot="1">
      <c r="A796" s="89"/>
      <c r="B796" s="89"/>
      <c r="C796" s="89"/>
      <c r="D796" s="89"/>
      <c r="E796" s="89"/>
      <c r="F796" s="89"/>
      <c r="G796" s="89"/>
      <c r="H796" s="89"/>
      <c r="I796" s="89"/>
      <c r="J796" s="90"/>
      <c r="K796" s="89"/>
      <c r="L796" s="102"/>
    </row>
    <row r="797" spans="1:12" ht="15.75" thickBot="1">
      <c r="A797" s="89"/>
      <c r="B797" s="89"/>
      <c r="C797" s="89"/>
      <c r="D797" s="89"/>
      <c r="E797" s="89"/>
      <c r="F797" s="89"/>
      <c r="G797" s="89"/>
      <c r="H797" s="89"/>
      <c r="I797" s="89"/>
      <c r="J797" s="90"/>
      <c r="K797" s="89"/>
      <c r="L797" s="102"/>
    </row>
    <row r="798" spans="1:12" ht="15.75" thickBot="1">
      <c r="A798" s="89"/>
      <c r="B798" s="89"/>
      <c r="C798" s="89"/>
      <c r="D798" s="89"/>
      <c r="E798" s="89"/>
      <c r="F798" s="89"/>
      <c r="G798" s="89"/>
      <c r="H798" s="89"/>
      <c r="I798" s="89"/>
      <c r="J798" s="90"/>
      <c r="K798" s="89"/>
      <c r="L798" s="102"/>
    </row>
    <row r="799" spans="1:12" ht="15.75" thickBot="1">
      <c r="A799" s="89"/>
      <c r="B799" s="89"/>
      <c r="C799" s="89"/>
      <c r="D799" s="89"/>
      <c r="E799" s="89"/>
      <c r="F799" s="89"/>
      <c r="G799" s="89"/>
      <c r="H799" s="89"/>
      <c r="I799" s="89"/>
      <c r="J799" s="90"/>
      <c r="K799" s="89"/>
      <c r="L799" s="102"/>
    </row>
    <row r="800" spans="1:12" ht="15.75" thickBot="1">
      <c r="A800" s="89"/>
      <c r="B800" s="89"/>
      <c r="C800" s="89"/>
      <c r="D800" s="89"/>
      <c r="E800" s="89"/>
      <c r="F800" s="89"/>
      <c r="G800" s="89"/>
      <c r="H800" s="89"/>
      <c r="I800" s="89"/>
      <c r="J800" s="90"/>
      <c r="K800" s="89"/>
      <c r="L800" s="102"/>
    </row>
    <row r="801" spans="1:12" ht="15.75" thickBot="1">
      <c r="A801" s="89"/>
      <c r="B801" s="89"/>
      <c r="C801" s="89"/>
      <c r="D801" s="89"/>
      <c r="E801" s="89"/>
      <c r="F801" s="89"/>
      <c r="G801" s="89"/>
      <c r="H801" s="89"/>
      <c r="I801" s="89"/>
      <c r="J801" s="90"/>
      <c r="K801" s="89"/>
      <c r="L801" s="102"/>
    </row>
    <row r="802" spans="1:12" ht="15.75" thickBot="1">
      <c r="A802" s="89"/>
      <c r="B802" s="89"/>
      <c r="C802" s="89"/>
      <c r="D802" s="89"/>
      <c r="E802" s="89"/>
      <c r="F802" s="89"/>
      <c r="G802" s="89"/>
      <c r="H802" s="89"/>
      <c r="I802" s="89"/>
      <c r="J802" s="90"/>
      <c r="K802" s="89"/>
      <c r="L802" s="102"/>
    </row>
    <row r="803" spans="1:12" ht="15.75" thickBot="1">
      <c r="A803" s="89"/>
      <c r="B803" s="89"/>
      <c r="C803" s="89"/>
      <c r="D803" s="89"/>
      <c r="E803" s="89"/>
      <c r="F803" s="89"/>
      <c r="G803" s="89"/>
      <c r="H803" s="89"/>
      <c r="I803" s="89"/>
      <c r="J803" s="90"/>
      <c r="K803" s="89"/>
      <c r="L803" s="102"/>
    </row>
    <row r="804" spans="1:12" ht="15.75" thickBot="1">
      <c r="A804" s="89"/>
      <c r="B804" s="89"/>
      <c r="C804" s="89"/>
      <c r="D804" s="89"/>
      <c r="E804" s="89"/>
      <c r="F804" s="89"/>
      <c r="G804" s="89"/>
      <c r="H804" s="89"/>
      <c r="I804" s="89"/>
      <c r="J804" s="90"/>
      <c r="K804" s="89"/>
      <c r="L804" s="102"/>
    </row>
    <row r="805" spans="1:12" ht="15.75" thickBot="1">
      <c r="A805" s="89"/>
      <c r="B805" s="89"/>
      <c r="C805" s="89"/>
      <c r="D805" s="89"/>
      <c r="E805" s="89"/>
      <c r="F805" s="89"/>
      <c r="G805" s="89"/>
      <c r="H805" s="89"/>
      <c r="I805" s="89"/>
      <c r="J805" s="90"/>
      <c r="K805" s="89"/>
      <c r="L805" s="102"/>
    </row>
    <row r="806" spans="1:12" ht="15.75" thickBot="1">
      <c r="A806" s="89"/>
      <c r="B806" s="89"/>
      <c r="C806" s="89"/>
      <c r="D806" s="89"/>
      <c r="E806" s="89"/>
      <c r="F806" s="89"/>
      <c r="G806" s="89"/>
      <c r="H806" s="89"/>
      <c r="I806" s="89"/>
      <c r="J806" s="90"/>
      <c r="K806" s="89"/>
      <c r="L806" s="102"/>
    </row>
    <row r="807" spans="1:12" ht="15.75" thickBot="1">
      <c r="A807" s="89"/>
      <c r="B807" s="89"/>
      <c r="C807" s="89"/>
      <c r="D807" s="89"/>
      <c r="E807" s="89"/>
      <c r="F807" s="89"/>
      <c r="G807" s="89"/>
      <c r="H807" s="89"/>
      <c r="I807" s="89"/>
      <c r="J807" s="90"/>
      <c r="K807" s="89"/>
      <c r="L807" s="102"/>
    </row>
    <row r="808" spans="1:12" ht="15.75" thickBot="1">
      <c r="A808" s="89"/>
      <c r="B808" s="89"/>
      <c r="C808" s="89"/>
      <c r="D808" s="89"/>
      <c r="E808" s="89"/>
      <c r="F808" s="89"/>
      <c r="G808" s="89"/>
      <c r="H808" s="89"/>
      <c r="I808" s="89"/>
      <c r="J808" s="90"/>
      <c r="K808" s="89"/>
      <c r="L808" s="102"/>
    </row>
    <row r="809" spans="1:12" ht="15.75" thickBot="1">
      <c r="A809" s="89"/>
      <c r="B809" s="89"/>
      <c r="C809" s="89"/>
      <c r="D809" s="89"/>
      <c r="E809" s="89"/>
      <c r="F809" s="89"/>
      <c r="G809" s="89"/>
      <c r="H809" s="89"/>
      <c r="I809" s="89"/>
      <c r="J809" s="90"/>
      <c r="K809" s="89"/>
      <c r="L809" s="102"/>
    </row>
    <row r="810" spans="1:12" ht="15.75" thickBot="1">
      <c r="A810" s="89"/>
      <c r="B810" s="89"/>
      <c r="C810" s="89"/>
      <c r="D810" s="89"/>
      <c r="E810" s="89"/>
      <c r="F810" s="89"/>
      <c r="G810" s="89"/>
      <c r="H810" s="89"/>
      <c r="I810" s="89"/>
      <c r="J810" s="90"/>
      <c r="K810" s="89"/>
      <c r="L810" s="102"/>
    </row>
    <row r="811" spans="1:12" ht="15.75" thickBot="1">
      <c r="A811" s="89"/>
      <c r="B811" s="89"/>
      <c r="C811" s="89"/>
      <c r="D811" s="89"/>
      <c r="E811" s="89"/>
      <c r="F811" s="89"/>
      <c r="G811" s="89"/>
      <c r="H811" s="89"/>
      <c r="I811" s="89"/>
      <c r="J811" s="90"/>
      <c r="K811" s="89"/>
      <c r="L811" s="102"/>
    </row>
    <row r="812" spans="1:12" ht="15.75" thickBot="1">
      <c r="A812" s="89"/>
      <c r="B812" s="89"/>
      <c r="C812" s="89"/>
      <c r="D812" s="89"/>
      <c r="E812" s="89"/>
      <c r="F812" s="89"/>
      <c r="G812" s="89"/>
      <c r="H812" s="89"/>
      <c r="I812" s="89"/>
      <c r="J812" s="90"/>
      <c r="K812" s="89"/>
      <c r="L812" s="102"/>
    </row>
    <row r="813" spans="1:12" ht="15.75" thickBot="1">
      <c r="A813" s="89"/>
      <c r="B813" s="89"/>
      <c r="C813" s="89"/>
      <c r="D813" s="89"/>
      <c r="E813" s="89"/>
      <c r="F813" s="89"/>
      <c r="G813" s="89"/>
      <c r="H813" s="89"/>
      <c r="I813" s="89"/>
      <c r="J813" s="90"/>
      <c r="K813" s="89"/>
      <c r="L813" s="102"/>
    </row>
    <row r="814" spans="1:12" ht="15.75" thickBot="1">
      <c r="A814" s="89"/>
      <c r="B814" s="89"/>
      <c r="C814" s="89"/>
      <c r="D814" s="89"/>
      <c r="E814" s="89"/>
      <c r="F814" s="89"/>
      <c r="G814" s="89"/>
      <c r="H814" s="89"/>
      <c r="I814" s="89"/>
      <c r="J814" s="90"/>
      <c r="K814" s="89"/>
      <c r="L814" s="102"/>
    </row>
    <row r="815" spans="1:12" ht="15.75" thickBot="1">
      <c r="A815" s="89"/>
      <c r="B815" s="89"/>
      <c r="C815" s="89"/>
      <c r="D815" s="89"/>
      <c r="E815" s="89"/>
      <c r="F815" s="89"/>
      <c r="G815" s="89"/>
      <c r="H815" s="89"/>
      <c r="I815" s="89"/>
      <c r="J815" s="90"/>
      <c r="K815" s="89"/>
      <c r="L815" s="102"/>
    </row>
    <row r="816" spans="1:12" ht="15.75" thickBot="1">
      <c r="A816" s="89"/>
      <c r="B816" s="89"/>
      <c r="C816" s="89"/>
      <c r="D816" s="89"/>
      <c r="E816" s="89"/>
      <c r="F816" s="89"/>
      <c r="G816" s="89"/>
      <c r="H816" s="89"/>
      <c r="I816" s="89"/>
      <c r="J816" s="90"/>
      <c r="K816" s="89"/>
      <c r="L816" s="102"/>
    </row>
    <row r="817" spans="1:12" ht="15.75" thickBot="1">
      <c r="A817" s="89"/>
      <c r="B817" s="89"/>
      <c r="C817" s="89"/>
      <c r="D817" s="89"/>
      <c r="E817" s="89"/>
      <c r="F817" s="89"/>
      <c r="G817" s="89"/>
      <c r="H817" s="89"/>
      <c r="I817" s="89"/>
      <c r="J817" s="90"/>
      <c r="K817" s="89"/>
      <c r="L817" s="102"/>
    </row>
    <row r="818" spans="1:12" ht="15.75" thickBot="1">
      <c r="A818" s="89"/>
      <c r="B818" s="89"/>
      <c r="C818" s="89"/>
      <c r="D818" s="89"/>
      <c r="E818" s="89"/>
      <c r="F818" s="89"/>
      <c r="G818" s="89"/>
      <c r="H818" s="89"/>
      <c r="I818" s="89"/>
      <c r="J818" s="90"/>
      <c r="K818" s="89"/>
      <c r="L818" s="102"/>
    </row>
    <row r="819" spans="1:12" ht="15.75" thickBot="1">
      <c r="A819" s="89"/>
      <c r="B819" s="89"/>
      <c r="C819" s="89"/>
      <c r="D819" s="89"/>
      <c r="E819" s="89"/>
      <c r="F819" s="89"/>
      <c r="G819" s="89"/>
      <c r="H819" s="89"/>
      <c r="I819" s="89"/>
      <c r="J819" s="90"/>
      <c r="K819" s="89"/>
      <c r="L819" s="102"/>
    </row>
    <row r="820" spans="1:12" ht="15.75" thickBot="1">
      <c r="A820" s="89"/>
      <c r="B820" s="89"/>
      <c r="C820" s="89"/>
      <c r="D820" s="89"/>
      <c r="E820" s="89"/>
      <c r="F820" s="89"/>
      <c r="G820" s="89"/>
      <c r="H820" s="89"/>
      <c r="I820" s="89"/>
      <c r="J820" s="90"/>
      <c r="K820" s="89"/>
      <c r="L820" s="102"/>
    </row>
    <row r="821" spans="1:12" ht="15.75" thickBot="1">
      <c r="A821" s="89"/>
      <c r="B821" s="89"/>
      <c r="C821" s="89"/>
      <c r="D821" s="89"/>
      <c r="E821" s="89"/>
      <c r="F821" s="89"/>
      <c r="G821" s="89"/>
      <c r="H821" s="89"/>
      <c r="I821" s="89"/>
      <c r="J821" s="90"/>
      <c r="K821" s="89"/>
      <c r="L821" s="102"/>
    </row>
    <row r="822" spans="1:12" ht="15.75" thickBot="1">
      <c r="A822" s="89"/>
      <c r="B822" s="89"/>
      <c r="C822" s="89"/>
      <c r="D822" s="89"/>
      <c r="E822" s="89"/>
      <c r="F822" s="89"/>
      <c r="G822" s="89"/>
      <c r="H822" s="89"/>
      <c r="I822" s="89"/>
      <c r="J822" s="90"/>
      <c r="K822" s="89"/>
      <c r="L822" s="102"/>
    </row>
    <row r="823" spans="1:12" ht="15.75" thickBot="1">
      <c r="A823" s="89"/>
      <c r="B823" s="89"/>
      <c r="C823" s="89"/>
      <c r="D823" s="89"/>
      <c r="E823" s="89"/>
      <c r="F823" s="89"/>
      <c r="G823" s="89"/>
      <c r="H823" s="89"/>
      <c r="I823" s="89"/>
      <c r="J823" s="90"/>
      <c r="K823" s="89"/>
      <c r="L823" s="102"/>
    </row>
    <row r="824" spans="1:12" ht="15.75" thickBot="1">
      <c r="A824" s="89"/>
      <c r="B824" s="89"/>
      <c r="C824" s="89"/>
      <c r="D824" s="89"/>
      <c r="E824" s="89"/>
      <c r="F824" s="89"/>
      <c r="G824" s="89"/>
      <c r="H824" s="89"/>
      <c r="I824" s="89"/>
      <c r="J824" s="90"/>
      <c r="K824" s="89"/>
      <c r="L824" s="102"/>
    </row>
    <row r="825" spans="1:12" ht="15.75" thickBot="1">
      <c r="A825" s="89"/>
      <c r="B825" s="89"/>
      <c r="C825" s="89"/>
      <c r="D825" s="89"/>
      <c r="E825" s="89"/>
      <c r="F825" s="89"/>
      <c r="G825" s="89"/>
      <c r="H825" s="89"/>
      <c r="I825" s="89"/>
      <c r="J825" s="90"/>
      <c r="K825" s="89"/>
      <c r="L825" s="102"/>
    </row>
    <row r="826" spans="1:12" ht="15.75" thickBot="1">
      <c r="A826" s="89"/>
      <c r="B826" s="89"/>
      <c r="C826" s="89"/>
      <c r="D826" s="89"/>
      <c r="E826" s="89"/>
      <c r="F826" s="89"/>
      <c r="G826" s="89"/>
      <c r="H826" s="89"/>
      <c r="I826" s="89"/>
      <c r="J826" s="90"/>
      <c r="K826" s="89"/>
      <c r="L826" s="102"/>
    </row>
    <row r="827" spans="1:12" ht="15.75" thickBot="1">
      <c r="A827" s="89"/>
      <c r="B827" s="89"/>
      <c r="C827" s="89"/>
      <c r="D827" s="89"/>
      <c r="E827" s="89"/>
      <c r="F827" s="89"/>
      <c r="G827" s="89"/>
      <c r="H827" s="89"/>
      <c r="I827" s="89"/>
      <c r="J827" s="90"/>
      <c r="K827" s="89"/>
      <c r="L827" s="102"/>
    </row>
    <row r="828" spans="1:12" ht="15.75" thickBot="1">
      <c r="A828" s="89"/>
      <c r="B828" s="89"/>
      <c r="C828" s="89"/>
      <c r="D828" s="89"/>
      <c r="E828" s="89"/>
      <c r="F828" s="89"/>
      <c r="G828" s="89"/>
      <c r="H828" s="89"/>
      <c r="I828" s="89"/>
      <c r="J828" s="90"/>
      <c r="K828" s="89"/>
      <c r="L828" s="102"/>
    </row>
    <row r="829" spans="1:12" ht="15.75" thickBot="1">
      <c r="A829" s="89"/>
      <c r="B829" s="89"/>
      <c r="C829" s="89"/>
      <c r="D829" s="89"/>
      <c r="E829" s="89"/>
      <c r="F829" s="89"/>
      <c r="G829" s="89"/>
      <c r="H829" s="89"/>
      <c r="I829" s="89"/>
      <c r="J829" s="90"/>
      <c r="K829" s="89"/>
      <c r="L829" s="102"/>
    </row>
    <row r="830" spans="1:12" ht="15.75" thickBot="1">
      <c r="A830" s="89"/>
      <c r="B830" s="89"/>
      <c r="C830" s="89"/>
      <c r="D830" s="89"/>
      <c r="E830" s="89"/>
      <c r="F830" s="89"/>
      <c r="G830" s="89"/>
      <c r="H830" s="89"/>
      <c r="I830" s="89"/>
      <c r="J830" s="90"/>
      <c r="K830" s="89"/>
      <c r="L830" s="102"/>
    </row>
    <row r="831" spans="1:12" ht="15.75" thickBot="1">
      <c r="A831" s="89"/>
      <c r="B831" s="89"/>
      <c r="C831" s="89"/>
      <c r="D831" s="89"/>
      <c r="E831" s="89"/>
      <c r="F831" s="89"/>
      <c r="G831" s="89"/>
      <c r="H831" s="89"/>
      <c r="I831" s="89"/>
      <c r="J831" s="90"/>
      <c r="K831" s="89"/>
      <c r="L831" s="102"/>
    </row>
    <row r="832" spans="1:12" ht="15.75" thickBot="1">
      <c r="A832" s="89"/>
      <c r="B832" s="89"/>
      <c r="C832" s="89"/>
      <c r="D832" s="89"/>
      <c r="E832" s="89"/>
      <c r="F832" s="89"/>
      <c r="G832" s="89"/>
      <c r="H832" s="89"/>
      <c r="I832" s="89"/>
      <c r="J832" s="90"/>
      <c r="K832" s="89"/>
      <c r="L832" s="102"/>
    </row>
    <row r="833" spans="1:12" ht="15.75" thickBot="1">
      <c r="A833" s="89"/>
      <c r="B833" s="89"/>
      <c r="C833" s="89"/>
      <c r="D833" s="89"/>
      <c r="E833" s="89"/>
      <c r="F833" s="89"/>
      <c r="G833" s="89"/>
      <c r="H833" s="89"/>
      <c r="I833" s="89"/>
      <c r="J833" s="90"/>
      <c r="K833" s="89"/>
      <c r="L833" s="102"/>
    </row>
    <row r="834" spans="1:12" ht="15.75" thickBot="1">
      <c r="A834" s="89"/>
      <c r="B834" s="89"/>
      <c r="C834" s="89"/>
      <c r="D834" s="89"/>
      <c r="E834" s="89"/>
      <c r="F834" s="89"/>
      <c r="G834" s="89"/>
      <c r="H834" s="89"/>
      <c r="I834" s="89"/>
      <c r="J834" s="90"/>
      <c r="K834" s="89"/>
      <c r="L834" s="102"/>
    </row>
    <row r="835" spans="1:12" ht="15.75" thickBot="1">
      <c r="A835" s="89"/>
      <c r="B835" s="89"/>
      <c r="C835" s="89"/>
      <c r="D835" s="89"/>
      <c r="E835" s="89"/>
      <c r="F835" s="89"/>
      <c r="G835" s="89"/>
      <c r="H835" s="89"/>
      <c r="I835" s="89"/>
      <c r="J835" s="90"/>
      <c r="K835" s="89"/>
      <c r="L835" s="102"/>
    </row>
    <row r="836" spans="1:12" ht="15.75" thickBot="1">
      <c r="A836" s="89"/>
      <c r="B836" s="89"/>
      <c r="C836" s="89"/>
      <c r="D836" s="89"/>
      <c r="E836" s="89"/>
      <c r="F836" s="89"/>
      <c r="G836" s="89"/>
      <c r="H836" s="89"/>
      <c r="I836" s="89"/>
      <c r="J836" s="90"/>
      <c r="K836" s="89"/>
      <c r="L836" s="102"/>
    </row>
    <row r="837" spans="1:12" ht="15.75" thickBot="1">
      <c r="A837" s="89"/>
      <c r="B837" s="89"/>
      <c r="C837" s="89"/>
      <c r="D837" s="89"/>
      <c r="E837" s="89"/>
      <c r="F837" s="89"/>
      <c r="G837" s="89"/>
      <c r="H837" s="89"/>
      <c r="I837" s="89"/>
      <c r="J837" s="90"/>
      <c r="K837" s="89"/>
      <c r="L837" s="102"/>
    </row>
    <row r="838" spans="1:12" ht="15.75" thickBot="1">
      <c r="A838" s="89"/>
      <c r="B838" s="89"/>
      <c r="C838" s="89"/>
      <c r="D838" s="89"/>
      <c r="E838" s="89"/>
      <c r="F838" s="89"/>
      <c r="G838" s="89"/>
      <c r="H838" s="89"/>
      <c r="I838" s="89"/>
      <c r="J838" s="90"/>
      <c r="K838" s="89"/>
      <c r="L838" s="102"/>
    </row>
    <row r="839" spans="1:12" ht="15.75" thickBot="1">
      <c r="A839" s="89"/>
      <c r="B839" s="89"/>
      <c r="C839" s="89"/>
      <c r="D839" s="89"/>
      <c r="E839" s="89"/>
      <c r="F839" s="89"/>
      <c r="G839" s="89"/>
      <c r="H839" s="89"/>
      <c r="I839" s="89"/>
      <c r="J839" s="90"/>
      <c r="K839" s="89"/>
      <c r="L839" s="102"/>
    </row>
    <row r="840" spans="1:12" ht="15.75" thickBot="1">
      <c r="A840" s="89"/>
      <c r="B840" s="89"/>
      <c r="C840" s="89"/>
      <c r="D840" s="89"/>
      <c r="E840" s="89"/>
      <c r="F840" s="89"/>
      <c r="G840" s="89"/>
      <c r="H840" s="89"/>
      <c r="I840" s="89"/>
      <c r="J840" s="90"/>
      <c r="K840" s="89"/>
      <c r="L840" s="102"/>
    </row>
    <row r="841" spans="1:12" ht="15.75" thickBot="1">
      <c r="A841" s="89"/>
      <c r="B841" s="89"/>
      <c r="C841" s="89"/>
      <c r="D841" s="89"/>
      <c r="E841" s="89"/>
      <c r="F841" s="89"/>
      <c r="G841" s="89"/>
      <c r="H841" s="89"/>
      <c r="I841" s="89"/>
      <c r="J841" s="90"/>
      <c r="K841" s="89"/>
      <c r="L841" s="102"/>
    </row>
    <row r="842" spans="1:12" ht="15.75" thickBot="1">
      <c r="A842" s="89"/>
      <c r="B842" s="89"/>
      <c r="C842" s="89"/>
      <c r="D842" s="89"/>
      <c r="E842" s="89"/>
      <c r="F842" s="89"/>
      <c r="G842" s="89"/>
      <c r="H842" s="89"/>
      <c r="I842" s="89"/>
      <c r="J842" s="90"/>
      <c r="K842" s="89"/>
      <c r="L842" s="102"/>
    </row>
    <row r="843" spans="1:12" ht="15.75" thickBot="1">
      <c r="A843" s="89"/>
      <c r="B843" s="89"/>
      <c r="C843" s="89"/>
      <c r="D843" s="89"/>
      <c r="E843" s="89"/>
      <c r="F843" s="89"/>
      <c r="G843" s="89"/>
      <c r="H843" s="89"/>
      <c r="I843" s="89"/>
      <c r="J843" s="90"/>
      <c r="K843" s="89"/>
      <c r="L843" s="102"/>
    </row>
    <row r="844" spans="1:12" ht="15.75" thickBot="1">
      <c r="A844" s="89"/>
      <c r="B844" s="89"/>
      <c r="C844" s="89"/>
      <c r="D844" s="89"/>
      <c r="E844" s="89"/>
      <c r="F844" s="89"/>
      <c r="G844" s="89"/>
      <c r="H844" s="89"/>
      <c r="I844" s="89"/>
      <c r="J844" s="90"/>
      <c r="K844" s="89"/>
      <c r="L844" s="102"/>
    </row>
    <row r="845" spans="1:12" ht="15.75" thickBot="1">
      <c r="A845" s="89"/>
      <c r="B845" s="89"/>
      <c r="C845" s="89"/>
      <c r="D845" s="89"/>
      <c r="E845" s="89"/>
      <c r="F845" s="89"/>
      <c r="G845" s="89"/>
      <c r="H845" s="89"/>
      <c r="I845" s="89"/>
      <c r="J845" s="90"/>
      <c r="K845" s="89"/>
      <c r="L845" s="102"/>
    </row>
    <row r="846" spans="1:12" ht="15.75" thickBot="1">
      <c r="A846" s="89"/>
      <c r="B846" s="89"/>
      <c r="C846" s="89"/>
      <c r="D846" s="89"/>
      <c r="E846" s="89"/>
      <c r="F846" s="89"/>
      <c r="G846" s="89"/>
      <c r="H846" s="89"/>
      <c r="I846" s="89"/>
      <c r="J846" s="90"/>
      <c r="K846" s="89"/>
      <c r="L846" s="102"/>
    </row>
    <row r="847" spans="1:12" ht="15.75" thickBot="1">
      <c r="A847" s="89"/>
      <c r="B847" s="89"/>
      <c r="C847" s="89"/>
      <c r="D847" s="89"/>
      <c r="E847" s="89"/>
      <c r="F847" s="89"/>
      <c r="G847" s="89"/>
      <c r="H847" s="89"/>
      <c r="I847" s="89"/>
      <c r="J847" s="90"/>
      <c r="K847" s="89"/>
      <c r="L847" s="102"/>
    </row>
    <row r="848" spans="1:12" ht="15.75" thickBot="1">
      <c r="A848" s="89"/>
      <c r="B848" s="89"/>
      <c r="C848" s="89"/>
      <c r="D848" s="89"/>
      <c r="E848" s="89"/>
      <c r="F848" s="89"/>
      <c r="G848" s="89"/>
      <c r="H848" s="89"/>
      <c r="I848" s="89"/>
      <c r="J848" s="90"/>
      <c r="K848" s="89"/>
      <c r="L848" s="102"/>
    </row>
    <row r="849" spans="1:12" ht="15.75" thickBot="1">
      <c r="A849" s="89"/>
      <c r="B849" s="89"/>
      <c r="C849" s="89"/>
      <c r="D849" s="89"/>
      <c r="E849" s="89"/>
      <c r="F849" s="89"/>
      <c r="G849" s="89"/>
      <c r="H849" s="89"/>
      <c r="I849" s="89"/>
      <c r="J849" s="90"/>
      <c r="K849" s="89"/>
      <c r="L849" s="102"/>
    </row>
    <row r="850" spans="1:12" ht="15.75" thickBot="1">
      <c r="A850" s="89"/>
      <c r="B850" s="89"/>
      <c r="C850" s="89"/>
      <c r="D850" s="89"/>
      <c r="E850" s="89"/>
      <c r="F850" s="89"/>
      <c r="G850" s="89"/>
      <c r="H850" s="89"/>
      <c r="I850" s="89"/>
      <c r="J850" s="90"/>
      <c r="K850" s="89"/>
      <c r="L850" s="102"/>
    </row>
    <row r="851" spans="1:12" ht="15.75" thickBot="1">
      <c r="A851" s="89"/>
      <c r="B851" s="89"/>
      <c r="C851" s="89"/>
      <c r="D851" s="89"/>
      <c r="E851" s="89"/>
      <c r="F851" s="89"/>
      <c r="G851" s="89"/>
      <c r="H851" s="89"/>
      <c r="I851" s="89"/>
      <c r="J851" s="90"/>
      <c r="K851" s="89"/>
      <c r="L851" s="102"/>
    </row>
    <row r="852" spans="1:12" ht="15.75" thickBot="1">
      <c r="A852" s="89"/>
      <c r="B852" s="89"/>
      <c r="C852" s="89"/>
      <c r="D852" s="89"/>
      <c r="E852" s="89"/>
      <c r="F852" s="89"/>
      <c r="G852" s="89"/>
      <c r="H852" s="89"/>
      <c r="I852" s="89"/>
      <c r="J852" s="90"/>
      <c r="K852" s="89"/>
      <c r="L852" s="102"/>
    </row>
    <row r="853" spans="1:12" ht="15.75" thickBot="1">
      <c r="A853" s="89"/>
      <c r="B853" s="89"/>
      <c r="C853" s="89"/>
      <c r="D853" s="89"/>
      <c r="E853" s="89"/>
      <c r="F853" s="89"/>
      <c r="G853" s="89"/>
      <c r="H853" s="89"/>
      <c r="I853" s="89"/>
      <c r="J853" s="90"/>
      <c r="K853" s="89"/>
      <c r="L853" s="102"/>
    </row>
    <row r="854" spans="1:12" ht="15.75" thickBot="1">
      <c r="A854" s="89"/>
      <c r="B854" s="89"/>
      <c r="C854" s="89"/>
      <c r="D854" s="89"/>
      <c r="E854" s="89"/>
      <c r="F854" s="89"/>
      <c r="G854" s="89"/>
      <c r="H854" s="89"/>
      <c r="I854" s="89"/>
      <c r="J854" s="90"/>
      <c r="K854" s="89"/>
      <c r="L854" s="102"/>
    </row>
    <row r="855" spans="1:12" ht="15.75" thickBot="1">
      <c r="A855" s="89"/>
      <c r="B855" s="89"/>
      <c r="C855" s="89"/>
      <c r="D855" s="89"/>
      <c r="E855" s="89"/>
      <c r="F855" s="89"/>
      <c r="G855" s="89"/>
      <c r="H855" s="89"/>
      <c r="I855" s="89"/>
      <c r="J855" s="90"/>
      <c r="K855" s="89"/>
      <c r="L855" s="102"/>
    </row>
    <row r="856" spans="1:12" ht="15.75" thickBot="1">
      <c r="A856" s="89"/>
      <c r="B856" s="89"/>
      <c r="C856" s="89"/>
      <c r="D856" s="89"/>
      <c r="E856" s="89"/>
      <c r="F856" s="89"/>
      <c r="G856" s="89"/>
      <c r="H856" s="89"/>
      <c r="I856" s="89"/>
      <c r="J856" s="90"/>
      <c r="K856" s="89"/>
      <c r="L856" s="102"/>
    </row>
    <row r="857" spans="1:12" ht="15.75" thickBot="1">
      <c r="A857" s="89"/>
      <c r="B857" s="89"/>
      <c r="C857" s="89"/>
      <c r="D857" s="89"/>
      <c r="E857" s="89"/>
      <c r="F857" s="89"/>
      <c r="G857" s="89"/>
      <c r="H857" s="89"/>
      <c r="I857" s="89"/>
      <c r="J857" s="90"/>
      <c r="K857" s="89"/>
      <c r="L857" s="102"/>
    </row>
    <row r="858" spans="1:12" ht="15.75" thickBot="1">
      <c r="A858" s="89"/>
      <c r="B858" s="89"/>
      <c r="C858" s="89"/>
      <c r="D858" s="89"/>
      <c r="E858" s="89"/>
      <c r="F858" s="89"/>
      <c r="G858" s="89"/>
      <c r="H858" s="89"/>
      <c r="I858" s="89"/>
      <c r="J858" s="90"/>
      <c r="K858" s="89"/>
      <c r="L858" s="102"/>
    </row>
    <row r="859" spans="1:12" ht="15.75" thickBot="1">
      <c r="A859" s="89"/>
      <c r="B859" s="89"/>
      <c r="C859" s="89"/>
      <c r="D859" s="89"/>
      <c r="E859" s="89"/>
      <c r="F859" s="89"/>
      <c r="G859" s="89"/>
      <c r="H859" s="89"/>
      <c r="I859" s="89"/>
      <c r="J859" s="90"/>
      <c r="K859" s="89"/>
      <c r="L859" s="102"/>
    </row>
    <row r="860" spans="1:12" ht="15.75" thickBot="1">
      <c r="A860" s="89"/>
      <c r="B860" s="89"/>
      <c r="C860" s="89"/>
      <c r="D860" s="89"/>
      <c r="E860" s="89"/>
      <c r="F860" s="89"/>
      <c r="G860" s="89"/>
      <c r="H860" s="89"/>
      <c r="I860" s="89"/>
      <c r="J860" s="90"/>
      <c r="K860" s="89"/>
      <c r="L860" s="102"/>
    </row>
    <row r="861" spans="1:12" ht="15.75" thickBot="1">
      <c r="A861" s="89"/>
      <c r="B861" s="89"/>
      <c r="C861" s="89"/>
      <c r="D861" s="89"/>
      <c r="E861" s="89"/>
      <c r="F861" s="89"/>
      <c r="G861" s="89"/>
      <c r="H861" s="89"/>
      <c r="I861" s="89"/>
      <c r="J861" s="90"/>
      <c r="K861" s="89"/>
      <c r="L861" s="102"/>
    </row>
    <row r="862" spans="1:12" ht="15.75" thickBot="1">
      <c r="A862" s="89"/>
      <c r="B862" s="89"/>
      <c r="C862" s="89"/>
      <c r="D862" s="89"/>
      <c r="E862" s="89"/>
      <c r="F862" s="89"/>
      <c r="G862" s="89"/>
      <c r="H862" s="89"/>
      <c r="I862" s="89"/>
      <c r="J862" s="90"/>
      <c r="K862" s="89"/>
      <c r="L862" s="102"/>
    </row>
    <row r="863" spans="1:12" ht="15.75" thickBot="1">
      <c r="A863" s="89"/>
      <c r="B863" s="89"/>
      <c r="C863" s="89"/>
      <c r="D863" s="89"/>
      <c r="E863" s="89"/>
      <c r="F863" s="89"/>
      <c r="G863" s="89"/>
      <c r="H863" s="89"/>
      <c r="I863" s="89"/>
      <c r="J863" s="90"/>
      <c r="K863" s="89"/>
      <c r="L863" s="102"/>
    </row>
    <row r="864" spans="1:12" ht="15.75" thickBot="1">
      <c r="A864" s="89"/>
      <c r="B864" s="89"/>
      <c r="C864" s="89"/>
      <c r="D864" s="89"/>
      <c r="E864" s="89"/>
      <c r="F864" s="89"/>
      <c r="G864" s="89"/>
      <c r="H864" s="89"/>
      <c r="I864" s="89"/>
      <c r="J864" s="90"/>
      <c r="K864" s="89"/>
      <c r="L864" s="102"/>
    </row>
    <row r="865" spans="1:12" ht="15.75" thickBot="1">
      <c r="A865" s="89"/>
      <c r="B865" s="89"/>
      <c r="C865" s="89"/>
      <c r="D865" s="89"/>
      <c r="E865" s="89"/>
      <c r="F865" s="89"/>
      <c r="G865" s="89"/>
      <c r="H865" s="89"/>
      <c r="I865" s="89"/>
      <c r="J865" s="90"/>
      <c r="K865" s="89"/>
      <c r="L865" s="102"/>
    </row>
    <row r="866" spans="1:12" ht="15.75" thickBot="1">
      <c r="A866" s="89"/>
      <c r="B866" s="89"/>
      <c r="C866" s="89"/>
      <c r="D866" s="89"/>
      <c r="E866" s="89"/>
      <c r="F866" s="89"/>
      <c r="G866" s="89"/>
      <c r="H866" s="89"/>
      <c r="I866" s="89"/>
      <c r="J866" s="90"/>
      <c r="K866" s="89"/>
      <c r="L866" s="102"/>
    </row>
    <row r="867" spans="1:12" ht="15.75" thickBot="1">
      <c r="A867" s="89"/>
      <c r="B867" s="89"/>
      <c r="C867" s="89"/>
      <c r="D867" s="89"/>
      <c r="E867" s="89"/>
      <c r="F867" s="89"/>
      <c r="G867" s="89"/>
      <c r="H867" s="89"/>
      <c r="I867" s="89"/>
      <c r="J867" s="90"/>
      <c r="K867" s="89"/>
      <c r="L867" s="102"/>
    </row>
    <row r="868" spans="1:12" ht="15.75" thickBot="1">
      <c r="A868" s="89"/>
      <c r="B868" s="89"/>
      <c r="C868" s="89"/>
      <c r="D868" s="89"/>
      <c r="E868" s="89"/>
      <c r="F868" s="89"/>
      <c r="G868" s="89"/>
      <c r="H868" s="89"/>
      <c r="I868" s="89"/>
      <c r="J868" s="90"/>
      <c r="K868" s="89"/>
      <c r="L868" s="102"/>
    </row>
    <row r="869" spans="1:12" ht="15.75" thickBot="1">
      <c r="A869" s="89"/>
      <c r="B869" s="89"/>
      <c r="C869" s="89"/>
      <c r="D869" s="89"/>
      <c r="E869" s="89"/>
      <c r="F869" s="89"/>
      <c r="G869" s="89"/>
      <c r="H869" s="89"/>
      <c r="I869" s="89"/>
      <c r="J869" s="90"/>
      <c r="K869" s="89"/>
      <c r="L869" s="102"/>
    </row>
    <row r="870" spans="1:12" ht="15.75" thickBot="1">
      <c r="A870" s="89"/>
      <c r="B870" s="89"/>
      <c r="C870" s="89"/>
      <c r="D870" s="89"/>
      <c r="E870" s="89"/>
      <c r="F870" s="89"/>
      <c r="G870" s="89"/>
      <c r="H870" s="89"/>
      <c r="I870" s="89"/>
      <c r="J870" s="90"/>
      <c r="K870" s="89"/>
      <c r="L870" s="102"/>
    </row>
    <row r="871" spans="1:12" ht="15.75" thickBot="1">
      <c r="A871" s="89"/>
      <c r="B871" s="89"/>
      <c r="C871" s="89"/>
      <c r="D871" s="89"/>
      <c r="E871" s="89"/>
      <c r="F871" s="89"/>
      <c r="G871" s="89"/>
      <c r="H871" s="89"/>
      <c r="I871" s="89"/>
      <c r="J871" s="90"/>
      <c r="K871" s="89"/>
      <c r="L871" s="102"/>
    </row>
    <row r="872" spans="1:12" ht="15.75" thickBot="1">
      <c r="A872" s="89"/>
      <c r="B872" s="89"/>
      <c r="C872" s="89"/>
      <c r="D872" s="89"/>
      <c r="E872" s="89"/>
      <c r="F872" s="89"/>
      <c r="G872" s="89"/>
      <c r="H872" s="89"/>
      <c r="I872" s="89"/>
      <c r="J872" s="90"/>
      <c r="K872" s="89"/>
      <c r="L872" s="102"/>
    </row>
    <row r="873" spans="1:12" ht="15.75" thickBot="1">
      <c r="A873" s="89"/>
      <c r="B873" s="89"/>
      <c r="C873" s="89"/>
      <c r="D873" s="89"/>
      <c r="E873" s="89"/>
      <c r="F873" s="89"/>
      <c r="G873" s="89"/>
      <c r="H873" s="89"/>
      <c r="I873" s="89"/>
      <c r="J873" s="90"/>
      <c r="K873" s="89"/>
      <c r="L873" s="102"/>
    </row>
    <row r="874" spans="1:12" ht="15.75" thickBot="1">
      <c r="A874" s="89"/>
      <c r="B874" s="89"/>
      <c r="C874" s="89"/>
      <c r="D874" s="89"/>
      <c r="E874" s="89"/>
      <c r="F874" s="89"/>
      <c r="G874" s="89"/>
      <c r="H874" s="89"/>
      <c r="I874" s="89"/>
      <c r="J874" s="90"/>
      <c r="K874" s="89"/>
      <c r="L874" s="102"/>
    </row>
    <row r="875" spans="1:12" ht="15.75" thickBot="1">
      <c r="A875" s="89"/>
      <c r="B875" s="89"/>
      <c r="C875" s="89"/>
      <c r="D875" s="89"/>
      <c r="E875" s="89"/>
      <c r="F875" s="89"/>
      <c r="G875" s="89"/>
      <c r="H875" s="89"/>
      <c r="I875" s="89"/>
      <c r="J875" s="90"/>
      <c r="K875" s="89"/>
      <c r="L875" s="102"/>
    </row>
    <row r="876" spans="1:12" ht="15.75" thickBot="1">
      <c r="A876" s="89"/>
      <c r="B876" s="89"/>
      <c r="C876" s="89"/>
      <c r="D876" s="89"/>
      <c r="E876" s="89"/>
      <c r="F876" s="89"/>
      <c r="G876" s="89"/>
      <c r="H876" s="89"/>
      <c r="I876" s="89"/>
      <c r="J876" s="90"/>
      <c r="K876" s="89"/>
      <c r="L876" s="102"/>
    </row>
    <row r="877" spans="1:12" ht="15.75" thickBot="1">
      <c r="A877" s="89"/>
      <c r="B877" s="89"/>
      <c r="C877" s="89"/>
      <c r="D877" s="89"/>
      <c r="E877" s="89"/>
      <c r="F877" s="89"/>
      <c r="G877" s="89"/>
      <c r="H877" s="89"/>
      <c r="I877" s="89"/>
      <c r="J877" s="90"/>
      <c r="K877" s="89"/>
      <c r="L877" s="102"/>
    </row>
    <row r="878" spans="1:12" ht="15.75" thickBot="1">
      <c r="A878" s="89"/>
      <c r="B878" s="89"/>
      <c r="C878" s="89"/>
      <c r="D878" s="89"/>
      <c r="E878" s="89"/>
      <c r="F878" s="89"/>
      <c r="G878" s="89"/>
      <c r="H878" s="89"/>
      <c r="I878" s="89"/>
      <c r="J878" s="90"/>
      <c r="K878" s="89"/>
      <c r="L878" s="102"/>
    </row>
    <row r="879" spans="1:12" ht="15.75" thickBot="1">
      <c r="A879" s="89"/>
      <c r="B879" s="89"/>
      <c r="C879" s="89"/>
      <c r="D879" s="89"/>
      <c r="E879" s="89"/>
      <c r="F879" s="89"/>
      <c r="G879" s="89"/>
      <c r="H879" s="89"/>
      <c r="I879" s="89"/>
      <c r="J879" s="90"/>
      <c r="K879" s="89"/>
      <c r="L879" s="102"/>
    </row>
    <row r="880" spans="1:12" ht="15.75" thickBot="1">
      <c r="A880" s="89"/>
      <c r="B880" s="89"/>
      <c r="C880" s="89"/>
      <c r="D880" s="89"/>
      <c r="E880" s="89"/>
      <c r="F880" s="89"/>
      <c r="G880" s="89"/>
      <c r="H880" s="89"/>
      <c r="I880" s="89"/>
      <c r="J880" s="90"/>
      <c r="K880" s="89"/>
      <c r="L880" s="102"/>
    </row>
    <row r="881" spans="1:12" ht="15.75" thickBot="1">
      <c r="A881" s="89"/>
      <c r="B881" s="89"/>
      <c r="C881" s="89"/>
      <c r="D881" s="89"/>
      <c r="E881" s="89"/>
      <c r="F881" s="89"/>
      <c r="G881" s="89"/>
      <c r="H881" s="89"/>
      <c r="I881" s="89"/>
      <c r="J881" s="90"/>
      <c r="K881" s="89"/>
      <c r="L881" s="102"/>
    </row>
    <row r="882" spans="1:12" ht="15.75" thickBot="1">
      <c r="A882" s="89"/>
      <c r="B882" s="89"/>
      <c r="C882" s="89"/>
      <c r="D882" s="89"/>
      <c r="E882" s="89"/>
      <c r="F882" s="89"/>
      <c r="G882" s="89"/>
      <c r="H882" s="89"/>
      <c r="I882" s="89"/>
      <c r="J882" s="90"/>
      <c r="K882" s="89"/>
      <c r="L882" s="102"/>
    </row>
    <row r="883" spans="1:12" ht="15.75" thickBot="1">
      <c r="A883" s="89"/>
      <c r="B883" s="89"/>
      <c r="C883" s="89"/>
      <c r="D883" s="89"/>
      <c r="E883" s="89"/>
      <c r="F883" s="89"/>
      <c r="G883" s="89"/>
      <c r="H883" s="89"/>
      <c r="I883" s="89"/>
      <c r="J883" s="90"/>
      <c r="K883" s="89"/>
      <c r="L883" s="102"/>
    </row>
    <row r="884" spans="1:12" ht="15.75" thickBot="1">
      <c r="A884" s="89"/>
      <c r="B884" s="89"/>
      <c r="C884" s="89"/>
      <c r="D884" s="89"/>
      <c r="E884" s="89"/>
      <c r="F884" s="89"/>
      <c r="G884" s="89"/>
      <c r="H884" s="89"/>
      <c r="I884" s="89"/>
      <c r="J884" s="90"/>
      <c r="K884" s="89"/>
      <c r="L884" s="102"/>
    </row>
    <row r="885" spans="1:12" ht="15.75" thickBot="1">
      <c r="A885" s="89"/>
      <c r="B885" s="89"/>
      <c r="C885" s="89"/>
      <c r="D885" s="89"/>
      <c r="E885" s="89"/>
      <c r="F885" s="89"/>
      <c r="G885" s="89"/>
      <c r="H885" s="89"/>
      <c r="I885" s="89"/>
      <c r="J885" s="90"/>
      <c r="K885" s="89"/>
      <c r="L885" s="102"/>
    </row>
    <row r="886" spans="1:12" ht="15.75" thickBot="1">
      <c r="A886" s="89"/>
      <c r="B886" s="89"/>
      <c r="C886" s="89"/>
      <c r="D886" s="89"/>
      <c r="E886" s="89"/>
      <c r="F886" s="89"/>
      <c r="G886" s="89"/>
      <c r="H886" s="89"/>
      <c r="I886" s="89"/>
      <c r="J886" s="90"/>
      <c r="K886" s="89"/>
      <c r="L886" s="102"/>
    </row>
    <row r="887" spans="1:12" ht="15.75" thickBot="1">
      <c r="A887" s="89"/>
      <c r="B887" s="89"/>
      <c r="C887" s="89"/>
      <c r="D887" s="89"/>
      <c r="E887" s="89"/>
      <c r="F887" s="89"/>
      <c r="G887" s="89"/>
      <c r="H887" s="89"/>
      <c r="I887" s="89"/>
      <c r="J887" s="90"/>
      <c r="K887" s="89"/>
      <c r="L887" s="102"/>
    </row>
    <row r="888" spans="1:12" ht="15.75" thickBot="1">
      <c r="A888" s="89"/>
      <c r="B888" s="89"/>
      <c r="C888" s="89"/>
      <c r="D888" s="89"/>
      <c r="E888" s="89"/>
      <c r="F888" s="89"/>
      <c r="G888" s="89"/>
      <c r="H888" s="89"/>
      <c r="I888" s="89"/>
      <c r="J888" s="90"/>
      <c r="K888" s="89"/>
      <c r="L888" s="102"/>
    </row>
    <row r="889" spans="1:12" ht="15.75" thickBot="1">
      <c r="A889" s="89"/>
      <c r="B889" s="89"/>
      <c r="C889" s="89"/>
      <c r="D889" s="89"/>
      <c r="E889" s="89"/>
      <c r="F889" s="89"/>
      <c r="G889" s="89"/>
      <c r="H889" s="89"/>
      <c r="I889" s="89"/>
      <c r="J889" s="90"/>
      <c r="K889" s="89"/>
      <c r="L889" s="102"/>
    </row>
    <row r="890" spans="1:12" ht="15.75" thickBot="1">
      <c r="A890" s="89"/>
      <c r="B890" s="89"/>
      <c r="C890" s="89"/>
      <c r="D890" s="89"/>
      <c r="E890" s="89"/>
      <c r="F890" s="89"/>
      <c r="G890" s="89"/>
      <c r="H890" s="89"/>
      <c r="I890" s="89"/>
      <c r="J890" s="90"/>
      <c r="K890" s="89"/>
      <c r="L890" s="102"/>
    </row>
    <row r="891" spans="1:12" ht="15.75" thickBot="1">
      <c r="A891" s="89"/>
      <c r="B891" s="89"/>
      <c r="C891" s="89"/>
      <c r="D891" s="89"/>
      <c r="E891" s="89"/>
      <c r="F891" s="89"/>
      <c r="G891" s="89"/>
      <c r="H891" s="89"/>
      <c r="I891" s="89"/>
      <c r="J891" s="90"/>
      <c r="K891" s="89"/>
      <c r="L891" s="102"/>
    </row>
    <row r="892" spans="1:12" ht="15.75" thickBot="1">
      <c r="A892" s="89"/>
      <c r="B892" s="89"/>
      <c r="C892" s="89"/>
      <c r="D892" s="89"/>
      <c r="E892" s="89"/>
      <c r="F892" s="89"/>
      <c r="G892" s="89"/>
      <c r="H892" s="89"/>
      <c r="I892" s="89"/>
      <c r="J892" s="90"/>
      <c r="K892" s="89"/>
      <c r="L892" s="102"/>
    </row>
    <row r="893" spans="1:12" ht="15.75" thickBot="1">
      <c r="A893" s="89"/>
      <c r="B893" s="89"/>
      <c r="C893" s="89"/>
      <c r="D893" s="89"/>
      <c r="E893" s="89"/>
      <c r="F893" s="89"/>
      <c r="G893" s="89"/>
      <c r="H893" s="89"/>
      <c r="I893" s="89"/>
      <c r="J893" s="90"/>
      <c r="K893" s="89"/>
      <c r="L893" s="102"/>
    </row>
    <row r="894" spans="1:12" ht="15.75" thickBot="1">
      <c r="A894" s="89"/>
      <c r="B894" s="89"/>
      <c r="C894" s="89"/>
      <c r="D894" s="89"/>
      <c r="E894" s="89"/>
      <c r="F894" s="89"/>
      <c r="G894" s="89"/>
      <c r="H894" s="89"/>
      <c r="I894" s="89"/>
      <c r="J894" s="90"/>
      <c r="K894" s="89"/>
      <c r="L894" s="102"/>
    </row>
    <row r="895" spans="1:12" ht="15.75" thickBot="1">
      <c r="A895" s="89"/>
      <c r="B895" s="89"/>
      <c r="C895" s="89"/>
      <c r="D895" s="89"/>
      <c r="E895" s="89"/>
      <c r="F895" s="89"/>
      <c r="G895" s="89"/>
      <c r="H895" s="89"/>
      <c r="I895" s="89"/>
      <c r="J895" s="90"/>
      <c r="K895" s="89"/>
      <c r="L895" s="102"/>
    </row>
    <row r="896" spans="1:12" ht="15.75" thickBot="1">
      <c r="A896" s="89"/>
      <c r="B896" s="89"/>
      <c r="C896" s="89"/>
      <c r="D896" s="89"/>
      <c r="E896" s="89"/>
      <c r="F896" s="89"/>
      <c r="G896" s="89"/>
      <c r="H896" s="89"/>
      <c r="I896" s="89"/>
      <c r="J896" s="90"/>
      <c r="K896" s="89"/>
      <c r="L896" s="102"/>
    </row>
    <row r="897" spans="1:12" ht="15.75" thickBot="1">
      <c r="A897" s="89"/>
      <c r="B897" s="89"/>
      <c r="C897" s="89"/>
      <c r="D897" s="89"/>
      <c r="E897" s="89"/>
      <c r="F897" s="89"/>
      <c r="G897" s="89"/>
      <c r="H897" s="89"/>
      <c r="I897" s="89"/>
      <c r="J897" s="90"/>
      <c r="K897" s="89"/>
      <c r="L897" s="102"/>
    </row>
    <row r="898" spans="1:12" ht="15.75" thickBot="1">
      <c r="A898" s="89"/>
      <c r="B898" s="89"/>
      <c r="C898" s="89"/>
      <c r="D898" s="89"/>
      <c r="E898" s="89"/>
      <c r="F898" s="89"/>
      <c r="G898" s="89"/>
      <c r="H898" s="89"/>
      <c r="I898" s="89"/>
      <c r="J898" s="90"/>
      <c r="K898" s="89"/>
      <c r="L898" s="102"/>
    </row>
    <row r="899" spans="1:12" ht="15.75" thickBot="1">
      <c r="A899" s="89"/>
      <c r="B899" s="89"/>
      <c r="C899" s="89"/>
      <c r="D899" s="89"/>
      <c r="E899" s="89"/>
      <c r="F899" s="89"/>
      <c r="G899" s="89"/>
      <c r="H899" s="89"/>
      <c r="I899" s="89"/>
      <c r="J899" s="90"/>
      <c r="K899" s="89"/>
      <c r="L899" s="102"/>
    </row>
    <row r="900" spans="1:12" ht="15.75" thickBot="1">
      <c r="A900" s="89"/>
      <c r="B900" s="89"/>
      <c r="C900" s="89"/>
      <c r="D900" s="89"/>
      <c r="E900" s="89"/>
      <c r="F900" s="89"/>
      <c r="G900" s="89"/>
      <c r="H900" s="89"/>
      <c r="I900" s="89"/>
      <c r="J900" s="90"/>
      <c r="K900" s="89"/>
      <c r="L900" s="102"/>
    </row>
    <row r="901" spans="1:12" ht="15.75" thickBot="1">
      <c r="A901" s="89"/>
      <c r="B901" s="89"/>
      <c r="C901" s="89"/>
      <c r="D901" s="89"/>
      <c r="E901" s="89"/>
      <c r="F901" s="89"/>
      <c r="G901" s="89"/>
      <c r="H901" s="89"/>
      <c r="I901" s="89"/>
      <c r="J901" s="90"/>
      <c r="K901" s="89"/>
      <c r="L901" s="102"/>
    </row>
    <row r="902" spans="1:12" ht="15.75" thickBot="1">
      <c r="A902" s="89"/>
      <c r="B902" s="89"/>
      <c r="C902" s="89"/>
      <c r="D902" s="89"/>
      <c r="E902" s="89"/>
      <c r="F902" s="89"/>
      <c r="G902" s="89"/>
      <c r="H902" s="89"/>
      <c r="I902" s="89"/>
      <c r="J902" s="90"/>
      <c r="K902" s="89"/>
      <c r="L902" s="102"/>
    </row>
    <row r="903" spans="1:12" ht="15.75" thickBot="1">
      <c r="A903" s="89"/>
      <c r="B903" s="89"/>
      <c r="C903" s="89"/>
      <c r="D903" s="89"/>
      <c r="E903" s="89"/>
      <c r="F903" s="89"/>
      <c r="G903" s="89"/>
      <c r="H903" s="89"/>
      <c r="I903" s="89"/>
      <c r="J903" s="90"/>
      <c r="K903" s="89"/>
      <c r="L903" s="102"/>
    </row>
    <row r="904" spans="1:12" ht="15.75" thickBot="1">
      <c r="A904" s="89"/>
      <c r="B904" s="89"/>
      <c r="C904" s="89"/>
      <c r="D904" s="89"/>
      <c r="E904" s="89"/>
      <c r="F904" s="89"/>
      <c r="G904" s="89"/>
      <c r="H904" s="89"/>
      <c r="I904" s="89"/>
      <c r="J904" s="90"/>
      <c r="K904" s="89"/>
      <c r="L904" s="102"/>
    </row>
    <row r="905" spans="1:12" ht="15.75" thickBot="1">
      <c r="A905" s="89"/>
      <c r="B905" s="89"/>
      <c r="C905" s="89"/>
      <c r="D905" s="89"/>
      <c r="E905" s="89"/>
      <c r="F905" s="89"/>
      <c r="G905" s="89"/>
      <c r="H905" s="89"/>
      <c r="I905" s="89"/>
      <c r="J905" s="90"/>
      <c r="K905" s="89"/>
      <c r="L905" s="102"/>
    </row>
    <row r="906" spans="1:12" ht="15.75" thickBot="1">
      <c r="A906" s="89"/>
      <c r="B906" s="89"/>
      <c r="C906" s="89"/>
      <c r="D906" s="89"/>
      <c r="E906" s="89"/>
      <c r="F906" s="89"/>
      <c r="G906" s="89"/>
      <c r="H906" s="89"/>
      <c r="I906" s="89"/>
      <c r="J906" s="90"/>
      <c r="K906" s="89"/>
      <c r="L906" s="102"/>
    </row>
    <row r="907" spans="1:12" ht="15.75" thickBot="1">
      <c r="A907" s="89"/>
      <c r="B907" s="89"/>
      <c r="C907" s="89"/>
      <c r="D907" s="89"/>
      <c r="E907" s="89"/>
      <c r="F907" s="89"/>
      <c r="G907" s="89"/>
      <c r="H907" s="89"/>
      <c r="I907" s="89"/>
      <c r="J907" s="90"/>
      <c r="K907" s="89"/>
      <c r="L907" s="102"/>
    </row>
    <row r="908" spans="1:12" ht="15.75" thickBot="1">
      <c r="A908" s="89"/>
      <c r="B908" s="89"/>
      <c r="C908" s="89"/>
      <c r="D908" s="89"/>
      <c r="E908" s="89"/>
      <c r="F908" s="89"/>
      <c r="G908" s="89"/>
      <c r="H908" s="89"/>
      <c r="I908" s="89"/>
      <c r="J908" s="90"/>
      <c r="K908" s="89"/>
      <c r="L908" s="102"/>
    </row>
    <row r="909" spans="1:12" ht="15.75" thickBot="1">
      <c r="A909" s="89"/>
      <c r="B909" s="89"/>
      <c r="C909" s="89"/>
      <c r="D909" s="89"/>
      <c r="E909" s="89"/>
      <c r="F909" s="89"/>
      <c r="G909" s="89"/>
      <c r="H909" s="89"/>
      <c r="I909" s="89"/>
      <c r="J909" s="90"/>
      <c r="K909" s="89"/>
      <c r="L909" s="102"/>
    </row>
    <row r="910" spans="1:12" ht="15.75" thickBot="1">
      <c r="A910" s="89"/>
      <c r="B910" s="89"/>
      <c r="C910" s="89"/>
      <c r="D910" s="89"/>
      <c r="E910" s="89"/>
      <c r="F910" s="89"/>
      <c r="G910" s="89"/>
      <c r="H910" s="89"/>
      <c r="I910" s="89"/>
      <c r="J910" s="90"/>
      <c r="K910" s="89"/>
      <c r="L910" s="102"/>
    </row>
    <row r="911" spans="1:12" ht="15.75" thickBot="1">
      <c r="A911" s="89"/>
      <c r="B911" s="89"/>
      <c r="C911" s="89"/>
      <c r="D911" s="89"/>
      <c r="E911" s="89"/>
      <c r="F911" s="89"/>
      <c r="G911" s="89"/>
      <c r="H911" s="89"/>
      <c r="I911" s="89"/>
      <c r="J911" s="90"/>
      <c r="K911" s="89"/>
      <c r="L911" s="102"/>
    </row>
    <row r="912" spans="1:12" ht="15.75" thickBot="1">
      <c r="A912" s="89"/>
      <c r="B912" s="89"/>
      <c r="C912" s="89"/>
      <c r="D912" s="89"/>
      <c r="E912" s="89"/>
      <c r="F912" s="89"/>
      <c r="G912" s="89"/>
      <c r="H912" s="89"/>
      <c r="I912" s="89"/>
      <c r="J912" s="90"/>
      <c r="K912" s="89"/>
      <c r="L912" s="102"/>
    </row>
    <row r="913" spans="1:12" ht="15.75" thickBot="1">
      <c r="A913" s="89"/>
      <c r="B913" s="89"/>
      <c r="C913" s="89"/>
      <c r="D913" s="89"/>
      <c r="E913" s="89"/>
      <c r="F913" s="89"/>
      <c r="G913" s="89"/>
      <c r="H913" s="89"/>
      <c r="I913" s="89"/>
      <c r="J913" s="90"/>
      <c r="K913" s="89"/>
      <c r="L913" s="102"/>
    </row>
    <row r="914" spans="1:12" ht="15.75" thickBot="1">
      <c r="A914" s="89"/>
      <c r="B914" s="89"/>
      <c r="C914" s="89"/>
      <c r="D914" s="89"/>
      <c r="E914" s="89"/>
      <c r="F914" s="89"/>
      <c r="G914" s="89"/>
      <c r="H914" s="89"/>
      <c r="I914" s="89"/>
      <c r="J914" s="90"/>
      <c r="K914" s="89"/>
      <c r="L914" s="102"/>
    </row>
    <row r="915" spans="1:12" ht="15.75" thickBot="1">
      <c r="A915" s="89"/>
      <c r="B915" s="89"/>
      <c r="C915" s="89"/>
      <c r="D915" s="89"/>
      <c r="E915" s="89"/>
      <c r="F915" s="89"/>
      <c r="G915" s="89"/>
      <c r="H915" s="89"/>
      <c r="I915" s="89"/>
      <c r="J915" s="90"/>
      <c r="K915" s="89"/>
      <c r="L915" s="102"/>
    </row>
    <row r="916" spans="1:12" ht="15.75" thickBot="1">
      <c r="A916" s="89"/>
      <c r="B916" s="89"/>
      <c r="C916" s="89"/>
      <c r="D916" s="89"/>
      <c r="E916" s="89"/>
      <c r="F916" s="89"/>
      <c r="G916" s="89"/>
      <c r="H916" s="89"/>
      <c r="I916" s="89"/>
      <c r="J916" s="90"/>
      <c r="K916" s="89"/>
      <c r="L916" s="102"/>
    </row>
    <row r="917" spans="1:12" ht="15.75" thickBot="1">
      <c r="A917" s="89"/>
      <c r="B917" s="89"/>
      <c r="C917" s="89"/>
      <c r="D917" s="89"/>
      <c r="E917" s="89"/>
      <c r="F917" s="89"/>
      <c r="G917" s="89"/>
      <c r="H917" s="89"/>
      <c r="I917" s="89"/>
      <c r="J917" s="90"/>
      <c r="K917" s="89"/>
      <c r="L917" s="102"/>
    </row>
    <row r="918" spans="1:12" ht="15.75" thickBot="1">
      <c r="A918" s="89"/>
      <c r="B918" s="89"/>
      <c r="C918" s="89"/>
      <c r="D918" s="89"/>
      <c r="E918" s="89"/>
      <c r="F918" s="89"/>
      <c r="G918" s="89"/>
      <c r="H918" s="89"/>
      <c r="I918" s="89"/>
      <c r="J918" s="90"/>
      <c r="K918" s="89"/>
      <c r="L918" s="102"/>
    </row>
    <row r="919" spans="1:12" ht="15.75" thickBot="1">
      <c r="A919" s="89"/>
      <c r="B919" s="89"/>
      <c r="C919" s="89"/>
      <c r="D919" s="89"/>
      <c r="E919" s="89"/>
      <c r="F919" s="89"/>
      <c r="G919" s="89"/>
      <c r="H919" s="89"/>
      <c r="I919" s="89"/>
      <c r="J919" s="90"/>
      <c r="K919" s="89"/>
      <c r="L919" s="102"/>
    </row>
    <row r="920" spans="1:12" ht="15.75" thickBot="1">
      <c r="A920" s="89"/>
      <c r="B920" s="89"/>
      <c r="C920" s="89"/>
      <c r="D920" s="89"/>
      <c r="E920" s="89"/>
      <c r="F920" s="89"/>
      <c r="G920" s="89"/>
      <c r="H920" s="89"/>
      <c r="I920" s="89"/>
      <c r="J920" s="90"/>
      <c r="K920" s="89"/>
      <c r="L920" s="102"/>
    </row>
    <row r="921" spans="1:12" ht="15.75" thickBot="1">
      <c r="A921" s="89"/>
      <c r="B921" s="89"/>
      <c r="C921" s="89"/>
      <c r="D921" s="89"/>
      <c r="E921" s="89"/>
      <c r="F921" s="89"/>
      <c r="G921" s="89"/>
      <c r="H921" s="89"/>
      <c r="I921" s="89"/>
      <c r="J921" s="90"/>
      <c r="K921" s="89"/>
      <c r="L921" s="102"/>
    </row>
    <row r="922" spans="1:12" ht="15.75" thickBot="1">
      <c r="A922" s="89"/>
      <c r="B922" s="89"/>
      <c r="C922" s="89"/>
      <c r="D922" s="89"/>
      <c r="E922" s="89"/>
      <c r="F922" s="89"/>
      <c r="G922" s="89"/>
      <c r="H922" s="89"/>
      <c r="I922" s="89"/>
      <c r="J922" s="90"/>
      <c r="K922" s="89"/>
      <c r="L922" s="102"/>
    </row>
    <row r="923" spans="1:12" ht="15.75" thickBot="1">
      <c r="A923" s="89"/>
      <c r="B923" s="89"/>
      <c r="C923" s="89"/>
      <c r="D923" s="89"/>
      <c r="E923" s="89"/>
      <c r="F923" s="89"/>
      <c r="G923" s="89"/>
      <c r="H923" s="89"/>
      <c r="I923" s="89"/>
      <c r="J923" s="90"/>
      <c r="K923" s="89"/>
      <c r="L923" s="102"/>
    </row>
    <row r="924" spans="1:12" ht="15.75" thickBot="1">
      <c r="A924" s="89"/>
      <c r="B924" s="89"/>
      <c r="C924" s="89"/>
      <c r="D924" s="89"/>
      <c r="E924" s="89"/>
      <c r="F924" s="89"/>
      <c r="G924" s="89"/>
      <c r="H924" s="89"/>
      <c r="I924" s="89"/>
      <c r="J924" s="90"/>
      <c r="K924" s="89"/>
      <c r="L924" s="102"/>
    </row>
    <row r="925" spans="1:12" ht="15.75" thickBot="1">
      <c r="A925" s="89"/>
      <c r="B925" s="89"/>
      <c r="C925" s="89"/>
      <c r="D925" s="89"/>
      <c r="E925" s="89"/>
      <c r="F925" s="89"/>
      <c r="G925" s="89"/>
      <c r="H925" s="89"/>
      <c r="I925" s="89"/>
      <c r="J925" s="90"/>
      <c r="K925" s="89"/>
      <c r="L925" s="102"/>
    </row>
    <row r="926" spans="1:12" ht="15.75" thickBot="1">
      <c r="A926" s="89"/>
      <c r="B926" s="89"/>
      <c r="C926" s="89"/>
      <c r="D926" s="89"/>
      <c r="E926" s="89"/>
      <c r="F926" s="89"/>
      <c r="G926" s="89"/>
      <c r="H926" s="89"/>
      <c r="I926" s="89"/>
      <c r="J926" s="90"/>
      <c r="K926" s="89"/>
      <c r="L926" s="102"/>
    </row>
    <row r="927" spans="1:12" ht="15.75" thickBot="1">
      <c r="A927" s="89"/>
      <c r="B927" s="89"/>
      <c r="C927" s="89"/>
      <c r="D927" s="89"/>
      <c r="E927" s="89"/>
      <c r="F927" s="89"/>
      <c r="G927" s="89"/>
      <c r="H927" s="89"/>
      <c r="I927" s="89"/>
      <c r="J927" s="90"/>
      <c r="K927" s="89"/>
      <c r="L927" s="102"/>
    </row>
    <row r="928" spans="1:12" ht="15.75" thickBot="1">
      <c r="A928" s="89"/>
      <c r="B928" s="89"/>
      <c r="C928" s="89"/>
      <c r="D928" s="89"/>
      <c r="E928" s="89"/>
      <c r="F928" s="89"/>
      <c r="G928" s="89"/>
      <c r="H928" s="89"/>
      <c r="I928" s="89"/>
      <c r="J928" s="90"/>
      <c r="K928" s="89"/>
      <c r="L928" s="102"/>
    </row>
    <row r="929" spans="1:12" ht="15.75" thickBot="1">
      <c r="A929" s="89"/>
      <c r="B929" s="89"/>
      <c r="C929" s="89"/>
      <c r="D929" s="89"/>
      <c r="E929" s="89"/>
      <c r="F929" s="89"/>
      <c r="G929" s="89"/>
      <c r="H929" s="89"/>
      <c r="I929" s="89"/>
      <c r="J929" s="90"/>
      <c r="K929" s="89"/>
      <c r="L929" s="102"/>
    </row>
    <row r="930" spans="1:12" ht="15.75" thickBot="1">
      <c r="A930" s="89"/>
      <c r="B930" s="89"/>
      <c r="C930" s="89"/>
      <c r="D930" s="89"/>
      <c r="E930" s="89"/>
      <c r="F930" s="89"/>
      <c r="G930" s="89"/>
      <c r="H930" s="89"/>
      <c r="I930" s="89"/>
      <c r="J930" s="90"/>
      <c r="K930" s="89"/>
      <c r="L930" s="102"/>
    </row>
    <row r="931" spans="1:12" ht="15.75" thickBot="1">
      <c r="A931" s="89"/>
      <c r="B931" s="89"/>
      <c r="C931" s="89"/>
      <c r="D931" s="89"/>
      <c r="E931" s="89"/>
      <c r="F931" s="89"/>
      <c r="G931" s="89"/>
      <c r="H931" s="89"/>
      <c r="I931" s="89"/>
      <c r="J931" s="90"/>
      <c r="K931" s="89"/>
      <c r="L931" s="102"/>
    </row>
    <row r="932" spans="1:12" ht="15.75" thickBot="1">
      <c r="A932" s="89"/>
      <c r="B932" s="89"/>
      <c r="C932" s="89"/>
      <c r="D932" s="89"/>
      <c r="E932" s="89"/>
      <c r="F932" s="89"/>
      <c r="G932" s="89"/>
      <c r="H932" s="89"/>
      <c r="I932" s="89"/>
      <c r="J932" s="90"/>
      <c r="K932" s="89"/>
      <c r="L932" s="102"/>
    </row>
    <row r="933" spans="1:12" ht="15.75" thickBot="1">
      <c r="A933" s="89"/>
      <c r="B933" s="89"/>
      <c r="C933" s="89"/>
      <c r="D933" s="89"/>
      <c r="E933" s="89"/>
      <c r="F933" s="89"/>
      <c r="G933" s="89"/>
      <c r="H933" s="89"/>
      <c r="I933" s="89"/>
      <c r="J933" s="90"/>
      <c r="K933" s="89"/>
      <c r="L933" s="102"/>
    </row>
    <row r="934" spans="1:12" ht="15.75" thickBot="1">
      <c r="A934" s="89"/>
      <c r="B934" s="89"/>
      <c r="C934" s="89"/>
      <c r="D934" s="89"/>
      <c r="E934" s="89"/>
      <c r="F934" s="89"/>
      <c r="G934" s="89"/>
      <c r="H934" s="89"/>
      <c r="I934" s="89"/>
      <c r="J934" s="90"/>
      <c r="K934" s="89"/>
      <c r="L934" s="102"/>
    </row>
    <row r="935" spans="1:12" ht="15.75" thickBot="1">
      <c r="A935" s="89"/>
      <c r="B935" s="89"/>
      <c r="C935" s="89"/>
      <c r="D935" s="89"/>
      <c r="E935" s="89"/>
      <c r="F935" s="89"/>
      <c r="G935" s="89"/>
      <c r="H935" s="89"/>
      <c r="I935" s="89"/>
      <c r="J935" s="90"/>
      <c r="K935" s="89"/>
      <c r="L935" s="102"/>
    </row>
    <row r="936" spans="1:12" ht="15.75" thickBot="1">
      <c r="A936" s="89"/>
      <c r="B936" s="89"/>
      <c r="C936" s="89"/>
      <c r="D936" s="89"/>
      <c r="E936" s="89"/>
      <c r="F936" s="89"/>
      <c r="G936" s="89"/>
      <c r="H936" s="89"/>
      <c r="I936" s="89"/>
      <c r="J936" s="90"/>
      <c r="K936" s="89"/>
      <c r="L936" s="102"/>
    </row>
    <row r="937" spans="1:12" ht="15.75" thickBot="1">
      <c r="A937" s="89"/>
      <c r="B937" s="89"/>
      <c r="C937" s="89"/>
      <c r="D937" s="89"/>
      <c r="E937" s="89"/>
      <c r="F937" s="89"/>
      <c r="G937" s="89"/>
      <c r="H937" s="89"/>
      <c r="I937" s="89"/>
      <c r="J937" s="90"/>
      <c r="K937" s="89"/>
      <c r="L937" s="102"/>
    </row>
    <row r="938" spans="1:12" ht="15.75" thickBot="1">
      <c r="A938" s="89"/>
      <c r="B938" s="89"/>
      <c r="C938" s="89"/>
      <c r="D938" s="89"/>
      <c r="E938" s="89"/>
      <c r="F938" s="89"/>
      <c r="G938" s="89"/>
      <c r="H938" s="89"/>
      <c r="I938" s="89"/>
      <c r="J938" s="90"/>
      <c r="K938" s="89"/>
      <c r="L938" s="102"/>
    </row>
    <row r="939" spans="1:12" ht="15.75" thickBot="1">
      <c r="A939" s="89"/>
      <c r="B939" s="89"/>
      <c r="C939" s="89"/>
      <c r="D939" s="89"/>
      <c r="E939" s="89"/>
      <c r="F939" s="89"/>
      <c r="G939" s="89"/>
      <c r="H939" s="89"/>
      <c r="I939" s="89"/>
      <c r="J939" s="90"/>
      <c r="K939" s="89"/>
      <c r="L939" s="102"/>
    </row>
    <row r="940" spans="1:12" ht="15.75" thickBot="1">
      <c r="A940" s="89"/>
      <c r="B940" s="89"/>
      <c r="C940" s="89"/>
      <c r="D940" s="89"/>
      <c r="E940" s="89"/>
      <c r="F940" s="89"/>
      <c r="G940" s="89"/>
      <c r="H940" s="89"/>
      <c r="I940" s="89"/>
      <c r="J940" s="90"/>
      <c r="K940" s="89"/>
      <c r="L940" s="102"/>
    </row>
    <row r="941" spans="1:12" ht="15.75" thickBot="1">
      <c r="A941" s="89"/>
      <c r="B941" s="89"/>
      <c r="C941" s="89"/>
      <c r="D941" s="89"/>
      <c r="E941" s="89"/>
      <c r="F941" s="89"/>
      <c r="G941" s="89"/>
      <c r="H941" s="89"/>
      <c r="I941" s="89"/>
      <c r="J941" s="90"/>
      <c r="K941" s="89"/>
      <c r="L941" s="102"/>
    </row>
    <row r="942" spans="1:12" ht="15.75" thickBot="1">
      <c r="A942" s="89"/>
      <c r="B942" s="89"/>
      <c r="C942" s="89"/>
      <c r="D942" s="89"/>
      <c r="E942" s="89"/>
      <c r="F942" s="89"/>
      <c r="G942" s="89"/>
      <c r="H942" s="89"/>
      <c r="I942" s="89"/>
      <c r="J942" s="90"/>
      <c r="K942" s="89"/>
      <c r="L942" s="102"/>
    </row>
    <row r="943" spans="1:12" ht="15.75" thickBot="1">
      <c r="A943" s="89"/>
      <c r="B943" s="89"/>
      <c r="C943" s="89"/>
      <c r="D943" s="89"/>
      <c r="E943" s="89"/>
      <c r="F943" s="89"/>
      <c r="G943" s="89"/>
      <c r="H943" s="89"/>
      <c r="I943" s="89"/>
      <c r="J943" s="90"/>
      <c r="K943" s="89"/>
      <c r="L943" s="102"/>
    </row>
    <row r="944" spans="1:12" ht="15.75" thickBot="1">
      <c r="A944" s="89"/>
      <c r="B944" s="89"/>
      <c r="C944" s="89"/>
      <c r="D944" s="89"/>
      <c r="E944" s="89"/>
      <c r="F944" s="89"/>
      <c r="G944" s="89"/>
      <c r="H944" s="89"/>
      <c r="I944" s="89"/>
      <c r="J944" s="90"/>
      <c r="K944" s="89"/>
      <c r="L944" s="102"/>
    </row>
    <row r="945" spans="1:12" ht="15.75" thickBot="1">
      <c r="A945" s="89"/>
      <c r="B945" s="89"/>
      <c r="C945" s="89"/>
      <c r="D945" s="89"/>
      <c r="E945" s="89"/>
      <c r="F945" s="89"/>
      <c r="G945" s="89"/>
      <c r="H945" s="89"/>
      <c r="I945" s="89"/>
      <c r="J945" s="90"/>
      <c r="K945" s="89"/>
      <c r="L945" s="102"/>
    </row>
    <row r="946" spans="1:12" ht="15.75" thickBot="1">
      <c r="A946" s="89"/>
      <c r="B946" s="89"/>
      <c r="C946" s="89"/>
      <c r="D946" s="89"/>
      <c r="E946" s="89"/>
      <c r="F946" s="89"/>
      <c r="G946" s="89"/>
      <c r="H946" s="89"/>
      <c r="I946" s="89"/>
      <c r="J946" s="90"/>
      <c r="K946" s="89"/>
      <c r="L946" s="102"/>
    </row>
    <row r="947" spans="1:12" ht="15.75" thickBot="1">
      <c r="A947" s="89"/>
      <c r="B947" s="89"/>
      <c r="C947" s="89"/>
      <c r="D947" s="89"/>
      <c r="E947" s="89"/>
      <c r="F947" s="89"/>
      <c r="G947" s="89"/>
      <c r="H947" s="89"/>
      <c r="I947" s="89"/>
      <c r="J947" s="90"/>
      <c r="K947" s="89"/>
      <c r="L947" s="102"/>
    </row>
    <row r="948" spans="1:12" ht="15.75" thickBot="1">
      <c r="A948" s="89"/>
      <c r="B948" s="89"/>
      <c r="C948" s="89"/>
      <c r="D948" s="89"/>
      <c r="E948" s="89"/>
      <c r="F948" s="89"/>
      <c r="G948" s="89"/>
      <c r="H948" s="89"/>
      <c r="I948" s="89"/>
      <c r="J948" s="90"/>
      <c r="K948" s="89"/>
      <c r="L948" s="102"/>
    </row>
    <row r="949" spans="1:12" ht="15.75" thickBot="1">
      <c r="A949" s="89"/>
      <c r="B949" s="89"/>
      <c r="C949" s="89"/>
      <c r="D949" s="89"/>
      <c r="E949" s="89"/>
      <c r="F949" s="89"/>
      <c r="G949" s="89"/>
      <c r="H949" s="89"/>
      <c r="I949" s="89"/>
      <c r="J949" s="90"/>
      <c r="K949" s="89"/>
      <c r="L949" s="102"/>
    </row>
    <row r="950" spans="1:12" ht="15.75" thickBot="1">
      <c r="A950" s="89"/>
      <c r="B950" s="89"/>
      <c r="C950" s="89"/>
      <c r="D950" s="89"/>
      <c r="E950" s="89"/>
      <c r="F950" s="89"/>
      <c r="G950" s="89"/>
      <c r="H950" s="89"/>
      <c r="I950" s="89"/>
      <c r="J950" s="90"/>
      <c r="K950" s="89"/>
      <c r="L950" s="102"/>
    </row>
    <row r="951" spans="1:12" ht="15.75" thickBot="1">
      <c r="A951" s="89"/>
      <c r="B951" s="89"/>
      <c r="C951" s="89"/>
      <c r="D951" s="89"/>
      <c r="E951" s="89"/>
      <c r="F951" s="89"/>
      <c r="G951" s="89"/>
      <c r="H951" s="89"/>
      <c r="I951" s="89"/>
      <c r="J951" s="90"/>
      <c r="K951" s="89"/>
      <c r="L951" s="102"/>
    </row>
    <row r="952" spans="1:12" ht="15.75" thickBot="1">
      <c r="A952" s="89"/>
      <c r="B952" s="89"/>
      <c r="C952" s="89"/>
      <c r="D952" s="89"/>
      <c r="E952" s="89"/>
      <c r="F952" s="89"/>
      <c r="G952" s="89"/>
      <c r="H952" s="89"/>
      <c r="I952" s="89"/>
      <c r="J952" s="90"/>
      <c r="K952" s="89"/>
      <c r="L952" s="102"/>
    </row>
    <row r="953" spans="1:12" ht="15.75" thickBot="1">
      <c r="A953" s="89"/>
      <c r="B953" s="89"/>
      <c r="C953" s="89"/>
      <c r="D953" s="89"/>
      <c r="E953" s="89"/>
      <c r="F953" s="89"/>
      <c r="G953" s="89"/>
      <c r="H953" s="89"/>
      <c r="I953" s="89"/>
      <c r="J953" s="90"/>
      <c r="K953" s="89"/>
      <c r="L953" s="102"/>
    </row>
    <row r="954" spans="1:12" ht="15.75" thickBot="1">
      <c r="A954" s="89"/>
      <c r="B954" s="89"/>
      <c r="C954" s="89"/>
      <c r="D954" s="89"/>
      <c r="E954" s="89"/>
      <c r="F954" s="89"/>
      <c r="G954" s="89"/>
      <c r="H954" s="89"/>
      <c r="I954" s="89"/>
      <c r="J954" s="90"/>
      <c r="K954" s="89"/>
      <c r="L954" s="102"/>
    </row>
    <row r="955" spans="1:12" ht="15.75" thickBot="1">
      <c r="A955" s="89"/>
      <c r="B955" s="89"/>
      <c r="C955" s="89"/>
      <c r="D955" s="89"/>
      <c r="E955" s="89"/>
      <c r="F955" s="89"/>
      <c r="G955" s="89"/>
      <c r="H955" s="89"/>
      <c r="I955" s="89"/>
      <c r="J955" s="90"/>
      <c r="K955" s="89"/>
      <c r="L955" s="102"/>
    </row>
    <row r="956" spans="1:12" ht="15.75" thickBot="1">
      <c r="A956" s="89"/>
      <c r="B956" s="89"/>
      <c r="C956" s="89"/>
      <c r="D956" s="89"/>
      <c r="E956" s="89"/>
      <c r="F956" s="89"/>
      <c r="G956" s="89"/>
      <c r="H956" s="89"/>
      <c r="I956" s="89"/>
      <c r="J956" s="90"/>
      <c r="K956" s="89"/>
      <c r="L956" s="102"/>
    </row>
    <row r="957" spans="1:12" ht="15.75" thickBot="1">
      <c r="A957" s="89"/>
      <c r="B957" s="89"/>
      <c r="C957" s="89"/>
      <c r="D957" s="89"/>
      <c r="E957" s="89"/>
      <c r="F957" s="89"/>
      <c r="G957" s="89"/>
      <c r="H957" s="89"/>
      <c r="I957" s="89"/>
      <c r="J957" s="90"/>
      <c r="K957" s="89"/>
      <c r="L957" s="102"/>
    </row>
    <row r="958" spans="1:12" ht="15.75" thickBot="1">
      <c r="A958" s="89"/>
      <c r="B958" s="89"/>
      <c r="C958" s="89"/>
      <c r="D958" s="89"/>
      <c r="E958" s="89"/>
      <c r="F958" s="89"/>
      <c r="G958" s="89"/>
      <c r="H958" s="89"/>
      <c r="I958" s="89"/>
      <c r="J958" s="90"/>
      <c r="K958" s="89"/>
      <c r="L958" s="102"/>
    </row>
    <row r="959" spans="1:12" ht="15.75" thickBot="1">
      <c r="A959" s="89"/>
      <c r="B959" s="89"/>
      <c r="C959" s="89"/>
      <c r="D959" s="89"/>
      <c r="E959" s="89"/>
      <c r="F959" s="89"/>
      <c r="G959" s="89"/>
      <c r="H959" s="89"/>
      <c r="I959" s="89"/>
      <c r="J959" s="90"/>
      <c r="K959" s="89"/>
      <c r="L959" s="102"/>
    </row>
    <row r="960" spans="1:12" ht="15.75" thickBot="1">
      <c r="A960" s="89"/>
      <c r="B960" s="89"/>
      <c r="C960" s="89"/>
      <c r="D960" s="89"/>
      <c r="E960" s="89"/>
      <c r="F960" s="89"/>
      <c r="G960" s="89"/>
      <c r="H960" s="89"/>
      <c r="I960" s="89"/>
      <c r="J960" s="90"/>
      <c r="K960" s="89"/>
      <c r="L960" s="102"/>
    </row>
    <row r="961" spans="1:12" ht="15.75" thickBot="1">
      <c r="A961" s="89"/>
      <c r="B961" s="89"/>
      <c r="C961" s="89"/>
      <c r="D961" s="89"/>
      <c r="E961" s="89"/>
      <c r="F961" s="89"/>
      <c r="G961" s="89"/>
      <c r="H961" s="89"/>
      <c r="I961" s="89"/>
      <c r="J961" s="90"/>
      <c r="K961" s="89"/>
      <c r="L961" s="102"/>
    </row>
    <row r="962" spans="1:12" ht="15.75" thickBot="1">
      <c r="A962" s="89"/>
      <c r="B962" s="89"/>
      <c r="C962" s="89"/>
      <c r="D962" s="89"/>
      <c r="E962" s="89"/>
      <c r="F962" s="89"/>
      <c r="G962" s="89"/>
      <c r="H962" s="89"/>
      <c r="I962" s="89"/>
      <c r="J962" s="90"/>
      <c r="K962" s="89"/>
      <c r="L962" s="102"/>
    </row>
    <row r="963" spans="1:12" ht="15.75" thickBot="1">
      <c r="A963" s="89"/>
      <c r="B963" s="89"/>
      <c r="C963" s="89"/>
      <c r="D963" s="89"/>
      <c r="E963" s="89"/>
      <c r="F963" s="89"/>
      <c r="G963" s="89"/>
      <c r="H963" s="89"/>
      <c r="I963" s="89"/>
      <c r="J963" s="90"/>
      <c r="K963" s="89"/>
      <c r="L963" s="102"/>
    </row>
    <row r="964" spans="1:12" ht="15.75" thickBot="1">
      <c r="A964" s="89"/>
      <c r="B964" s="89"/>
      <c r="C964" s="89"/>
      <c r="D964" s="89"/>
      <c r="E964" s="89"/>
      <c r="F964" s="89"/>
      <c r="G964" s="89"/>
      <c r="H964" s="89"/>
      <c r="I964" s="89"/>
      <c r="J964" s="90"/>
      <c r="K964" s="89"/>
      <c r="L964" s="102"/>
    </row>
    <row r="965" spans="1:12" ht="15.75" thickBot="1">
      <c r="A965" s="89"/>
      <c r="B965" s="89"/>
      <c r="C965" s="89"/>
      <c r="D965" s="89"/>
      <c r="E965" s="89"/>
      <c r="F965" s="89"/>
      <c r="G965" s="89"/>
      <c r="H965" s="89"/>
      <c r="I965" s="89"/>
      <c r="J965" s="90"/>
      <c r="K965" s="89"/>
      <c r="L965" s="102"/>
    </row>
    <row r="966" spans="1:12" ht="15.75" thickBot="1">
      <c r="A966" s="89"/>
      <c r="B966" s="89"/>
      <c r="C966" s="89"/>
      <c r="D966" s="89"/>
      <c r="E966" s="89"/>
      <c r="F966" s="89"/>
      <c r="G966" s="89"/>
      <c r="H966" s="89"/>
      <c r="I966" s="89"/>
      <c r="J966" s="90"/>
      <c r="K966" s="89"/>
      <c r="L966" s="102"/>
    </row>
    <row r="967" spans="1:12" ht="15.75" thickBot="1">
      <c r="A967" s="89"/>
      <c r="B967" s="89"/>
      <c r="C967" s="89"/>
      <c r="D967" s="89"/>
      <c r="E967" s="89"/>
      <c r="F967" s="89"/>
      <c r="G967" s="89"/>
      <c r="H967" s="89"/>
      <c r="I967" s="89"/>
      <c r="J967" s="90"/>
      <c r="K967" s="89"/>
      <c r="L967" s="102"/>
    </row>
    <row r="968" spans="1:12" ht="15.75" thickBot="1">
      <c r="A968" s="89"/>
      <c r="B968" s="89"/>
      <c r="C968" s="89"/>
      <c r="D968" s="89"/>
      <c r="E968" s="89"/>
      <c r="F968" s="89"/>
      <c r="G968" s="89"/>
      <c r="H968" s="89"/>
      <c r="I968" s="89"/>
      <c r="J968" s="90"/>
      <c r="K968" s="89"/>
      <c r="L968" s="102"/>
    </row>
    <row r="969" spans="1:12" ht="15.75" thickBot="1">
      <c r="A969" s="89"/>
      <c r="B969" s="89"/>
      <c r="C969" s="89"/>
      <c r="D969" s="89"/>
      <c r="E969" s="89"/>
      <c r="F969" s="89"/>
      <c r="G969" s="89"/>
      <c r="H969" s="89"/>
      <c r="I969" s="89"/>
      <c r="J969" s="90"/>
      <c r="K969" s="89"/>
      <c r="L969" s="102"/>
    </row>
    <row r="970" spans="1:12" ht="15.75" thickBot="1">
      <c r="A970" s="89"/>
      <c r="B970" s="89"/>
      <c r="C970" s="89"/>
      <c r="D970" s="89"/>
      <c r="E970" s="89"/>
      <c r="F970" s="89"/>
      <c r="G970" s="89"/>
      <c r="H970" s="89"/>
      <c r="I970" s="89"/>
      <c r="J970" s="90"/>
      <c r="K970" s="89"/>
      <c r="L970" s="102"/>
    </row>
    <row r="971" spans="1:12" ht="15.75" thickBot="1">
      <c r="A971" s="89"/>
      <c r="B971" s="89"/>
      <c r="C971" s="89"/>
      <c r="D971" s="89"/>
      <c r="E971" s="89"/>
      <c r="F971" s="89"/>
      <c r="G971" s="89"/>
      <c r="H971" s="89"/>
      <c r="I971" s="89"/>
      <c r="J971" s="90"/>
      <c r="K971" s="89"/>
      <c r="L971" s="102"/>
    </row>
    <row r="972" spans="1:12" ht="15.75" thickBot="1">
      <c r="A972" s="89"/>
      <c r="B972" s="89"/>
      <c r="C972" s="89"/>
      <c r="D972" s="89"/>
      <c r="E972" s="89"/>
      <c r="F972" s="89"/>
      <c r="G972" s="89"/>
      <c r="H972" s="89"/>
      <c r="I972" s="89"/>
      <c r="J972" s="90"/>
      <c r="K972" s="89"/>
      <c r="L972" s="102"/>
    </row>
    <row r="973" spans="1:12" ht="15.75" thickBot="1">
      <c r="A973" s="89"/>
      <c r="B973" s="89"/>
      <c r="C973" s="89"/>
      <c r="D973" s="89"/>
      <c r="E973" s="89"/>
      <c r="F973" s="89"/>
      <c r="G973" s="89"/>
      <c r="H973" s="89"/>
      <c r="I973" s="89"/>
      <c r="J973" s="90"/>
      <c r="K973" s="89"/>
      <c r="L973" s="102"/>
    </row>
    <row r="974" spans="1:12" ht="15.75" thickBot="1">
      <c r="A974" s="89"/>
      <c r="B974" s="89"/>
      <c r="C974" s="89"/>
      <c r="D974" s="89"/>
      <c r="E974" s="89"/>
      <c r="F974" s="89"/>
      <c r="G974" s="89"/>
      <c r="H974" s="89"/>
      <c r="I974" s="89"/>
      <c r="J974" s="90"/>
      <c r="K974" s="89"/>
      <c r="L974" s="102"/>
    </row>
    <row r="975" spans="1:12" ht="15.75" thickBot="1">
      <c r="A975" s="89"/>
      <c r="B975" s="89"/>
      <c r="C975" s="89"/>
      <c r="D975" s="89"/>
      <c r="E975" s="89"/>
      <c r="F975" s="89"/>
      <c r="G975" s="89"/>
      <c r="H975" s="89"/>
      <c r="I975" s="89"/>
      <c r="J975" s="90"/>
      <c r="K975" s="89"/>
      <c r="L975" s="102"/>
    </row>
    <row r="976" spans="1:12" ht="15.75" thickBot="1">
      <c r="A976" s="89"/>
      <c r="B976" s="89"/>
      <c r="C976" s="89"/>
      <c r="D976" s="89"/>
      <c r="E976" s="89"/>
      <c r="F976" s="89"/>
      <c r="G976" s="89"/>
      <c r="H976" s="89"/>
      <c r="I976" s="89"/>
      <c r="J976" s="90"/>
      <c r="K976" s="89"/>
      <c r="L976" s="102"/>
    </row>
    <row r="977" spans="1:12" ht="15.75" thickBot="1">
      <c r="A977" s="89"/>
      <c r="B977" s="89"/>
      <c r="C977" s="89"/>
      <c r="D977" s="89"/>
      <c r="E977" s="89"/>
      <c r="F977" s="89"/>
      <c r="G977" s="89"/>
      <c r="H977" s="89"/>
      <c r="I977" s="89"/>
      <c r="J977" s="90"/>
      <c r="K977" s="89"/>
      <c r="L977" s="102"/>
    </row>
    <row r="978" spans="1:12" ht="15.75" thickBot="1">
      <c r="A978" s="89"/>
      <c r="B978" s="89"/>
      <c r="C978" s="89"/>
      <c r="D978" s="89"/>
      <c r="E978" s="89"/>
      <c r="F978" s="89"/>
      <c r="G978" s="89"/>
      <c r="H978" s="89"/>
      <c r="I978" s="89"/>
      <c r="J978" s="90"/>
      <c r="K978" s="89"/>
      <c r="L978" s="102"/>
    </row>
    <row r="979" spans="1:12" ht="15.75" thickBot="1">
      <c r="A979" s="89"/>
      <c r="B979" s="89"/>
      <c r="C979" s="89"/>
      <c r="D979" s="89"/>
      <c r="E979" s="89"/>
      <c r="F979" s="89"/>
      <c r="G979" s="89"/>
      <c r="H979" s="89"/>
      <c r="I979" s="89"/>
      <c r="J979" s="90"/>
      <c r="K979" s="89"/>
      <c r="L979" s="102"/>
    </row>
    <row r="980" spans="1:12" ht="15.75" thickBot="1">
      <c r="A980" s="89"/>
      <c r="B980" s="89"/>
      <c r="C980" s="89"/>
      <c r="D980" s="89"/>
      <c r="E980" s="89"/>
      <c r="F980" s="89"/>
      <c r="G980" s="89"/>
      <c r="H980" s="89"/>
      <c r="I980" s="89"/>
      <c r="J980" s="90"/>
      <c r="K980" s="89"/>
      <c r="L980" s="102"/>
    </row>
    <row r="981" spans="1:12" ht="15.75" thickBot="1">
      <c r="A981" s="89"/>
      <c r="B981" s="89"/>
      <c r="C981" s="89"/>
      <c r="D981" s="89"/>
      <c r="E981" s="89"/>
      <c r="F981" s="89"/>
      <c r="G981" s="89"/>
      <c r="H981" s="89"/>
      <c r="I981" s="89"/>
      <c r="J981" s="90"/>
      <c r="K981" s="89"/>
      <c r="L981" s="102"/>
    </row>
    <row r="982" spans="1:12" ht="15.75" thickBot="1">
      <c r="A982" s="89"/>
      <c r="B982" s="89"/>
      <c r="C982" s="89"/>
      <c r="D982" s="89"/>
      <c r="E982" s="89"/>
      <c r="F982" s="89"/>
      <c r="G982" s="89"/>
      <c r="H982" s="89"/>
      <c r="I982" s="89"/>
      <c r="J982" s="90"/>
      <c r="K982" s="89"/>
      <c r="L982" s="102"/>
    </row>
    <row r="983" spans="1:12" ht="15.75" thickBot="1">
      <c r="A983" s="89"/>
      <c r="B983" s="89"/>
      <c r="C983" s="89"/>
      <c r="D983" s="89"/>
      <c r="E983" s="89"/>
      <c r="F983" s="89"/>
      <c r="G983" s="89"/>
      <c r="H983" s="89"/>
      <c r="I983" s="89"/>
      <c r="J983" s="90"/>
      <c r="K983" s="89"/>
      <c r="L983" s="102"/>
    </row>
    <row r="984" spans="1:12" ht="15.75" thickBot="1">
      <c r="A984" s="89"/>
      <c r="B984" s="89"/>
      <c r="C984" s="89"/>
      <c r="D984" s="89"/>
      <c r="E984" s="89"/>
      <c r="F984" s="89"/>
      <c r="G984" s="89"/>
      <c r="H984" s="89"/>
      <c r="I984" s="89"/>
      <c r="J984" s="90"/>
      <c r="K984" s="89"/>
      <c r="L984" s="102"/>
    </row>
    <row r="985" spans="1:12" ht="15.75" thickBot="1">
      <c r="A985" s="89"/>
      <c r="B985" s="89"/>
      <c r="C985" s="89"/>
      <c r="D985" s="89"/>
      <c r="E985" s="89"/>
      <c r="F985" s="89"/>
      <c r="G985" s="89"/>
      <c r="H985" s="89"/>
      <c r="I985" s="89"/>
      <c r="J985" s="90"/>
      <c r="K985" s="89"/>
      <c r="L985" s="102"/>
    </row>
    <row r="986" spans="1:12" ht="15.75" thickBot="1">
      <c r="A986" s="89"/>
      <c r="B986" s="89"/>
      <c r="C986" s="89"/>
      <c r="D986" s="89"/>
      <c r="E986" s="89"/>
      <c r="F986" s="89"/>
      <c r="G986" s="89"/>
      <c r="H986" s="89"/>
      <c r="I986" s="89"/>
      <c r="J986" s="90"/>
      <c r="K986" s="89"/>
      <c r="L986" s="102"/>
    </row>
    <row r="987" spans="1:12" ht="15.75" thickBot="1">
      <c r="A987" s="89"/>
      <c r="B987" s="89"/>
      <c r="C987" s="89"/>
      <c r="D987" s="89"/>
      <c r="E987" s="89"/>
      <c r="F987" s="89"/>
      <c r="G987" s="89"/>
      <c r="H987" s="89"/>
      <c r="I987" s="89"/>
      <c r="J987" s="90"/>
      <c r="K987" s="89"/>
      <c r="L987" s="102"/>
    </row>
    <row r="988" spans="1:12" ht="15.75" thickBot="1">
      <c r="A988" s="89"/>
      <c r="B988" s="89"/>
      <c r="C988" s="89"/>
      <c r="D988" s="89"/>
      <c r="E988" s="89"/>
      <c r="F988" s="89"/>
      <c r="G988" s="89"/>
      <c r="H988" s="89"/>
      <c r="I988" s="89"/>
      <c r="J988" s="90"/>
      <c r="K988" s="89"/>
      <c r="L988" s="102"/>
    </row>
    <row r="989" spans="1:12" ht="15.75" thickBot="1">
      <c r="A989" s="89"/>
      <c r="B989" s="89"/>
      <c r="C989" s="89"/>
      <c r="D989" s="89"/>
      <c r="E989" s="89"/>
      <c r="F989" s="89"/>
      <c r="G989" s="89"/>
      <c r="H989" s="89"/>
      <c r="I989" s="89"/>
      <c r="J989" s="90"/>
      <c r="K989" s="89"/>
      <c r="L989" s="102"/>
    </row>
    <row r="990" spans="1:12" ht="15.75" thickBot="1">
      <c r="A990" s="89"/>
      <c r="B990" s="89"/>
      <c r="C990" s="89"/>
      <c r="D990" s="89"/>
      <c r="E990" s="89"/>
      <c r="F990" s="89"/>
      <c r="G990" s="89"/>
      <c r="H990" s="89"/>
      <c r="I990" s="89"/>
      <c r="J990" s="90"/>
      <c r="K990" s="89"/>
      <c r="L990" s="102"/>
    </row>
    <row r="991" spans="1:12" ht="15.75" thickBot="1">
      <c r="A991" s="89"/>
      <c r="B991" s="89"/>
      <c r="C991" s="89"/>
      <c r="D991" s="89"/>
      <c r="E991" s="89"/>
      <c r="F991" s="89"/>
      <c r="G991" s="89"/>
      <c r="H991" s="89"/>
      <c r="I991" s="89"/>
      <c r="J991" s="90"/>
      <c r="K991" s="89"/>
      <c r="L991" s="102"/>
    </row>
    <row r="992" spans="1:12" ht="15.75" thickBot="1">
      <c r="A992" s="89"/>
      <c r="B992" s="89"/>
      <c r="C992" s="89"/>
      <c r="D992" s="89"/>
      <c r="E992" s="89"/>
      <c r="F992" s="89"/>
      <c r="G992" s="89"/>
      <c r="H992" s="89"/>
      <c r="I992" s="89"/>
      <c r="J992" s="90"/>
      <c r="K992" s="89"/>
      <c r="L992" s="102"/>
    </row>
    <row r="993" spans="1:12" ht="15.75" thickBot="1">
      <c r="A993" s="89"/>
      <c r="B993" s="89"/>
      <c r="C993" s="89"/>
      <c r="D993" s="89"/>
      <c r="E993" s="89"/>
      <c r="F993" s="89"/>
      <c r="G993" s="89"/>
      <c r="H993" s="89"/>
      <c r="I993" s="89"/>
      <c r="J993" s="90"/>
      <c r="K993" s="89"/>
      <c r="L993" s="102"/>
    </row>
    <row r="994" spans="1:12" ht="15.75" thickBot="1">
      <c r="A994" s="89"/>
      <c r="B994" s="89"/>
      <c r="C994" s="89"/>
      <c r="D994" s="89"/>
      <c r="E994" s="89"/>
      <c r="F994" s="89"/>
      <c r="G994" s="89"/>
      <c r="H994" s="89"/>
      <c r="I994" s="89"/>
      <c r="J994" s="90"/>
      <c r="K994" s="89"/>
      <c r="L994" s="102"/>
    </row>
    <row r="995" spans="1:12" ht="15.75" thickBot="1">
      <c r="A995" s="89"/>
      <c r="B995" s="89"/>
      <c r="C995" s="89"/>
      <c r="D995" s="89"/>
      <c r="E995" s="89"/>
      <c r="F995" s="89"/>
      <c r="G995" s="89"/>
      <c r="H995" s="89"/>
      <c r="I995" s="89"/>
      <c r="J995" s="90"/>
      <c r="K995" s="89"/>
      <c r="L995" s="102"/>
    </row>
    <row r="996" spans="1:12" ht="15.75" thickBot="1">
      <c r="A996" s="89"/>
      <c r="B996" s="89"/>
      <c r="C996" s="89"/>
      <c r="D996" s="89"/>
      <c r="E996" s="89"/>
      <c r="F996" s="89"/>
      <c r="G996" s="89"/>
      <c r="H996" s="89"/>
      <c r="I996" s="89"/>
      <c r="J996" s="90"/>
      <c r="K996" s="89"/>
      <c r="L996" s="102"/>
    </row>
    <row r="997" spans="1:12" ht="15.75" thickBot="1">
      <c r="A997" s="89"/>
      <c r="B997" s="89"/>
      <c r="C997" s="89"/>
      <c r="D997" s="89"/>
      <c r="E997" s="89"/>
      <c r="F997" s="89"/>
      <c r="G997" s="89"/>
      <c r="H997" s="89"/>
      <c r="I997" s="89"/>
      <c r="J997" s="90"/>
      <c r="K997" s="89"/>
      <c r="L997" s="102"/>
    </row>
    <row r="998" spans="1:12" ht="15.75" thickBot="1">
      <c r="A998" s="89"/>
      <c r="B998" s="89"/>
      <c r="C998" s="89"/>
      <c r="D998" s="89"/>
      <c r="E998" s="89"/>
      <c r="F998" s="89"/>
      <c r="G998" s="89"/>
      <c r="H998" s="89"/>
      <c r="I998" s="89"/>
      <c r="J998" s="90"/>
      <c r="K998" s="89"/>
      <c r="L998" s="102"/>
    </row>
    <row r="999" spans="1:12" ht="15.75" thickBot="1">
      <c r="A999" s="89"/>
      <c r="B999" s="89"/>
      <c r="C999" s="89"/>
      <c r="D999" s="89"/>
      <c r="E999" s="89"/>
      <c r="F999" s="89"/>
      <c r="G999" s="89"/>
      <c r="H999" s="89"/>
      <c r="I999" s="89"/>
      <c r="J999" s="90"/>
      <c r="K999" s="89"/>
      <c r="L999" s="102"/>
    </row>
    <row r="1000" spans="1:12" ht="15.75" thickBot="1">
      <c r="A1000" s="89"/>
      <c r="B1000" s="89"/>
      <c r="C1000" s="89"/>
      <c r="D1000" s="89"/>
      <c r="E1000" s="89"/>
      <c r="F1000" s="89"/>
      <c r="G1000" s="89"/>
      <c r="H1000" s="89"/>
      <c r="I1000" s="89"/>
      <c r="J1000" s="90"/>
      <c r="K1000" s="89"/>
      <c r="L1000" s="102"/>
    </row>
    <row r="1001" spans="1:12" ht="15.75" thickBot="1">
      <c r="A1001" s="89"/>
      <c r="B1001" s="89"/>
      <c r="C1001" s="89"/>
      <c r="D1001" s="89"/>
      <c r="E1001" s="89"/>
      <c r="F1001" s="89"/>
      <c r="G1001" s="89"/>
      <c r="H1001" s="89"/>
      <c r="I1001" s="89"/>
      <c r="J1001" s="90"/>
      <c r="K1001" s="89"/>
      <c r="L1001" s="102"/>
    </row>
    <row r="1002" spans="1:12" ht="15.75" thickBot="1">
      <c r="A1002" s="89"/>
      <c r="B1002" s="89"/>
      <c r="C1002" s="89"/>
      <c r="D1002" s="89"/>
      <c r="E1002" s="89"/>
      <c r="F1002" s="89"/>
      <c r="G1002" s="89"/>
      <c r="H1002" s="89"/>
      <c r="I1002" s="89"/>
      <c r="J1002" s="90"/>
      <c r="K1002" s="89"/>
      <c r="L1002" s="102"/>
    </row>
  </sheetData>
  <mergeCells count="43">
    <mergeCell ref="K101:K104"/>
    <mergeCell ref="K106:K109"/>
    <mergeCell ref="K76:K79"/>
    <mergeCell ref="K81:K84"/>
    <mergeCell ref="K86:K89"/>
    <mergeCell ref="K91:K94"/>
    <mergeCell ref="K96:K99"/>
    <mergeCell ref="K71:K74"/>
    <mergeCell ref="K41:K44"/>
    <mergeCell ref="K46:K49"/>
    <mergeCell ref="K51:K54"/>
    <mergeCell ref="K56:K59"/>
    <mergeCell ref="K61:K64"/>
    <mergeCell ref="K66:K69"/>
    <mergeCell ref="K36:K39"/>
    <mergeCell ref="K2:K3"/>
    <mergeCell ref="K5:K8"/>
    <mergeCell ref="E9:E10"/>
    <mergeCell ref="I9:I10"/>
    <mergeCell ref="J9:J10"/>
    <mergeCell ref="K9:K10"/>
    <mergeCell ref="K11:K14"/>
    <mergeCell ref="K16:K19"/>
    <mergeCell ref="K21:K24"/>
    <mergeCell ref="K26:K29"/>
    <mergeCell ref="K31:K34"/>
    <mergeCell ref="B1:E1"/>
    <mergeCell ref="F1:I1"/>
    <mergeCell ref="J1:K1"/>
    <mergeCell ref="A2:A3"/>
    <mergeCell ref="E2:E3"/>
    <mergeCell ref="F2:F3"/>
    <mergeCell ref="G2:G3"/>
    <mergeCell ref="H2:H3"/>
    <mergeCell ref="I2:I3"/>
    <mergeCell ref="J2:J3"/>
    <mergeCell ref="K136:K139"/>
    <mergeCell ref="K141:K144"/>
    <mergeCell ref="K111:K114"/>
    <mergeCell ref="K116:K119"/>
    <mergeCell ref="K121:K124"/>
    <mergeCell ref="K126:K129"/>
    <mergeCell ref="K131:K134"/>
  </mergeCells>
  <pageMargins left="0.7" right="0.7" top="0.75" bottom="0.75" header="0.3" footer="0.3"/>
  <pageSetup orientation="portrait"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C4DB-A0D6-4B5E-BCF5-223A78008D33}">
  <sheetPr codeName="Sheet159">
    <pageSetUpPr fitToPage="1"/>
  </sheetPr>
  <dimension ref="A1:AQ36"/>
  <sheetViews>
    <sheetView workbookViewId="0">
      <selection sqref="A1:A2"/>
    </sheetView>
  </sheetViews>
  <sheetFormatPr defaultColWidth="8.85546875" defaultRowHeight="15.75"/>
  <cols>
    <col min="1" max="1" width="6.42578125" style="187" customWidth="1"/>
    <col min="2" max="2" width="21.85546875" style="151" bestFit="1" customWidth="1"/>
    <col min="3" max="18" width="9.28515625" style="151" customWidth="1"/>
    <col min="19" max="41" width="9.28515625" style="151" hidden="1" customWidth="1"/>
    <col min="42" max="42" width="10.85546875" style="150" customWidth="1"/>
    <col min="43" max="43" width="18" style="150" customWidth="1"/>
    <col min="44" max="16384" width="8.85546875" style="150"/>
  </cols>
  <sheetData>
    <row r="1" spans="1:43" ht="15.6" customHeight="1">
      <c r="A1" s="1308"/>
      <c r="B1" s="1251" t="s">
        <v>77</v>
      </c>
      <c r="C1" s="48" t="s">
        <v>87</v>
      </c>
      <c r="D1" s="48" t="s">
        <v>88</v>
      </c>
      <c r="E1" s="48" t="s">
        <v>89</v>
      </c>
      <c r="F1" s="48" t="s">
        <v>90</v>
      </c>
      <c r="G1" s="48" t="s">
        <v>91</v>
      </c>
      <c r="H1" s="48" t="s">
        <v>92</v>
      </c>
      <c r="I1" s="48" t="s">
        <v>93</v>
      </c>
      <c r="J1" s="48" t="s">
        <v>87</v>
      </c>
      <c r="K1" s="48" t="s">
        <v>88</v>
      </c>
      <c r="L1" s="48" t="s">
        <v>89</v>
      </c>
      <c r="M1" s="48" t="s">
        <v>90</v>
      </c>
      <c r="N1" s="48" t="s">
        <v>91</v>
      </c>
      <c r="O1" s="48" t="s">
        <v>92</v>
      </c>
      <c r="P1" s="48" t="s">
        <v>93</v>
      </c>
      <c r="Q1" s="48" t="s">
        <v>87</v>
      </c>
      <c r="R1" s="48" t="s">
        <v>88</v>
      </c>
      <c r="S1" s="48" t="s">
        <v>89</v>
      </c>
      <c r="T1" s="48" t="s">
        <v>90</v>
      </c>
      <c r="U1" s="48" t="s">
        <v>91</v>
      </c>
      <c r="V1" s="48" t="s">
        <v>92</v>
      </c>
      <c r="W1" s="48" t="s">
        <v>93</v>
      </c>
      <c r="X1" s="48" t="s">
        <v>87</v>
      </c>
      <c r="Y1" s="48" t="s">
        <v>88</v>
      </c>
      <c r="Z1" s="48" t="s">
        <v>89</v>
      </c>
      <c r="AA1" s="48" t="s">
        <v>90</v>
      </c>
      <c r="AB1" s="48" t="s">
        <v>91</v>
      </c>
      <c r="AC1" s="48" t="s">
        <v>92</v>
      </c>
      <c r="AD1" s="48" t="s">
        <v>93</v>
      </c>
      <c r="AE1" s="48" t="s">
        <v>87</v>
      </c>
      <c r="AF1" s="48" t="s">
        <v>88</v>
      </c>
      <c r="AG1" s="48" t="s">
        <v>89</v>
      </c>
      <c r="AH1" s="48" t="s">
        <v>90</v>
      </c>
      <c r="AI1" s="48" t="s">
        <v>91</v>
      </c>
      <c r="AJ1" s="48" t="s">
        <v>92</v>
      </c>
      <c r="AK1" s="48" t="s">
        <v>93</v>
      </c>
      <c r="AL1" s="48" t="s">
        <v>87</v>
      </c>
      <c r="AM1" s="48" t="s">
        <v>88</v>
      </c>
      <c r="AN1" s="48" t="s">
        <v>89</v>
      </c>
      <c r="AO1" s="48" t="s">
        <v>90</v>
      </c>
      <c r="AP1" s="1253" t="s">
        <v>31</v>
      </c>
      <c r="AQ1" s="1306" t="s">
        <v>94</v>
      </c>
    </row>
    <row r="2" spans="1:43" ht="15.6" customHeight="1">
      <c r="A2" s="1308"/>
      <c r="B2" s="1251"/>
      <c r="C2" s="47">
        <v>44459</v>
      </c>
      <c r="D2" s="47">
        <v>44460</v>
      </c>
      <c r="E2" s="47">
        <v>44461</v>
      </c>
      <c r="F2" s="47">
        <v>44462</v>
      </c>
      <c r="G2" s="47">
        <v>44463</v>
      </c>
      <c r="H2" s="47">
        <v>44464</v>
      </c>
      <c r="I2" s="47">
        <v>44465</v>
      </c>
      <c r="J2" s="47">
        <v>44466</v>
      </c>
      <c r="K2" s="47">
        <v>44467</v>
      </c>
      <c r="L2" s="47">
        <v>44468</v>
      </c>
      <c r="M2" s="47">
        <v>44469</v>
      </c>
      <c r="N2" s="47">
        <v>44470</v>
      </c>
      <c r="O2" s="47">
        <v>44471</v>
      </c>
      <c r="P2" s="47">
        <v>44472</v>
      </c>
      <c r="Q2" s="47">
        <v>44473</v>
      </c>
      <c r="R2" s="47">
        <v>44474</v>
      </c>
      <c r="S2" s="47">
        <v>44475</v>
      </c>
      <c r="T2" s="47">
        <v>44476</v>
      </c>
      <c r="U2" s="47">
        <v>44477</v>
      </c>
      <c r="V2" s="47">
        <v>44478</v>
      </c>
      <c r="W2" s="47">
        <v>44479</v>
      </c>
      <c r="X2" s="47">
        <v>44480</v>
      </c>
      <c r="Y2" s="47">
        <v>44481</v>
      </c>
      <c r="Z2" s="47">
        <v>44482</v>
      </c>
      <c r="AA2" s="47">
        <v>44483</v>
      </c>
      <c r="AB2" s="47">
        <v>44484</v>
      </c>
      <c r="AC2" s="47">
        <v>44485</v>
      </c>
      <c r="AD2" s="47">
        <v>44486</v>
      </c>
      <c r="AE2" s="47">
        <v>44487</v>
      </c>
      <c r="AF2" s="47">
        <v>44488</v>
      </c>
      <c r="AG2" s="47">
        <v>44489</v>
      </c>
      <c r="AH2" s="47">
        <v>44490</v>
      </c>
      <c r="AI2" s="47">
        <v>44491</v>
      </c>
      <c r="AJ2" s="47">
        <v>44492</v>
      </c>
      <c r="AK2" s="47">
        <v>44493</v>
      </c>
      <c r="AL2" s="47">
        <v>44494</v>
      </c>
      <c r="AM2" s="47">
        <v>44495</v>
      </c>
      <c r="AN2" s="47">
        <v>44496</v>
      </c>
      <c r="AO2" s="47">
        <v>44497</v>
      </c>
      <c r="AP2" s="1254"/>
      <c r="AQ2" s="1307"/>
    </row>
    <row r="3" spans="1:43" ht="12.6" customHeight="1">
      <c r="A3" s="187">
        <v>1</v>
      </c>
      <c r="B3" s="49" t="s">
        <v>62</v>
      </c>
      <c r="C3" s="51"/>
      <c r="D3" s="51"/>
      <c r="E3" s="107">
        <f>'9.22.21'!H22</f>
        <v>2300</v>
      </c>
      <c r="F3" s="51"/>
      <c r="G3" s="51"/>
      <c r="H3" s="51"/>
      <c r="I3" s="51"/>
      <c r="J3" s="51">
        <f>'9.27.21'!H21</f>
        <v>2050</v>
      </c>
      <c r="K3" s="51"/>
      <c r="L3" s="51"/>
      <c r="M3" s="51">
        <f>'9.30.21'!H9+'9.30.21'!H18</f>
        <v>4190</v>
      </c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2">
        <f>SUM(C3:AO3)</f>
        <v>8540</v>
      </c>
      <c r="AQ3" s="52">
        <f>100000-AP3</f>
        <v>91460</v>
      </c>
    </row>
    <row r="4" spans="1:43" ht="12.6" customHeight="1">
      <c r="A4" s="187">
        <v>2</v>
      </c>
      <c r="B4" s="49" t="s">
        <v>66</v>
      </c>
      <c r="C4" s="107">
        <f>'9.20.21'!H10+'9.20.21'!H23</f>
        <v>4000</v>
      </c>
      <c r="D4" s="107">
        <f>'9.21.21'!H10+'9.21.21'!H22</f>
        <v>4000</v>
      </c>
      <c r="E4" s="107">
        <f>'9.22.21'!H10+'9.22.21'!H20</f>
        <v>4650</v>
      </c>
      <c r="F4" s="107">
        <f>'9.23.21'!H10</f>
        <v>1500</v>
      </c>
      <c r="G4" s="107">
        <f>'9.24.21'!H9+'9.24.21'!H19</f>
        <v>3000</v>
      </c>
      <c r="H4" s="51"/>
      <c r="I4" s="51"/>
      <c r="J4" s="51"/>
      <c r="K4" s="51"/>
      <c r="L4" s="51"/>
      <c r="M4" s="51"/>
      <c r="N4" s="51">
        <f>'10.1.21'!H9+'10.1.21'!H18</f>
        <v>3000</v>
      </c>
      <c r="O4" s="51"/>
      <c r="P4" s="51">
        <f>'10.3.21'!H30</f>
        <v>1840</v>
      </c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2">
        <f>SUM(C4:AO4)</f>
        <v>21990</v>
      </c>
      <c r="AQ4" s="52">
        <f>100000-AP4</f>
        <v>78010</v>
      </c>
    </row>
    <row r="5" spans="1:43" ht="12.6" customHeight="1">
      <c r="A5" s="187">
        <v>3</v>
      </c>
      <c r="B5" s="49" t="s">
        <v>69</v>
      </c>
      <c r="C5" s="118">
        <f>'9.20.21'!H16+'9.20.21'!H29</f>
        <v>4570</v>
      </c>
      <c r="D5" s="118">
        <f>'9.21.21'!H11+'9.21.21'!H25</f>
        <v>4000</v>
      </c>
      <c r="E5" s="118"/>
      <c r="F5" s="118">
        <f>'9.23.21'!H23</f>
        <v>2720</v>
      </c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2">
        <f t="shared" ref="AP5:AP31" si="0">SUM(C5:AO5)</f>
        <v>11290</v>
      </c>
      <c r="AQ5" s="52">
        <f t="shared" ref="AQ5:AQ31" si="1">100000-AP5</f>
        <v>88710</v>
      </c>
    </row>
    <row r="6" spans="1:43" ht="12.6" customHeight="1">
      <c r="A6" s="187">
        <v>4</v>
      </c>
      <c r="B6" s="49" t="s">
        <v>12</v>
      </c>
      <c r="C6" s="51"/>
      <c r="D6" s="51"/>
      <c r="E6" s="51"/>
      <c r="F6" s="51"/>
      <c r="G6" s="51"/>
      <c r="H6" s="51"/>
      <c r="I6" s="118">
        <f>'9.26.21'!H30</f>
        <v>1840</v>
      </c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2">
        <f t="shared" si="0"/>
        <v>1840</v>
      </c>
      <c r="AQ6" s="52">
        <f t="shared" si="1"/>
        <v>98160</v>
      </c>
    </row>
    <row r="7" spans="1:43" ht="12.6" customHeight="1">
      <c r="A7" s="187">
        <v>5</v>
      </c>
      <c r="B7" s="49" t="s">
        <v>58</v>
      </c>
      <c r="C7" s="118"/>
      <c r="D7" s="118">
        <f>'9.21.21'!H12+'9.21.21'!H24</f>
        <v>4260</v>
      </c>
      <c r="E7" s="118"/>
      <c r="F7" s="118">
        <f>'9.23.21'!H11+'9.23.21'!H20+'9.23.21'!H31</f>
        <v>5710</v>
      </c>
      <c r="G7" s="118"/>
      <c r="H7" s="118">
        <f>'9.25.21'!H29</f>
        <v>1230</v>
      </c>
      <c r="I7" s="118">
        <f>'9.26.21'!H29</f>
        <v>2000</v>
      </c>
      <c r="J7" s="51"/>
      <c r="K7" s="51"/>
      <c r="L7" s="51">
        <f>'9.29.21'!H10+'9.29.21'!H19</f>
        <v>4450</v>
      </c>
      <c r="M7" s="51"/>
      <c r="N7" s="51"/>
      <c r="O7" s="51"/>
      <c r="P7" s="51">
        <f>'10.3.21'!H29</f>
        <v>1940</v>
      </c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2">
        <f t="shared" si="0"/>
        <v>19590</v>
      </c>
      <c r="AQ7" s="52">
        <f t="shared" si="1"/>
        <v>80410</v>
      </c>
    </row>
    <row r="8" spans="1:43" ht="12.6" customHeight="1">
      <c r="A8" s="187">
        <v>6</v>
      </c>
      <c r="B8" s="49" t="s">
        <v>70</v>
      </c>
      <c r="C8" s="51"/>
      <c r="D8" s="51"/>
      <c r="E8" s="107">
        <f>'9.22.21'!H11+'9.22.21'!H21</f>
        <v>4350</v>
      </c>
      <c r="F8" s="107"/>
      <c r="G8" s="107">
        <f>'9.24.21'!H11+'9.24.21'!H20+'9.24.21'!H29</f>
        <v>5190</v>
      </c>
      <c r="H8" s="51"/>
      <c r="I8" s="51"/>
      <c r="J8" s="51">
        <f>'9.27.21'!H12+'9.27.21'!H18+'9.27.21'!H27</f>
        <v>5270</v>
      </c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2">
        <f t="shared" si="0"/>
        <v>14810</v>
      </c>
      <c r="AQ8" s="52">
        <f t="shared" si="1"/>
        <v>85190</v>
      </c>
    </row>
    <row r="9" spans="1:43" ht="12.6" customHeight="1">
      <c r="A9" s="187">
        <v>7</v>
      </c>
      <c r="B9" s="49" t="s">
        <v>63</v>
      </c>
      <c r="C9" s="118">
        <f>'9.20.21'!H13+'9.20.21'!H26</f>
        <v>4280</v>
      </c>
      <c r="D9" s="118"/>
      <c r="E9" s="118"/>
      <c r="F9" s="118"/>
      <c r="G9" s="118">
        <f>'9.24.21'!H13+'9.24.21'!H23</f>
        <v>4300</v>
      </c>
      <c r="H9" s="51"/>
      <c r="I9" s="51"/>
      <c r="J9" s="51">
        <f>'9.27.21'!H10+'9.27.21'!H19</f>
        <v>4610</v>
      </c>
      <c r="K9" s="51"/>
      <c r="L9" s="51"/>
      <c r="M9" s="51">
        <f>'9.30.21'!H12</f>
        <v>2610</v>
      </c>
      <c r="N9" s="51">
        <f>'10.1.21'!H10+'10.1.21'!H19</f>
        <v>4770</v>
      </c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2">
        <f t="shared" si="0"/>
        <v>20570</v>
      </c>
      <c r="AQ9" s="52">
        <f t="shared" si="1"/>
        <v>79430</v>
      </c>
    </row>
    <row r="10" spans="1:43" ht="12.6" customHeight="1">
      <c r="A10" s="187">
        <v>8</v>
      </c>
      <c r="B10" s="50" t="s">
        <v>65</v>
      </c>
      <c r="C10" s="118">
        <f>'9.20.21'!H27</f>
        <v>2000</v>
      </c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2">
        <f t="shared" si="0"/>
        <v>2000</v>
      </c>
      <c r="AQ10" s="52">
        <f t="shared" si="1"/>
        <v>98000</v>
      </c>
    </row>
    <row r="11" spans="1:43" ht="12.6" customHeight="1">
      <c r="A11" s="187">
        <v>9</v>
      </c>
      <c r="B11" s="49" t="s">
        <v>68</v>
      </c>
      <c r="C11" s="51"/>
      <c r="D11" s="51"/>
      <c r="E11" s="51"/>
      <c r="F11" s="51"/>
      <c r="G11" s="51"/>
      <c r="H11" s="51"/>
      <c r="I11" s="51"/>
      <c r="J11" s="51"/>
      <c r="K11" s="51">
        <f>'9.28.21'!H10</f>
        <v>1500</v>
      </c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2">
        <f t="shared" si="0"/>
        <v>1500</v>
      </c>
      <c r="AQ11" s="52">
        <f t="shared" si="1"/>
        <v>98500</v>
      </c>
    </row>
    <row r="12" spans="1:43" ht="12.6" customHeight="1">
      <c r="A12" s="187">
        <v>10</v>
      </c>
      <c r="B12" s="49" t="s">
        <v>53</v>
      </c>
      <c r="C12" s="107">
        <f>'9.20.21'!H12</f>
        <v>500</v>
      </c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2">
        <f t="shared" si="0"/>
        <v>500</v>
      </c>
      <c r="AQ12" s="52">
        <f t="shared" si="1"/>
        <v>99500</v>
      </c>
    </row>
    <row r="13" spans="1:43" ht="12.6" customHeight="1">
      <c r="A13" s="187">
        <v>11</v>
      </c>
      <c r="B13" s="49" t="s">
        <v>45</v>
      </c>
      <c r="C13" s="107">
        <f>'9.20.21'!H9+'9.20.21'!H22</f>
        <v>9250</v>
      </c>
      <c r="D13" s="107">
        <f>'9.21.21'!H13+'9.21.21'!H23</f>
        <v>6130</v>
      </c>
      <c r="E13" s="107">
        <f>'9.22.21'!H9</f>
        <v>4320</v>
      </c>
      <c r="F13" s="107">
        <f>'9.23.21'!H9</f>
        <v>4330</v>
      </c>
      <c r="G13" s="107">
        <f>'9.24.21'!H10</f>
        <v>3760</v>
      </c>
      <c r="H13" s="51"/>
      <c r="I13" s="51"/>
      <c r="J13" s="51">
        <f>'9.27.21'!H9</f>
        <v>2470</v>
      </c>
      <c r="K13" s="51">
        <f>'9.28.21'!H11</f>
        <v>3260</v>
      </c>
      <c r="L13" s="51">
        <f>'9.29.21'!H9</f>
        <v>3120</v>
      </c>
      <c r="M13" s="51">
        <f>'9.30.21'!H10</f>
        <v>3320</v>
      </c>
      <c r="N13" s="51">
        <f>'10.1.21'!H12</f>
        <v>2540</v>
      </c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2">
        <f t="shared" si="0"/>
        <v>42500</v>
      </c>
      <c r="AQ13" s="52">
        <f t="shared" si="1"/>
        <v>57500</v>
      </c>
    </row>
    <row r="14" spans="1:43" ht="12.6" customHeight="1">
      <c r="B14" s="49" t="s">
        <v>51</v>
      </c>
      <c r="C14" s="118">
        <f>'9.20.21'!H11+'9.20.21'!H24</f>
        <v>4000</v>
      </c>
      <c r="D14" s="118">
        <f>'9.21.21'!H15+'9.21.21'!H26</f>
        <v>4000</v>
      </c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2">
        <f t="shared" si="0"/>
        <v>8000</v>
      </c>
      <c r="AQ14" s="52">
        <f t="shared" si="1"/>
        <v>92000</v>
      </c>
    </row>
    <row r="15" spans="1:43" ht="12.6" customHeight="1">
      <c r="B15" s="49" t="s">
        <v>43</v>
      </c>
      <c r="C15" s="51"/>
      <c r="D15" s="51"/>
      <c r="E15" s="51"/>
      <c r="F15" s="51"/>
      <c r="G15" s="51"/>
      <c r="H15" s="107">
        <f>'9.25.21'!H30</f>
        <v>1770</v>
      </c>
      <c r="I15" s="51"/>
      <c r="J15" s="51">
        <f>'9.27.21'!H11</f>
        <v>2350</v>
      </c>
      <c r="K15" s="51"/>
      <c r="L15" s="51"/>
      <c r="M15" s="51"/>
      <c r="N15" s="51"/>
      <c r="O15" s="51">
        <f>'10.2.21'!H29</f>
        <v>1770</v>
      </c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2">
        <f t="shared" si="0"/>
        <v>5890</v>
      </c>
      <c r="AQ15" s="52">
        <f t="shared" si="1"/>
        <v>94110</v>
      </c>
    </row>
    <row r="16" spans="1:43" ht="12.6" customHeight="1">
      <c r="B16" s="49" t="s">
        <v>49</v>
      </c>
      <c r="C16" s="51"/>
      <c r="D16" s="51"/>
      <c r="E16" s="51"/>
      <c r="F16" s="51"/>
      <c r="G16" s="51"/>
      <c r="H16" s="51"/>
      <c r="I16" s="51"/>
      <c r="J16" s="51"/>
      <c r="K16" s="51">
        <f>'9.28.21'!H19</f>
        <v>2170</v>
      </c>
      <c r="L16" s="51">
        <f>'9.29.21'!H18</f>
        <v>3790</v>
      </c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2">
        <f t="shared" si="0"/>
        <v>5960</v>
      </c>
      <c r="AQ16" s="52">
        <f t="shared" si="1"/>
        <v>94040</v>
      </c>
    </row>
    <row r="17" spans="2:43" ht="12.6" customHeight="1">
      <c r="B17" s="49" t="s">
        <v>78</v>
      </c>
      <c r="C17" s="118"/>
      <c r="D17" s="118"/>
      <c r="E17" s="118">
        <f>'9.22.21'!H13+'9.22.21'!H23</f>
        <v>4450</v>
      </c>
      <c r="F17" s="118">
        <f>'9.23.21'!H13+'9.23.21'!H24</f>
        <v>4210</v>
      </c>
      <c r="G17" s="118">
        <f>'9.24.21'!H12+'9.24.21'!H21</f>
        <v>3260</v>
      </c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2">
        <f t="shared" si="0"/>
        <v>11920</v>
      </c>
      <c r="AQ17" s="52">
        <f t="shared" si="1"/>
        <v>88080</v>
      </c>
    </row>
    <row r="18" spans="2:43" ht="12.6" customHeight="1">
      <c r="B18" s="49" t="s">
        <v>129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>
        <f>'9.30.21'!H11+'9.30.21'!H20+'9.30.21'!H27</f>
        <v>6300</v>
      </c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2">
        <f t="shared" si="0"/>
        <v>6300</v>
      </c>
      <c r="AQ18" s="52">
        <f t="shared" si="1"/>
        <v>93700</v>
      </c>
    </row>
    <row r="19" spans="2:43" ht="12.6" customHeight="1">
      <c r="B19" s="49" t="s">
        <v>79</v>
      </c>
      <c r="C19" s="107">
        <f>'9.20.21'!H15</f>
        <v>2050</v>
      </c>
      <c r="D19" s="107">
        <f>'9.21.21'!H9</f>
        <v>2200</v>
      </c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2">
        <f t="shared" si="0"/>
        <v>4250</v>
      </c>
      <c r="AQ19" s="52">
        <f t="shared" si="1"/>
        <v>95750</v>
      </c>
    </row>
    <row r="20" spans="2:43" ht="12.6" customHeight="1">
      <c r="B20" s="49" t="s">
        <v>80</v>
      </c>
      <c r="C20" s="51"/>
      <c r="D20" s="51"/>
      <c r="E20" s="51"/>
      <c r="F20" s="118">
        <f>'9.23.21'!H22+'9.23.21'!H30</f>
        <v>2500</v>
      </c>
      <c r="G20" s="118">
        <f>'9.24.21'!H30</f>
        <v>1230</v>
      </c>
      <c r="H20" s="51"/>
      <c r="I20" s="51"/>
      <c r="J20" s="51"/>
      <c r="K20" s="51">
        <f>'9.28.21'!H9+'9.28.21'!H18</f>
        <v>4100</v>
      </c>
      <c r="L20" s="51">
        <f>'9.29.21'!H12+'9.29.21'!H21+'9.29.21'!H28</f>
        <v>6500</v>
      </c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2">
        <f t="shared" si="0"/>
        <v>14330</v>
      </c>
      <c r="AQ20" s="52">
        <f t="shared" si="1"/>
        <v>85670</v>
      </c>
    </row>
    <row r="21" spans="2:43" ht="12.6" customHeight="1">
      <c r="B21" s="49" t="s">
        <v>130</v>
      </c>
      <c r="C21" s="53"/>
      <c r="D21" s="53"/>
      <c r="E21" s="53"/>
      <c r="F21" s="53"/>
      <c r="G21" s="118">
        <f>'9.24.21'!H22</f>
        <v>1900</v>
      </c>
      <c r="H21" s="53"/>
      <c r="I21" s="53"/>
      <c r="J21" s="53"/>
      <c r="K21" s="53">
        <f>'9.28.21'!H12+'9.28.21'!H21+'9.28.21'!H28</f>
        <v>6190</v>
      </c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2">
        <f t="shared" si="0"/>
        <v>8090</v>
      </c>
      <c r="AQ21" s="52">
        <f t="shared" si="1"/>
        <v>91910</v>
      </c>
    </row>
    <row r="22" spans="2:43" ht="12.6" customHeight="1">
      <c r="B22" s="49" t="s">
        <v>44</v>
      </c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>
        <f>'10.1.21'!H11+'10.1.21'!H20+'10.1.21'!H27</f>
        <v>7040</v>
      </c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2">
        <f t="shared" si="0"/>
        <v>7040</v>
      </c>
      <c r="AQ22" s="52">
        <f t="shared" si="1"/>
        <v>92960</v>
      </c>
    </row>
    <row r="23" spans="2:43" ht="12.6" customHeight="1">
      <c r="B23" s="49" t="s">
        <v>143</v>
      </c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2">
        <f t="shared" si="0"/>
        <v>0</v>
      </c>
      <c r="AQ23" s="52">
        <f t="shared" si="1"/>
        <v>100000</v>
      </c>
    </row>
    <row r="24" spans="2:43" ht="12.6" customHeight="1">
      <c r="B24" s="49" t="s">
        <v>81</v>
      </c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>
        <f>'10.1.21'!H21+'10.1.21'!H28</f>
        <v>2960</v>
      </c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2">
        <f t="shared" si="0"/>
        <v>2960</v>
      </c>
      <c r="AQ24" s="52">
        <f t="shared" si="1"/>
        <v>97040</v>
      </c>
    </row>
    <row r="25" spans="2:43" ht="12.6" customHeight="1">
      <c r="B25" s="49" t="s">
        <v>82</v>
      </c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>
        <f>'9.30.21'!H21+'9.30.21'!H28</f>
        <v>4790</v>
      </c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2">
        <f t="shared" si="0"/>
        <v>4790</v>
      </c>
      <c r="AQ25" s="52">
        <f t="shared" si="1"/>
        <v>95210</v>
      </c>
    </row>
    <row r="26" spans="2:43" ht="12.6" customHeight="1">
      <c r="B26" s="49" t="s">
        <v>83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2">
        <f t="shared" si="0"/>
        <v>0</v>
      </c>
      <c r="AQ26" s="52">
        <f t="shared" si="1"/>
        <v>100000</v>
      </c>
    </row>
    <row r="27" spans="2:43" ht="12.6" customHeight="1">
      <c r="B27" s="49" t="s">
        <v>159</v>
      </c>
      <c r="C27" s="118"/>
      <c r="D27" s="118"/>
      <c r="E27" s="118">
        <f>'9.22.21'!H12</f>
        <v>1520</v>
      </c>
      <c r="F27" s="118">
        <f>'9.23.21'!H12+'9.23.21'!H21+'9.23.21'!H32</f>
        <v>4310</v>
      </c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2">
        <f t="shared" si="0"/>
        <v>5830</v>
      </c>
      <c r="AQ27" s="52">
        <f t="shared" si="1"/>
        <v>94170</v>
      </c>
    </row>
    <row r="28" spans="2:43" ht="12.6" customHeight="1">
      <c r="B28" s="49" t="s">
        <v>145</v>
      </c>
      <c r="C28" s="51"/>
      <c r="D28" s="118">
        <f>'9.21.21'!H14+'9.21.21'!H27</f>
        <v>4000</v>
      </c>
      <c r="E28" s="51"/>
      <c r="F28" s="51"/>
      <c r="G28" s="51"/>
      <c r="H28" s="51"/>
      <c r="I28" s="51"/>
      <c r="J28" s="51"/>
      <c r="K28" s="51">
        <f>'9.28.21'!H20+'9.28.21'!H27</f>
        <v>4590</v>
      </c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2">
        <f t="shared" si="0"/>
        <v>8590</v>
      </c>
      <c r="AQ28" s="52">
        <f t="shared" si="1"/>
        <v>91410</v>
      </c>
    </row>
    <row r="29" spans="2:43" ht="12.6" customHeight="1">
      <c r="B29" s="49" t="s">
        <v>84</v>
      </c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>
        <f>'9.30.21'!H19</f>
        <v>2350</v>
      </c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2">
        <f t="shared" si="0"/>
        <v>2350</v>
      </c>
      <c r="AQ29" s="52">
        <f t="shared" si="1"/>
        <v>97650</v>
      </c>
    </row>
    <row r="30" spans="2:43" ht="12.6" customHeight="1">
      <c r="B30" s="49" t="s">
        <v>144</v>
      </c>
      <c r="C30" s="51"/>
      <c r="D30" s="51"/>
      <c r="E30" s="118">
        <f>'9.22.21'!H14+'9.22.21'!H24</f>
        <v>5670</v>
      </c>
      <c r="F30" s="118">
        <f>'9.23.21'!H14</f>
        <v>3570</v>
      </c>
      <c r="G30" s="51"/>
      <c r="H30" s="51"/>
      <c r="I30" s="51"/>
      <c r="J30" s="51">
        <f>'9.27.21'!H20+'9.27.21'!H28</f>
        <v>6920</v>
      </c>
      <c r="K30" s="51"/>
      <c r="L30" s="51">
        <f>'9.29.21'!H11+'9.29.21'!H20+'9.29.21'!H27</f>
        <v>10420</v>
      </c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2">
        <f t="shared" si="0"/>
        <v>26580</v>
      </c>
      <c r="AQ30" s="52">
        <f t="shared" si="1"/>
        <v>73420</v>
      </c>
    </row>
    <row r="31" spans="2:43" ht="12.6" customHeight="1">
      <c r="B31" s="49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2">
        <f t="shared" si="0"/>
        <v>0</v>
      </c>
      <c r="AQ31" s="52">
        <f t="shared" si="1"/>
        <v>100000</v>
      </c>
    </row>
    <row r="32" spans="2:43" ht="17.45" customHeight="1" thickBot="1">
      <c r="B32" s="46" t="s">
        <v>24</v>
      </c>
      <c r="C32" s="54">
        <f t="shared" ref="C32:M32" si="2">SUM(C3:C31)</f>
        <v>30650</v>
      </c>
      <c r="D32" s="54">
        <f t="shared" si="2"/>
        <v>28590</v>
      </c>
      <c r="E32" s="54">
        <f t="shared" si="2"/>
        <v>27260</v>
      </c>
      <c r="F32" s="54">
        <f t="shared" si="2"/>
        <v>28850</v>
      </c>
      <c r="G32" s="54">
        <f t="shared" si="2"/>
        <v>22640</v>
      </c>
      <c r="H32" s="54">
        <f t="shared" si="2"/>
        <v>3000</v>
      </c>
      <c r="I32" s="54">
        <f t="shared" si="2"/>
        <v>3840</v>
      </c>
      <c r="J32" s="54">
        <f t="shared" si="2"/>
        <v>23670</v>
      </c>
      <c r="K32" s="54">
        <f t="shared" si="2"/>
        <v>21810</v>
      </c>
      <c r="L32" s="54">
        <f t="shared" si="2"/>
        <v>28280</v>
      </c>
      <c r="M32" s="54">
        <f t="shared" si="2"/>
        <v>23560</v>
      </c>
      <c r="N32" s="54">
        <f>SUM(N3:N31)</f>
        <v>20310</v>
      </c>
      <c r="O32" s="54">
        <f>SUM(O3:O31)</f>
        <v>1770</v>
      </c>
      <c r="P32" s="54">
        <f>SUM(P3:P31)</f>
        <v>3780</v>
      </c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5">
        <f>SUM(AP3:AP31)</f>
        <v>268010</v>
      </c>
      <c r="AQ32" s="55">
        <f>SUM(AQ3:AQ31)</f>
        <v>2631990</v>
      </c>
    </row>
    <row r="33" spans="2:43" ht="16.5" thickTop="1">
      <c r="B33" s="151" t="s">
        <v>85</v>
      </c>
      <c r="C33" s="56">
        <v>30650</v>
      </c>
      <c r="D33" s="56">
        <v>28590</v>
      </c>
      <c r="E33" s="56">
        <v>27260</v>
      </c>
      <c r="F33" s="56">
        <v>28850</v>
      </c>
      <c r="G33" s="56">
        <v>22640</v>
      </c>
      <c r="H33" s="56">
        <v>3000</v>
      </c>
      <c r="I33" s="56">
        <v>3840</v>
      </c>
      <c r="J33" s="56">
        <v>23670</v>
      </c>
      <c r="K33" s="56">
        <v>21810</v>
      </c>
      <c r="L33" s="56">
        <v>28280</v>
      </c>
      <c r="M33" s="56">
        <v>23560</v>
      </c>
      <c r="N33" s="56">
        <v>20310</v>
      </c>
      <c r="O33" s="56">
        <v>1770</v>
      </c>
      <c r="P33" s="56">
        <v>3780</v>
      </c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7"/>
      <c r="AQ33" s="57"/>
    </row>
    <row r="34" spans="2:43">
      <c r="B34" s="151" t="s">
        <v>86</v>
      </c>
      <c r="C34" s="151">
        <f>C32-C33</f>
        <v>0</v>
      </c>
      <c r="D34" s="151">
        <f t="shared" ref="D34:AO34" si="3">D32-D33</f>
        <v>0</v>
      </c>
      <c r="E34" s="151">
        <f t="shared" si="3"/>
        <v>0</v>
      </c>
      <c r="F34" s="151">
        <f t="shared" si="3"/>
        <v>0</v>
      </c>
      <c r="G34" s="151">
        <f t="shared" si="3"/>
        <v>0</v>
      </c>
      <c r="H34" s="151">
        <f t="shared" si="3"/>
        <v>0</v>
      </c>
      <c r="I34" s="151">
        <f t="shared" si="3"/>
        <v>0</v>
      </c>
      <c r="J34" s="151">
        <f t="shared" si="3"/>
        <v>0</v>
      </c>
      <c r="K34" s="151">
        <f t="shared" si="3"/>
        <v>0</v>
      </c>
      <c r="L34" s="151">
        <f t="shared" si="3"/>
        <v>0</v>
      </c>
      <c r="M34" s="151">
        <f t="shared" si="3"/>
        <v>0</v>
      </c>
      <c r="N34" s="151">
        <f t="shared" si="3"/>
        <v>0</v>
      </c>
      <c r="O34" s="151">
        <f t="shared" si="3"/>
        <v>0</v>
      </c>
      <c r="P34" s="151">
        <f t="shared" si="3"/>
        <v>0</v>
      </c>
      <c r="Q34" s="151">
        <f t="shared" si="3"/>
        <v>0</v>
      </c>
      <c r="R34" s="151">
        <f t="shared" si="3"/>
        <v>0</v>
      </c>
      <c r="S34" s="151">
        <f t="shared" si="3"/>
        <v>0</v>
      </c>
      <c r="T34" s="151">
        <f t="shared" si="3"/>
        <v>0</v>
      </c>
      <c r="U34" s="151">
        <f t="shared" si="3"/>
        <v>0</v>
      </c>
      <c r="V34" s="151">
        <f t="shared" si="3"/>
        <v>0</v>
      </c>
      <c r="W34" s="151">
        <f t="shared" si="3"/>
        <v>0</v>
      </c>
      <c r="X34" s="151">
        <f t="shared" si="3"/>
        <v>0</v>
      </c>
      <c r="Y34" s="151">
        <f t="shared" si="3"/>
        <v>0</v>
      </c>
      <c r="Z34" s="151">
        <f t="shared" si="3"/>
        <v>0</v>
      </c>
      <c r="AA34" s="151">
        <f t="shared" si="3"/>
        <v>0</v>
      </c>
      <c r="AB34" s="151">
        <f t="shared" si="3"/>
        <v>0</v>
      </c>
      <c r="AC34" s="151">
        <f t="shared" si="3"/>
        <v>0</v>
      </c>
      <c r="AD34" s="151">
        <f t="shared" si="3"/>
        <v>0</v>
      </c>
      <c r="AE34" s="151">
        <f t="shared" si="3"/>
        <v>0</v>
      </c>
      <c r="AF34" s="151">
        <f t="shared" si="3"/>
        <v>0</v>
      </c>
      <c r="AG34" s="151">
        <f t="shared" si="3"/>
        <v>0</v>
      </c>
      <c r="AH34" s="151">
        <f t="shared" si="3"/>
        <v>0</v>
      </c>
      <c r="AI34" s="151">
        <f t="shared" si="3"/>
        <v>0</v>
      </c>
      <c r="AJ34" s="151">
        <f t="shared" si="3"/>
        <v>0</v>
      </c>
      <c r="AK34" s="151">
        <f t="shared" si="3"/>
        <v>0</v>
      </c>
      <c r="AL34" s="151">
        <f t="shared" si="3"/>
        <v>0</v>
      </c>
      <c r="AM34" s="151">
        <f t="shared" si="3"/>
        <v>0</v>
      </c>
      <c r="AN34" s="151">
        <f t="shared" si="3"/>
        <v>0</v>
      </c>
      <c r="AO34" s="151">
        <f t="shared" si="3"/>
        <v>0</v>
      </c>
    </row>
    <row r="35" spans="2:43">
      <c r="C35" s="108"/>
      <c r="D35" s="108"/>
      <c r="E35" s="108" t="s">
        <v>157</v>
      </c>
      <c r="F35" s="108"/>
      <c r="G35" s="108"/>
    </row>
    <row r="36" spans="2:43">
      <c r="C36" s="119"/>
      <c r="D36" s="119"/>
      <c r="E36" s="119" t="s">
        <v>158</v>
      </c>
      <c r="F36" s="119"/>
      <c r="G36" s="119"/>
    </row>
  </sheetData>
  <autoFilter ref="A1:B2" xr:uid="{0D89D181-9C95-407E-9AF6-9C9F0F413871}">
    <sortState ref="A4:B36">
      <sortCondition ref="A1:A2"/>
    </sortState>
  </autoFilter>
  <mergeCells count="4">
    <mergeCell ref="B1:B2"/>
    <mergeCell ref="AP1:AP2"/>
    <mergeCell ref="AQ1:AQ2"/>
    <mergeCell ref="A1:A2"/>
  </mergeCells>
  <conditionalFormatting sqref="AQ3:AQ10 AQ12:AQ15 AQ17 AQ19:AQ23 AQ26:AQ28 AQ30:AQ31">
    <cfRule type="cellIs" dxfId="22" priority="21" operator="lessThan">
      <formula>20000</formula>
    </cfRule>
    <cfRule type="cellIs" dxfId="21" priority="22" operator="lessThan">
      <formula>25000</formula>
    </cfRule>
    <cfRule type="cellIs" dxfId="20" priority="23" operator="lessThan">
      <formula>50000</formula>
    </cfRule>
  </conditionalFormatting>
  <conditionalFormatting sqref="AQ11">
    <cfRule type="cellIs" dxfId="19" priority="18" operator="lessThan">
      <formula>20000</formula>
    </cfRule>
    <cfRule type="cellIs" dxfId="18" priority="19" operator="lessThan">
      <formula>25000</formula>
    </cfRule>
    <cfRule type="cellIs" dxfId="17" priority="20" operator="lessThan">
      <formula>50000</formula>
    </cfRule>
  </conditionalFormatting>
  <conditionalFormatting sqref="AQ16">
    <cfRule type="cellIs" dxfId="16" priority="15" operator="lessThan">
      <formula>20000</formula>
    </cfRule>
    <cfRule type="cellIs" dxfId="15" priority="16" operator="lessThan">
      <formula>25000</formula>
    </cfRule>
    <cfRule type="cellIs" dxfId="14" priority="17" operator="lessThan">
      <formula>50000</formula>
    </cfRule>
  </conditionalFormatting>
  <conditionalFormatting sqref="C34:AM34">
    <cfRule type="cellIs" dxfId="13" priority="13" operator="lessThan">
      <formula>0</formula>
    </cfRule>
    <cfRule type="cellIs" dxfId="12" priority="14" operator="greaterThan">
      <formula>0</formula>
    </cfRule>
  </conditionalFormatting>
  <conditionalFormatting sqref="AQ18">
    <cfRule type="cellIs" dxfId="11" priority="10" operator="lessThan">
      <formula>20000</formula>
    </cfRule>
    <cfRule type="cellIs" dxfId="10" priority="11" operator="lessThan">
      <formula>25000</formula>
    </cfRule>
    <cfRule type="cellIs" dxfId="9" priority="12" operator="lessThan">
      <formula>50000</formula>
    </cfRule>
  </conditionalFormatting>
  <conditionalFormatting sqref="AQ25">
    <cfRule type="cellIs" dxfId="8" priority="7" operator="lessThan">
      <formula>20000</formula>
    </cfRule>
    <cfRule type="cellIs" dxfId="7" priority="8" operator="lessThan">
      <formula>25000</formula>
    </cfRule>
    <cfRule type="cellIs" dxfId="6" priority="9" operator="lessThan">
      <formula>50000</formula>
    </cfRule>
  </conditionalFormatting>
  <conditionalFormatting sqref="AQ29">
    <cfRule type="cellIs" dxfId="5" priority="4" operator="lessThan">
      <formula>20000</formula>
    </cfRule>
    <cfRule type="cellIs" dxfId="4" priority="5" operator="lessThan">
      <formula>25000</formula>
    </cfRule>
    <cfRule type="cellIs" dxfId="3" priority="6" operator="lessThan">
      <formula>50000</formula>
    </cfRule>
  </conditionalFormatting>
  <conditionalFormatting sqref="AQ24">
    <cfRule type="cellIs" dxfId="2" priority="1" operator="lessThan">
      <formula>20000</formula>
    </cfRule>
    <cfRule type="cellIs" dxfId="1" priority="2" operator="lessThan">
      <formula>25000</formula>
    </cfRule>
    <cfRule type="cellIs" dxfId="0" priority="3" operator="lessThan">
      <formula>50000</formula>
    </cfRule>
  </conditionalFormatting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410</vt:i4>
      </vt:variant>
      <vt:variant>
        <vt:lpstr>Named Ranges</vt:lpstr>
      </vt:variant>
      <vt:variant>
        <vt:i4>21</vt:i4>
      </vt:variant>
    </vt:vector>
  </HeadingPairs>
  <TitlesOfParts>
    <vt:vector size="431" baseType="lpstr">
      <vt:lpstr>6.16.22</vt:lpstr>
      <vt:lpstr>6.15.22</vt:lpstr>
      <vt:lpstr>6.14.22</vt:lpstr>
      <vt:lpstr>6.13.22</vt:lpstr>
      <vt:lpstr>6.12.22</vt:lpstr>
      <vt:lpstr>6.11.22</vt:lpstr>
      <vt:lpstr>6.10.22</vt:lpstr>
      <vt:lpstr>6.09.22</vt:lpstr>
      <vt:lpstr>6.08.22</vt:lpstr>
      <vt:lpstr>6.07.22</vt:lpstr>
      <vt:lpstr>6.06.22</vt:lpstr>
      <vt:lpstr>6.05.22</vt:lpstr>
      <vt:lpstr>6.04.22</vt:lpstr>
      <vt:lpstr>6.03.02</vt:lpstr>
      <vt:lpstr>6.02.22</vt:lpstr>
      <vt:lpstr>6.01.22</vt:lpstr>
      <vt:lpstr>5.31.22</vt:lpstr>
      <vt:lpstr>5.30.22</vt:lpstr>
      <vt:lpstr>5.27.22</vt:lpstr>
      <vt:lpstr>5.26.22</vt:lpstr>
      <vt:lpstr>5.25.22</vt:lpstr>
      <vt:lpstr>5.24.22</vt:lpstr>
      <vt:lpstr>5.23.22</vt:lpstr>
      <vt:lpstr>5.22.22</vt:lpstr>
      <vt:lpstr>5.21.22</vt:lpstr>
      <vt:lpstr>5.20.22</vt:lpstr>
      <vt:lpstr>5.19.22</vt:lpstr>
      <vt:lpstr>5.18.22</vt:lpstr>
      <vt:lpstr>5.17.22</vt:lpstr>
      <vt:lpstr>5.16.22</vt:lpstr>
      <vt:lpstr>5.15.22</vt:lpstr>
      <vt:lpstr>5.14.22</vt:lpstr>
      <vt:lpstr>5.13.22</vt:lpstr>
      <vt:lpstr>5.12.22</vt:lpstr>
      <vt:lpstr>5.11.22</vt:lpstr>
      <vt:lpstr>5.10.22</vt:lpstr>
      <vt:lpstr>5.9.22</vt:lpstr>
      <vt:lpstr>5.6.22</vt:lpstr>
      <vt:lpstr>5.5.22</vt:lpstr>
      <vt:lpstr>5.4.22</vt:lpstr>
      <vt:lpstr>5.3.22</vt:lpstr>
      <vt:lpstr>5.2.22</vt:lpstr>
      <vt:lpstr>5.1.22</vt:lpstr>
      <vt:lpstr>4.30.22</vt:lpstr>
      <vt:lpstr>4.29.22</vt:lpstr>
      <vt:lpstr>4.28.22</vt:lpstr>
      <vt:lpstr>4.27.22</vt:lpstr>
      <vt:lpstr>4.26.22</vt:lpstr>
      <vt:lpstr>4.25.22</vt:lpstr>
      <vt:lpstr>4.24.22</vt:lpstr>
      <vt:lpstr>4.23.22</vt:lpstr>
      <vt:lpstr>4.22.22</vt:lpstr>
      <vt:lpstr>4.21.22</vt:lpstr>
      <vt:lpstr>4.20.22</vt:lpstr>
      <vt:lpstr>4.19.22</vt:lpstr>
      <vt:lpstr>4.18.22</vt:lpstr>
      <vt:lpstr>4.17.22</vt:lpstr>
      <vt:lpstr>4.16.22</vt:lpstr>
      <vt:lpstr>4.15.22</vt:lpstr>
      <vt:lpstr>4.14.22</vt:lpstr>
      <vt:lpstr>4.13.22</vt:lpstr>
      <vt:lpstr>4.12.22</vt:lpstr>
      <vt:lpstr>4.11.22</vt:lpstr>
      <vt:lpstr>4.10.22</vt:lpstr>
      <vt:lpstr>4.9.22</vt:lpstr>
      <vt:lpstr>4.8.22</vt:lpstr>
      <vt:lpstr>4.7.22</vt:lpstr>
      <vt:lpstr>9.16.22</vt:lpstr>
      <vt:lpstr>9.17.22</vt:lpstr>
      <vt:lpstr>9.18.22</vt:lpstr>
      <vt:lpstr>4.6.22</vt:lpstr>
      <vt:lpstr>4.5.22</vt:lpstr>
      <vt:lpstr>4.4.22</vt:lpstr>
      <vt:lpstr>4.3.22</vt:lpstr>
      <vt:lpstr>4.2.22</vt:lpstr>
      <vt:lpstr>4.1.22</vt:lpstr>
      <vt:lpstr>3.31.22</vt:lpstr>
      <vt:lpstr>3.30.22</vt:lpstr>
      <vt:lpstr>3.29.22</vt:lpstr>
      <vt:lpstr>3.28.22</vt:lpstr>
      <vt:lpstr>3.27.22</vt:lpstr>
      <vt:lpstr>12.10.21</vt:lpstr>
      <vt:lpstr>12.08.21</vt:lpstr>
      <vt:lpstr>12.07.21</vt:lpstr>
      <vt:lpstr>12.06.21</vt:lpstr>
      <vt:lpstr>12.05.21</vt:lpstr>
      <vt:lpstr>12.04.21</vt:lpstr>
      <vt:lpstr>12.03.21</vt:lpstr>
      <vt:lpstr>12.02.21</vt:lpstr>
      <vt:lpstr>12.01.21</vt:lpstr>
      <vt:lpstr>11.30.21</vt:lpstr>
      <vt:lpstr>11.29.21</vt:lpstr>
      <vt:lpstr>11.28.21</vt:lpstr>
      <vt:lpstr>11.24.21</vt:lpstr>
      <vt:lpstr>11.23.21</vt:lpstr>
      <vt:lpstr>11.22.21</vt:lpstr>
      <vt:lpstr>11.21.21</vt:lpstr>
      <vt:lpstr>11.20.21</vt:lpstr>
      <vt:lpstr>11.19.21</vt:lpstr>
      <vt:lpstr>11.18.21</vt:lpstr>
      <vt:lpstr>11.17.21</vt:lpstr>
      <vt:lpstr>11.16.21</vt:lpstr>
      <vt:lpstr>11.15.21</vt:lpstr>
      <vt:lpstr>11.14.21</vt:lpstr>
      <vt:lpstr>11.13.21</vt:lpstr>
      <vt:lpstr>11.12.21</vt:lpstr>
      <vt:lpstr>11.11.21</vt:lpstr>
      <vt:lpstr>11.10.21</vt:lpstr>
      <vt:lpstr>11.9.21</vt:lpstr>
      <vt:lpstr>11.8.21</vt:lpstr>
      <vt:lpstr>11.7.21</vt:lpstr>
      <vt:lpstr>11.6.21</vt:lpstr>
      <vt:lpstr>11.5.21</vt:lpstr>
      <vt:lpstr>11.4.21</vt:lpstr>
      <vt:lpstr>11.3.21</vt:lpstr>
      <vt:lpstr>11.2.21</vt:lpstr>
      <vt:lpstr>11.1.21</vt:lpstr>
      <vt:lpstr>10.31.21</vt:lpstr>
      <vt:lpstr>10.30.21</vt:lpstr>
      <vt:lpstr>10.29.21</vt:lpstr>
      <vt:lpstr>10.28.21</vt:lpstr>
      <vt:lpstr>10.27.21</vt:lpstr>
      <vt:lpstr>10.26.21</vt:lpstr>
      <vt:lpstr>10.25.21</vt:lpstr>
      <vt:lpstr>10.24.21</vt:lpstr>
      <vt:lpstr>10.23.21</vt:lpstr>
      <vt:lpstr>10.22.21</vt:lpstr>
      <vt:lpstr>10.21.21</vt:lpstr>
      <vt:lpstr>10.20.21</vt:lpstr>
      <vt:lpstr>10.19.21</vt:lpstr>
      <vt:lpstr>10.18.21</vt:lpstr>
      <vt:lpstr>10.17.21</vt:lpstr>
      <vt:lpstr>10.16.21</vt:lpstr>
      <vt:lpstr>10.15.21</vt:lpstr>
      <vt:lpstr>10.14.21</vt:lpstr>
      <vt:lpstr>10.13.21</vt:lpstr>
      <vt:lpstr>10.12.21</vt:lpstr>
      <vt:lpstr>10.11.21</vt:lpstr>
      <vt:lpstr>10.10.21</vt:lpstr>
      <vt:lpstr>10.9.21</vt:lpstr>
      <vt:lpstr>10.8.21</vt:lpstr>
      <vt:lpstr>10.7.21</vt:lpstr>
      <vt:lpstr>10.6.21</vt:lpstr>
      <vt:lpstr>10.5.21</vt:lpstr>
      <vt:lpstr>10.4.21</vt:lpstr>
      <vt:lpstr>10.3.21</vt:lpstr>
      <vt:lpstr>10.2.21</vt:lpstr>
      <vt:lpstr>10.1.21</vt:lpstr>
      <vt:lpstr>9.30.21</vt:lpstr>
      <vt:lpstr>9.29.21</vt:lpstr>
      <vt:lpstr>9.28.21</vt:lpstr>
      <vt:lpstr>9.27.21</vt:lpstr>
      <vt:lpstr>9.26.21</vt:lpstr>
      <vt:lpstr>9.25.21</vt:lpstr>
      <vt:lpstr>9.24.21</vt:lpstr>
      <vt:lpstr>9.23.21</vt:lpstr>
      <vt:lpstr>9.22.21</vt:lpstr>
      <vt:lpstr>9.21.21</vt:lpstr>
      <vt:lpstr>9.20.21</vt:lpstr>
      <vt:lpstr>9.19.22</vt:lpstr>
      <vt:lpstr>9.20.22</vt:lpstr>
      <vt:lpstr>9.21.22</vt:lpstr>
      <vt:lpstr>9.22.22</vt:lpstr>
      <vt:lpstr>9.23.22</vt:lpstr>
      <vt:lpstr>9.24.22</vt:lpstr>
      <vt:lpstr>9.25.22</vt:lpstr>
      <vt:lpstr>9.26.22</vt:lpstr>
      <vt:lpstr>9.27.22</vt:lpstr>
      <vt:lpstr>9.28.22</vt:lpstr>
      <vt:lpstr>9.29.22</vt:lpstr>
      <vt:lpstr>9.30.22</vt:lpstr>
      <vt:lpstr>10.01.22</vt:lpstr>
      <vt:lpstr>10.02.22</vt:lpstr>
      <vt:lpstr>10.03.22</vt:lpstr>
      <vt:lpstr>10.04.22</vt:lpstr>
      <vt:lpstr>10.05.22</vt:lpstr>
      <vt:lpstr>10.06.22</vt:lpstr>
      <vt:lpstr>10.07.22</vt:lpstr>
      <vt:lpstr>10.08.22</vt:lpstr>
      <vt:lpstr>10.09.22</vt:lpstr>
      <vt:lpstr>10.10.22</vt:lpstr>
      <vt:lpstr>10.11.22</vt:lpstr>
      <vt:lpstr>10.12.22</vt:lpstr>
      <vt:lpstr>10.13.22</vt:lpstr>
      <vt:lpstr>10.14.22</vt:lpstr>
      <vt:lpstr>10.15.22</vt:lpstr>
      <vt:lpstr>10.16.22</vt:lpstr>
      <vt:lpstr>10.17.22</vt:lpstr>
      <vt:lpstr>10.18.22</vt:lpstr>
      <vt:lpstr>10.19.22</vt:lpstr>
      <vt:lpstr>10.20.22</vt:lpstr>
      <vt:lpstr>10.21.22</vt:lpstr>
      <vt:lpstr>10.22.22</vt:lpstr>
      <vt:lpstr>10.23.22</vt:lpstr>
      <vt:lpstr>10.24.22</vt:lpstr>
      <vt:lpstr>10.25.22</vt:lpstr>
      <vt:lpstr>10.26.22</vt:lpstr>
      <vt:lpstr>10.27.22</vt:lpstr>
      <vt:lpstr>10.28.22</vt:lpstr>
      <vt:lpstr>10.29.22</vt:lpstr>
      <vt:lpstr>10.30.22</vt:lpstr>
      <vt:lpstr>10.31.22</vt:lpstr>
      <vt:lpstr>11.01.22</vt:lpstr>
      <vt:lpstr>11.02.22</vt:lpstr>
      <vt:lpstr>11.03.22</vt:lpstr>
      <vt:lpstr>11.04.22</vt:lpstr>
      <vt:lpstr>11.05.22</vt:lpstr>
      <vt:lpstr>11.06.22</vt:lpstr>
      <vt:lpstr>11.07.22</vt:lpstr>
      <vt:lpstr>11.08.22</vt:lpstr>
      <vt:lpstr>11.09.22</vt:lpstr>
      <vt:lpstr>11.10.22</vt:lpstr>
      <vt:lpstr>11.11.22</vt:lpstr>
      <vt:lpstr>11.12.22</vt:lpstr>
      <vt:lpstr>11.13.22</vt:lpstr>
      <vt:lpstr>11.14.22</vt:lpstr>
      <vt:lpstr>11.15.22</vt:lpstr>
      <vt:lpstr>11.16.22</vt:lpstr>
      <vt:lpstr>11.17.22</vt:lpstr>
      <vt:lpstr>11.18.22</vt:lpstr>
      <vt:lpstr>11.19.22</vt:lpstr>
      <vt:lpstr>11.20.22</vt:lpstr>
      <vt:lpstr>11.21.22</vt:lpstr>
      <vt:lpstr>11.22.22</vt:lpstr>
      <vt:lpstr>11.27.22</vt:lpstr>
      <vt:lpstr>11.28.22</vt:lpstr>
      <vt:lpstr>11.29.22</vt:lpstr>
      <vt:lpstr>11.30.22</vt:lpstr>
      <vt:lpstr>12.01.22</vt:lpstr>
      <vt:lpstr>12.02.22</vt:lpstr>
      <vt:lpstr>12.03.22</vt:lpstr>
      <vt:lpstr>12.04.22</vt:lpstr>
      <vt:lpstr>12.05.22</vt:lpstr>
      <vt:lpstr>12.06.22</vt:lpstr>
      <vt:lpstr>12.07.22</vt:lpstr>
      <vt:lpstr>12.08.22</vt:lpstr>
      <vt:lpstr>12.13.22</vt:lpstr>
      <vt:lpstr>1.08.23</vt:lpstr>
      <vt:lpstr>1.09.23</vt:lpstr>
      <vt:lpstr>1.10.23</vt:lpstr>
      <vt:lpstr>1.11.23</vt:lpstr>
      <vt:lpstr>1.12.23</vt:lpstr>
      <vt:lpstr>1.13.23</vt:lpstr>
      <vt:lpstr>1.16.23</vt:lpstr>
      <vt:lpstr>1.17.23</vt:lpstr>
      <vt:lpstr>1.18.23</vt:lpstr>
      <vt:lpstr>1.19.23</vt:lpstr>
      <vt:lpstr>1.20.23</vt:lpstr>
      <vt:lpstr>1.21.23</vt:lpstr>
      <vt:lpstr>1.22.23</vt:lpstr>
      <vt:lpstr>1.23.23</vt:lpstr>
      <vt:lpstr>1.24.23</vt:lpstr>
      <vt:lpstr>1.25.23</vt:lpstr>
      <vt:lpstr>1.26.23</vt:lpstr>
      <vt:lpstr>1.27.23</vt:lpstr>
      <vt:lpstr>1.28.23</vt:lpstr>
      <vt:lpstr>1.29.23</vt:lpstr>
      <vt:lpstr>1.30.23</vt:lpstr>
      <vt:lpstr>1.31.23</vt:lpstr>
      <vt:lpstr>2.01.23</vt:lpstr>
      <vt:lpstr>2.02.23</vt:lpstr>
      <vt:lpstr>2.03.23</vt:lpstr>
      <vt:lpstr>2.04.23</vt:lpstr>
      <vt:lpstr>2.05.23</vt:lpstr>
      <vt:lpstr>2.06.23</vt:lpstr>
      <vt:lpstr>2.07.23</vt:lpstr>
      <vt:lpstr>2.08.23</vt:lpstr>
      <vt:lpstr>2.09.23</vt:lpstr>
      <vt:lpstr>2.10.23</vt:lpstr>
      <vt:lpstr>2.11.23</vt:lpstr>
      <vt:lpstr>2.12.23</vt:lpstr>
      <vt:lpstr>2.13.23</vt:lpstr>
      <vt:lpstr>2.14.23</vt:lpstr>
      <vt:lpstr>2.15.23</vt:lpstr>
      <vt:lpstr>2.16.23</vt:lpstr>
      <vt:lpstr>2.17.23</vt:lpstr>
      <vt:lpstr>2.20.23</vt:lpstr>
      <vt:lpstr>2.21.23</vt:lpstr>
      <vt:lpstr>2.22.23</vt:lpstr>
      <vt:lpstr>2.23.23</vt:lpstr>
      <vt:lpstr>2.24.23</vt:lpstr>
      <vt:lpstr>2.25.23</vt:lpstr>
      <vt:lpstr>2.26.23</vt:lpstr>
      <vt:lpstr>2.27.23</vt:lpstr>
      <vt:lpstr>2.28.23</vt:lpstr>
      <vt:lpstr>3.1.23</vt:lpstr>
      <vt:lpstr>3.2.23</vt:lpstr>
      <vt:lpstr>3.3.23</vt:lpstr>
      <vt:lpstr>3.4.23</vt:lpstr>
      <vt:lpstr>3.5.23</vt:lpstr>
      <vt:lpstr>3.6.23</vt:lpstr>
      <vt:lpstr>3.7.23</vt:lpstr>
      <vt:lpstr>3.8.23</vt:lpstr>
      <vt:lpstr>3.9.23</vt:lpstr>
      <vt:lpstr>3.10.23</vt:lpstr>
      <vt:lpstr>3.11.23</vt:lpstr>
      <vt:lpstr>3.12.23</vt:lpstr>
      <vt:lpstr>3.13.23</vt:lpstr>
      <vt:lpstr>3.14.23</vt:lpstr>
      <vt:lpstr>3.15.23</vt:lpstr>
      <vt:lpstr>3.16.23</vt:lpstr>
      <vt:lpstr>3.17.23</vt:lpstr>
      <vt:lpstr>3.18.23</vt:lpstr>
      <vt:lpstr>3.19.23</vt:lpstr>
      <vt:lpstr>3.20.23</vt:lpstr>
      <vt:lpstr>3.21.23</vt:lpstr>
      <vt:lpstr>3.22.23</vt:lpstr>
      <vt:lpstr>3.23.23</vt:lpstr>
      <vt:lpstr>4.2.23</vt:lpstr>
      <vt:lpstr>4.3.23</vt:lpstr>
      <vt:lpstr>4.4.23</vt:lpstr>
      <vt:lpstr>4.5.23</vt:lpstr>
      <vt:lpstr>4.6.23</vt:lpstr>
      <vt:lpstr>4.7.23</vt:lpstr>
      <vt:lpstr>4.8.23</vt:lpstr>
      <vt:lpstr>4.9.23</vt:lpstr>
      <vt:lpstr>4.10.23</vt:lpstr>
      <vt:lpstr>4.11.23</vt:lpstr>
      <vt:lpstr>4.12.23</vt:lpstr>
      <vt:lpstr>4.13.23</vt:lpstr>
      <vt:lpstr>4.14.23</vt:lpstr>
      <vt:lpstr>4.15.23</vt:lpstr>
      <vt:lpstr>4.16.23</vt:lpstr>
      <vt:lpstr>4.17.23</vt:lpstr>
      <vt:lpstr>4.18.23</vt:lpstr>
      <vt:lpstr>4.19.23</vt:lpstr>
      <vt:lpstr>4.20.23</vt:lpstr>
      <vt:lpstr>4.21.23</vt:lpstr>
      <vt:lpstr>4.22.23</vt:lpstr>
      <vt:lpstr>4.23.23</vt:lpstr>
      <vt:lpstr>4.24.23</vt:lpstr>
      <vt:lpstr>4.25.23</vt:lpstr>
      <vt:lpstr>4.26.23</vt:lpstr>
      <vt:lpstr>4.27.23</vt:lpstr>
      <vt:lpstr>4.28.23</vt:lpstr>
      <vt:lpstr>4.29.23</vt:lpstr>
      <vt:lpstr>4.30.23</vt:lpstr>
      <vt:lpstr>5.01.23</vt:lpstr>
      <vt:lpstr>5.02.23</vt:lpstr>
      <vt:lpstr>5.03.23</vt:lpstr>
      <vt:lpstr>5.04.23</vt:lpstr>
      <vt:lpstr>5.05.23</vt:lpstr>
      <vt:lpstr>5.06.23</vt:lpstr>
      <vt:lpstr>5.07.23</vt:lpstr>
      <vt:lpstr>5.08.23</vt:lpstr>
      <vt:lpstr>5.09.23</vt:lpstr>
      <vt:lpstr>5.10.23</vt:lpstr>
      <vt:lpstr>5.11.23</vt:lpstr>
      <vt:lpstr>5.12.23</vt:lpstr>
      <vt:lpstr>5.13.23</vt:lpstr>
      <vt:lpstr>5.14.23</vt:lpstr>
      <vt:lpstr>5.15.23</vt:lpstr>
      <vt:lpstr>5.16.23</vt:lpstr>
      <vt:lpstr>5.17.23</vt:lpstr>
      <vt:lpstr>5.18.23</vt:lpstr>
      <vt:lpstr>5.19.23</vt:lpstr>
      <vt:lpstr>5.20.23</vt:lpstr>
      <vt:lpstr>5.21.23</vt:lpstr>
      <vt:lpstr>5.22.23</vt:lpstr>
      <vt:lpstr>5.23.23</vt:lpstr>
      <vt:lpstr>5.24.23</vt:lpstr>
      <vt:lpstr>5.25.23</vt:lpstr>
      <vt:lpstr>5.26.23</vt:lpstr>
      <vt:lpstr>5.27.23</vt:lpstr>
      <vt:lpstr>5.28.23</vt:lpstr>
      <vt:lpstr>5.29.23</vt:lpstr>
      <vt:lpstr>5.30.23</vt:lpstr>
      <vt:lpstr>5.31.23</vt:lpstr>
      <vt:lpstr>6.01.23</vt:lpstr>
      <vt:lpstr>6.02.23</vt:lpstr>
      <vt:lpstr>6.03.23</vt:lpstr>
      <vt:lpstr>6.04.23</vt:lpstr>
      <vt:lpstr>6.5.23</vt:lpstr>
      <vt:lpstr>6.6.23</vt:lpstr>
      <vt:lpstr>6.7.23</vt:lpstr>
      <vt:lpstr>6.8.23</vt:lpstr>
      <vt:lpstr>6.9.23</vt:lpstr>
      <vt:lpstr>6.10.23</vt:lpstr>
      <vt:lpstr>6.11.23</vt:lpstr>
      <vt:lpstr>6.12.23</vt:lpstr>
      <vt:lpstr>UCLA Master Vendor List 22.23</vt:lpstr>
      <vt:lpstr>UCLA Master Vendor List</vt:lpstr>
      <vt:lpstr>UCLA Master Vendor June 2022</vt:lpstr>
      <vt:lpstr>UCLA Master Vendor May 2022</vt:lpstr>
      <vt:lpstr>UCLA Master Vendor April 2022</vt:lpstr>
      <vt:lpstr>UCLA Master Vendor March 2022</vt:lpstr>
      <vt:lpstr>Patron Counts v Swipes</vt:lpstr>
      <vt:lpstr>Blackboard Daily Counts</vt:lpstr>
      <vt:lpstr>UCLA Master Vendor May 2023</vt:lpstr>
      <vt:lpstr>UCLA Master Vendor Apr 2023</vt:lpstr>
      <vt:lpstr>UCLA Master Vendor Mar 2023</vt:lpstr>
      <vt:lpstr>UCLA Master Vendor Feb 2023</vt:lpstr>
      <vt:lpstr>UCLA Master Vendor Jan 2023</vt:lpstr>
      <vt:lpstr>UCLA Master Vendor Dec 2022</vt:lpstr>
      <vt:lpstr>UCLA Master Vendor Nov 2022</vt:lpstr>
      <vt:lpstr>UCLA Master Vendor Oct 2022</vt:lpstr>
      <vt:lpstr>UCLA Master Vendor Sep 2022</vt:lpstr>
      <vt:lpstr>Monthly Allocated Patron Counts</vt:lpstr>
      <vt:lpstr>Meal Ticket Totals 2022.23</vt:lpstr>
      <vt:lpstr>Meal Ticket Totals</vt:lpstr>
      <vt:lpstr>Meal Ticket Totals 2022.23 (2)</vt:lpstr>
      <vt:lpstr>Vendor Info</vt:lpstr>
      <vt:lpstr>Vendor Listing UCOP 11.1.22</vt:lpstr>
      <vt:lpstr>Thank you Thursday Ticket Count</vt:lpstr>
      <vt:lpstr>Ranking</vt:lpstr>
      <vt:lpstr>ASUCLA</vt:lpstr>
      <vt:lpstr>Meal Ticket Totals (2)</vt:lpstr>
      <vt:lpstr>Patron Counts</vt:lpstr>
      <vt:lpstr>Meal Coupon Log - For ASUCLA</vt:lpstr>
      <vt:lpstr>Master Vendor List (2)</vt:lpstr>
      <vt:lpstr>'Master Vendor List (2)'!Print_Area</vt:lpstr>
      <vt:lpstr>'Meal Ticket Totals'!Print_Area</vt:lpstr>
      <vt:lpstr>'Meal Ticket Totals (2)'!Print_Area</vt:lpstr>
      <vt:lpstr>'Meal Ticket Totals 2022.23'!Print_Area</vt:lpstr>
      <vt:lpstr>'Meal Ticket Totals 2022.23 (2)'!Print_Area</vt:lpstr>
      <vt:lpstr>Ranking!Print_Area</vt:lpstr>
      <vt:lpstr>'UCLA Master Vendor Apr 2023'!Print_Area</vt:lpstr>
      <vt:lpstr>'UCLA Master Vendor April 2022'!Print_Area</vt:lpstr>
      <vt:lpstr>'UCLA Master Vendor Dec 2022'!Print_Area</vt:lpstr>
      <vt:lpstr>'UCLA Master Vendor Feb 2023'!Print_Area</vt:lpstr>
      <vt:lpstr>'UCLA Master Vendor Jan 2023'!Print_Area</vt:lpstr>
      <vt:lpstr>'UCLA Master Vendor June 2022'!Print_Area</vt:lpstr>
      <vt:lpstr>'UCLA Master Vendor List'!Print_Area</vt:lpstr>
      <vt:lpstr>'UCLA Master Vendor List 22.23'!Print_Area</vt:lpstr>
      <vt:lpstr>'UCLA Master Vendor Mar 2023'!Print_Area</vt:lpstr>
      <vt:lpstr>'UCLA Master Vendor March 2022'!Print_Area</vt:lpstr>
      <vt:lpstr>'UCLA Master Vendor May 2022'!Print_Area</vt:lpstr>
      <vt:lpstr>'UCLA Master Vendor May 2023'!Print_Area</vt:lpstr>
      <vt:lpstr>'UCLA Master Vendor Nov 2022'!Print_Area</vt:lpstr>
      <vt:lpstr>'UCLA Master Vendor Oct 2022'!Print_Area</vt:lpstr>
      <vt:lpstr>'UCLA Master Vendor Sep 2022'!Print_Area</vt:lpstr>
    </vt:vector>
  </TitlesOfParts>
  <Company>UCLA Housing and Hospitality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Cho</dc:creator>
  <cp:lastModifiedBy>Daisy Picaso-Perez</cp:lastModifiedBy>
  <cp:lastPrinted>2023-06-09T17:41:11Z</cp:lastPrinted>
  <dcterms:created xsi:type="dcterms:W3CDTF">2021-09-20T16:28:38Z</dcterms:created>
  <dcterms:modified xsi:type="dcterms:W3CDTF">2023-06-13T20:12:05Z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