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5460" tabRatio="500"/>
  </bookViews>
  <sheets>
    <sheet name="hudPicture2016_53544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D8" i="1"/>
  <c r="E8" i="1"/>
  <c r="F8" i="1"/>
  <c r="BK8" i="1"/>
  <c r="BL8" i="1"/>
  <c r="BM8" i="1"/>
  <c r="BN8" i="1"/>
  <c r="BO8" i="1"/>
  <c r="BP8" i="1"/>
  <c r="BQ8" i="1"/>
  <c r="BR8" i="1"/>
  <c r="B9" i="1"/>
  <c r="D9" i="1"/>
  <c r="E9" i="1"/>
  <c r="F9" i="1"/>
  <c r="BK9" i="1"/>
  <c r="BL9" i="1"/>
  <c r="BM9" i="1"/>
  <c r="BN9" i="1"/>
  <c r="BO9" i="1"/>
  <c r="BP9" i="1"/>
  <c r="BQ9" i="1"/>
  <c r="BR9" i="1"/>
  <c r="B10" i="1"/>
  <c r="D10" i="1"/>
  <c r="E10" i="1"/>
  <c r="F10" i="1"/>
  <c r="BK10" i="1"/>
  <c r="BL10" i="1"/>
  <c r="BM10" i="1"/>
  <c r="BN10" i="1"/>
  <c r="BO10" i="1"/>
  <c r="BP10" i="1"/>
  <c r="BQ10" i="1"/>
  <c r="BR10" i="1"/>
  <c r="B11" i="1"/>
  <c r="D11" i="1"/>
  <c r="E11" i="1"/>
  <c r="F11" i="1"/>
  <c r="BK11" i="1"/>
  <c r="BL11" i="1"/>
  <c r="BM11" i="1"/>
  <c r="BN11" i="1"/>
  <c r="BO11" i="1"/>
  <c r="BP11" i="1"/>
  <c r="BQ11" i="1"/>
  <c r="BR11" i="1"/>
  <c r="B12" i="1"/>
  <c r="D12" i="1"/>
  <c r="E12" i="1"/>
  <c r="F12" i="1"/>
  <c r="BK12" i="1"/>
  <c r="BL12" i="1"/>
  <c r="BM12" i="1"/>
  <c r="BN12" i="1"/>
  <c r="BO12" i="1"/>
  <c r="BP12" i="1"/>
  <c r="BQ12" i="1"/>
  <c r="BR12" i="1"/>
  <c r="B13" i="1"/>
  <c r="D13" i="1"/>
  <c r="E13" i="1"/>
  <c r="F13" i="1"/>
  <c r="BK13" i="1"/>
  <c r="BL13" i="1"/>
  <c r="BM13" i="1"/>
  <c r="BN13" i="1"/>
  <c r="BO13" i="1"/>
  <c r="BP13" i="1"/>
  <c r="BQ13" i="1"/>
  <c r="BR13" i="1"/>
  <c r="B14" i="1"/>
  <c r="D14" i="1"/>
  <c r="E14" i="1"/>
  <c r="F14" i="1"/>
  <c r="BK14" i="1"/>
  <c r="BL14" i="1"/>
  <c r="BM14" i="1"/>
  <c r="BN14" i="1"/>
  <c r="BO14" i="1"/>
  <c r="BP14" i="1"/>
  <c r="BQ14" i="1"/>
  <c r="BR14" i="1"/>
  <c r="B15" i="1"/>
  <c r="D15" i="1"/>
  <c r="E15" i="1"/>
  <c r="F15" i="1"/>
  <c r="BK15" i="1"/>
  <c r="BL15" i="1"/>
  <c r="BM15" i="1"/>
  <c r="BN15" i="1"/>
  <c r="BO15" i="1"/>
  <c r="BP15" i="1"/>
  <c r="BQ15" i="1"/>
  <c r="BR15" i="1"/>
  <c r="B16" i="1"/>
  <c r="D16" i="1"/>
  <c r="E16" i="1"/>
  <c r="F16" i="1"/>
  <c r="BK16" i="1"/>
  <c r="BL16" i="1"/>
  <c r="BM16" i="1"/>
  <c r="BN16" i="1"/>
  <c r="BO16" i="1"/>
  <c r="BP16" i="1"/>
  <c r="BQ16" i="1"/>
  <c r="BR16" i="1"/>
  <c r="B17" i="1"/>
  <c r="D17" i="1"/>
  <c r="E17" i="1"/>
  <c r="F17" i="1"/>
  <c r="BK17" i="1"/>
  <c r="BL17" i="1"/>
  <c r="BM17" i="1"/>
  <c r="BN17" i="1"/>
  <c r="BO17" i="1"/>
  <c r="BP17" i="1"/>
  <c r="BQ17" i="1"/>
  <c r="BR17" i="1"/>
  <c r="B18" i="1"/>
  <c r="D18" i="1"/>
  <c r="E18" i="1"/>
  <c r="F18" i="1"/>
  <c r="BK18" i="1"/>
  <c r="BL18" i="1"/>
  <c r="BM18" i="1"/>
  <c r="BN18" i="1"/>
  <c r="BO18" i="1"/>
  <c r="BP18" i="1"/>
  <c r="BQ18" i="1"/>
  <c r="BR18" i="1"/>
  <c r="B19" i="1"/>
  <c r="D19" i="1"/>
  <c r="E19" i="1"/>
  <c r="F19" i="1"/>
  <c r="BK19" i="1"/>
  <c r="BL19" i="1"/>
  <c r="BM19" i="1"/>
  <c r="BN19" i="1"/>
  <c r="BO19" i="1"/>
  <c r="BP19" i="1"/>
  <c r="BQ19" i="1"/>
  <c r="BR19" i="1"/>
  <c r="B20" i="1"/>
  <c r="D20" i="1"/>
  <c r="E20" i="1"/>
  <c r="F20" i="1"/>
  <c r="BK20" i="1"/>
  <c r="BL20" i="1"/>
  <c r="BM20" i="1"/>
  <c r="BN20" i="1"/>
  <c r="BO20" i="1"/>
  <c r="BP20" i="1"/>
  <c r="BQ20" i="1"/>
  <c r="BR20" i="1"/>
  <c r="B21" i="1"/>
  <c r="D21" i="1"/>
  <c r="E21" i="1"/>
  <c r="F21" i="1"/>
  <c r="BK21" i="1"/>
  <c r="BL21" i="1"/>
  <c r="BM21" i="1"/>
  <c r="BN21" i="1"/>
  <c r="BO21" i="1"/>
  <c r="BP21" i="1"/>
  <c r="BQ21" i="1"/>
  <c r="BR21" i="1"/>
  <c r="B22" i="1"/>
  <c r="D22" i="1"/>
  <c r="E22" i="1"/>
  <c r="F22" i="1"/>
  <c r="BK22" i="1"/>
  <c r="BL22" i="1"/>
  <c r="BM22" i="1"/>
  <c r="BN22" i="1"/>
  <c r="BO22" i="1"/>
  <c r="BP22" i="1"/>
  <c r="BQ22" i="1"/>
  <c r="BR22" i="1"/>
  <c r="B2" i="1"/>
  <c r="D2" i="1"/>
  <c r="E2" i="1"/>
  <c r="F2" i="1"/>
  <c r="BK2" i="1"/>
  <c r="BL2" i="1"/>
  <c r="BM2" i="1"/>
  <c r="BN2" i="1"/>
  <c r="BO2" i="1"/>
  <c r="BP2" i="1"/>
  <c r="BQ2" i="1"/>
  <c r="BR2" i="1"/>
  <c r="B23" i="1"/>
  <c r="D23" i="1"/>
  <c r="E23" i="1"/>
  <c r="F23" i="1"/>
  <c r="BK23" i="1"/>
  <c r="BL23" i="1"/>
  <c r="BM23" i="1"/>
  <c r="BN23" i="1"/>
  <c r="BO23" i="1"/>
  <c r="BP23" i="1"/>
  <c r="BQ23" i="1"/>
  <c r="BR23" i="1"/>
  <c r="B24" i="1"/>
  <c r="D24" i="1"/>
  <c r="E24" i="1"/>
  <c r="F24" i="1"/>
  <c r="BK24" i="1"/>
  <c r="BL24" i="1"/>
  <c r="BM24" i="1"/>
  <c r="BN24" i="1"/>
  <c r="BO24" i="1"/>
  <c r="BP24" i="1"/>
  <c r="BQ24" i="1"/>
  <c r="BR24" i="1"/>
  <c r="B25" i="1"/>
  <c r="D25" i="1"/>
  <c r="E25" i="1"/>
  <c r="F25" i="1"/>
  <c r="BK25" i="1"/>
  <c r="BL25" i="1"/>
  <c r="BM25" i="1"/>
  <c r="BN25" i="1"/>
  <c r="BO25" i="1"/>
  <c r="BP25" i="1"/>
  <c r="BQ25" i="1"/>
  <c r="BR25" i="1"/>
  <c r="B26" i="1"/>
  <c r="D26" i="1"/>
  <c r="E26" i="1"/>
  <c r="F26" i="1"/>
  <c r="BK26" i="1"/>
  <c r="BL26" i="1"/>
  <c r="BM26" i="1"/>
  <c r="BN26" i="1"/>
  <c r="BO26" i="1"/>
  <c r="BP26" i="1"/>
  <c r="BQ26" i="1"/>
  <c r="BR26" i="1"/>
  <c r="B27" i="1"/>
  <c r="D27" i="1"/>
  <c r="E27" i="1"/>
  <c r="F27" i="1"/>
  <c r="BK27" i="1"/>
  <c r="BL27" i="1"/>
  <c r="BM27" i="1"/>
  <c r="BN27" i="1"/>
  <c r="BO27" i="1"/>
  <c r="BP27" i="1"/>
  <c r="BQ27" i="1"/>
  <c r="BR27" i="1"/>
  <c r="B3" i="1"/>
  <c r="D3" i="1"/>
  <c r="E3" i="1"/>
  <c r="F3" i="1"/>
  <c r="BK3" i="1"/>
  <c r="BL3" i="1"/>
  <c r="BM3" i="1"/>
  <c r="BN3" i="1"/>
  <c r="BO3" i="1"/>
  <c r="BP3" i="1"/>
  <c r="BQ3" i="1"/>
  <c r="BR3" i="1"/>
  <c r="B28" i="1"/>
  <c r="D28" i="1"/>
  <c r="E28" i="1"/>
  <c r="F28" i="1"/>
  <c r="BK28" i="1"/>
  <c r="BL28" i="1"/>
  <c r="BM28" i="1"/>
  <c r="BN28" i="1"/>
  <c r="BO28" i="1"/>
  <c r="BP28" i="1"/>
  <c r="BQ28" i="1"/>
  <c r="BR28" i="1"/>
  <c r="B29" i="1"/>
  <c r="D29" i="1"/>
  <c r="E29" i="1"/>
  <c r="F29" i="1"/>
  <c r="BK29" i="1"/>
  <c r="BL29" i="1"/>
  <c r="BM29" i="1"/>
  <c r="BN29" i="1"/>
  <c r="BO29" i="1"/>
  <c r="BP29" i="1"/>
  <c r="BQ29" i="1"/>
  <c r="BR29" i="1"/>
  <c r="B30" i="1"/>
  <c r="D30" i="1"/>
  <c r="E30" i="1"/>
  <c r="F30" i="1"/>
  <c r="BK30" i="1"/>
  <c r="BL30" i="1"/>
  <c r="BM30" i="1"/>
  <c r="BN30" i="1"/>
  <c r="BO30" i="1"/>
  <c r="BP30" i="1"/>
  <c r="BQ30" i="1"/>
  <c r="BR30" i="1"/>
  <c r="B31" i="1"/>
  <c r="D31" i="1"/>
  <c r="E31" i="1"/>
  <c r="F31" i="1"/>
  <c r="BK31" i="1"/>
  <c r="BL31" i="1"/>
  <c r="BM31" i="1"/>
  <c r="BN31" i="1"/>
  <c r="BO31" i="1"/>
  <c r="BP31" i="1"/>
  <c r="BQ31" i="1"/>
  <c r="BR31" i="1"/>
  <c r="B32" i="1"/>
  <c r="D32" i="1"/>
  <c r="E32" i="1"/>
  <c r="F32" i="1"/>
  <c r="BK32" i="1"/>
  <c r="BL32" i="1"/>
  <c r="BM32" i="1"/>
  <c r="BN32" i="1"/>
  <c r="BO32" i="1"/>
  <c r="BP32" i="1"/>
  <c r="BQ32" i="1"/>
  <c r="BR32" i="1"/>
  <c r="B33" i="1"/>
  <c r="D33" i="1"/>
  <c r="E33" i="1"/>
  <c r="F33" i="1"/>
  <c r="BK33" i="1"/>
  <c r="BL33" i="1"/>
  <c r="BM33" i="1"/>
  <c r="BN33" i="1"/>
  <c r="BO33" i="1"/>
  <c r="BP33" i="1"/>
  <c r="BQ33" i="1"/>
  <c r="BR33" i="1"/>
  <c r="B34" i="1"/>
  <c r="D34" i="1"/>
  <c r="E34" i="1"/>
  <c r="F34" i="1"/>
  <c r="BK34" i="1"/>
  <c r="BL34" i="1"/>
  <c r="BM34" i="1"/>
  <c r="BN34" i="1"/>
  <c r="BO34" i="1"/>
  <c r="BP34" i="1"/>
  <c r="BQ34" i="1"/>
  <c r="BR34" i="1"/>
  <c r="B35" i="1"/>
  <c r="D35" i="1"/>
  <c r="E35" i="1"/>
  <c r="F35" i="1"/>
  <c r="BK35" i="1"/>
  <c r="BL35" i="1"/>
  <c r="BM35" i="1"/>
  <c r="BN35" i="1"/>
  <c r="BO35" i="1"/>
  <c r="BP35" i="1"/>
  <c r="BQ35" i="1"/>
  <c r="BR35" i="1"/>
  <c r="B36" i="1"/>
  <c r="D36" i="1"/>
  <c r="E36" i="1"/>
  <c r="F36" i="1"/>
  <c r="BK36" i="1"/>
  <c r="BL36" i="1"/>
  <c r="BM36" i="1"/>
  <c r="BN36" i="1"/>
  <c r="BO36" i="1"/>
  <c r="BP36" i="1"/>
  <c r="BQ36" i="1"/>
  <c r="BR36" i="1"/>
  <c r="B37" i="1"/>
  <c r="D37" i="1"/>
  <c r="E37" i="1"/>
  <c r="F37" i="1"/>
  <c r="BK37" i="1"/>
  <c r="BL37" i="1"/>
  <c r="BM37" i="1"/>
  <c r="BN37" i="1"/>
  <c r="BO37" i="1"/>
  <c r="BP37" i="1"/>
  <c r="BQ37" i="1"/>
  <c r="BR37" i="1"/>
  <c r="B38" i="1"/>
  <c r="D38" i="1"/>
  <c r="E38" i="1"/>
  <c r="F38" i="1"/>
  <c r="BK38" i="1"/>
  <c r="BL38" i="1"/>
  <c r="BM38" i="1"/>
  <c r="BN38" i="1"/>
  <c r="BO38" i="1"/>
  <c r="BP38" i="1"/>
  <c r="BQ38" i="1"/>
  <c r="BR38" i="1"/>
  <c r="B39" i="1"/>
  <c r="D39" i="1"/>
  <c r="E39" i="1"/>
  <c r="F39" i="1"/>
  <c r="BK39" i="1"/>
  <c r="BL39" i="1"/>
  <c r="BM39" i="1"/>
  <c r="BN39" i="1"/>
  <c r="BO39" i="1"/>
  <c r="BP39" i="1"/>
  <c r="BQ39" i="1"/>
  <c r="BR39" i="1"/>
  <c r="B40" i="1"/>
  <c r="D40" i="1"/>
  <c r="E40" i="1"/>
  <c r="F40" i="1"/>
  <c r="BK40" i="1"/>
  <c r="BL40" i="1"/>
  <c r="BM40" i="1"/>
  <c r="BN40" i="1"/>
  <c r="BO40" i="1"/>
  <c r="BP40" i="1"/>
  <c r="BQ40" i="1"/>
  <c r="BR40" i="1"/>
  <c r="B41" i="1"/>
  <c r="D41" i="1"/>
  <c r="E41" i="1"/>
  <c r="F41" i="1"/>
  <c r="BK41" i="1"/>
  <c r="BL41" i="1"/>
  <c r="BM41" i="1"/>
  <c r="BN41" i="1"/>
  <c r="BO41" i="1"/>
  <c r="BP41" i="1"/>
  <c r="BQ41" i="1"/>
  <c r="BR41" i="1"/>
  <c r="B42" i="1"/>
  <c r="D42" i="1"/>
  <c r="E42" i="1"/>
  <c r="F42" i="1"/>
  <c r="BK42" i="1"/>
  <c r="BL42" i="1"/>
  <c r="BM42" i="1"/>
  <c r="BN42" i="1"/>
  <c r="BO42" i="1"/>
  <c r="BP42" i="1"/>
  <c r="BQ42" i="1"/>
  <c r="BR42" i="1"/>
  <c r="B43" i="1"/>
  <c r="D43" i="1"/>
  <c r="E43" i="1"/>
  <c r="F43" i="1"/>
  <c r="BK43" i="1"/>
  <c r="BL43" i="1"/>
  <c r="BM43" i="1"/>
  <c r="BN43" i="1"/>
  <c r="BO43" i="1"/>
  <c r="BP43" i="1"/>
  <c r="BQ43" i="1"/>
  <c r="BR43" i="1"/>
  <c r="B44" i="1"/>
  <c r="D44" i="1"/>
  <c r="E44" i="1"/>
  <c r="F44" i="1"/>
  <c r="BK44" i="1"/>
  <c r="BL44" i="1"/>
  <c r="BM44" i="1"/>
  <c r="BN44" i="1"/>
  <c r="BO44" i="1"/>
  <c r="BP44" i="1"/>
  <c r="BQ44" i="1"/>
  <c r="BR44" i="1"/>
  <c r="B45" i="1"/>
  <c r="D45" i="1"/>
  <c r="E45" i="1"/>
  <c r="F45" i="1"/>
  <c r="BK45" i="1"/>
  <c r="BL45" i="1"/>
  <c r="BM45" i="1"/>
  <c r="BN45" i="1"/>
  <c r="BO45" i="1"/>
  <c r="BP45" i="1"/>
  <c r="BQ45" i="1"/>
  <c r="BR45" i="1"/>
  <c r="B46" i="1"/>
  <c r="D46" i="1"/>
  <c r="E46" i="1"/>
  <c r="F46" i="1"/>
  <c r="BK46" i="1"/>
  <c r="BL46" i="1"/>
  <c r="BM46" i="1"/>
  <c r="BN46" i="1"/>
  <c r="BO46" i="1"/>
  <c r="BP46" i="1"/>
  <c r="BQ46" i="1"/>
  <c r="BR46" i="1"/>
  <c r="B47" i="1"/>
  <c r="D47" i="1"/>
  <c r="E47" i="1"/>
  <c r="F47" i="1"/>
  <c r="BK47" i="1"/>
  <c r="BL47" i="1"/>
  <c r="BM47" i="1"/>
  <c r="BN47" i="1"/>
  <c r="BO47" i="1"/>
  <c r="BP47" i="1"/>
  <c r="BQ47" i="1"/>
  <c r="BR47" i="1"/>
  <c r="B48" i="1"/>
  <c r="D48" i="1"/>
  <c r="E48" i="1"/>
  <c r="F48" i="1"/>
  <c r="BK48" i="1"/>
  <c r="BL48" i="1"/>
  <c r="BM48" i="1"/>
  <c r="BN48" i="1"/>
  <c r="BO48" i="1"/>
  <c r="BP48" i="1"/>
  <c r="BQ48" i="1"/>
  <c r="BR48" i="1"/>
  <c r="B49" i="1"/>
  <c r="D49" i="1"/>
  <c r="E49" i="1"/>
  <c r="F49" i="1"/>
  <c r="BK49" i="1"/>
  <c r="BL49" i="1"/>
  <c r="BM49" i="1"/>
  <c r="BN49" i="1"/>
  <c r="BO49" i="1"/>
  <c r="BP49" i="1"/>
  <c r="BQ49" i="1"/>
  <c r="BR49" i="1"/>
  <c r="B4" i="1"/>
  <c r="D4" i="1"/>
  <c r="E4" i="1"/>
  <c r="F4" i="1"/>
  <c r="BK4" i="1"/>
  <c r="BL4" i="1"/>
  <c r="BM4" i="1"/>
  <c r="BN4" i="1"/>
  <c r="BO4" i="1"/>
  <c r="BP4" i="1"/>
  <c r="BQ4" i="1"/>
  <c r="BR4" i="1"/>
  <c r="B50" i="1"/>
  <c r="D50" i="1"/>
  <c r="E50" i="1"/>
  <c r="F50" i="1"/>
  <c r="BK50" i="1"/>
  <c r="BL50" i="1"/>
  <c r="BM50" i="1"/>
  <c r="BN50" i="1"/>
  <c r="BO50" i="1"/>
  <c r="BP50" i="1"/>
  <c r="BQ50" i="1"/>
  <c r="BR50" i="1"/>
  <c r="B51" i="1"/>
  <c r="D51" i="1"/>
  <c r="E51" i="1"/>
  <c r="F51" i="1"/>
  <c r="BK51" i="1"/>
  <c r="BL51" i="1"/>
  <c r="BM51" i="1"/>
  <c r="BN51" i="1"/>
  <c r="BO51" i="1"/>
  <c r="BP51" i="1"/>
  <c r="BQ51" i="1"/>
  <c r="BR51" i="1"/>
  <c r="B52" i="1"/>
  <c r="D52" i="1"/>
  <c r="E52" i="1"/>
  <c r="F52" i="1"/>
  <c r="BK52" i="1"/>
  <c r="BL52" i="1"/>
  <c r="BM52" i="1"/>
  <c r="BN52" i="1"/>
  <c r="BO52" i="1"/>
  <c r="BP52" i="1"/>
  <c r="BQ52" i="1"/>
  <c r="BR52" i="1"/>
  <c r="B5" i="1"/>
  <c r="D5" i="1"/>
  <c r="E5" i="1"/>
  <c r="F5" i="1"/>
  <c r="BK5" i="1"/>
  <c r="BL5" i="1"/>
  <c r="BM5" i="1"/>
  <c r="BN5" i="1"/>
  <c r="BO5" i="1"/>
  <c r="BP5" i="1"/>
  <c r="BQ5" i="1"/>
  <c r="BR5" i="1"/>
  <c r="B53" i="1"/>
  <c r="D53" i="1"/>
  <c r="E53" i="1"/>
  <c r="F53" i="1"/>
  <c r="BK53" i="1"/>
  <c r="BL53" i="1"/>
  <c r="BM53" i="1"/>
  <c r="BN53" i="1"/>
  <c r="BO53" i="1"/>
  <c r="BP53" i="1"/>
  <c r="BQ53" i="1"/>
  <c r="BR53" i="1"/>
  <c r="B54" i="1"/>
  <c r="D54" i="1"/>
  <c r="E54" i="1"/>
  <c r="F54" i="1"/>
  <c r="BK54" i="1"/>
  <c r="BL54" i="1"/>
  <c r="BM54" i="1"/>
  <c r="BN54" i="1"/>
  <c r="BO54" i="1"/>
  <c r="BP54" i="1"/>
  <c r="BQ54" i="1"/>
  <c r="BR54" i="1"/>
  <c r="B55" i="1"/>
  <c r="D55" i="1"/>
  <c r="E55" i="1"/>
  <c r="F55" i="1"/>
  <c r="BK55" i="1"/>
  <c r="BL55" i="1"/>
  <c r="BM55" i="1"/>
  <c r="BN55" i="1"/>
  <c r="BO55" i="1"/>
  <c r="BP55" i="1"/>
  <c r="BQ55" i="1"/>
  <c r="BR55" i="1"/>
  <c r="B56" i="1"/>
  <c r="D56" i="1"/>
  <c r="E56" i="1"/>
  <c r="F56" i="1"/>
  <c r="BK56" i="1"/>
  <c r="BL56" i="1"/>
  <c r="BM56" i="1"/>
  <c r="BN56" i="1"/>
  <c r="BO56" i="1"/>
  <c r="BP56" i="1"/>
  <c r="BQ56" i="1"/>
  <c r="BR56" i="1"/>
  <c r="B57" i="1"/>
  <c r="D57" i="1"/>
  <c r="E57" i="1"/>
  <c r="F57" i="1"/>
  <c r="BK57" i="1"/>
  <c r="BL57" i="1"/>
  <c r="BM57" i="1"/>
  <c r="BN57" i="1"/>
  <c r="BO57" i="1"/>
  <c r="BP57" i="1"/>
  <c r="BQ57" i="1"/>
  <c r="BR57" i="1"/>
  <c r="B58" i="1"/>
  <c r="D58" i="1"/>
  <c r="E58" i="1"/>
  <c r="F58" i="1"/>
  <c r="BK58" i="1"/>
  <c r="BL58" i="1"/>
  <c r="BM58" i="1"/>
  <c r="BN58" i="1"/>
  <c r="BO58" i="1"/>
  <c r="BP58" i="1"/>
  <c r="BQ58" i="1"/>
  <c r="BR58" i="1"/>
  <c r="B6" i="1"/>
  <c r="D6" i="1"/>
  <c r="E6" i="1"/>
  <c r="F6" i="1"/>
  <c r="BK6" i="1"/>
  <c r="BL6" i="1"/>
  <c r="BM6" i="1"/>
  <c r="BN6" i="1"/>
  <c r="BO6" i="1"/>
  <c r="BP6" i="1"/>
  <c r="BQ6" i="1"/>
  <c r="BR6" i="1"/>
  <c r="B59" i="1"/>
  <c r="D59" i="1"/>
  <c r="E59" i="1"/>
  <c r="F59" i="1"/>
  <c r="BK59" i="1"/>
  <c r="BL59" i="1"/>
  <c r="BM59" i="1"/>
  <c r="BN59" i="1"/>
  <c r="BO59" i="1"/>
  <c r="BP59" i="1"/>
  <c r="BQ59" i="1"/>
  <c r="BR59" i="1"/>
  <c r="B60" i="1"/>
  <c r="D60" i="1"/>
  <c r="E60" i="1"/>
  <c r="F60" i="1"/>
  <c r="BK60" i="1"/>
  <c r="BL60" i="1"/>
  <c r="BM60" i="1"/>
  <c r="BN60" i="1"/>
  <c r="BO60" i="1"/>
  <c r="BP60" i="1"/>
  <c r="BQ60" i="1"/>
  <c r="BR60" i="1"/>
  <c r="B61" i="1"/>
  <c r="D61" i="1"/>
  <c r="E61" i="1"/>
  <c r="F61" i="1"/>
  <c r="BK61" i="1"/>
  <c r="BL61" i="1"/>
  <c r="BM61" i="1"/>
  <c r="BN61" i="1"/>
  <c r="BO61" i="1"/>
  <c r="BP61" i="1"/>
  <c r="BQ61" i="1"/>
  <c r="BR61" i="1"/>
  <c r="B62" i="1"/>
  <c r="D62" i="1"/>
  <c r="E62" i="1"/>
  <c r="F62" i="1"/>
  <c r="BK62" i="1"/>
  <c r="BL62" i="1"/>
  <c r="BM62" i="1"/>
  <c r="BN62" i="1"/>
  <c r="BO62" i="1"/>
  <c r="BP62" i="1"/>
  <c r="BQ62" i="1"/>
  <c r="BR62" i="1"/>
  <c r="B63" i="1"/>
  <c r="D63" i="1"/>
  <c r="E63" i="1"/>
  <c r="F63" i="1"/>
  <c r="BK63" i="1"/>
  <c r="BL63" i="1"/>
  <c r="BM63" i="1"/>
  <c r="BN63" i="1"/>
  <c r="BO63" i="1"/>
  <c r="BP63" i="1"/>
  <c r="BQ63" i="1"/>
  <c r="BR63" i="1"/>
  <c r="B64" i="1"/>
  <c r="D64" i="1"/>
  <c r="E64" i="1"/>
  <c r="F64" i="1"/>
  <c r="BK64" i="1"/>
  <c r="BL64" i="1"/>
  <c r="BM64" i="1"/>
  <c r="BN64" i="1"/>
  <c r="BO64" i="1"/>
  <c r="BP64" i="1"/>
  <c r="BQ64" i="1"/>
  <c r="BR64" i="1"/>
  <c r="B65" i="1"/>
  <c r="D65" i="1"/>
  <c r="E65" i="1"/>
  <c r="F65" i="1"/>
  <c r="BK65" i="1"/>
  <c r="BL65" i="1"/>
  <c r="BM65" i="1"/>
  <c r="BN65" i="1"/>
  <c r="BO65" i="1"/>
  <c r="BP65" i="1"/>
  <c r="BQ65" i="1"/>
  <c r="BR65" i="1"/>
  <c r="B66" i="1"/>
  <c r="D66" i="1"/>
  <c r="E66" i="1"/>
  <c r="F66" i="1"/>
  <c r="BK66" i="1"/>
  <c r="BL66" i="1"/>
  <c r="BM66" i="1"/>
  <c r="BN66" i="1"/>
  <c r="BO66" i="1"/>
  <c r="BP66" i="1"/>
  <c r="BQ66" i="1"/>
  <c r="BR66" i="1"/>
  <c r="B67" i="1"/>
  <c r="D67" i="1"/>
  <c r="E67" i="1"/>
  <c r="F67" i="1"/>
  <c r="BK67" i="1"/>
  <c r="BL67" i="1"/>
  <c r="BM67" i="1"/>
  <c r="BN67" i="1"/>
  <c r="BO67" i="1"/>
  <c r="BP67" i="1"/>
  <c r="BQ67" i="1"/>
  <c r="BR67" i="1"/>
  <c r="B68" i="1"/>
  <c r="D68" i="1"/>
  <c r="E68" i="1"/>
  <c r="F68" i="1"/>
  <c r="BK68" i="1"/>
  <c r="BL68" i="1"/>
  <c r="BM68" i="1"/>
  <c r="BN68" i="1"/>
  <c r="BO68" i="1"/>
  <c r="BP68" i="1"/>
  <c r="BQ68" i="1"/>
  <c r="BR68" i="1"/>
  <c r="B69" i="1"/>
  <c r="D69" i="1"/>
  <c r="E69" i="1"/>
  <c r="F69" i="1"/>
  <c r="BK69" i="1"/>
  <c r="BL69" i="1"/>
  <c r="BM69" i="1"/>
  <c r="BN69" i="1"/>
  <c r="BO69" i="1"/>
  <c r="BP69" i="1"/>
  <c r="BQ69" i="1"/>
  <c r="BR69" i="1"/>
  <c r="B70" i="1"/>
  <c r="D70" i="1"/>
  <c r="E70" i="1"/>
  <c r="F70" i="1"/>
  <c r="BK70" i="1"/>
  <c r="BL70" i="1"/>
  <c r="BM70" i="1"/>
  <c r="BN70" i="1"/>
  <c r="BO70" i="1"/>
  <c r="BP70" i="1"/>
  <c r="BQ70" i="1"/>
  <c r="BR70" i="1"/>
  <c r="B71" i="1"/>
  <c r="D71" i="1"/>
  <c r="E71" i="1"/>
  <c r="F71" i="1"/>
  <c r="BK71" i="1"/>
  <c r="BL71" i="1"/>
  <c r="BM71" i="1"/>
  <c r="BN71" i="1"/>
  <c r="BO71" i="1"/>
  <c r="BP71" i="1"/>
  <c r="BQ71" i="1"/>
  <c r="BR71" i="1"/>
  <c r="B72" i="1"/>
  <c r="D72" i="1"/>
  <c r="E72" i="1"/>
  <c r="F72" i="1"/>
  <c r="BK72" i="1"/>
  <c r="BL72" i="1"/>
  <c r="BM72" i="1"/>
  <c r="BN72" i="1"/>
  <c r="BO72" i="1"/>
  <c r="BP72" i="1"/>
  <c r="BQ72" i="1"/>
  <c r="BR72" i="1"/>
  <c r="B73" i="1"/>
  <c r="D73" i="1"/>
  <c r="E73" i="1"/>
  <c r="F73" i="1"/>
  <c r="BK73" i="1"/>
  <c r="BL73" i="1"/>
  <c r="BM73" i="1"/>
  <c r="BN73" i="1"/>
  <c r="BO73" i="1"/>
  <c r="BP73" i="1"/>
  <c r="BQ73" i="1"/>
  <c r="BR73" i="1"/>
  <c r="B74" i="1"/>
  <c r="D74" i="1"/>
  <c r="E74" i="1"/>
  <c r="F74" i="1"/>
  <c r="BK74" i="1"/>
  <c r="BL74" i="1"/>
  <c r="BM74" i="1"/>
  <c r="BN74" i="1"/>
  <c r="BO74" i="1"/>
  <c r="BP74" i="1"/>
  <c r="BQ74" i="1"/>
  <c r="BR74" i="1"/>
  <c r="B75" i="1"/>
  <c r="D75" i="1"/>
  <c r="E75" i="1"/>
  <c r="F75" i="1"/>
  <c r="BK75" i="1"/>
  <c r="BL75" i="1"/>
  <c r="BM75" i="1"/>
  <c r="BN75" i="1"/>
  <c r="BO75" i="1"/>
  <c r="BP75" i="1"/>
  <c r="BQ75" i="1"/>
  <c r="BR75" i="1"/>
  <c r="B76" i="1"/>
  <c r="D76" i="1"/>
  <c r="E76" i="1"/>
  <c r="F76" i="1"/>
  <c r="BK76" i="1"/>
  <c r="BL76" i="1"/>
  <c r="BM76" i="1"/>
  <c r="BN76" i="1"/>
  <c r="BO76" i="1"/>
  <c r="BP76" i="1"/>
  <c r="BQ76" i="1"/>
  <c r="BR76" i="1"/>
  <c r="B77" i="1"/>
  <c r="D77" i="1"/>
  <c r="E77" i="1"/>
  <c r="F77" i="1"/>
  <c r="BK77" i="1"/>
  <c r="BL77" i="1"/>
  <c r="BM77" i="1"/>
  <c r="BN77" i="1"/>
  <c r="BO77" i="1"/>
  <c r="BP77" i="1"/>
  <c r="BQ77" i="1"/>
  <c r="BR77" i="1"/>
  <c r="B78" i="1"/>
  <c r="D78" i="1"/>
  <c r="E78" i="1"/>
  <c r="F78" i="1"/>
  <c r="BK78" i="1"/>
  <c r="BL78" i="1"/>
  <c r="BM78" i="1"/>
  <c r="BN78" i="1"/>
  <c r="BO78" i="1"/>
  <c r="BP78" i="1"/>
  <c r="BQ78" i="1"/>
  <c r="BR78" i="1"/>
  <c r="B79" i="1"/>
  <c r="D79" i="1"/>
  <c r="E79" i="1"/>
  <c r="F79" i="1"/>
  <c r="BK79" i="1"/>
  <c r="BL79" i="1"/>
  <c r="BM79" i="1"/>
  <c r="BN79" i="1"/>
  <c r="BO79" i="1"/>
  <c r="BP79" i="1"/>
  <c r="BQ79" i="1"/>
  <c r="BR79" i="1"/>
  <c r="B80" i="1"/>
  <c r="D80" i="1"/>
  <c r="E80" i="1"/>
  <c r="F80" i="1"/>
  <c r="BK80" i="1"/>
  <c r="BL80" i="1"/>
  <c r="BM80" i="1"/>
  <c r="BN80" i="1"/>
  <c r="BO80" i="1"/>
  <c r="BP80" i="1"/>
  <c r="BQ80" i="1"/>
  <c r="BR80" i="1"/>
  <c r="B81" i="1"/>
  <c r="D81" i="1"/>
  <c r="E81" i="1"/>
  <c r="F81" i="1"/>
  <c r="BK81" i="1"/>
  <c r="BL81" i="1"/>
  <c r="BM81" i="1"/>
  <c r="BN81" i="1"/>
  <c r="BO81" i="1"/>
  <c r="BP81" i="1"/>
  <c r="BQ81" i="1"/>
  <c r="BR81" i="1"/>
  <c r="B82" i="1"/>
  <c r="D82" i="1"/>
  <c r="E82" i="1"/>
  <c r="F82" i="1"/>
  <c r="BK82" i="1"/>
  <c r="BL82" i="1"/>
  <c r="BM82" i="1"/>
  <c r="BN82" i="1"/>
  <c r="BO82" i="1"/>
  <c r="BP82" i="1"/>
  <c r="BQ82" i="1"/>
  <c r="BR82" i="1"/>
  <c r="B83" i="1"/>
  <c r="D83" i="1"/>
  <c r="E83" i="1"/>
  <c r="F83" i="1"/>
  <c r="BK83" i="1"/>
  <c r="BL83" i="1"/>
  <c r="BM83" i="1"/>
  <c r="BN83" i="1"/>
  <c r="BO83" i="1"/>
  <c r="BP83" i="1"/>
  <c r="BQ83" i="1"/>
  <c r="BR83" i="1"/>
  <c r="B84" i="1"/>
  <c r="D84" i="1"/>
  <c r="E84" i="1"/>
  <c r="F84" i="1"/>
  <c r="BK84" i="1"/>
  <c r="BL84" i="1"/>
  <c r="BM84" i="1"/>
  <c r="BN84" i="1"/>
  <c r="BO84" i="1"/>
  <c r="BP84" i="1"/>
  <c r="BQ84" i="1"/>
  <c r="BR84" i="1"/>
  <c r="B85" i="1"/>
  <c r="D85" i="1"/>
  <c r="E85" i="1"/>
  <c r="F85" i="1"/>
  <c r="BK85" i="1"/>
  <c r="BL85" i="1"/>
  <c r="BM85" i="1"/>
  <c r="BN85" i="1"/>
  <c r="BO85" i="1"/>
  <c r="BP85" i="1"/>
  <c r="BQ85" i="1"/>
  <c r="BR85" i="1"/>
  <c r="B86" i="1"/>
  <c r="D86" i="1"/>
  <c r="E86" i="1"/>
  <c r="F86" i="1"/>
  <c r="BK86" i="1"/>
  <c r="BL86" i="1"/>
  <c r="BM86" i="1"/>
  <c r="BN86" i="1"/>
  <c r="BO86" i="1"/>
  <c r="BP86" i="1"/>
  <c r="BQ86" i="1"/>
  <c r="BR86" i="1"/>
  <c r="B87" i="1"/>
  <c r="D87" i="1"/>
  <c r="E87" i="1"/>
  <c r="F87" i="1"/>
  <c r="BK87" i="1"/>
  <c r="BL87" i="1"/>
  <c r="BM87" i="1"/>
  <c r="BN87" i="1"/>
  <c r="BO87" i="1"/>
  <c r="BP87" i="1"/>
  <c r="BQ87" i="1"/>
  <c r="BR87" i="1"/>
  <c r="B88" i="1"/>
  <c r="D88" i="1"/>
  <c r="E88" i="1"/>
  <c r="F88" i="1"/>
  <c r="BK88" i="1"/>
  <c r="BL88" i="1"/>
  <c r="BM88" i="1"/>
  <c r="BN88" i="1"/>
  <c r="BO88" i="1"/>
  <c r="BP88" i="1"/>
  <c r="BQ88" i="1"/>
  <c r="BR88" i="1"/>
  <c r="B89" i="1"/>
  <c r="D89" i="1"/>
  <c r="E89" i="1"/>
  <c r="F89" i="1"/>
  <c r="BK89" i="1"/>
  <c r="BL89" i="1"/>
  <c r="BM89" i="1"/>
  <c r="BN89" i="1"/>
  <c r="BO89" i="1"/>
  <c r="BP89" i="1"/>
  <c r="BQ89" i="1"/>
  <c r="BR89" i="1"/>
  <c r="B90" i="1"/>
  <c r="D90" i="1"/>
  <c r="E90" i="1"/>
  <c r="F90" i="1"/>
  <c r="BK90" i="1"/>
  <c r="BL90" i="1"/>
  <c r="BM90" i="1"/>
  <c r="BN90" i="1"/>
  <c r="BO90" i="1"/>
  <c r="BP90" i="1"/>
  <c r="BQ90" i="1"/>
  <c r="BR90" i="1"/>
  <c r="B91" i="1"/>
  <c r="D91" i="1"/>
  <c r="E91" i="1"/>
  <c r="F91" i="1"/>
  <c r="BK91" i="1"/>
  <c r="BL91" i="1"/>
  <c r="BM91" i="1"/>
  <c r="BN91" i="1"/>
  <c r="BO91" i="1"/>
  <c r="BP91" i="1"/>
  <c r="BQ91" i="1"/>
  <c r="BR91" i="1"/>
  <c r="B92" i="1"/>
  <c r="D92" i="1"/>
  <c r="E92" i="1"/>
  <c r="F92" i="1"/>
  <c r="BK92" i="1"/>
  <c r="BL92" i="1"/>
  <c r="BM92" i="1"/>
  <c r="BN92" i="1"/>
  <c r="BO92" i="1"/>
  <c r="BP92" i="1"/>
  <c r="BQ92" i="1"/>
  <c r="BR92" i="1"/>
  <c r="B93" i="1"/>
  <c r="D93" i="1"/>
  <c r="E93" i="1"/>
  <c r="F93" i="1"/>
  <c r="BK93" i="1"/>
  <c r="BL93" i="1"/>
  <c r="BM93" i="1"/>
  <c r="BN93" i="1"/>
  <c r="BO93" i="1"/>
  <c r="BP93" i="1"/>
  <c r="BQ93" i="1"/>
  <c r="BR93" i="1"/>
  <c r="B94" i="1"/>
  <c r="D94" i="1"/>
  <c r="E94" i="1"/>
  <c r="F94" i="1"/>
  <c r="BK94" i="1"/>
  <c r="BL94" i="1"/>
  <c r="BM94" i="1"/>
  <c r="BN94" i="1"/>
  <c r="BO94" i="1"/>
  <c r="BP94" i="1"/>
  <c r="BQ94" i="1"/>
  <c r="BR94" i="1"/>
  <c r="B95" i="1"/>
  <c r="D95" i="1"/>
  <c r="E95" i="1"/>
  <c r="F95" i="1"/>
  <c r="BK95" i="1"/>
  <c r="BL95" i="1"/>
  <c r="BM95" i="1"/>
  <c r="BN95" i="1"/>
  <c r="BO95" i="1"/>
  <c r="BP95" i="1"/>
  <c r="BQ95" i="1"/>
  <c r="BR95" i="1"/>
  <c r="B96" i="1"/>
  <c r="D96" i="1"/>
  <c r="E96" i="1"/>
  <c r="F96" i="1"/>
  <c r="BK96" i="1"/>
  <c r="BL96" i="1"/>
  <c r="BM96" i="1"/>
  <c r="BN96" i="1"/>
  <c r="BO96" i="1"/>
  <c r="BP96" i="1"/>
  <c r="BQ96" i="1"/>
  <c r="BR96" i="1"/>
  <c r="B97" i="1"/>
  <c r="D97" i="1"/>
  <c r="E97" i="1"/>
  <c r="F97" i="1"/>
  <c r="BK97" i="1"/>
  <c r="BL97" i="1"/>
  <c r="BM97" i="1"/>
  <c r="BN97" i="1"/>
  <c r="BO97" i="1"/>
  <c r="BP97" i="1"/>
  <c r="BQ97" i="1"/>
  <c r="BR97" i="1"/>
  <c r="B98" i="1"/>
  <c r="D98" i="1"/>
  <c r="E98" i="1"/>
  <c r="F98" i="1"/>
  <c r="BK98" i="1"/>
  <c r="BL98" i="1"/>
  <c r="BM98" i="1"/>
  <c r="BN98" i="1"/>
  <c r="BO98" i="1"/>
  <c r="BP98" i="1"/>
  <c r="BQ98" i="1"/>
  <c r="BR98" i="1"/>
  <c r="B99" i="1"/>
  <c r="D99" i="1"/>
  <c r="E99" i="1"/>
  <c r="F99" i="1"/>
  <c r="BK99" i="1"/>
  <c r="BL99" i="1"/>
  <c r="BM99" i="1"/>
  <c r="BN99" i="1"/>
  <c r="BO99" i="1"/>
  <c r="BP99" i="1"/>
  <c r="BQ99" i="1"/>
  <c r="BR99" i="1"/>
  <c r="B7" i="1"/>
  <c r="D7" i="1"/>
  <c r="E7" i="1"/>
  <c r="F7" i="1"/>
  <c r="BK7" i="1"/>
  <c r="BL7" i="1"/>
  <c r="BM7" i="1"/>
  <c r="BN7" i="1"/>
  <c r="BO7" i="1"/>
  <c r="BP7" i="1"/>
  <c r="BQ7" i="1"/>
  <c r="BR7" i="1"/>
  <c r="B100" i="1"/>
  <c r="D100" i="1"/>
  <c r="E100" i="1"/>
  <c r="F100" i="1"/>
  <c r="BK100" i="1"/>
  <c r="BL100" i="1"/>
  <c r="BM100" i="1"/>
  <c r="BN100" i="1"/>
  <c r="BO100" i="1"/>
  <c r="BP100" i="1"/>
  <c r="BQ100" i="1"/>
  <c r="BR100" i="1"/>
  <c r="B101" i="1"/>
  <c r="D101" i="1"/>
  <c r="E101" i="1"/>
  <c r="F101" i="1"/>
  <c r="BK101" i="1"/>
  <c r="BL101" i="1"/>
  <c r="BM101" i="1"/>
  <c r="BN101" i="1"/>
  <c r="BO101" i="1"/>
  <c r="BP101" i="1"/>
  <c r="BQ101" i="1"/>
  <c r="BR101" i="1"/>
  <c r="B102" i="1"/>
  <c r="D102" i="1"/>
  <c r="E102" i="1"/>
  <c r="F102" i="1"/>
  <c r="BK102" i="1"/>
  <c r="BL102" i="1"/>
  <c r="BM102" i="1"/>
  <c r="BN102" i="1"/>
  <c r="BO102" i="1"/>
  <c r="BP102" i="1"/>
  <c r="BQ102" i="1"/>
  <c r="BR102" i="1"/>
  <c r="B103" i="1"/>
  <c r="D103" i="1"/>
  <c r="E103" i="1"/>
  <c r="F103" i="1"/>
  <c r="BK103" i="1"/>
  <c r="BL103" i="1"/>
  <c r="BM103" i="1"/>
  <c r="BN103" i="1"/>
  <c r="BO103" i="1"/>
  <c r="BP103" i="1"/>
  <c r="BQ103" i="1"/>
  <c r="BR103" i="1"/>
</calcChain>
</file>

<file path=xl/sharedStrings.xml><?xml version="1.0" encoding="utf-8"?>
<sst xmlns="http://schemas.openxmlformats.org/spreadsheetml/2006/main" count="70" uniqueCount="70">
  <si>
    <t>Summary level</t>
  </si>
  <si>
    <t>Program label</t>
  </si>
  <si>
    <t>Program</t>
  </si>
  <si>
    <t>Sub-program</t>
  </si>
  <si>
    <t>Name</t>
  </si>
  <si>
    <t>Code</t>
  </si>
  <si>
    <t>Subsidized units available</t>
  </si>
  <si>
    <t>% Occupied</t>
  </si>
  <si>
    <t># Reported</t>
  </si>
  <si>
    <t>% Reported</t>
  </si>
  <si>
    <t>Average months since report</t>
  </si>
  <si>
    <t>% moved in past year</t>
  </si>
  <si>
    <t>Number of people per unit</t>
  </si>
  <si>
    <t>Number of people: total</t>
  </si>
  <si>
    <t>Average Family Expenditure per month ($$)</t>
  </si>
  <si>
    <t>Average HUD Expenditure per month ($$)</t>
  </si>
  <si>
    <t>Household income per year</t>
  </si>
  <si>
    <t>Household income per year per person</t>
  </si>
  <si>
    <t>% $1 - $4,999</t>
  </si>
  <si>
    <t>% $5,000 - $9,999</t>
  </si>
  <si>
    <t>% $10,000 - $14,999</t>
  </si>
  <si>
    <t>% $15,000 - $19,999</t>
  </si>
  <si>
    <t>% $20,000 or more</t>
  </si>
  <si>
    <t>% Households where wages are major source of income</t>
  </si>
  <si>
    <t>% Households where welfare is major source of income</t>
  </si>
  <si>
    <t>% Households with other major sources of income</t>
  </si>
  <si>
    <t>% of local median (Household income)</t>
  </si>
  <si>
    <t>% very low income</t>
  </si>
  <si>
    <t>% extremely low income</t>
  </si>
  <si>
    <t>% 2+ adults with children</t>
  </si>
  <si>
    <t>% 1 adult with children</t>
  </si>
  <si>
    <t>% female head</t>
  </si>
  <si>
    <t>% female head with children</t>
  </si>
  <si>
    <t>% with disability, among Head, Spouse, Co-head, aged 61 years or less</t>
  </si>
  <si>
    <t>% with disability, among Head, Spouse, Co-head, aged 62 years or older</t>
  </si>
  <si>
    <t>% with disability, among all persons in households</t>
  </si>
  <si>
    <t>% 24 years or less (Head or spouse)</t>
  </si>
  <si>
    <t>% 25 to 49 years (Head or spouse)</t>
  </si>
  <si>
    <t>% 51 to 60 (Head or spouse)</t>
  </si>
  <si>
    <t>% 62 or more (Head or spouse)</t>
  </si>
  <si>
    <t>% 85 or more (Head or spouse)</t>
  </si>
  <si>
    <t>% Minority</t>
  </si>
  <si>
    <t>%Black Non-Hispanic</t>
  </si>
  <si>
    <t>%Native American Non-Hispanic</t>
  </si>
  <si>
    <t>%Asian or Pacific Islander Non-Hispanic</t>
  </si>
  <si>
    <t>%White Non-Hispanic</t>
  </si>
  <si>
    <t xml:space="preserve"> %Black Hispanic</t>
  </si>
  <si>
    <t>%White Hispanic</t>
  </si>
  <si>
    <t>%Other Hispanic</t>
  </si>
  <si>
    <t>% Hispanic</t>
  </si>
  <si>
    <t>% Multiple Race</t>
  </si>
  <si>
    <t>Average months on waiting list</t>
  </si>
  <si>
    <t>Average months since moved in</t>
  </si>
  <si>
    <t>% with utility allowance</t>
  </si>
  <si>
    <t>Average utility allowance $$</t>
  </si>
  <si>
    <t>% 0 - 1 bedrooms:</t>
  </si>
  <si>
    <t>% 2 bedrooms</t>
  </si>
  <si>
    <t>% 3+ bedrooms</t>
  </si>
  <si>
    <t>% Overhoused</t>
  </si>
  <si>
    <t>% in poverty (Census tract)</t>
  </si>
  <si>
    <t>% minority (Census tract)</t>
  </si>
  <si>
    <t>% single family owners (Census tract)</t>
  </si>
  <si>
    <t>Congressional District</t>
  </si>
  <si>
    <t>CBSA</t>
  </si>
  <si>
    <t>PLACE</t>
  </si>
  <si>
    <t>Latitude</t>
  </si>
  <si>
    <t>Longitude</t>
  </si>
  <si>
    <t>State</t>
  </si>
  <si>
    <t>PHA Total Units</t>
  </si>
  <si>
    <t>HA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</si>
</sst>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3"/>
  <sheetViews>
    <sheetView tabSelected="1" topLeftCell="AH1" workbookViewId="0">
      <selection activeCell="AK6" sqref="A6:XFD6"/>
    </sheetView>
  </sheetViews>
  <sheetFormatPr baseColWidth="10" defaultRowHeight="15" x14ac:dyDescent="0"/>
  <cols>
    <col min="1" max="1" width="13.1640625" bestFit="1" customWidth="1"/>
    <col min="2" max="2" width="26" bestFit="1" customWidth="1"/>
    <col min="3" max="3" width="8.1640625" bestFit="1" customWidth="1"/>
    <col min="4" max="4" width="11.83203125" bestFit="1" customWidth="1"/>
    <col min="5" max="5" width="21.6640625" bestFit="1" customWidth="1"/>
    <col min="6" max="6" width="6.33203125" bestFit="1" customWidth="1"/>
    <col min="7" max="7" width="22" bestFit="1" customWidth="1"/>
    <col min="8" max="8" width="10.6640625" bestFit="1" customWidth="1"/>
    <col min="9" max="9" width="10.33203125" bestFit="1" customWidth="1"/>
    <col min="10" max="10" width="10.6640625" bestFit="1" customWidth="1"/>
    <col min="11" max="11" width="24.83203125" bestFit="1" customWidth="1"/>
    <col min="12" max="12" width="18.6640625" bestFit="1" customWidth="1"/>
    <col min="13" max="13" width="23" bestFit="1" customWidth="1"/>
    <col min="14" max="14" width="20.83203125" bestFit="1" customWidth="1"/>
    <col min="15" max="15" width="36.6640625" bestFit="1" customWidth="1"/>
    <col min="16" max="16" width="35.1640625" bestFit="1" customWidth="1"/>
    <col min="17" max="17" width="23.6640625" bestFit="1" customWidth="1"/>
    <col min="18" max="18" width="33" bestFit="1" customWidth="1"/>
    <col min="19" max="19" width="12.1640625" bestFit="1" customWidth="1"/>
    <col min="20" max="20" width="15.83203125" bestFit="1" customWidth="1"/>
    <col min="21" max="22" width="17.83203125" bestFit="1" customWidth="1"/>
    <col min="23" max="23" width="16.6640625" bestFit="1" customWidth="1"/>
    <col min="24" max="24" width="46.6640625" bestFit="1" customWidth="1"/>
    <col min="25" max="25" width="46.1640625" bestFit="1" customWidth="1"/>
    <col min="26" max="26" width="42.1640625" bestFit="1" customWidth="1"/>
    <col min="27" max="27" width="32.5" bestFit="1" customWidth="1"/>
    <col min="28" max="28" width="16.5" bestFit="1" customWidth="1"/>
    <col min="29" max="29" width="21.1640625" bestFit="1" customWidth="1"/>
    <col min="30" max="30" width="21.6640625" bestFit="1" customWidth="1"/>
    <col min="31" max="31" width="19.83203125" bestFit="1" customWidth="1"/>
    <col min="32" max="32" width="13.1640625" bestFit="1" customWidth="1"/>
    <col min="33" max="33" width="24.33203125" bestFit="1" customWidth="1"/>
    <col min="34" max="34" width="58.1640625" bestFit="1" customWidth="1"/>
    <col min="35" max="35" width="59.33203125" bestFit="1" customWidth="1"/>
    <col min="36" max="36" width="42" bestFit="1" customWidth="1"/>
    <col min="37" max="37" width="29.83203125" bestFit="1" customWidth="1"/>
    <col min="38" max="38" width="28.83203125" bestFit="1" customWidth="1"/>
    <col min="39" max="39" width="24.1640625" bestFit="1" customWidth="1"/>
    <col min="40" max="41" width="26.5" bestFit="1" customWidth="1"/>
    <col min="42" max="42" width="10.1640625" bestFit="1" customWidth="1"/>
    <col min="43" max="43" width="18.1640625" bestFit="1" customWidth="1"/>
    <col min="44" max="44" width="27.5" bestFit="1" customWidth="1"/>
    <col min="45" max="45" width="33.1640625" bestFit="1" customWidth="1"/>
    <col min="46" max="46" width="19" bestFit="1" customWidth="1"/>
    <col min="47" max="47" width="14.6640625" bestFit="1" customWidth="1"/>
    <col min="48" max="48" width="15" bestFit="1" customWidth="1"/>
    <col min="49" max="49" width="14.6640625" bestFit="1" customWidth="1"/>
    <col min="50" max="50" width="10" bestFit="1" customWidth="1"/>
    <col min="51" max="51" width="14.33203125" bestFit="1" customWidth="1"/>
    <col min="52" max="52" width="26.33203125" bestFit="1" customWidth="1"/>
    <col min="53" max="53" width="27.1640625" bestFit="1" customWidth="1"/>
    <col min="54" max="54" width="20.5" bestFit="1" customWidth="1"/>
    <col min="55" max="55" width="24.1640625" bestFit="1" customWidth="1"/>
    <col min="56" max="56" width="16" bestFit="1" customWidth="1"/>
    <col min="57" max="57" width="12.83203125" bestFit="1" customWidth="1"/>
    <col min="58" max="58" width="13.83203125" bestFit="1" customWidth="1"/>
    <col min="59" max="59" width="13" bestFit="1" customWidth="1"/>
    <col min="60" max="60" width="23" bestFit="1" customWidth="1"/>
    <col min="61" max="61" width="21.6640625" bestFit="1" customWidth="1"/>
    <col min="62" max="62" width="31.33203125" bestFit="1" customWidth="1"/>
    <col min="63" max="63" width="18.83203125" bestFit="1" customWidth="1"/>
    <col min="64" max="64" width="5.5" bestFit="1" customWidth="1"/>
    <col min="65" max="65" width="6.33203125" bestFit="1" customWidth="1"/>
    <col min="66" max="66" width="8" bestFit="1" customWidth="1"/>
    <col min="67" max="67" width="9.33203125" bestFit="1" customWidth="1"/>
    <col min="68" max="68" width="5.5" bestFit="1" customWidth="1"/>
    <col min="69" max="69" width="14" bestFit="1" customWidth="1"/>
    <col min="70" max="70" width="11.1640625" bestFit="1" customWidth="1"/>
  </cols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>
      <c r="A2">
        <v>9</v>
      </c>
      <c r="B2" t="str">
        <f t="shared" ref="B2:B37" si="0">"Summary of All HUD Programs"</f>
        <v>Summary of All HUD Programs</v>
      </c>
      <c r="C2">
        <v>1</v>
      </c>
      <c r="D2" t="str">
        <f t="shared" ref="D2:D37" si="1">"NA"</f>
        <v>NA</v>
      </c>
      <c r="E2" t="str">
        <f>"031 Cook County"</f>
        <v>031 Cook County</v>
      </c>
      <c r="F2" t="str">
        <f>"17031"</f>
        <v>17031</v>
      </c>
      <c r="G2">
        <v>124126</v>
      </c>
      <c r="H2">
        <v>92</v>
      </c>
      <c r="I2">
        <v>115136</v>
      </c>
      <c r="J2">
        <v>100</v>
      </c>
      <c r="K2">
        <v>7</v>
      </c>
      <c r="L2">
        <v>8</v>
      </c>
      <c r="M2">
        <v>2.1</v>
      </c>
      <c r="N2">
        <v>237539</v>
      </c>
      <c r="O2">
        <v>335</v>
      </c>
      <c r="P2">
        <v>926</v>
      </c>
      <c r="Q2">
        <v>12992</v>
      </c>
      <c r="R2">
        <v>6297</v>
      </c>
      <c r="S2">
        <v>12</v>
      </c>
      <c r="T2">
        <v>36</v>
      </c>
      <c r="U2">
        <v>20</v>
      </c>
      <c r="V2">
        <v>14</v>
      </c>
      <c r="W2">
        <v>19</v>
      </c>
      <c r="X2">
        <v>28</v>
      </c>
      <c r="Y2">
        <v>3</v>
      </c>
      <c r="Z2">
        <v>63</v>
      </c>
      <c r="AA2">
        <v>21</v>
      </c>
      <c r="AB2">
        <v>95</v>
      </c>
      <c r="AC2">
        <v>79</v>
      </c>
      <c r="AD2">
        <v>2</v>
      </c>
      <c r="AE2">
        <v>34</v>
      </c>
      <c r="AF2">
        <v>77</v>
      </c>
      <c r="AG2">
        <v>34</v>
      </c>
      <c r="AH2">
        <v>26</v>
      </c>
      <c r="AI2">
        <v>43</v>
      </c>
      <c r="AJ2">
        <v>19</v>
      </c>
      <c r="AK2">
        <v>2</v>
      </c>
      <c r="AL2">
        <v>42</v>
      </c>
      <c r="AM2">
        <v>20</v>
      </c>
      <c r="AN2">
        <v>36</v>
      </c>
      <c r="AO2">
        <v>4</v>
      </c>
      <c r="AP2">
        <v>90</v>
      </c>
      <c r="AQ2">
        <v>79</v>
      </c>
      <c r="AR2">
        <v>0</v>
      </c>
      <c r="AS2">
        <v>3</v>
      </c>
      <c r="AT2">
        <v>9</v>
      </c>
      <c r="AU2">
        <v>1</v>
      </c>
      <c r="AV2">
        <v>6</v>
      </c>
      <c r="AW2">
        <v>1</v>
      </c>
      <c r="AX2">
        <v>8</v>
      </c>
      <c r="AY2">
        <v>0</v>
      </c>
      <c r="AZ2">
        <v>18</v>
      </c>
      <c r="BA2">
        <v>120</v>
      </c>
      <c r="BB2">
        <v>91</v>
      </c>
      <c r="BC2">
        <v>93</v>
      </c>
      <c r="BD2">
        <v>40</v>
      </c>
      <c r="BE2">
        <v>28</v>
      </c>
      <c r="BF2">
        <v>32</v>
      </c>
      <c r="BG2">
        <v>22</v>
      </c>
      <c r="BH2">
        <v>31</v>
      </c>
      <c r="BI2">
        <v>81</v>
      </c>
      <c r="BJ2">
        <v>25</v>
      </c>
      <c r="BK2" t="str">
        <f t="shared" ref="BK2:BO26" si="2">"NA"</f>
        <v>NA</v>
      </c>
      <c r="BL2" t="str">
        <f t="shared" si="2"/>
        <v>NA</v>
      </c>
      <c r="BM2" t="str">
        <f t="shared" si="2"/>
        <v>NA</v>
      </c>
      <c r="BN2" t="str">
        <f t="shared" si="2"/>
        <v>NA</v>
      </c>
      <c r="BO2" t="str">
        <f t="shared" si="2"/>
        <v>NA</v>
      </c>
      <c r="BP2" t="str">
        <f t="shared" ref="BP2:BP37" si="3">"IL"</f>
        <v>IL</v>
      </c>
      <c r="BQ2" t="str">
        <f t="shared" ref="BQ2:BR26" si="4">"NA"</f>
        <v>NA</v>
      </c>
      <c r="BR2" t="str">
        <f t="shared" si="4"/>
        <v>NA</v>
      </c>
    </row>
    <row r="3" spans="1:70">
      <c r="A3">
        <v>9</v>
      </c>
      <c r="B3" t="str">
        <f t="shared" si="0"/>
        <v>Summary of All HUD Programs</v>
      </c>
      <c r="C3">
        <v>1</v>
      </c>
      <c r="D3" t="str">
        <f t="shared" si="1"/>
        <v>NA</v>
      </c>
      <c r="E3" t="str">
        <f>"043 Dupage County"</f>
        <v>043 Dupage County</v>
      </c>
      <c r="F3" t="str">
        <f>"17043"</f>
        <v>17043</v>
      </c>
      <c r="G3">
        <v>6025</v>
      </c>
      <c r="H3">
        <v>96</v>
      </c>
      <c r="I3">
        <v>6349</v>
      </c>
      <c r="J3">
        <v>100</v>
      </c>
      <c r="K3">
        <v>5</v>
      </c>
      <c r="L3">
        <v>12</v>
      </c>
      <c r="M3">
        <v>2</v>
      </c>
      <c r="N3">
        <v>12644</v>
      </c>
      <c r="O3">
        <v>365</v>
      </c>
      <c r="P3">
        <v>930</v>
      </c>
      <c r="Q3">
        <v>14961</v>
      </c>
      <c r="R3">
        <v>7513</v>
      </c>
      <c r="S3">
        <v>9</v>
      </c>
      <c r="T3">
        <v>25</v>
      </c>
      <c r="U3">
        <v>21</v>
      </c>
      <c r="V3">
        <v>18</v>
      </c>
      <c r="W3">
        <v>28</v>
      </c>
      <c r="X3">
        <v>26</v>
      </c>
      <c r="Y3">
        <v>1</v>
      </c>
      <c r="Z3">
        <v>67</v>
      </c>
      <c r="AA3">
        <v>25</v>
      </c>
      <c r="AB3">
        <v>93</v>
      </c>
      <c r="AC3">
        <v>67</v>
      </c>
      <c r="AD3">
        <v>3</v>
      </c>
      <c r="AE3">
        <v>33</v>
      </c>
      <c r="AF3">
        <v>80</v>
      </c>
      <c r="AG3">
        <v>33</v>
      </c>
      <c r="AH3">
        <v>26</v>
      </c>
      <c r="AI3">
        <v>19</v>
      </c>
      <c r="AJ3">
        <v>15</v>
      </c>
      <c r="AK3">
        <v>2</v>
      </c>
      <c r="AL3">
        <v>40</v>
      </c>
      <c r="AM3">
        <v>14</v>
      </c>
      <c r="AN3">
        <v>44</v>
      </c>
      <c r="AO3">
        <v>7</v>
      </c>
      <c r="AP3">
        <v>58</v>
      </c>
      <c r="AQ3">
        <v>44</v>
      </c>
      <c r="AR3">
        <v>0</v>
      </c>
      <c r="AS3">
        <v>7</v>
      </c>
      <c r="AT3">
        <v>41</v>
      </c>
      <c r="AU3">
        <v>0</v>
      </c>
      <c r="AV3">
        <v>4</v>
      </c>
      <c r="AW3">
        <v>3</v>
      </c>
      <c r="AX3">
        <v>7</v>
      </c>
      <c r="AY3">
        <v>0</v>
      </c>
      <c r="AZ3">
        <v>38</v>
      </c>
      <c r="BA3">
        <v>93</v>
      </c>
      <c r="BB3">
        <v>89</v>
      </c>
      <c r="BC3">
        <v>74</v>
      </c>
      <c r="BD3">
        <v>50</v>
      </c>
      <c r="BE3">
        <v>32</v>
      </c>
      <c r="BF3">
        <v>18</v>
      </c>
      <c r="BG3">
        <v>9</v>
      </c>
      <c r="BH3">
        <v>9</v>
      </c>
      <c r="BI3">
        <v>34</v>
      </c>
      <c r="BJ3">
        <v>49</v>
      </c>
      <c r="BK3" t="str">
        <f t="shared" ref="BK3:BO35" si="5">"NA"</f>
        <v>NA</v>
      </c>
      <c r="BL3" t="str">
        <f t="shared" si="5"/>
        <v>NA</v>
      </c>
      <c r="BM3" t="str">
        <f t="shared" si="5"/>
        <v>NA</v>
      </c>
      <c r="BN3" t="str">
        <f t="shared" si="5"/>
        <v>NA</v>
      </c>
      <c r="BO3" t="str">
        <f t="shared" si="5"/>
        <v>NA</v>
      </c>
      <c r="BP3" t="str">
        <f t="shared" si="3"/>
        <v>IL</v>
      </c>
      <c r="BQ3" t="str">
        <f t="shared" ref="BQ3:BR45" si="6">"NA"</f>
        <v>NA</v>
      </c>
      <c r="BR3" t="str">
        <f t="shared" si="6"/>
        <v>NA</v>
      </c>
    </row>
    <row r="4" spans="1:70">
      <c r="A4">
        <v>9</v>
      </c>
      <c r="B4" t="str">
        <f t="shared" ref="B4:B66" si="7">"Summary of All HUD Programs"</f>
        <v>Summary of All HUD Programs</v>
      </c>
      <c r="C4">
        <v>1</v>
      </c>
      <c r="D4" t="str">
        <f t="shared" ref="D4:D66" si="8">"NA"</f>
        <v>NA</v>
      </c>
      <c r="E4" t="str">
        <f>"089 Kane County"</f>
        <v>089 Kane County</v>
      </c>
      <c r="F4" t="str">
        <f>"17089"</f>
        <v>17089</v>
      </c>
      <c r="G4">
        <v>4678</v>
      </c>
      <c r="H4">
        <v>92</v>
      </c>
      <c r="I4">
        <v>4288</v>
      </c>
      <c r="J4">
        <v>100</v>
      </c>
      <c r="K4">
        <v>6</v>
      </c>
      <c r="L4">
        <v>14</v>
      </c>
      <c r="M4">
        <v>2.2000000000000002</v>
      </c>
      <c r="N4">
        <v>9310</v>
      </c>
      <c r="O4">
        <v>319</v>
      </c>
      <c r="P4">
        <v>816</v>
      </c>
      <c r="Q4">
        <v>13274</v>
      </c>
      <c r="R4">
        <v>6114</v>
      </c>
      <c r="S4">
        <v>13</v>
      </c>
      <c r="T4">
        <v>25</v>
      </c>
      <c r="U4">
        <v>22</v>
      </c>
      <c r="V4">
        <v>16</v>
      </c>
      <c r="W4">
        <v>23</v>
      </c>
      <c r="X4">
        <v>29</v>
      </c>
      <c r="Y4">
        <v>2</v>
      </c>
      <c r="Z4">
        <v>61</v>
      </c>
      <c r="AA4">
        <v>21</v>
      </c>
      <c r="AB4">
        <v>96</v>
      </c>
      <c r="AC4">
        <v>74</v>
      </c>
      <c r="AD4">
        <v>2</v>
      </c>
      <c r="AE4">
        <v>41</v>
      </c>
      <c r="AF4">
        <v>81</v>
      </c>
      <c r="AG4">
        <v>41</v>
      </c>
      <c r="AH4">
        <v>28</v>
      </c>
      <c r="AI4">
        <v>38</v>
      </c>
      <c r="AJ4">
        <v>18</v>
      </c>
      <c r="AK4">
        <v>8</v>
      </c>
      <c r="AL4">
        <v>46</v>
      </c>
      <c r="AM4">
        <v>16</v>
      </c>
      <c r="AN4">
        <v>30</v>
      </c>
      <c r="AO4">
        <v>3</v>
      </c>
      <c r="AP4">
        <v>73</v>
      </c>
      <c r="AQ4">
        <v>54</v>
      </c>
      <c r="AR4">
        <v>0</v>
      </c>
      <c r="AS4">
        <v>2</v>
      </c>
      <c r="AT4">
        <v>26</v>
      </c>
      <c r="AU4">
        <v>1</v>
      </c>
      <c r="AV4">
        <v>10</v>
      </c>
      <c r="AW4">
        <v>5</v>
      </c>
      <c r="AX4">
        <v>16</v>
      </c>
      <c r="AY4">
        <v>1</v>
      </c>
      <c r="AZ4">
        <v>43</v>
      </c>
      <c r="BA4">
        <v>84</v>
      </c>
      <c r="BB4">
        <v>99</v>
      </c>
      <c r="BC4">
        <v>86</v>
      </c>
      <c r="BD4">
        <v>48</v>
      </c>
      <c r="BE4">
        <v>24</v>
      </c>
      <c r="BF4">
        <v>28</v>
      </c>
      <c r="BG4">
        <v>7</v>
      </c>
      <c r="BH4">
        <v>20</v>
      </c>
      <c r="BI4">
        <v>58</v>
      </c>
      <c r="BJ4">
        <v>60</v>
      </c>
      <c r="BK4" t="str">
        <f t="shared" ref="BK4:BO53" si="9">"NA"</f>
        <v>NA</v>
      </c>
      <c r="BL4" t="str">
        <f t="shared" si="9"/>
        <v>NA</v>
      </c>
      <c r="BM4" t="str">
        <f t="shared" si="9"/>
        <v>NA</v>
      </c>
      <c r="BN4" t="str">
        <f t="shared" si="9"/>
        <v>NA</v>
      </c>
      <c r="BO4" t="str">
        <f t="shared" si="9"/>
        <v>NA</v>
      </c>
      <c r="BP4" t="str">
        <f t="shared" ref="BP4:BP66" si="10">"IL"</f>
        <v>IL</v>
      </c>
      <c r="BQ4" t="str">
        <f t="shared" ref="BQ4:BR62" si="11">"NA"</f>
        <v>NA</v>
      </c>
      <c r="BR4" t="str">
        <f t="shared" si="11"/>
        <v>NA</v>
      </c>
    </row>
    <row r="5" spans="1:70">
      <c r="A5">
        <v>9</v>
      </c>
      <c r="B5" t="str">
        <f t="shared" si="7"/>
        <v>Summary of All HUD Programs</v>
      </c>
      <c r="C5">
        <v>1</v>
      </c>
      <c r="D5" t="str">
        <f t="shared" si="8"/>
        <v>NA</v>
      </c>
      <c r="E5" t="str">
        <f>"097 Lake County"</f>
        <v>097 Lake County</v>
      </c>
      <c r="F5" t="str">
        <f>"17097"</f>
        <v>17097</v>
      </c>
      <c r="G5">
        <v>8501</v>
      </c>
      <c r="H5">
        <v>94</v>
      </c>
      <c r="I5">
        <v>7930</v>
      </c>
      <c r="J5">
        <v>99</v>
      </c>
      <c r="K5">
        <v>5</v>
      </c>
      <c r="L5">
        <v>14</v>
      </c>
      <c r="M5">
        <v>2.1</v>
      </c>
      <c r="N5">
        <v>16834</v>
      </c>
      <c r="O5">
        <v>322</v>
      </c>
      <c r="P5">
        <v>748</v>
      </c>
      <c r="Q5">
        <v>13490</v>
      </c>
      <c r="R5">
        <v>6355</v>
      </c>
      <c r="S5">
        <v>11</v>
      </c>
      <c r="T5">
        <v>28</v>
      </c>
      <c r="U5">
        <v>22</v>
      </c>
      <c r="V5">
        <v>16</v>
      </c>
      <c r="W5">
        <v>23</v>
      </c>
      <c r="X5">
        <v>30</v>
      </c>
      <c r="Y5">
        <v>2</v>
      </c>
      <c r="Z5">
        <v>60</v>
      </c>
      <c r="AA5">
        <v>22</v>
      </c>
      <c r="AB5">
        <v>96</v>
      </c>
      <c r="AC5">
        <v>75</v>
      </c>
      <c r="AD5">
        <v>2</v>
      </c>
      <c r="AE5">
        <v>40</v>
      </c>
      <c r="AF5">
        <v>79</v>
      </c>
      <c r="AG5">
        <v>40</v>
      </c>
      <c r="AH5">
        <v>28</v>
      </c>
      <c r="AI5">
        <v>34</v>
      </c>
      <c r="AJ5">
        <v>16</v>
      </c>
      <c r="AK5">
        <v>8</v>
      </c>
      <c r="AL5">
        <v>44</v>
      </c>
      <c r="AM5">
        <v>17</v>
      </c>
      <c r="AN5">
        <v>31</v>
      </c>
      <c r="AO5">
        <v>3</v>
      </c>
      <c r="AP5">
        <v>67</v>
      </c>
      <c r="AQ5">
        <v>54</v>
      </c>
      <c r="AR5">
        <v>0</v>
      </c>
      <c r="AS5">
        <v>1</v>
      </c>
      <c r="AT5">
        <v>32</v>
      </c>
      <c r="AU5">
        <v>1</v>
      </c>
      <c r="AV5">
        <v>8</v>
      </c>
      <c r="AW5">
        <v>2</v>
      </c>
      <c r="AX5">
        <v>11</v>
      </c>
      <c r="AY5">
        <v>1</v>
      </c>
      <c r="AZ5">
        <v>35</v>
      </c>
      <c r="BA5">
        <v>88</v>
      </c>
      <c r="BB5">
        <v>98</v>
      </c>
      <c r="BC5">
        <v>94</v>
      </c>
      <c r="BD5">
        <v>45</v>
      </c>
      <c r="BE5">
        <v>30</v>
      </c>
      <c r="BF5">
        <v>25</v>
      </c>
      <c r="BG5">
        <v>11</v>
      </c>
      <c r="BH5">
        <v>18</v>
      </c>
      <c r="BI5">
        <v>56</v>
      </c>
      <c r="BJ5">
        <v>57</v>
      </c>
      <c r="BK5" t="str">
        <f t="shared" si="9"/>
        <v>NA</v>
      </c>
      <c r="BL5" t="str">
        <f t="shared" si="9"/>
        <v>NA</v>
      </c>
      <c r="BM5" t="str">
        <f t="shared" si="9"/>
        <v>NA</v>
      </c>
      <c r="BN5" t="str">
        <f t="shared" si="9"/>
        <v>NA</v>
      </c>
      <c r="BO5" t="str">
        <f t="shared" si="9"/>
        <v>NA</v>
      </c>
      <c r="BP5" t="str">
        <f t="shared" si="10"/>
        <v>IL</v>
      </c>
      <c r="BQ5" t="str">
        <f t="shared" si="11"/>
        <v>NA</v>
      </c>
      <c r="BR5" t="str">
        <f t="shared" si="11"/>
        <v>NA</v>
      </c>
    </row>
    <row r="6" spans="1:70">
      <c r="A6">
        <v>9</v>
      </c>
      <c r="B6" t="str">
        <f t="shared" si="7"/>
        <v>Summary of All HUD Programs</v>
      </c>
      <c r="C6">
        <v>1</v>
      </c>
      <c r="D6" t="str">
        <f t="shared" si="8"/>
        <v>NA</v>
      </c>
      <c r="E6" t="str">
        <f>"111 McHenry County"</f>
        <v>111 McHenry County</v>
      </c>
      <c r="F6" t="str">
        <f>"17111"</f>
        <v>17111</v>
      </c>
      <c r="G6">
        <v>1657</v>
      </c>
      <c r="H6">
        <v>91</v>
      </c>
      <c r="I6">
        <v>1535</v>
      </c>
      <c r="J6">
        <v>100</v>
      </c>
      <c r="K6">
        <v>5</v>
      </c>
      <c r="L6">
        <v>11</v>
      </c>
      <c r="M6">
        <v>1.9</v>
      </c>
      <c r="N6">
        <v>2870</v>
      </c>
      <c r="O6">
        <v>310</v>
      </c>
      <c r="P6">
        <v>766</v>
      </c>
      <c r="Q6">
        <v>13348</v>
      </c>
      <c r="R6">
        <v>7139</v>
      </c>
      <c r="S6">
        <v>8</v>
      </c>
      <c r="T6">
        <v>25</v>
      </c>
      <c r="U6">
        <v>28</v>
      </c>
      <c r="V6">
        <v>18</v>
      </c>
      <c r="W6">
        <v>21</v>
      </c>
      <c r="X6">
        <v>24</v>
      </c>
      <c r="Y6">
        <v>1</v>
      </c>
      <c r="Z6">
        <v>67</v>
      </c>
      <c r="AA6">
        <v>22</v>
      </c>
      <c r="AB6">
        <v>97</v>
      </c>
      <c r="AC6">
        <v>74</v>
      </c>
      <c r="AD6">
        <v>4</v>
      </c>
      <c r="AE6">
        <v>30</v>
      </c>
      <c r="AF6">
        <v>75</v>
      </c>
      <c r="AG6">
        <v>32</v>
      </c>
      <c r="AH6">
        <v>37</v>
      </c>
      <c r="AI6">
        <v>37</v>
      </c>
      <c r="AJ6">
        <v>22</v>
      </c>
      <c r="AK6">
        <v>4</v>
      </c>
      <c r="AL6">
        <v>43</v>
      </c>
      <c r="AM6">
        <v>20</v>
      </c>
      <c r="AN6">
        <v>33</v>
      </c>
      <c r="AO6">
        <v>2</v>
      </c>
      <c r="AP6">
        <v>24</v>
      </c>
      <c r="AQ6">
        <v>13</v>
      </c>
      <c r="AR6">
        <v>0</v>
      </c>
      <c r="AS6">
        <v>2</v>
      </c>
      <c r="AT6">
        <v>75</v>
      </c>
      <c r="AU6">
        <v>0</v>
      </c>
      <c r="AV6">
        <v>9</v>
      </c>
      <c r="AW6">
        <v>1</v>
      </c>
      <c r="AX6">
        <v>9</v>
      </c>
      <c r="AY6">
        <v>0</v>
      </c>
      <c r="AZ6">
        <v>53</v>
      </c>
      <c r="BA6">
        <v>83</v>
      </c>
      <c r="BB6">
        <v>97</v>
      </c>
      <c r="BC6">
        <v>108</v>
      </c>
      <c r="BD6">
        <v>51</v>
      </c>
      <c r="BE6">
        <v>33</v>
      </c>
      <c r="BF6">
        <v>16</v>
      </c>
      <c r="BG6">
        <v>9</v>
      </c>
      <c r="BH6">
        <v>11</v>
      </c>
      <c r="BI6">
        <v>24</v>
      </c>
      <c r="BJ6">
        <v>67</v>
      </c>
      <c r="BK6" t="str">
        <f t="shared" ref="BK6:BO62" si="12">"NA"</f>
        <v>NA</v>
      </c>
      <c r="BL6" t="str">
        <f t="shared" si="12"/>
        <v>NA</v>
      </c>
      <c r="BM6" t="str">
        <f t="shared" si="12"/>
        <v>NA</v>
      </c>
      <c r="BN6" t="str">
        <f t="shared" si="12"/>
        <v>NA</v>
      </c>
      <c r="BO6" t="str">
        <f t="shared" si="12"/>
        <v>NA</v>
      </c>
      <c r="BP6" t="str">
        <f t="shared" si="10"/>
        <v>IL</v>
      </c>
      <c r="BQ6" t="str">
        <f t="shared" si="11"/>
        <v>NA</v>
      </c>
      <c r="BR6" t="str">
        <f t="shared" si="11"/>
        <v>NA</v>
      </c>
    </row>
    <row r="7" spans="1:70">
      <c r="A7">
        <v>9</v>
      </c>
      <c r="B7" t="str">
        <f t="shared" ref="B7:B103" si="13">"Summary of All HUD Programs"</f>
        <v>Summary of All HUD Programs</v>
      </c>
      <c r="C7">
        <v>1</v>
      </c>
      <c r="D7" t="str">
        <f t="shared" ref="D7:D103" si="14">"NA"</f>
        <v>NA</v>
      </c>
      <c r="E7" t="str">
        <f>"197 Will County"</f>
        <v>197 Will County</v>
      </c>
      <c r="F7" t="str">
        <f>"17197"</f>
        <v>17197</v>
      </c>
      <c r="G7">
        <v>3822</v>
      </c>
      <c r="H7">
        <v>102</v>
      </c>
      <c r="I7">
        <v>4056</v>
      </c>
      <c r="J7">
        <v>100</v>
      </c>
      <c r="K7">
        <v>6</v>
      </c>
      <c r="L7">
        <v>15</v>
      </c>
      <c r="M7">
        <v>2.1</v>
      </c>
      <c r="N7">
        <v>8485</v>
      </c>
      <c r="O7">
        <v>345</v>
      </c>
      <c r="P7">
        <v>871</v>
      </c>
      <c r="Q7">
        <v>13881</v>
      </c>
      <c r="R7">
        <v>6636</v>
      </c>
      <c r="S7">
        <v>8</v>
      </c>
      <c r="T7">
        <v>29</v>
      </c>
      <c r="U7">
        <v>21</v>
      </c>
      <c r="V7">
        <v>17</v>
      </c>
      <c r="W7">
        <v>25</v>
      </c>
      <c r="X7">
        <v>24</v>
      </c>
      <c r="Y7">
        <v>2</v>
      </c>
      <c r="Z7">
        <v>64</v>
      </c>
      <c r="AA7">
        <v>23</v>
      </c>
      <c r="AB7">
        <v>95</v>
      </c>
      <c r="AC7">
        <v>72</v>
      </c>
      <c r="AD7">
        <v>2</v>
      </c>
      <c r="AE7">
        <v>35</v>
      </c>
      <c r="AF7">
        <v>76</v>
      </c>
      <c r="AG7">
        <v>34</v>
      </c>
      <c r="AH7">
        <v>35</v>
      </c>
      <c r="AI7">
        <v>36</v>
      </c>
      <c r="AJ7">
        <v>19</v>
      </c>
      <c r="AK7">
        <v>4</v>
      </c>
      <c r="AL7">
        <v>43</v>
      </c>
      <c r="AM7">
        <v>21</v>
      </c>
      <c r="AN7">
        <v>33</v>
      </c>
      <c r="AO7">
        <v>3</v>
      </c>
      <c r="AP7">
        <v>76</v>
      </c>
      <c r="AQ7">
        <v>70</v>
      </c>
      <c r="AR7">
        <v>0</v>
      </c>
      <c r="AS7">
        <v>2</v>
      </c>
      <c r="AT7">
        <v>23</v>
      </c>
      <c r="AU7">
        <v>0</v>
      </c>
      <c r="AV7">
        <v>2</v>
      </c>
      <c r="AW7">
        <v>1</v>
      </c>
      <c r="AX7">
        <v>3</v>
      </c>
      <c r="AY7">
        <v>1</v>
      </c>
      <c r="AZ7">
        <v>26</v>
      </c>
      <c r="BA7">
        <v>75</v>
      </c>
      <c r="BB7">
        <v>94</v>
      </c>
      <c r="BC7">
        <v>108</v>
      </c>
      <c r="BD7">
        <v>49</v>
      </c>
      <c r="BE7">
        <v>21</v>
      </c>
      <c r="BF7">
        <v>30</v>
      </c>
      <c r="BG7">
        <v>13</v>
      </c>
      <c r="BH7">
        <v>23</v>
      </c>
      <c r="BI7">
        <v>62</v>
      </c>
      <c r="BJ7">
        <v>52</v>
      </c>
      <c r="BK7" t="str">
        <f t="shared" ref="BK7:BO103" si="15">"NA"</f>
        <v>NA</v>
      </c>
      <c r="BL7" t="str">
        <f t="shared" si="15"/>
        <v>NA</v>
      </c>
      <c r="BM7" t="str">
        <f t="shared" si="15"/>
        <v>NA</v>
      </c>
      <c r="BN7" t="str">
        <f t="shared" si="15"/>
        <v>NA</v>
      </c>
      <c r="BO7" t="str">
        <f t="shared" si="15"/>
        <v>NA</v>
      </c>
      <c r="BP7" t="str">
        <f t="shared" ref="BP7:BP103" si="16">"IL"</f>
        <v>IL</v>
      </c>
      <c r="BQ7" t="str">
        <f t="shared" ref="BQ7:BR103" si="17">"NA"</f>
        <v>NA</v>
      </c>
      <c r="BR7" t="str">
        <f t="shared" si="17"/>
        <v>NA</v>
      </c>
    </row>
    <row r="8" spans="1:70">
      <c r="A8">
        <v>9</v>
      </c>
      <c r="B8" t="str">
        <f t="shared" si="0"/>
        <v>Summary of All HUD Programs</v>
      </c>
      <c r="C8">
        <v>1</v>
      </c>
      <c r="D8" t="str">
        <f t="shared" si="1"/>
        <v>NA</v>
      </c>
      <c r="E8" t="str">
        <f>"001 Adams County"</f>
        <v>001 Adams County</v>
      </c>
      <c r="F8" t="str">
        <f>"17001"</f>
        <v>17001</v>
      </c>
      <c r="G8">
        <v>1235</v>
      </c>
      <c r="H8">
        <v>93</v>
      </c>
      <c r="I8">
        <v>1131</v>
      </c>
      <c r="J8">
        <v>100</v>
      </c>
      <c r="K8">
        <v>6</v>
      </c>
      <c r="L8">
        <v>21</v>
      </c>
      <c r="M8">
        <v>1.7</v>
      </c>
      <c r="N8">
        <v>1968</v>
      </c>
      <c r="O8">
        <v>284</v>
      </c>
      <c r="P8">
        <v>400</v>
      </c>
      <c r="Q8">
        <v>12425</v>
      </c>
      <c r="R8">
        <v>7140</v>
      </c>
      <c r="S8">
        <v>5</v>
      </c>
      <c r="T8">
        <v>35</v>
      </c>
      <c r="U8">
        <v>28</v>
      </c>
      <c r="V8">
        <v>17</v>
      </c>
      <c r="W8">
        <v>16</v>
      </c>
      <c r="X8">
        <v>28</v>
      </c>
      <c r="Y8">
        <v>1</v>
      </c>
      <c r="Z8">
        <v>62</v>
      </c>
      <c r="AA8">
        <v>28</v>
      </c>
      <c r="AB8">
        <v>90</v>
      </c>
      <c r="AC8">
        <v>64</v>
      </c>
      <c r="AD8">
        <v>1</v>
      </c>
      <c r="AE8">
        <v>30</v>
      </c>
      <c r="AF8">
        <v>73</v>
      </c>
      <c r="AG8">
        <v>28</v>
      </c>
      <c r="AH8">
        <v>38</v>
      </c>
      <c r="AI8">
        <v>31</v>
      </c>
      <c r="AJ8">
        <v>22</v>
      </c>
      <c r="AK8">
        <v>9</v>
      </c>
      <c r="AL8">
        <v>37</v>
      </c>
      <c r="AM8">
        <v>21</v>
      </c>
      <c r="AN8">
        <v>33</v>
      </c>
      <c r="AO8">
        <v>5</v>
      </c>
      <c r="AP8">
        <v>22</v>
      </c>
      <c r="AQ8">
        <v>21</v>
      </c>
      <c r="AR8">
        <v>0</v>
      </c>
      <c r="AS8">
        <v>0</v>
      </c>
      <c r="AT8">
        <v>77</v>
      </c>
      <c r="AU8">
        <v>-1</v>
      </c>
      <c r="AV8">
        <v>1</v>
      </c>
      <c r="AW8">
        <v>0</v>
      </c>
      <c r="AX8">
        <v>1</v>
      </c>
      <c r="AY8">
        <v>2</v>
      </c>
      <c r="AZ8">
        <v>4</v>
      </c>
      <c r="BA8">
        <v>69</v>
      </c>
      <c r="BB8">
        <v>48</v>
      </c>
      <c r="BC8">
        <v>92</v>
      </c>
      <c r="BD8">
        <v>59</v>
      </c>
      <c r="BE8">
        <v>27</v>
      </c>
      <c r="BF8">
        <v>14</v>
      </c>
      <c r="BG8">
        <v>7</v>
      </c>
      <c r="BH8">
        <v>23</v>
      </c>
      <c r="BI8">
        <v>11</v>
      </c>
      <c r="BJ8">
        <v>59</v>
      </c>
      <c r="BK8" t="str">
        <f t="shared" ref="BK8:BO17" si="18">"NA"</f>
        <v>NA</v>
      </c>
      <c r="BL8" t="str">
        <f t="shared" si="18"/>
        <v>NA</v>
      </c>
      <c r="BM8" t="str">
        <f t="shared" si="18"/>
        <v>NA</v>
      </c>
      <c r="BN8" t="str">
        <f t="shared" si="18"/>
        <v>NA</v>
      </c>
      <c r="BO8" t="str">
        <f t="shared" si="18"/>
        <v>NA</v>
      </c>
      <c r="BP8" t="str">
        <f t="shared" si="3"/>
        <v>IL</v>
      </c>
      <c r="BQ8" t="str">
        <f t="shared" si="4"/>
        <v>NA</v>
      </c>
      <c r="BR8" t="str">
        <f t="shared" si="4"/>
        <v>NA</v>
      </c>
    </row>
    <row r="9" spans="1:70">
      <c r="A9">
        <v>9</v>
      </c>
      <c r="B9" t="str">
        <f t="shared" si="0"/>
        <v>Summary of All HUD Programs</v>
      </c>
      <c r="C9">
        <v>1</v>
      </c>
      <c r="D9" t="str">
        <f t="shared" si="1"/>
        <v>NA</v>
      </c>
      <c r="E9" t="str">
        <f>"003 Alexander County"</f>
        <v>003 Alexander County</v>
      </c>
      <c r="F9" t="str">
        <f>"17003"</f>
        <v>17003</v>
      </c>
      <c r="G9">
        <v>545</v>
      </c>
      <c r="H9">
        <v>76</v>
      </c>
      <c r="I9">
        <v>254</v>
      </c>
      <c r="J9">
        <v>61</v>
      </c>
      <c r="K9">
        <v>8</v>
      </c>
      <c r="L9">
        <v>11</v>
      </c>
      <c r="M9">
        <v>2.2000000000000002</v>
      </c>
      <c r="N9">
        <v>549</v>
      </c>
      <c r="O9">
        <v>202</v>
      </c>
      <c r="P9">
        <v>574</v>
      </c>
      <c r="Q9">
        <v>9324</v>
      </c>
      <c r="R9">
        <v>4314</v>
      </c>
      <c r="S9">
        <v>40</v>
      </c>
      <c r="T9">
        <v>26</v>
      </c>
      <c r="U9">
        <v>15</v>
      </c>
      <c r="V9">
        <v>6</v>
      </c>
      <c r="W9">
        <v>13</v>
      </c>
      <c r="X9">
        <v>28</v>
      </c>
      <c r="Y9">
        <v>8</v>
      </c>
      <c r="Z9">
        <v>61</v>
      </c>
      <c r="AA9">
        <v>21</v>
      </c>
      <c r="AB9">
        <v>91</v>
      </c>
      <c r="AC9">
        <v>76</v>
      </c>
      <c r="AD9">
        <v>0</v>
      </c>
      <c r="AE9">
        <v>44</v>
      </c>
      <c r="AF9">
        <v>75</v>
      </c>
      <c r="AG9">
        <v>43</v>
      </c>
      <c r="AH9">
        <v>21</v>
      </c>
      <c r="AI9">
        <v>52</v>
      </c>
      <c r="AJ9">
        <v>13</v>
      </c>
      <c r="AK9">
        <v>11</v>
      </c>
      <c r="AL9">
        <v>53</v>
      </c>
      <c r="AM9">
        <v>25</v>
      </c>
      <c r="AN9">
        <v>11</v>
      </c>
      <c r="AO9">
        <v>1</v>
      </c>
      <c r="AP9">
        <v>87</v>
      </c>
      <c r="AQ9">
        <v>86</v>
      </c>
      <c r="AR9">
        <v>-1</v>
      </c>
      <c r="AS9">
        <v>-1</v>
      </c>
      <c r="AT9">
        <v>13</v>
      </c>
      <c r="AU9">
        <v>0</v>
      </c>
      <c r="AV9">
        <v>-1</v>
      </c>
      <c r="AW9">
        <v>-1</v>
      </c>
      <c r="AX9">
        <v>0</v>
      </c>
      <c r="AY9">
        <v>0</v>
      </c>
      <c r="AZ9">
        <v>5</v>
      </c>
      <c r="BA9">
        <v>91</v>
      </c>
      <c r="BB9">
        <v>16</v>
      </c>
      <c r="BC9">
        <v>252</v>
      </c>
      <c r="BD9">
        <v>40</v>
      </c>
      <c r="BE9">
        <v>22</v>
      </c>
      <c r="BF9">
        <v>39</v>
      </c>
      <c r="BG9">
        <v>17</v>
      </c>
      <c r="BH9">
        <v>56</v>
      </c>
      <c r="BI9">
        <v>65</v>
      </c>
      <c r="BJ9">
        <v>62</v>
      </c>
      <c r="BK9" t="str">
        <f t="shared" si="18"/>
        <v>NA</v>
      </c>
      <c r="BL9" t="str">
        <f t="shared" si="18"/>
        <v>NA</v>
      </c>
      <c r="BM9" t="str">
        <f t="shared" si="18"/>
        <v>NA</v>
      </c>
      <c r="BN9" t="str">
        <f t="shared" si="18"/>
        <v>NA</v>
      </c>
      <c r="BO9" t="str">
        <f t="shared" si="18"/>
        <v>NA</v>
      </c>
      <c r="BP9" t="str">
        <f t="shared" si="3"/>
        <v>IL</v>
      </c>
      <c r="BQ9" t="str">
        <f t="shared" si="4"/>
        <v>NA</v>
      </c>
      <c r="BR9" t="str">
        <f t="shared" si="4"/>
        <v>NA</v>
      </c>
    </row>
    <row r="10" spans="1:70">
      <c r="A10">
        <v>9</v>
      </c>
      <c r="B10" t="str">
        <f t="shared" si="0"/>
        <v>Summary of All HUD Programs</v>
      </c>
      <c r="C10">
        <v>1</v>
      </c>
      <c r="D10" t="str">
        <f t="shared" si="1"/>
        <v>NA</v>
      </c>
      <c r="E10" t="str">
        <f>"005 Bond County"</f>
        <v>005 Bond County</v>
      </c>
      <c r="F10" t="str">
        <f>"17005"</f>
        <v>17005</v>
      </c>
      <c r="G10">
        <v>216</v>
      </c>
      <c r="H10">
        <v>87</v>
      </c>
      <c r="I10">
        <v>189</v>
      </c>
      <c r="J10">
        <v>100</v>
      </c>
      <c r="K10">
        <v>6</v>
      </c>
      <c r="L10">
        <v>23</v>
      </c>
      <c r="M10">
        <v>1.6</v>
      </c>
      <c r="N10">
        <v>298</v>
      </c>
      <c r="O10">
        <v>233</v>
      </c>
      <c r="P10">
        <v>392</v>
      </c>
      <c r="Q10">
        <v>11034</v>
      </c>
      <c r="R10">
        <v>6998</v>
      </c>
      <c r="S10">
        <v>8</v>
      </c>
      <c r="T10">
        <v>42</v>
      </c>
      <c r="U10">
        <v>29</v>
      </c>
      <c r="V10">
        <v>10</v>
      </c>
      <c r="W10">
        <v>11</v>
      </c>
      <c r="X10">
        <v>15</v>
      </c>
      <c r="Y10">
        <v>3</v>
      </c>
      <c r="Z10">
        <v>72</v>
      </c>
      <c r="AA10">
        <v>23</v>
      </c>
      <c r="AB10">
        <v>95</v>
      </c>
      <c r="AC10">
        <v>78</v>
      </c>
      <c r="AD10">
        <v>3</v>
      </c>
      <c r="AE10">
        <v>17</v>
      </c>
      <c r="AF10">
        <v>68</v>
      </c>
      <c r="AG10">
        <v>17</v>
      </c>
      <c r="AH10">
        <v>54</v>
      </c>
      <c r="AI10">
        <v>37</v>
      </c>
      <c r="AJ10">
        <v>33</v>
      </c>
      <c r="AK10">
        <v>3</v>
      </c>
      <c r="AL10">
        <v>33</v>
      </c>
      <c r="AM10">
        <v>24</v>
      </c>
      <c r="AN10">
        <v>40</v>
      </c>
      <c r="AO10">
        <v>3</v>
      </c>
      <c r="AP10">
        <v>13</v>
      </c>
      <c r="AQ10">
        <v>12</v>
      </c>
      <c r="AR10">
        <v>-1</v>
      </c>
      <c r="AS10">
        <v>-1</v>
      </c>
      <c r="AT10">
        <v>87</v>
      </c>
      <c r="AU10">
        <v>-1</v>
      </c>
      <c r="AV10">
        <v>1</v>
      </c>
      <c r="AW10">
        <v>-1</v>
      </c>
      <c r="AX10">
        <v>1</v>
      </c>
      <c r="AY10">
        <v>0</v>
      </c>
      <c r="AZ10">
        <v>26</v>
      </c>
      <c r="BA10">
        <v>64</v>
      </c>
      <c r="BB10">
        <v>98</v>
      </c>
      <c r="BC10">
        <v>82</v>
      </c>
      <c r="BD10">
        <v>72</v>
      </c>
      <c r="BE10">
        <v>13</v>
      </c>
      <c r="BF10">
        <v>14</v>
      </c>
      <c r="BG10">
        <v>4</v>
      </c>
      <c r="BH10">
        <v>19</v>
      </c>
      <c r="BI10">
        <v>18</v>
      </c>
      <c r="BJ10">
        <v>73</v>
      </c>
      <c r="BK10" t="str">
        <f t="shared" si="18"/>
        <v>NA</v>
      </c>
      <c r="BL10" t="str">
        <f t="shared" si="18"/>
        <v>NA</v>
      </c>
      <c r="BM10" t="str">
        <f t="shared" si="18"/>
        <v>NA</v>
      </c>
      <c r="BN10" t="str">
        <f t="shared" si="18"/>
        <v>NA</v>
      </c>
      <c r="BO10" t="str">
        <f t="shared" si="18"/>
        <v>NA</v>
      </c>
      <c r="BP10" t="str">
        <f t="shared" si="3"/>
        <v>IL</v>
      </c>
      <c r="BQ10" t="str">
        <f t="shared" si="4"/>
        <v>NA</v>
      </c>
      <c r="BR10" t="str">
        <f t="shared" si="4"/>
        <v>NA</v>
      </c>
    </row>
    <row r="11" spans="1:70">
      <c r="A11">
        <v>9</v>
      </c>
      <c r="B11" t="str">
        <f t="shared" si="0"/>
        <v>Summary of All HUD Programs</v>
      </c>
      <c r="C11">
        <v>1</v>
      </c>
      <c r="D11" t="str">
        <f t="shared" si="1"/>
        <v>NA</v>
      </c>
      <c r="E11" t="str">
        <f>"007 Boone County"</f>
        <v>007 Boone County</v>
      </c>
      <c r="F11" t="str">
        <f>"17007"</f>
        <v>17007</v>
      </c>
      <c r="G11">
        <v>587</v>
      </c>
      <c r="H11">
        <v>80</v>
      </c>
      <c r="I11">
        <v>479</v>
      </c>
      <c r="J11">
        <v>100</v>
      </c>
      <c r="K11">
        <v>6</v>
      </c>
      <c r="L11">
        <v>21</v>
      </c>
      <c r="M11">
        <v>1.8</v>
      </c>
      <c r="N11">
        <v>873</v>
      </c>
      <c r="O11">
        <v>291</v>
      </c>
      <c r="P11">
        <v>532</v>
      </c>
      <c r="Q11">
        <v>12394</v>
      </c>
      <c r="R11">
        <v>6800</v>
      </c>
      <c r="S11">
        <v>6</v>
      </c>
      <c r="T11">
        <v>28</v>
      </c>
      <c r="U11">
        <v>29</v>
      </c>
      <c r="V11">
        <v>21</v>
      </c>
      <c r="W11">
        <v>17</v>
      </c>
      <c r="X11">
        <v>22</v>
      </c>
      <c r="Y11">
        <v>1</v>
      </c>
      <c r="Z11">
        <v>67</v>
      </c>
      <c r="AA11">
        <v>27</v>
      </c>
      <c r="AB11">
        <v>92</v>
      </c>
      <c r="AC11">
        <v>61</v>
      </c>
      <c r="AD11">
        <v>3</v>
      </c>
      <c r="AE11">
        <v>33</v>
      </c>
      <c r="AF11">
        <v>83</v>
      </c>
      <c r="AG11">
        <v>34</v>
      </c>
      <c r="AH11">
        <v>24</v>
      </c>
      <c r="AI11">
        <v>14</v>
      </c>
      <c r="AJ11">
        <v>12</v>
      </c>
      <c r="AK11">
        <v>5</v>
      </c>
      <c r="AL11">
        <v>37</v>
      </c>
      <c r="AM11">
        <v>15</v>
      </c>
      <c r="AN11">
        <v>43</v>
      </c>
      <c r="AO11">
        <v>6</v>
      </c>
      <c r="AP11">
        <v>26</v>
      </c>
      <c r="AQ11">
        <v>18</v>
      </c>
      <c r="AR11">
        <v>0</v>
      </c>
      <c r="AS11">
        <v>0</v>
      </c>
      <c r="AT11">
        <v>73</v>
      </c>
      <c r="AU11">
        <v>-1</v>
      </c>
      <c r="AV11">
        <v>5</v>
      </c>
      <c r="AW11">
        <v>2</v>
      </c>
      <c r="AX11">
        <v>7</v>
      </c>
      <c r="AY11">
        <v>0</v>
      </c>
      <c r="AZ11">
        <v>37</v>
      </c>
      <c r="BA11">
        <v>65</v>
      </c>
      <c r="BB11">
        <v>99</v>
      </c>
      <c r="BC11">
        <v>74</v>
      </c>
      <c r="BD11">
        <v>53</v>
      </c>
      <c r="BE11">
        <v>34</v>
      </c>
      <c r="BF11">
        <v>12</v>
      </c>
      <c r="BG11">
        <v>7</v>
      </c>
      <c r="BH11">
        <v>18</v>
      </c>
      <c r="BI11">
        <v>35</v>
      </c>
      <c r="BJ11">
        <v>68</v>
      </c>
      <c r="BK11" t="str">
        <f t="shared" si="18"/>
        <v>NA</v>
      </c>
      <c r="BL11" t="str">
        <f t="shared" si="18"/>
        <v>NA</v>
      </c>
      <c r="BM11" t="str">
        <f t="shared" si="18"/>
        <v>NA</v>
      </c>
      <c r="BN11" t="str">
        <f t="shared" si="18"/>
        <v>NA</v>
      </c>
      <c r="BO11" t="str">
        <f t="shared" si="18"/>
        <v>NA</v>
      </c>
      <c r="BP11" t="str">
        <f t="shared" si="3"/>
        <v>IL</v>
      </c>
      <c r="BQ11" t="str">
        <f t="shared" si="4"/>
        <v>NA</v>
      </c>
      <c r="BR11" t="str">
        <f t="shared" si="4"/>
        <v>NA</v>
      </c>
    </row>
    <row r="12" spans="1:70">
      <c r="A12">
        <v>9</v>
      </c>
      <c r="B12" t="str">
        <f t="shared" si="0"/>
        <v>Summary of All HUD Programs</v>
      </c>
      <c r="C12">
        <v>1</v>
      </c>
      <c r="D12" t="str">
        <f t="shared" si="1"/>
        <v>NA</v>
      </c>
      <c r="E12" t="str">
        <f>"009 Brown County"</f>
        <v>009 Brown County</v>
      </c>
      <c r="F12" t="str">
        <f>"17009"</f>
        <v>17009</v>
      </c>
      <c r="G12">
        <v>127</v>
      </c>
      <c r="H12">
        <v>92</v>
      </c>
      <c r="I12">
        <v>119</v>
      </c>
      <c r="J12">
        <v>100</v>
      </c>
      <c r="K12">
        <v>6</v>
      </c>
      <c r="L12">
        <v>18</v>
      </c>
      <c r="M12">
        <v>1.4</v>
      </c>
      <c r="N12">
        <v>164</v>
      </c>
      <c r="O12">
        <v>253</v>
      </c>
      <c r="P12">
        <v>327</v>
      </c>
      <c r="Q12">
        <v>11663</v>
      </c>
      <c r="R12">
        <v>8463</v>
      </c>
      <c r="S12">
        <v>8</v>
      </c>
      <c r="T12">
        <v>37</v>
      </c>
      <c r="U12">
        <v>33</v>
      </c>
      <c r="V12">
        <v>15</v>
      </c>
      <c r="W12">
        <v>8</v>
      </c>
      <c r="X12">
        <v>17</v>
      </c>
      <c r="Y12">
        <v>-1</v>
      </c>
      <c r="Z12">
        <v>81</v>
      </c>
      <c r="AA12">
        <v>25</v>
      </c>
      <c r="AB12">
        <v>93</v>
      </c>
      <c r="AC12">
        <v>74</v>
      </c>
      <c r="AD12">
        <v>2</v>
      </c>
      <c r="AE12">
        <v>17</v>
      </c>
      <c r="AF12">
        <v>52</v>
      </c>
      <c r="AG12">
        <v>15</v>
      </c>
      <c r="AH12">
        <v>68</v>
      </c>
      <c r="AI12">
        <v>71</v>
      </c>
      <c r="AJ12">
        <v>50</v>
      </c>
      <c r="AK12">
        <v>3</v>
      </c>
      <c r="AL12">
        <v>43</v>
      </c>
      <c r="AM12">
        <v>30</v>
      </c>
      <c r="AN12">
        <v>24</v>
      </c>
      <c r="AO12">
        <v>5</v>
      </c>
      <c r="AP12">
        <v>1</v>
      </c>
      <c r="AQ12">
        <v>1</v>
      </c>
      <c r="AR12">
        <v>-1</v>
      </c>
      <c r="AS12">
        <v>-1</v>
      </c>
      <c r="AT12">
        <v>99</v>
      </c>
      <c r="AU12">
        <v>-1</v>
      </c>
      <c r="AV12">
        <v>-1</v>
      </c>
      <c r="AW12">
        <v>-1</v>
      </c>
      <c r="AX12">
        <v>0</v>
      </c>
      <c r="AY12">
        <v>0</v>
      </c>
      <c r="AZ12">
        <v>5</v>
      </c>
      <c r="BA12">
        <v>81</v>
      </c>
      <c r="BB12">
        <v>54</v>
      </c>
      <c r="BC12">
        <v>102</v>
      </c>
      <c r="BD12">
        <v>83</v>
      </c>
      <c r="BE12">
        <v>11</v>
      </c>
      <c r="BF12">
        <v>6</v>
      </c>
      <c r="BG12">
        <v>1</v>
      </c>
      <c r="BH12">
        <v>14</v>
      </c>
      <c r="BI12">
        <v>34</v>
      </c>
      <c r="BJ12">
        <v>75</v>
      </c>
      <c r="BK12" t="str">
        <f t="shared" si="18"/>
        <v>NA</v>
      </c>
      <c r="BL12" t="str">
        <f t="shared" si="18"/>
        <v>NA</v>
      </c>
      <c r="BM12" t="str">
        <f t="shared" si="18"/>
        <v>NA</v>
      </c>
      <c r="BN12" t="str">
        <f t="shared" si="18"/>
        <v>NA</v>
      </c>
      <c r="BO12" t="str">
        <f t="shared" si="18"/>
        <v>NA</v>
      </c>
      <c r="BP12" t="str">
        <f t="shared" si="3"/>
        <v>IL</v>
      </c>
      <c r="BQ12" t="str">
        <f t="shared" si="4"/>
        <v>NA</v>
      </c>
      <c r="BR12" t="str">
        <f t="shared" si="4"/>
        <v>NA</v>
      </c>
    </row>
    <row r="13" spans="1:70">
      <c r="A13">
        <v>9</v>
      </c>
      <c r="B13" t="str">
        <f t="shared" si="0"/>
        <v>Summary of All HUD Programs</v>
      </c>
      <c r="C13">
        <v>1</v>
      </c>
      <c r="D13" t="str">
        <f t="shared" si="1"/>
        <v>NA</v>
      </c>
      <c r="E13" t="str">
        <f>"011 Bureau County"</f>
        <v>011 Bureau County</v>
      </c>
      <c r="F13" t="str">
        <f>"17011"</f>
        <v>17011</v>
      </c>
      <c r="G13">
        <v>365</v>
      </c>
      <c r="H13">
        <v>99</v>
      </c>
      <c r="I13">
        <v>363</v>
      </c>
      <c r="J13">
        <v>100</v>
      </c>
      <c r="K13">
        <v>5</v>
      </c>
      <c r="L13">
        <v>20</v>
      </c>
      <c r="M13">
        <v>1.5</v>
      </c>
      <c r="N13">
        <v>532</v>
      </c>
      <c r="O13">
        <v>274</v>
      </c>
      <c r="P13">
        <v>312</v>
      </c>
      <c r="Q13">
        <v>13180</v>
      </c>
      <c r="R13">
        <v>8993</v>
      </c>
      <c r="S13">
        <v>11</v>
      </c>
      <c r="T13">
        <v>24</v>
      </c>
      <c r="U13">
        <v>29</v>
      </c>
      <c r="V13">
        <v>18</v>
      </c>
      <c r="W13">
        <v>18</v>
      </c>
      <c r="X13">
        <v>23</v>
      </c>
      <c r="Y13">
        <v>0</v>
      </c>
      <c r="Z13">
        <v>74</v>
      </c>
      <c r="AA13">
        <v>29</v>
      </c>
      <c r="AB13">
        <v>91</v>
      </c>
      <c r="AC13">
        <v>58</v>
      </c>
      <c r="AD13">
        <v>1</v>
      </c>
      <c r="AE13">
        <v>17</v>
      </c>
      <c r="AF13">
        <v>66</v>
      </c>
      <c r="AG13">
        <v>16</v>
      </c>
      <c r="AH13">
        <v>49</v>
      </c>
      <c r="AI13">
        <v>35</v>
      </c>
      <c r="AJ13">
        <v>33</v>
      </c>
      <c r="AK13">
        <v>5</v>
      </c>
      <c r="AL13">
        <v>34</v>
      </c>
      <c r="AM13">
        <v>25</v>
      </c>
      <c r="AN13">
        <v>35</v>
      </c>
      <c r="AO13">
        <v>4</v>
      </c>
      <c r="AP13">
        <v>6</v>
      </c>
      <c r="AQ13">
        <v>3</v>
      </c>
      <c r="AR13">
        <v>0</v>
      </c>
      <c r="AS13">
        <v>1</v>
      </c>
      <c r="AT13">
        <v>93</v>
      </c>
      <c r="AU13">
        <v>-1</v>
      </c>
      <c r="AV13">
        <v>2</v>
      </c>
      <c r="AW13">
        <v>1</v>
      </c>
      <c r="AX13">
        <v>3</v>
      </c>
      <c r="AY13">
        <v>0</v>
      </c>
      <c r="AZ13">
        <v>3</v>
      </c>
      <c r="BA13">
        <v>62</v>
      </c>
      <c r="BB13">
        <v>26</v>
      </c>
      <c r="BC13">
        <v>178</v>
      </c>
      <c r="BD13">
        <v>81</v>
      </c>
      <c r="BE13">
        <v>10</v>
      </c>
      <c r="BF13">
        <v>9</v>
      </c>
      <c r="BG13">
        <v>4</v>
      </c>
      <c r="BH13">
        <v>12</v>
      </c>
      <c r="BI13">
        <v>11</v>
      </c>
      <c r="BJ13">
        <v>76</v>
      </c>
      <c r="BK13" t="str">
        <f t="shared" si="18"/>
        <v>NA</v>
      </c>
      <c r="BL13" t="str">
        <f t="shared" si="18"/>
        <v>NA</v>
      </c>
      <c r="BM13" t="str">
        <f t="shared" si="18"/>
        <v>NA</v>
      </c>
      <c r="BN13" t="str">
        <f t="shared" si="18"/>
        <v>NA</v>
      </c>
      <c r="BO13" t="str">
        <f t="shared" si="18"/>
        <v>NA</v>
      </c>
      <c r="BP13" t="str">
        <f t="shared" si="3"/>
        <v>IL</v>
      </c>
      <c r="BQ13" t="str">
        <f t="shared" si="4"/>
        <v>NA</v>
      </c>
      <c r="BR13" t="str">
        <f t="shared" si="4"/>
        <v>NA</v>
      </c>
    </row>
    <row r="14" spans="1:70">
      <c r="A14">
        <v>9</v>
      </c>
      <c r="B14" t="str">
        <f t="shared" si="0"/>
        <v>Summary of All HUD Programs</v>
      </c>
      <c r="C14">
        <v>1</v>
      </c>
      <c r="D14" t="str">
        <f t="shared" si="1"/>
        <v>NA</v>
      </c>
      <c r="E14" t="str">
        <f>"013 Calhoun County"</f>
        <v>013 Calhoun County</v>
      </c>
      <c r="F14" t="str">
        <f>"17013"</f>
        <v>17013</v>
      </c>
      <c r="G14">
        <v>43</v>
      </c>
      <c r="H14">
        <v>98</v>
      </c>
      <c r="I14">
        <v>40</v>
      </c>
      <c r="J14">
        <v>95</v>
      </c>
      <c r="K14">
        <v>6</v>
      </c>
      <c r="L14">
        <v>25</v>
      </c>
      <c r="M14">
        <v>2.7</v>
      </c>
      <c r="N14">
        <v>108</v>
      </c>
      <c r="O14">
        <v>212</v>
      </c>
      <c r="P14">
        <v>408</v>
      </c>
      <c r="Q14">
        <v>9947</v>
      </c>
      <c r="R14">
        <v>3684</v>
      </c>
      <c r="S14">
        <v>23</v>
      </c>
      <c r="T14">
        <v>41</v>
      </c>
      <c r="U14">
        <v>26</v>
      </c>
      <c r="V14">
        <v>5</v>
      </c>
      <c r="W14">
        <v>5</v>
      </c>
      <c r="X14">
        <v>38</v>
      </c>
      <c r="Y14">
        <v>-1</v>
      </c>
      <c r="Z14">
        <v>60</v>
      </c>
      <c r="AA14">
        <v>16</v>
      </c>
      <c r="AB14">
        <v>98</v>
      </c>
      <c r="AC14">
        <v>93</v>
      </c>
      <c r="AD14">
        <v>23</v>
      </c>
      <c r="AE14">
        <v>38</v>
      </c>
      <c r="AF14">
        <v>75</v>
      </c>
      <c r="AG14">
        <v>50</v>
      </c>
      <c r="AH14">
        <v>14</v>
      </c>
      <c r="AI14">
        <v>80</v>
      </c>
      <c r="AJ14">
        <v>12</v>
      </c>
      <c r="AK14">
        <v>13</v>
      </c>
      <c r="AL14">
        <v>60</v>
      </c>
      <c r="AM14">
        <v>15</v>
      </c>
      <c r="AN14">
        <v>13</v>
      </c>
      <c r="AO14">
        <v>-1</v>
      </c>
      <c r="AP14">
        <v>0</v>
      </c>
      <c r="AQ14">
        <v>-1</v>
      </c>
      <c r="AR14">
        <v>-1</v>
      </c>
      <c r="AS14">
        <v>-1</v>
      </c>
      <c r="AT14">
        <v>100</v>
      </c>
      <c r="AU14">
        <v>-1</v>
      </c>
      <c r="AV14">
        <v>-1</v>
      </c>
      <c r="AW14">
        <v>-1</v>
      </c>
      <c r="AX14">
        <v>0</v>
      </c>
      <c r="AY14">
        <v>0</v>
      </c>
      <c r="AZ14">
        <v>2</v>
      </c>
      <c r="BA14">
        <v>50</v>
      </c>
      <c r="BB14">
        <v>100</v>
      </c>
      <c r="BC14">
        <v>139</v>
      </c>
      <c r="BD14">
        <v>-1</v>
      </c>
      <c r="BE14">
        <v>58</v>
      </c>
      <c r="BF14">
        <v>43</v>
      </c>
      <c r="BG14">
        <v>28</v>
      </c>
      <c r="BH14">
        <v>14</v>
      </c>
      <c r="BI14">
        <v>2</v>
      </c>
      <c r="BJ14">
        <v>84</v>
      </c>
      <c r="BK14" t="str">
        <f t="shared" si="18"/>
        <v>NA</v>
      </c>
      <c r="BL14" t="str">
        <f t="shared" si="18"/>
        <v>NA</v>
      </c>
      <c r="BM14" t="str">
        <f t="shared" si="18"/>
        <v>NA</v>
      </c>
      <c r="BN14" t="str">
        <f t="shared" si="18"/>
        <v>NA</v>
      </c>
      <c r="BO14" t="str">
        <f t="shared" si="18"/>
        <v>NA</v>
      </c>
      <c r="BP14" t="str">
        <f t="shared" si="3"/>
        <v>IL</v>
      </c>
      <c r="BQ14" t="str">
        <f t="shared" si="4"/>
        <v>NA</v>
      </c>
      <c r="BR14" t="str">
        <f t="shared" si="4"/>
        <v>NA</v>
      </c>
    </row>
    <row r="15" spans="1:70">
      <c r="A15">
        <v>9</v>
      </c>
      <c r="B15" t="str">
        <f t="shared" si="0"/>
        <v>Summary of All HUD Programs</v>
      </c>
      <c r="C15">
        <v>1</v>
      </c>
      <c r="D15" t="str">
        <f t="shared" si="1"/>
        <v>NA</v>
      </c>
      <c r="E15" t="str">
        <f>"015 Carroll County"</f>
        <v>015 Carroll County</v>
      </c>
      <c r="F15" t="str">
        <f>"17015"</f>
        <v>17015</v>
      </c>
      <c r="G15">
        <v>98</v>
      </c>
      <c r="H15">
        <v>98</v>
      </c>
      <c r="I15">
        <v>96</v>
      </c>
      <c r="J15">
        <v>100</v>
      </c>
      <c r="K15">
        <v>7</v>
      </c>
      <c r="L15">
        <v>13</v>
      </c>
      <c r="M15">
        <v>1.6</v>
      </c>
      <c r="N15">
        <v>151</v>
      </c>
      <c r="O15">
        <v>315</v>
      </c>
      <c r="P15">
        <v>241</v>
      </c>
      <c r="Q15">
        <v>15729</v>
      </c>
      <c r="R15">
        <v>10000</v>
      </c>
      <c r="S15">
        <v>4</v>
      </c>
      <c r="T15">
        <v>29</v>
      </c>
      <c r="U15">
        <v>24</v>
      </c>
      <c r="V15">
        <v>20</v>
      </c>
      <c r="W15">
        <v>23</v>
      </c>
      <c r="X15">
        <v>19</v>
      </c>
      <c r="Y15">
        <v>2</v>
      </c>
      <c r="Z15">
        <v>79</v>
      </c>
      <c r="AA15">
        <v>36</v>
      </c>
      <c r="AB15">
        <v>82</v>
      </c>
      <c r="AC15">
        <v>45</v>
      </c>
      <c r="AD15">
        <v>4</v>
      </c>
      <c r="AE15">
        <v>17</v>
      </c>
      <c r="AF15">
        <v>68</v>
      </c>
      <c r="AG15">
        <v>20</v>
      </c>
      <c r="AH15">
        <v>54</v>
      </c>
      <c r="AI15">
        <v>28</v>
      </c>
      <c r="AJ15">
        <v>27</v>
      </c>
      <c r="AK15">
        <v>6</v>
      </c>
      <c r="AL15">
        <v>28</v>
      </c>
      <c r="AM15">
        <v>18</v>
      </c>
      <c r="AN15">
        <v>48</v>
      </c>
      <c r="AO15">
        <v>10</v>
      </c>
      <c r="AP15">
        <v>11</v>
      </c>
      <c r="AQ15">
        <v>5</v>
      </c>
      <c r="AR15">
        <v>-1</v>
      </c>
      <c r="AS15">
        <v>-1</v>
      </c>
      <c r="AT15">
        <v>89</v>
      </c>
      <c r="AU15">
        <v>-1</v>
      </c>
      <c r="AV15">
        <v>6</v>
      </c>
      <c r="AW15">
        <v>-1</v>
      </c>
      <c r="AX15">
        <v>6</v>
      </c>
      <c r="AY15">
        <v>0</v>
      </c>
      <c r="AZ15">
        <v>6</v>
      </c>
      <c r="BA15">
        <v>65</v>
      </c>
      <c r="BB15">
        <v>92</v>
      </c>
      <c r="BC15">
        <v>29</v>
      </c>
      <c r="BD15">
        <v>75</v>
      </c>
      <c r="BE15">
        <v>10</v>
      </c>
      <c r="BF15">
        <v>15</v>
      </c>
      <c r="BG15">
        <v>3</v>
      </c>
      <c r="BH15">
        <v>22</v>
      </c>
      <c r="BI15">
        <v>10</v>
      </c>
      <c r="BJ15">
        <v>76</v>
      </c>
      <c r="BK15" t="str">
        <f t="shared" si="18"/>
        <v>NA</v>
      </c>
      <c r="BL15" t="str">
        <f t="shared" si="18"/>
        <v>NA</v>
      </c>
      <c r="BM15" t="str">
        <f t="shared" si="18"/>
        <v>NA</v>
      </c>
      <c r="BN15" t="str">
        <f t="shared" si="18"/>
        <v>NA</v>
      </c>
      <c r="BO15" t="str">
        <f t="shared" si="18"/>
        <v>NA</v>
      </c>
      <c r="BP15" t="str">
        <f t="shared" si="3"/>
        <v>IL</v>
      </c>
      <c r="BQ15" t="str">
        <f t="shared" si="4"/>
        <v>NA</v>
      </c>
      <c r="BR15" t="str">
        <f t="shared" si="4"/>
        <v>NA</v>
      </c>
    </row>
    <row r="16" spans="1:70">
      <c r="A16">
        <v>9</v>
      </c>
      <c r="B16" t="str">
        <f t="shared" si="0"/>
        <v>Summary of All HUD Programs</v>
      </c>
      <c r="C16">
        <v>1</v>
      </c>
      <c r="D16" t="str">
        <f t="shared" si="1"/>
        <v>NA</v>
      </c>
      <c r="E16" t="str">
        <f>"017 Cass County"</f>
        <v>017 Cass County</v>
      </c>
      <c r="F16" t="str">
        <f>"17017"</f>
        <v>17017</v>
      </c>
      <c r="G16">
        <v>98</v>
      </c>
      <c r="H16">
        <v>93</v>
      </c>
      <c r="I16">
        <v>93</v>
      </c>
      <c r="J16">
        <v>100</v>
      </c>
      <c r="K16">
        <v>5</v>
      </c>
      <c r="L16">
        <v>29</v>
      </c>
      <c r="M16">
        <v>2.2999999999999998</v>
      </c>
      <c r="N16">
        <v>217</v>
      </c>
      <c r="O16">
        <v>345</v>
      </c>
      <c r="P16">
        <v>454</v>
      </c>
      <c r="Q16">
        <v>23793</v>
      </c>
      <c r="R16">
        <v>10197</v>
      </c>
      <c r="S16">
        <v>3</v>
      </c>
      <c r="T16">
        <v>19</v>
      </c>
      <c r="U16">
        <v>26</v>
      </c>
      <c r="V16">
        <v>14</v>
      </c>
      <c r="W16">
        <v>37</v>
      </c>
      <c r="X16">
        <v>46</v>
      </c>
      <c r="Y16">
        <v>1</v>
      </c>
      <c r="Z16">
        <v>51</v>
      </c>
      <c r="AA16">
        <v>47</v>
      </c>
      <c r="AB16">
        <v>68</v>
      </c>
      <c r="AC16">
        <v>40</v>
      </c>
      <c r="AD16">
        <v>22</v>
      </c>
      <c r="AE16">
        <v>23</v>
      </c>
      <c r="AF16">
        <v>54</v>
      </c>
      <c r="AG16">
        <v>28</v>
      </c>
      <c r="AH16">
        <v>30</v>
      </c>
      <c r="AI16">
        <v>28</v>
      </c>
      <c r="AJ16">
        <v>12</v>
      </c>
      <c r="AK16">
        <v>9</v>
      </c>
      <c r="AL16">
        <v>44</v>
      </c>
      <c r="AM16">
        <v>13</v>
      </c>
      <c r="AN16">
        <v>34</v>
      </c>
      <c r="AO16">
        <v>3</v>
      </c>
      <c r="AP16">
        <v>39</v>
      </c>
      <c r="AQ16">
        <v>27</v>
      </c>
      <c r="AR16">
        <v>-1</v>
      </c>
      <c r="AS16">
        <v>1</v>
      </c>
      <c r="AT16">
        <v>61</v>
      </c>
      <c r="AU16">
        <v>-1</v>
      </c>
      <c r="AV16">
        <v>11</v>
      </c>
      <c r="AW16">
        <v>-1</v>
      </c>
      <c r="AX16">
        <v>11</v>
      </c>
      <c r="AY16">
        <v>0</v>
      </c>
      <c r="AZ16">
        <v>3</v>
      </c>
      <c r="BA16">
        <v>53</v>
      </c>
      <c r="BB16">
        <v>75</v>
      </c>
      <c r="BC16">
        <v>108</v>
      </c>
      <c r="BD16">
        <v>48</v>
      </c>
      <c r="BE16">
        <v>25</v>
      </c>
      <c r="BF16">
        <v>27</v>
      </c>
      <c r="BG16">
        <v>3</v>
      </c>
      <c r="BH16">
        <v>23</v>
      </c>
      <c r="BI16">
        <v>35</v>
      </c>
      <c r="BJ16">
        <v>72</v>
      </c>
      <c r="BK16" t="str">
        <f t="shared" si="18"/>
        <v>NA</v>
      </c>
      <c r="BL16" t="str">
        <f t="shared" si="18"/>
        <v>NA</v>
      </c>
      <c r="BM16" t="str">
        <f t="shared" si="18"/>
        <v>NA</v>
      </c>
      <c r="BN16" t="str">
        <f t="shared" si="18"/>
        <v>NA</v>
      </c>
      <c r="BO16" t="str">
        <f t="shared" si="18"/>
        <v>NA</v>
      </c>
      <c r="BP16" t="str">
        <f t="shared" si="3"/>
        <v>IL</v>
      </c>
      <c r="BQ16" t="str">
        <f t="shared" si="4"/>
        <v>NA</v>
      </c>
      <c r="BR16" t="str">
        <f t="shared" si="4"/>
        <v>NA</v>
      </c>
    </row>
    <row r="17" spans="1:70">
      <c r="A17">
        <v>9</v>
      </c>
      <c r="B17" t="str">
        <f t="shared" si="0"/>
        <v>Summary of All HUD Programs</v>
      </c>
      <c r="C17">
        <v>1</v>
      </c>
      <c r="D17" t="str">
        <f t="shared" si="1"/>
        <v>NA</v>
      </c>
      <c r="E17" t="str">
        <f>"019 Champaign County"</f>
        <v>019 Champaign County</v>
      </c>
      <c r="F17" t="str">
        <f>"17019"</f>
        <v>17019</v>
      </c>
      <c r="G17">
        <v>2729</v>
      </c>
      <c r="H17">
        <v>84</v>
      </c>
      <c r="I17">
        <v>2297</v>
      </c>
      <c r="J17">
        <v>100</v>
      </c>
      <c r="K17">
        <v>9</v>
      </c>
      <c r="L17">
        <v>24</v>
      </c>
      <c r="M17">
        <v>2.2999999999999998</v>
      </c>
      <c r="N17">
        <v>5171</v>
      </c>
      <c r="O17">
        <v>244</v>
      </c>
      <c r="P17">
        <v>559</v>
      </c>
      <c r="Q17">
        <v>14154</v>
      </c>
      <c r="R17">
        <v>6287</v>
      </c>
      <c r="S17">
        <v>6</v>
      </c>
      <c r="T17">
        <v>28</v>
      </c>
      <c r="U17">
        <v>27</v>
      </c>
      <c r="V17">
        <v>18</v>
      </c>
      <c r="W17">
        <v>21</v>
      </c>
      <c r="X17">
        <v>42</v>
      </c>
      <c r="Y17">
        <v>5</v>
      </c>
      <c r="Z17">
        <v>49</v>
      </c>
      <c r="AA17">
        <v>24</v>
      </c>
      <c r="AB17">
        <v>96</v>
      </c>
      <c r="AC17">
        <v>72</v>
      </c>
      <c r="AD17">
        <v>1</v>
      </c>
      <c r="AE17">
        <v>48</v>
      </c>
      <c r="AF17">
        <v>83</v>
      </c>
      <c r="AG17">
        <v>47</v>
      </c>
      <c r="AH17">
        <v>25</v>
      </c>
      <c r="AI17">
        <v>28</v>
      </c>
      <c r="AJ17">
        <v>13</v>
      </c>
      <c r="AK17">
        <v>7</v>
      </c>
      <c r="AL17">
        <v>51</v>
      </c>
      <c r="AM17">
        <v>17</v>
      </c>
      <c r="AN17">
        <v>25</v>
      </c>
      <c r="AO17">
        <v>3</v>
      </c>
      <c r="AP17">
        <v>75</v>
      </c>
      <c r="AQ17">
        <v>73</v>
      </c>
      <c r="AR17">
        <v>0</v>
      </c>
      <c r="AS17">
        <v>1</v>
      </c>
      <c r="AT17">
        <v>24</v>
      </c>
      <c r="AU17">
        <v>1</v>
      </c>
      <c r="AV17">
        <v>1</v>
      </c>
      <c r="AW17">
        <v>0</v>
      </c>
      <c r="AX17">
        <v>2</v>
      </c>
      <c r="AY17">
        <v>8</v>
      </c>
      <c r="AZ17">
        <v>5</v>
      </c>
      <c r="BA17">
        <v>89</v>
      </c>
      <c r="BB17">
        <v>28</v>
      </c>
      <c r="BC17">
        <v>80</v>
      </c>
      <c r="BD17">
        <v>42</v>
      </c>
      <c r="BE17">
        <v>27</v>
      </c>
      <c r="BF17">
        <v>31</v>
      </c>
      <c r="BG17">
        <v>7</v>
      </c>
      <c r="BH17">
        <v>25</v>
      </c>
      <c r="BI17">
        <v>43</v>
      </c>
      <c r="BJ17">
        <v>56</v>
      </c>
      <c r="BK17" t="str">
        <f t="shared" si="18"/>
        <v>NA</v>
      </c>
      <c r="BL17" t="str">
        <f t="shared" si="18"/>
        <v>NA</v>
      </c>
      <c r="BM17" t="str">
        <f t="shared" si="18"/>
        <v>NA</v>
      </c>
      <c r="BN17" t="str">
        <f t="shared" si="18"/>
        <v>NA</v>
      </c>
      <c r="BO17" t="str">
        <f t="shared" si="18"/>
        <v>NA</v>
      </c>
      <c r="BP17" t="str">
        <f t="shared" si="3"/>
        <v>IL</v>
      </c>
      <c r="BQ17" t="str">
        <f t="shared" si="4"/>
        <v>NA</v>
      </c>
      <c r="BR17" t="str">
        <f t="shared" si="4"/>
        <v>NA</v>
      </c>
    </row>
    <row r="18" spans="1:70">
      <c r="A18">
        <v>9</v>
      </c>
      <c r="B18" t="str">
        <f t="shared" si="0"/>
        <v>Summary of All HUD Programs</v>
      </c>
      <c r="C18">
        <v>1</v>
      </c>
      <c r="D18" t="str">
        <f t="shared" si="1"/>
        <v>NA</v>
      </c>
      <c r="E18" t="str">
        <f>"021 Christian County"</f>
        <v>021 Christian County</v>
      </c>
      <c r="F18" t="str">
        <f>"17021"</f>
        <v>17021</v>
      </c>
      <c r="G18">
        <v>475</v>
      </c>
      <c r="H18">
        <v>76</v>
      </c>
      <c r="I18">
        <v>355</v>
      </c>
      <c r="J18">
        <v>99</v>
      </c>
      <c r="K18">
        <v>6</v>
      </c>
      <c r="L18">
        <v>15</v>
      </c>
      <c r="M18">
        <v>1.3</v>
      </c>
      <c r="N18">
        <v>467</v>
      </c>
      <c r="O18">
        <v>266</v>
      </c>
      <c r="P18">
        <v>483</v>
      </c>
      <c r="Q18">
        <v>11724</v>
      </c>
      <c r="R18">
        <v>8913</v>
      </c>
      <c r="S18">
        <v>8</v>
      </c>
      <c r="T18">
        <v>34</v>
      </c>
      <c r="U18">
        <v>31</v>
      </c>
      <c r="V18">
        <v>19</v>
      </c>
      <c r="W18">
        <v>8</v>
      </c>
      <c r="X18">
        <v>8</v>
      </c>
      <c r="Y18">
        <v>1</v>
      </c>
      <c r="Z18">
        <v>88</v>
      </c>
      <c r="AA18">
        <v>28</v>
      </c>
      <c r="AB18">
        <v>95</v>
      </c>
      <c r="AC18">
        <v>64</v>
      </c>
      <c r="AD18">
        <v>1</v>
      </c>
      <c r="AE18">
        <v>11</v>
      </c>
      <c r="AF18">
        <v>73</v>
      </c>
      <c r="AG18">
        <v>11</v>
      </c>
      <c r="AH18">
        <v>56</v>
      </c>
      <c r="AI18">
        <v>32</v>
      </c>
      <c r="AJ18">
        <v>34</v>
      </c>
      <c r="AK18">
        <v>2</v>
      </c>
      <c r="AL18">
        <v>21</v>
      </c>
      <c r="AM18">
        <v>22</v>
      </c>
      <c r="AN18">
        <v>54</v>
      </c>
      <c r="AO18">
        <v>9</v>
      </c>
      <c r="AP18">
        <v>2</v>
      </c>
      <c r="AQ18">
        <v>1</v>
      </c>
      <c r="AR18">
        <v>1</v>
      </c>
      <c r="AS18">
        <v>0</v>
      </c>
      <c r="AT18">
        <v>98</v>
      </c>
      <c r="AU18">
        <v>-1</v>
      </c>
      <c r="AV18">
        <v>1</v>
      </c>
      <c r="AW18">
        <v>-1</v>
      </c>
      <c r="AX18">
        <v>1</v>
      </c>
      <c r="AY18">
        <v>1</v>
      </c>
      <c r="AZ18">
        <v>24</v>
      </c>
      <c r="BA18">
        <v>71</v>
      </c>
      <c r="BB18">
        <v>70</v>
      </c>
      <c r="BC18">
        <v>102</v>
      </c>
      <c r="BD18">
        <v>82</v>
      </c>
      <c r="BE18">
        <v>9</v>
      </c>
      <c r="BF18">
        <v>9</v>
      </c>
      <c r="BG18">
        <v>6</v>
      </c>
      <c r="BH18">
        <v>14</v>
      </c>
      <c r="BI18">
        <v>5</v>
      </c>
      <c r="BJ18">
        <v>82</v>
      </c>
      <c r="BK18" t="str">
        <f t="shared" si="2"/>
        <v>NA</v>
      </c>
      <c r="BL18" t="str">
        <f t="shared" si="2"/>
        <v>NA</v>
      </c>
      <c r="BM18" t="str">
        <f t="shared" si="2"/>
        <v>NA</v>
      </c>
      <c r="BN18" t="str">
        <f t="shared" si="2"/>
        <v>NA</v>
      </c>
      <c r="BO18" t="str">
        <f t="shared" si="2"/>
        <v>NA</v>
      </c>
      <c r="BP18" t="str">
        <f t="shared" si="3"/>
        <v>IL</v>
      </c>
      <c r="BQ18" t="str">
        <f t="shared" si="4"/>
        <v>NA</v>
      </c>
      <c r="BR18" t="str">
        <f t="shared" si="4"/>
        <v>NA</v>
      </c>
    </row>
    <row r="19" spans="1:70">
      <c r="A19">
        <v>9</v>
      </c>
      <c r="B19" t="str">
        <f t="shared" si="0"/>
        <v>Summary of All HUD Programs</v>
      </c>
      <c r="C19">
        <v>1</v>
      </c>
      <c r="D19" t="str">
        <f t="shared" si="1"/>
        <v>NA</v>
      </c>
      <c r="E19" t="str">
        <f>"023 Clark County"</f>
        <v>023 Clark County</v>
      </c>
      <c r="F19" t="str">
        <f>"17023"</f>
        <v>17023</v>
      </c>
      <c r="G19">
        <v>119</v>
      </c>
      <c r="H19">
        <v>93</v>
      </c>
      <c r="I19">
        <v>111</v>
      </c>
      <c r="J19">
        <v>100</v>
      </c>
      <c r="K19">
        <v>6</v>
      </c>
      <c r="L19">
        <v>23</v>
      </c>
      <c r="M19">
        <v>1.7</v>
      </c>
      <c r="N19">
        <v>193</v>
      </c>
      <c r="O19">
        <v>239</v>
      </c>
      <c r="P19">
        <v>345</v>
      </c>
      <c r="Q19">
        <v>12235</v>
      </c>
      <c r="R19">
        <v>7037</v>
      </c>
      <c r="S19">
        <v>18</v>
      </c>
      <c r="T19">
        <v>27</v>
      </c>
      <c r="U19">
        <v>24</v>
      </c>
      <c r="V19">
        <v>16</v>
      </c>
      <c r="W19">
        <v>15</v>
      </c>
      <c r="X19">
        <v>30</v>
      </c>
      <c r="Y19">
        <v>2</v>
      </c>
      <c r="Z19">
        <v>64</v>
      </c>
      <c r="AA19">
        <v>28</v>
      </c>
      <c r="AB19">
        <v>94</v>
      </c>
      <c r="AC19">
        <v>64</v>
      </c>
      <c r="AD19">
        <v>6</v>
      </c>
      <c r="AE19">
        <v>25</v>
      </c>
      <c r="AF19">
        <v>68</v>
      </c>
      <c r="AG19">
        <v>25</v>
      </c>
      <c r="AH19">
        <v>30</v>
      </c>
      <c r="AI19">
        <v>38</v>
      </c>
      <c r="AJ19">
        <v>21</v>
      </c>
      <c r="AK19">
        <v>8</v>
      </c>
      <c r="AL19">
        <v>41</v>
      </c>
      <c r="AM19">
        <v>20</v>
      </c>
      <c r="AN19">
        <v>31</v>
      </c>
      <c r="AO19">
        <v>4</v>
      </c>
      <c r="AP19">
        <v>2</v>
      </c>
      <c r="AQ19">
        <v>1</v>
      </c>
      <c r="AR19">
        <v>-1</v>
      </c>
      <c r="AS19">
        <v>-1</v>
      </c>
      <c r="AT19">
        <v>98</v>
      </c>
      <c r="AU19">
        <v>-1</v>
      </c>
      <c r="AV19">
        <v>1</v>
      </c>
      <c r="AW19">
        <v>-1</v>
      </c>
      <c r="AX19">
        <v>1</v>
      </c>
      <c r="AY19">
        <v>0</v>
      </c>
      <c r="AZ19">
        <v>2</v>
      </c>
      <c r="BA19">
        <v>62</v>
      </c>
      <c r="BB19">
        <v>84</v>
      </c>
      <c r="BC19">
        <v>102</v>
      </c>
      <c r="BD19">
        <v>55</v>
      </c>
      <c r="BE19">
        <v>25</v>
      </c>
      <c r="BF19">
        <v>20</v>
      </c>
      <c r="BG19">
        <v>14</v>
      </c>
      <c r="BH19">
        <v>16</v>
      </c>
      <c r="BI19">
        <v>3</v>
      </c>
      <c r="BJ19">
        <v>75</v>
      </c>
      <c r="BK19" t="str">
        <f t="shared" si="2"/>
        <v>NA</v>
      </c>
      <c r="BL19" t="str">
        <f t="shared" si="2"/>
        <v>NA</v>
      </c>
      <c r="BM19" t="str">
        <f t="shared" si="2"/>
        <v>NA</v>
      </c>
      <c r="BN19" t="str">
        <f t="shared" si="2"/>
        <v>NA</v>
      </c>
      <c r="BO19" t="str">
        <f t="shared" si="2"/>
        <v>NA</v>
      </c>
      <c r="BP19" t="str">
        <f t="shared" si="3"/>
        <v>IL</v>
      </c>
      <c r="BQ19" t="str">
        <f t="shared" si="4"/>
        <v>NA</v>
      </c>
      <c r="BR19" t="str">
        <f t="shared" si="4"/>
        <v>NA</v>
      </c>
    </row>
    <row r="20" spans="1:70">
      <c r="A20">
        <v>9</v>
      </c>
      <c r="B20" t="str">
        <f t="shared" si="0"/>
        <v>Summary of All HUD Programs</v>
      </c>
      <c r="C20">
        <v>1</v>
      </c>
      <c r="D20" t="str">
        <f t="shared" si="1"/>
        <v>NA</v>
      </c>
      <c r="E20" t="str">
        <f>"025 Clay County"</f>
        <v>025 Clay County</v>
      </c>
      <c r="F20" t="str">
        <f>"17025"</f>
        <v>17025</v>
      </c>
      <c r="G20">
        <v>212</v>
      </c>
      <c r="H20">
        <v>97</v>
      </c>
      <c r="I20">
        <v>206</v>
      </c>
      <c r="J20">
        <v>100</v>
      </c>
      <c r="K20">
        <v>7</v>
      </c>
      <c r="L20">
        <v>21</v>
      </c>
      <c r="M20">
        <v>1.7</v>
      </c>
      <c r="N20">
        <v>359</v>
      </c>
      <c r="O20">
        <v>303</v>
      </c>
      <c r="P20">
        <v>321</v>
      </c>
      <c r="Q20">
        <v>15407</v>
      </c>
      <c r="R20">
        <v>8841</v>
      </c>
      <c r="S20">
        <v>5</v>
      </c>
      <c r="T20">
        <v>25</v>
      </c>
      <c r="U20">
        <v>26</v>
      </c>
      <c r="V20">
        <v>22</v>
      </c>
      <c r="W20">
        <v>21</v>
      </c>
      <c r="X20">
        <v>29</v>
      </c>
      <c r="Y20">
        <v>0</v>
      </c>
      <c r="Z20">
        <v>66</v>
      </c>
      <c r="AA20">
        <v>34</v>
      </c>
      <c r="AB20">
        <v>83</v>
      </c>
      <c r="AC20">
        <v>52</v>
      </c>
      <c r="AD20">
        <v>5</v>
      </c>
      <c r="AE20">
        <v>21</v>
      </c>
      <c r="AF20">
        <v>77</v>
      </c>
      <c r="AG20">
        <v>24</v>
      </c>
      <c r="AH20">
        <v>39</v>
      </c>
      <c r="AI20">
        <v>38</v>
      </c>
      <c r="AJ20">
        <v>25</v>
      </c>
      <c r="AK20">
        <v>9</v>
      </c>
      <c r="AL20">
        <v>27</v>
      </c>
      <c r="AM20">
        <v>21</v>
      </c>
      <c r="AN20">
        <v>43</v>
      </c>
      <c r="AO20">
        <v>5</v>
      </c>
      <c r="AP20">
        <v>0</v>
      </c>
      <c r="AQ20">
        <v>-1</v>
      </c>
      <c r="AR20">
        <v>-1</v>
      </c>
      <c r="AS20">
        <v>-1</v>
      </c>
      <c r="AT20">
        <v>100</v>
      </c>
      <c r="AU20">
        <v>-1</v>
      </c>
      <c r="AV20">
        <v>-1</v>
      </c>
      <c r="AW20">
        <v>-1</v>
      </c>
      <c r="AX20">
        <v>0</v>
      </c>
      <c r="AY20">
        <v>0</v>
      </c>
      <c r="AZ20">
        <v>6</v>
      </c>
      <c r="BA20">
        <v>71</v>
      </c>
      <c r="BB20">
        <v>11</v>
      </c>
      <c r="BC20">
        <v>121</v>
      </c>
      <c r="BD20">
        <v>55</v>
      </c>
      <c r="BE20">
        <v>28</v>
      </c>
      <c r="BF20">
        <v>17</v>
      </c>
      <c r="BG20">
        <v>10</v>
      </c>
      <c r="BH20">
        <v>16</v>
      </c>
      <c r="BI20">
        <v>3</v>
      </c>
      <c r="BJ20">
        <v>77</v>
      </c>
      <c r="BK20" t="str">
        <f t="shared" si="2"/>
        <v>NA</v>
      </c>
      <c r="BL20" t="str">
        <f t="shared" si="2"/>
        <v>NA</v>
      </c>
      <c r="BM20" t="str">
        <f t="shared" si="2"/>
        <v>NA</v>
      </c>
      <c r="BN20" t="str">
        <f t="shared" si="2"/>
        <v>NA</v>
      </c>
      <c r="BO20" t="str">
        <f t="shared" si="2"/>
        <v>NA</v>
      </c>
      <c r="BP20" t="str">
        <f t="shared" si="3"/>
        <v>IL</v>
      </c>
      <c r="BQ20" t="str">
        <f t="shared" si="4"/>
        <v>NA</v>
      </c>
      <c r="BR20" t="str">
        <f t="shared" si="4"/>
        <v>NA</v>
      </c>
    </row>
    <row r="21" spans="1:70">
      <c r="A21">
        <v>9</v>
      </c>
      <c r="B21" t="str">
        <f t="shared" si="0"/>
        <v>Summary of All HUD Programs</v>
      </c>
      <c r="C21">
        <v>1</v>
      </c>
      <c r="D21" t="str">
        <f t="shared" si="1"/>
        <v>NA</v>
      </c>
      <c r="E21" t="str">
        <f>"027 Clinton County"</f>
        <v>027 Clinton County</v>
      </c>
      <c r="F21" t="str">
        <f>"17027"</f>
        <v>17027</v>
      </c>
      <c r="G21">
        <v>211</v>
      </c>
      <c r="H21">
        <v>97</v>
      </c>
      <c r="I21">
        <v>206</v>
      </c>
      <c r="J21">
        <v>100</v>
      </c>
      <c r="K21">
        <v>6</v>
      </c>
      <c r="L21">
        <v>16</v>
      </c>
      <c r="M21">
        <v>1.3</v>
      </c>
      <c r="N21">
        <v>271</v>
      </c>
      <c r="O21">
        <v>285</v>
      </c>
      <c r="P21">
        <v>453</v>
      </c>
      <c r="Q21">
        <v>12601</v>
      </c>
      <c r="R21">
        <v>9579</v>
      </c>
      <c r="S21">
        <v>3</v>
      </c>
      <c r="T21">
        <v>38</v>
      </c>
      <c r="U21">
        <v>29</v>
      </c>
      <c r="V21">
        <v>17</v>
      </c>
      <c r="W21">
        <v>14</v>
      </c>
      <c r="X21">
        <v>8</v>
      </c>
      <c r="Y21">
        <v>-1</v>
      </c>
      <c r="Z21">
        <v>88</v>
      </c>
      <c r="AA21">
        <v>25</v>
      </c>
      <c r="AB21">
        <v>95</v>
      </c>
      <c r="AC21">
        <v>71</v>
      </c>
      <c r="AD21">
        <v>1</v>
      </c>
      <c r="AE21">
        <v>10</v>
      </c>
      <c r="AF21">
        <v>70</v>
      </c>
      <c r="AG21">
        <v>9</v>
      </c>
      <c r="AH21">
        <v>68</v>
      </c>
      <c r="AI21">
        <v>18</v>
      </c>
      <c r="AJ21">
        <v>35</v>
      </c>
      <c r="AK21">
        <v>1</v>
      </c>
      <c r="AL21">
        <v>24</v>
      </c>
      <c r="AM21">
        <v>25</v>
      </c>
      <c r="AN21">
        <v>50</v>
      </c>
      <c r="AO21">
        <v>8</v>
      </c>
      <c r="AP21">
        <v>11</v>
      </c>
      <c r="AQ21">
        <v>7</v>
      </c>
      <c r="AR21">
        <v>-1</v>
      </c>
      <c r="AS21">
        <v>0</v>
      </c>
      <c r="AT21">
        <v>89</v>
      </c>
      <c r="AU21">
        <v>-1</v>
      </c>
      <c r="AV21">
        <v>2</v>
      </c>
      <c r="AW21">
        <v>1</v>
      </c>
      <c r="AX21">
        <v>3</v>
      </c>
      <c r="AY21">
        <v>0</v>
      </c>
      <c r="AZ21">
        <v>6</v>
      </c>
      <c r="BA21">
        <v>67</v>
      </c>
      <c r="BB21">
        <v>100</v>
      </c>
      <c r="BC21">
        <v>93</v>
      </c>
      <c r="BD21">
        <v>79</v>
      </c>
      <c r="BE21">
        <v>15</v>
      </c>
      <c r="BF21">
        <v>7</v>
      </c>
      <c r="BG21">
        <v>10</v>
      </c>
      <c r="BH21">
        <v>16</v>
      </c>
      <c r="BI21">
        <v>19</v>
      </c>
      <c r="BJ21">
        <v>77</v>
      </c>
      <c r="BK21" t="str">
        <f t="shared" si="2"/>
        <v>NA</v>
      </c>
      <c r="BL21" t="str">
        <f t="shared" si="2"/>
        <v>NA</v>
      </c>
      <c r="BM21" t="str">
        <f t="shared" si="2"/>
        <v>NA</v>
      </c>
      <c r="BN21" t="str">
        <f t="shared" si="2"/>
        <v>NA</v>
      </c>
      <c r="BO21" t="str">
        <f t="shared" si="2"/>
        <v>NA</v>
      </c>
      <c r="BP21" t="str">
        <f t="shared" si="3"/>
        <v>IL</v>
      </c>
      <c r="BQ21" t="str">
        <f t="shared" si="4"/>
        <v>NA</v>
      </c>
      <c r="BR21" t="str">
        <f t="shared" si="4"/>
        <v>NA</v>
      </c>
    </row>
    <row r="22" spans="1:70">
      <c r="A22">
        <v>9</v>
      </c>
      <c r="B22" t="str">
        <f t="shared" si="0"/>
        <v>Summary of All HUD Programs</v>
      </c>
      <c r="C22">
        <v>1</v>
      </c>
      <c r="D22" t="str">
        <f t="shared" si="1"/>
        <v>NA</v>
      </c>
      <c r="E22" t="str">
        <f>"029 Coles County"</f>
        <v>029 Coles County</v>
      </c>
      <c r="F22" t="str">
        <f>"17029"</f>
        <v>17029</v>
      </c>
      <c r="G22">
        <v>853</v>
      </c>
      <c r="H22">
        <v>93</v>
      </c>
      <c r="I22">
        <v>803</v>
      </c>
      <c r="J22">
        <v>100</v>
      </c>
      <c r="K22">
        <v>5</v>
      </c>
      <c r="L22">
        <v>21</v>
      </c>
      <c r="M22">
        <v>1.6</v>
      </c>
      <c r="N22">
        <v>1260</v>
      </c>
      <c r="O22">
        <v>247</v>
      </c>
      <c r="P22">
        <v>489</v>
      </c>
      <c r="Q22">
        <v>10968</v>
      </c>
      <c r="R22">
        <v>6990</v>
      </c>
      <c r="S22">
        <v>10</v>
      </c>
      <c r="T22">
        <v>36</v>
      </c>
      <c r="U22">
        <v>28</v>
      </c>
      <c r="V22">
        <v>17</v>
      </c>
      <c r="W22">
        <v>8</v>
      </c>
      <c r="X22">
        <v>13</v>
      </c>
      <c r="Y22">
        <v>2</v>
      </c>
      <c r="Z22">
        <v>77</v>
      </c>
      <c r="AA22">
        <v>25</v>
      </c>
      <c r="AB22">
        <v>96</v>
      </c>
      <c r="AC22">
        <v>67</v>
      </c>
      <c r="AD22">
        <v>3</v>
      </c>
      <c r="AE22">
        <v>20</v>
      </c>
      <c r="AF22">
        <v>72</v>
      </c>
      <c r="AG22">
        <v>21</v>
      </c>
      <c r="AH22">
        <v>52</v>
      </c>
      <c r="AI22">
        <v>36</v>
      </c>
      <c r="AJ22">
        <v>33</v>
      </c>
      <c r="AK22">
        <v>6</v>
      </c>
      <c r="AL22">
        <v>31</v>
      </c>
      <c r="AM22">
        <v>21</v>
      </c>
      <c r="AN22">
        <v>42</v>
      </c>
      <c r="AO22">
        <v>6</v>
      </c>
      <c r="AP22">
        <v>16</v>
      </c>
      <c r="AQ22">
        <v>12</v>
      </c>
      <c r="AR22">
        <v>0</v>
      </c>
      <c r="AS22">
        <v>-1</v>
      </c>
      <c r="AT22">
        <v>84</v>
      </c>
      <c r="AU22">
        <v>1</v>
      </c>
      <c r="AV22">
        <v>3</v>
      </c>
      <c r="AW22">
        <v>0</v>
      </c>
      <c r="AX22">
        <v>4</v>
      </c>
      <c r="AY22">
        <v>0</v>
      </c>
      <c r="AZ22">
        <v>34</v>
      </c>
      <c r="BA22">
        <v>64</v>
      </c>
      <c r="BB22">
        <v>85</v>
      </c>
      <c r="BC22">
        <v>87</v>
      </c>
      <c r="BD22">
        <v>65</v>
      </c>
      <c r="BE22">
        <v>22</v>
      </c>
      <c r="BF22">
        <v>13</v>
      </c>
      <c r="BG22">
        <v>11</v>
      </c>
      <c r="BH22">
        <v>24</v>
      </c>
      <c r="BI22">
        <v>8</v>
      </c>
      <c r="BJ22">
        <v>61</v>
      </c>
      <c r="BK22" t="str">
        <f t="shared" si="2"/>
        <v>NA</v>
      </c>
      <c r="BL22" t="str">
        <f t="shared" si="2"/>
        <v>NA</v>
      </c>
      <c r="BM22" t="str">
        <f t="shared" si="2"/>
        <v>NA</v>
      </c>
      <c r="BN22" t="str">
        <f t="shared" si="2"/>
        <v>NA</v>
      </c>
      <c r="BO22" t="str">
        <f t="shared" si="2"/>
        <v>NA</v>
      </c>
      <c r="BP22" t="str">
        <f t="shared" si="3"/>
        <v>IL</v>
      </c>
      <c r="BQ22" t="str">
        <f t="shared" si="4"/>
        <v>NA</v>
      </c>
      <c r="BR22" t="str">
        <f t="shared" si="4"/>
        <v>NA</v>
      </c>
    </row>
    <row r="23" spans="1:70">
      <c r="A23">
        <v>9</v>
      </c>
      <c r="B23" t="str">
        <f t="shared" si="0"/>
        <v>Summary of All HUD Programs</v>
      </c>
      <c r="C23">
        <v>1</v>
      </c>
      <c r="D23" t="str">
        <f t="shared" si="1"/>
        <v>NA</v>
      </c>
      <c r="E23" t="str">
        <f>"033 Crawford County"</f>
        <v>033 Crawford County</v>
      </c>
      <c r="F23" t="str">
        <f>"17033"</f>
        <v>17033</v>
      </c>
      <c r="G23">
        <v>30</v>
      </c>
      <c r="H23">
        <v>70</v>
      </c>
      <c r="I23">
        <v>21</v>
      </c>
      <c r="J23">
        <v>100</v>
      </c>
      <c r="K23">
        <v>7</v>
      </c>
      <c r="L23">
        <v>29</v>
      </c>
      <c r="M23">
        <v>1.9</v>
      </c>
      <c r="N23">
        <v>39</v>
      </c>
      <c r="O23">
        <v>262</v>
      </c>
      <c r="P23">
        <v>501</v>
      </c>
      <c r="Q23">
        <v>10761</v>
      </c>
      <c r="R23">
        <v>5794</v>
      </c>
      <c r="S23">
        <v>10</v>
      </c>
      <c r="T23">
        <v>35</v>
      </c>
      <c r="U23">
        <v>30</v>
      </c>
      <c r="V23">
        <v>15</v>
      </c>
      <c r="W23">
        <v>10</v>
      </c>
      <c r="X23">
        <v>33</v>
      </c>
      <c r="Y23">
        <v>-1</v>
      </c>
      <c r="Z23">
        <v>62</v>
      </c>
      <c r="AA23">
        <v>23</v>
      </c>
      <c r="AB23">
        <v>100</v>
      </c>
      <c r="AC23">
        <v>81</v>
      </c>
      <c r="AD23">
        <v>10</v>
      </c>
      <c r="AE23">
        <v>24</v>
      </c>
      <c r="AF23">
        <v>81</v>
      </c>
      <c r="AG23">
        <v>24</v>
      </c>
      <c r="AH23">
        <v>44</v>
      </c>
      <c r="AI23">
        <v>20</v>
      </c>
      <c r="AJ23">
        <v>21</v>
      </c>
      <c r="AK23">
        <v>10</v>
      </c>
      <c r="AL23">
        <v>48</v>
      </c>
      <c r="AM23">
        <v>19</v>
      </c>
      <c r="AN23">
        <v>24</v>
      </c>
      <c r="AO23">
        <v>5</v>
      </c>
      <c r="AP23">
        <v>33</v>
      </c>
      <c r="AQ23">
        <v>-1</v>
      </c>
      <c r="AR23">
        <v>-1</v>
      </c>
      <c r="AS23">
        <v>-1</v>
      </c>
      <c r="AT23">
        <v>67</v>
      </c>
      <c r="AU23">
        <v>-1</v>
      </c>
      <c r="AV23">
        <v>33</v>
      </c>
      <c r="AW23">
        <v>-1</v>
      </c>
      <c r="AX23">
        <v>33</v>
      </c>
      <c r="AY23">
        <v>0</v>
      </c>
      <c r="AZ23">
        <v>3</v>
      </c>
      <c r="BA23">
        <v>88</v>
      </c>
      <c r="BB23">
        <v>95</v>
      </c>
      <c r="BC23">
        <v>145</v>
      </c>
      <c r="BD23">
        <v>38</v>
      </c>
      <c r="BE23">
        <v>33</v>
      </c>
      <c r="BF23">
        <v>29</v>
      </c>
      <c r="BG23">
        <v>24</v>
      </c>
      <c r="BH23">
        <v>23</v>
      </c>
      <c r="BI23">
        <v>6</v>
      </c>
      <c r="BJ23">
        <v>83</v>
      </c>
      <c r="BK23" t="str">
        <f t="shared" si="2"/>
        <v>NA</v>
      </c>
      <c r="BL23" t="str">
        <f t="shared" si="2"/>
        <v>NA</v>
      </c>
      <c r="BM23" t="str">
        <f t="shared" si="2"/>
        <v>NA</v>
      </c>
      <c r="BN23" t="str">
        <f t="shared" si="2"/>
        <v>NA</v>
      </c>
      <c r="BO23" t="str">
        <f t="shared" si="2"/>
        <v>NA</v>
      </c>
      <c r="BP23" t="str">
        <f t="shared" si="3"/>
        <v>IL</v>
      </c>
      <c r="BQ23" t="str">
        <f t="shared" si="4"/>
        <v>NA</v>
      </c>
      <c r="BR23" t="str">
        <f t="shared" si="4"/>
        <v>NA</v>
      </c>
    </row>
    <row r="24" spans="1:70">
      <c r="A24">
        <v>9</v>
      </c>
      <c r="B24" t="str">
        <f t="shared" si="0"/>
        <v>Summary of All HUD Programs</v>
      </c>
      <c r="C24">
        <v>1</v>
      </c>
      <c r="D24" t="str">
        <f t="shared" si="1"/>
        <v>NA</v>
      </c>
      <c r="E24" t="str">
        <f>"035 Cumberland County"</f>
        <v>035 Cumberland County</v>
      </c>
      <c r="F24" t="str">
        <f>"17035"</f>
        <v>17035</v>
      </c>
      <c r="G24">
        <v>96</v>
      </c>
      <c r="H24">
        <v>99</v>
      </c>
      <c r="I24">
        <v>95</v>
      </c>
      <c r="J24">
        <v>100</v>
      </c>
      <c r="K24">
        <v>7</v>
      </c>
      <c r="L24">
        <v>21</v>
      </c>
      <c r="M24">
        <v>1.9</v>
      </c>
      <c r="N24">
        <v>185</v>
      </c>
      <c r="O24">
        <v>238</v>
      </c>
      <c r="P24">
        <v>315</v>
      </c>
      <c r="Q24">
        <v>14160</v>
      </c>
      <c r="R24">
        <v>7272</v>
      </c>
      <c r="S24">
        <v>12</v>
      </c>
      <c r="T24">
        <v>32</v>
      </c>
      <c r="U24">
        <v>23</v>
      </c>
      <c r="V24">
        <v>15</v>
      </c>
      <c r="W24">
        <v>18</v>
      </c>
      <c r="X24">
        <v>26</v>
      </c>
      <c r="Y24">
        <v>-1</v>
      </c>
      <c r="Z24">
        <v>71</v>
      </c>
      <c r="AA24">
        <v>31</v>
      </c>
      <c r="AB24">
        <v>85</v>
      </c>
      <c r="AC24">
        <v>62</v>
      </c>
      <c r="AD24">
        <v>8</v>
      </c>
      <c r="AE24">
        <v>28</v>
      </c>
      <c r="AF24">
        <v>73</v>
      </c>
      <c r="AG24">
        <v>31</v>
      </c>
      <c r="AH24">
        <v>39</v>
      </c>
      <c r="AI24">
        <v>41</v>
      </c>
      <c r="AJ24">
        <v>23</v>
      </c>
      <c r="AK24">
        <v>8</v>
      </c>
      <c r="AL24">
        <v>37</v>
      </c>
      <c r="AM24">
        <v>24</v>
      </c>
      <c r="AN24">
        <v>31</v>
      </c>
      <c r="AO24">
        <v>1</v>
      </c>
      <c r="AP24">
        <v>0</v>
      </c>
      <c r="AQ24">
        <v>-1</v>
      </c>
      <c r="AR24">
        <v>-1</v>
      </c>
      <c r="AS24">
        <v>-1</v>
      </c>
      <c r="AT24">
        <v>100</v>
      </c>
      <c r="AU24">
        <v>-1</v>
      </c>
      <c r="AV24">
        <v>-1</v>
      </c>
      <c r="AW24">
        <v>-1</v>
      </c>
      <c r="AX24">
        <v>0</v>
      </c>
      <c r="AY24">
        <v>0</v>
      </c>
      <c r="AZ24">
        <v>-1</v>
      </c>
      <c r="BA24">
        <v>77</v>
      </c>
      <c r="BB24">
        <v>88</v>
      </c>
      <c r="BC24">
        <v>93</v>
      </c>
      <c r="BD24">
        <v>47</v>
      </c>
      <c r="BE24">
        <v>29</v>
      </c>
      <c r="BF24">
        <v>23</v>
      </c>
      <c r="BG24">
        <v>12</v>
      </c>
      <c r="BH24">
        <v>15</v>
      </c>
      <c r="BI24">
        <v>2</v>
      </c>
      <c r="BJ24">
        <v>81</v>
      </c>
      <c r="BK24" t="str">
        <f t="shared" si="2"/>
        <v>NA</v>
      </c>
      <c r="BL24" t="str">
        <f t="shared" si="2"/>
        <v>NA</v>
      </c>
      <c r="BM24" t="str">
        <f t="shared" si="2"/>
        <v>NA</v>
      </c>
      <c r="BN24" t="str">
        <f t="shared" si="2"/>
        <v>NA</v>
      </c>
      <c r="BO24" t="str">
        <f t="shared" si="2"/>
        <v>NA</v>
      </c>
      <c r="BP24" t="str">
        <f t="shared" si="3"/>
        <v>IL</v>
      </c>
      <c r="BQ24" t="str">
        <f t="shared" si="4"/>
        <v>NA</v>
      </c>
      <c r="BR24" t="str">
        <f t="shared" si="4"/>
        <v>NA</v>
      </c>
    </row>
    <row r="25" spans="1:70">
      <c r="A25">
        <v>9</v>
      </c>
      <c r="B25" t="str">
        <f t="shared" si="0"/>
        <v>Summary of All HUD Programs</v>
      </c>
      <c r="C25">
        <v>1</v>
      </c>
      <c r="D25" t="str">
        <f t="shared" si="1"/>
        <v>NA</v>
      </c>
      <c r="E25" t="str">
        <f>"037 Dekalb County"</f>
        <v>037 Dekalb County</v>
      </c>
      <c r="F25" t="str">
        <f>"17037"</f>
        <v>17037</v>
      </c>
      <c r="G25">
        <v>1733</v>
      </c>
      <c r="H25">
        <v>94</v>
      </c>
      <c r="I25">
        <v>1618</v>
      </c>
      <c r="J25">
        <v>100</v>
      </c>
      <c r="K25">
        <v>5</v>
      </c>
      <c r="L25">
        <v>20</v>
      </c>
      <c r="M25">
        <v>2</v>
      </c>
      <c r="N25">
        <v>3267</v>
      </c>
      <c r="O25">
        <v>295</v>
      </c>
      <c r="P25">
        <v>711</v>
      </c>
      <c r="Q25">
        <v>12377</v>
      </c>
      <c r="R25">
        <v>6130</v>
      </c>
      <c r="S25">
        <v>12</v>
      </c>
      <c r="T25">
        <v>28</v>
      </c>
      <c r="U25">
        <v>24</v>
      </c>
      <c r="V25">
        <v>16</v>
      </c>
      <c r="W25">
        <v>20</v>
      </c>
      <c r="X25">
        <v>30</v>
      </c>
      <c r="Y25">
        <v>3</v>
      </c>
      <c r="Z25">
        <v>56</v>
      </c>
      <c r="AA25">
        <v>23</v>
      </c>
      <c r="AB25">
        <v>94</v>
      </c>
      <c r="AC25">
        <v>71</v>
      </c>
      <c r="AD25">
        <v>3</v>
      </c>
      <c r="AE25">
        <v>43</v>
      </c>
      <c r="AF25">
        <v>80</v>
      </c>
      <c r="AG25">
        <v>43</v>
      </c>
      <c r="AH25">
        <v>35</v>
      </c>
      <c r="AI25">
        <v>33</v>
      </c>
      <c r="AJ25">
        <v>19</v>
      </c>
      <c r="AK25">
        <v>15</v>
      </c>
      <c r="AL25">
        <v>45</v>
      </c>
      <c r="AM25">
        <v>17</v>
      </c>
      <c r="AN25">
        <v>22</v>
      </c>
      <c r="AO25">
        <v>2</v>
      </c>
      <c r="AP25">
        <v>53</v>
      </c>
      <c r="AQ25">
        <v>48</v>
      </c>
      <c r="AR25">
        <v>0</v>
      </c>
      <c r="AS25">
        <v>1</v>
      </c>
      <c r="AT25">
        <v>46</v>
      </c>
      <c r="AU25">
        <v>0</v>
      </c>
      <c r="AV25">
        <v>3</v>
      </c>
      <c r="AW25">
        <v>0</v>
      </c>
      <c r="AX25">
        <v>3</v>
      </c>
      <c r="AY25">
        <v>1</v>
      </c>
      <c r="AZ25">
        <v>24</v>
      </c>
      <c r="BA25">
        <v>65</v>
      </c>
      <c r="BB25">
        <v>98</v>
      </c>
      <c r="BC25">
        <v>89</v>
      </c>
      <c r="BD25">
        <v>43</v>
      </c>
      <c r="BE25">
        <v>38</v>
      </c>
      <c r="BF25">
        <v>19</v>
      </c>
      <c r="BG25">
        <v>9</v>
      </c>
      <c r="BH25">
        <v>34</v>
      </c>
      <c r="BI25">
        <v>35</v>
      </c>
      <c r="BJ25">
        <v>36</v>
      </c>
      <c r="BK25" t="str">
        <f t="shared" si="2"/>
        <v>NA</v>
      </c>
      <c r="BL25" t="str">
        <f t="shared" si="2"/>
        <v>NA</v>
      </c>
      <c r="BM25" t="str">
        <f t="shared" si="2"/>
        <v>NA</v>
      </c>
      <c r="BN25" t="str">
        <f t="shared" si="2"/>
        <v>NA</v>
      </c>
      <c r="BO25" t="str">
        <f t="shared" si="2"/>
        <v>NA</v>
      </c>
      <c r="BP25" t="str">
        <f t="shared" si="3"/>
        <v>IL</v>
      </c>
      <c r="BQ25" t="str">
        <f t="shared" si="4"/>
        <v>NA</v>
      </c>
      <c r="BR25" t="str">
        <f t="shared" si="4"/>
        <v>NA</v>
      </c>
    </row>
    <row r="26" spans="1:70">
      <c r="A26">
        <v>9</v>
      </c>
      <c r="B26" t="str">
        <f t="shared" si="0"/>
        <v>Summary of All HUD Programs</v>
      </c>
      <c r="C26">
        <v>1</v>
      </c>
      <c r="D26" t="str">
        <f t="shared" si="1"/>
        <v>NA</v>
      </c>
      <c r="E26" t="str">
        <f>"039 De Witt County"</f>
        <v>039 De Witt County</v>
      </c>
      <c r="F26" t="str">
        <f>"17039"</f>
        <v>17039</v>
      </c>
      <c r="G26">
        <v>274</v>
      </c>
      <c r="H26">
        <v>91</v>
      </c>
      <c r="I26">
        <v>237</v>
      </c>
      <c r="J26">
        <v>95</v>
      </c>
      <c r="K26">
        <v>8</v>
      </c>
      <c r="L26">
        <v>23</v>
      </c>
      <c r="M26">
        <v>1.9</v>
      </c>
      <c r="N26">
        <v>452</v>
      </c>
      <c r="O26">
        <v>265</v>
      </c>
      <c r="P26">
        <v>293</v>
      </c>
      <c r="Q26">
        <v>13867</v>
      </c>
      <c r="R26">
        <v>7271</v>
      </c>
      <c r="S26">
        <v>13</v>
      </c>
      <c r="T26">
        <v>27</v>
      </c>
      <c r="U26">
        <v>27</v>
      </c>
      <c r="V26">
        <v>14</v>
      </c>
      <c r="W26">
        <v>19</v>
      </c>
      <c r="X26">
        <v>33</v>
      </c>
      <c r="Y26">
        <v>1</v>
      </c>
      <c r="Z26">
        <v>62</v>
      </c>
      <c r="AA26">
        <v>27</v>
      </c>
      <c r="AB26">
        <v>88</v>
      </c>
      <c r="AC26">
        <v>69</v>
      </c>
      <c r="AD26">
        <v>10</v>
      </c>
      <c r="AE26">
        <v>23</v>
      </c>
      <c r="AF26">
        <v>67</v>
      </c>
      <c r="AG26">
        <v>25</v>
      </c>
      <c r="AH26">
        <v>29</v>
      </c>
      <c r="AI26">
        <v>34</v>
      </c>
      <c r="AJ26">
        <v>18</v>
      </c>
      <c r="AK26">
        <v>14</v>
      </c>
      <c r="AL26">
        <v>41</v>
      </c>
      <c r="AM26">
        <v>19</v>
      </c>
      <c r="AN26">
        <v>26</v>
      </c>
      <c r="AO26">
        <v>3</v>
      </c>
      <c r="AP26">
        <v>6</v>
      </c>
      <c r="AQ26">
        <v>3</v>
      </c>
      <c r="AR26">
        <v>-1</v>
      </c>
      <c r="AS26">
        <v>0</v>
      </c>
      <c r="AT26">
        <v>94</v>
      </c>
      <c r="AU26">
        <v>-1</v>
      </c>
      <c r="AV26">
        <v>2</v>
      </c>
      <c r="AW26">
        <v>-1</v>
      </c>
      <c r="AX26">
        <v>2</v>
      </c>
      <c r="AY26">
        <v>0</v>
      </c>
      <c r="AZ26">
        <v>2</v>
      </c>
      <c r="BA26">
        <v>64</v>
      </c>
      <c r="BB26">
        <v>78</v>
      </c>
      <c r="BC26">
        <v>84</v>
      </c>
      <c r="BD26">
        <v>60</v>
      </c>
      <c r="BE26">
        <v>22</v>
      </c>
      <c r="BF26">
        <v>18</v>
      </c>
      <c r="BG26">
        <v>5</v>
      </c>
      <c r="BH26">
        <v>21</v>
      </c>
      <c r="BI26">
        <v>5</v>
      </c>
      <c r="BJ26">
        <v>72</v>
      </c>
      <c r="BK26" t="str">
        <f t="shared" si="2"/>
        <v>NA</v>
      </c>
      <c r="BL26" t="str">
        <f t="shared" si="2"/>
        <v>NA</v>
      </c>
      <c r="BM26" t="str">
        <f t="shared" si="2"/>
        <v>NA</v>
      </c>
      <c r="BN26" t="str">
        <f t="shared" si="2"/>
        <v>NA</v>
      </c>
      <c r="BO26" t="str">
        <f t="shared" si="2"/>
        <v>NA</v>
      </c>
      <c r="BP26" t="str">
        <f t="shared" si="3"/>
        <v>IL</v>
      </c>
      <c r="BQ26" t="str">
        <f t="shared" si="4"/>
        <v>NA</v>
      </c>
      <c r="BR26" t="str">
        <f t="shared" si="4"/>
        <v>NA</v>
      </c>
    </row>
    <row r="27" spans="1:70">
      <c r="A27">
        <v>9</v>
      </c>
      <c r="B27" t="str">
        <f t="shared" si="0"/>
        <v>Summary of All HUD Programs</v>
      </c>
      <c r="C27">
        <v>1</v>
      </c>
      <c r="D27" t="str">
        <f t="shared" si="1"/>
        <v>NA</v>
      </c>
      <c r="E27" t="str">
        <f>"041 Douglas County"</f>
        <v>041 Douglas County</v>
      </c>
      <c r="F27" t="str">
        <f>"17041"</f>
        <v>17041</v>
      </c>
      <c r="G27">
        <v>10</v>
      </c>
      <c r="H27">
        <v>-4</v>
      </c>
      <c r="I27">
        <v>8</v>
      </c>
      <c r="J27">
        <v>-4</v>
      </c>
      <c r="K27">
        <v>-4</v>
      </c>
      <c r="L27">
        <v>-4</v>
      </c>
      <c r="M27">
        <v>-4</v>
      </c>
      <c r="N27">
        <v>-4</v>
      </c>
      <c r="O27">
        <v>-4</v>
      </c>
      <c r="P27">
        <v>-4</v>
      </c>
      <c r="Q27">
        <v>-4</v>
      </c>
      <c r="R27">
        <v>-4</v>
      </c>
      <c r="S27">
        <v>-4</v>
      </c>
      <c r="T27">
        <v>-4</v>
      </c>
      <c r="U27">
        <v>-4</v>
      </c>
      <c r="V27">
        <v>-4</v>
      </c>
      <c r="W27">
        <v>-4</v>
      </c>
      <c r="X27">
        <v>-4</v>
      </c>
      <c r="Y27">
        <v>-4</v>
      </c>
      <c r="Z27">
        <v>-4</v>
      </c>
      <c r="AA27">
        <v>-4</v>
      </c>
      <c r="AB27">
        <v>-4</v>
      </c>
      <c r="AC27">
        <v>-4</v>
      </c>
      <c r="AD27">
        <v>-4</v>
      </c>
      <c r="AE27">
        <v>-4</v>
      </c>
      <c r="AF27">
        <v>-4</v>
      </c>
      <c r="AG27">
        <v>-4</v>
      </c>
      <c r="AH27">
        <v>-4</v>
      </c>
      <c r="AI27">
        <v>-4</v>
      </c>
      <c r="AJ27">
        <v>-4</v>
      </c>
      <c r="AK27">
        <v>-4</v>
      </c>
      <c r="AL27">
        <v>-4</v>
      </c>
      <c r="AM27">
        <v>-4</v>
      </c>
      <c r="AN27">
        <v>-4</v>
      </c>
      <c r="AO27">
        <v>-4</v>
      </c>
      <c r="AP27">
        <v>-4</v>
      </c>
      <c r="AQ27">
        <v>-4</v>
      </c>
      <c r="AR27">
        <v>-4</v>
      </c>
      <c r="AS27">
        <v>-4</v>
      </c>
      <c r="AT27">
        <v>-4</v>
      </c>
      <c r="AU27">
        <v>-4</v>
      </c>
      <c r="AV27">
        <v>-4</v>
      </c>
      <c r="AW27">
        <v>-4</v>
      </c>
      <c r="AX27">
        <v>-4</v>
      </c>
      <c r="AY27">
        <v>-4</v>
      </c>
      <c r="AZ27">
        <v>-4</v>
      </c>
      <c r="BA27">
        <v>-4</v>
      </c>
      <c r="BB27">
        <v>-4</v>
      </c>
      <c r="BC27">
        <v>-4</v>
      </c>
      <c r="BD27">
        <v>-4</v>
      </c>
      <c r="BE27">
        <v>-4</v>
      </c>
      <c r="BF27">
        <v>-4</v>
      </c>
      <c r="BG27">
        <v>-4</v>
      </c>
      <c r="BH27">
        <v>-4</v>
      </c>
      <c r="BI27">
        <v>-4</v>
      </c>
      <c r="BJ27">
        <v>-4</v>
      </c>
      <c r="BK27" t="str">
        <f t="shared" si="5"/>
        <v>NA</v>
      </c>
      <c r="BL27" t="str">
        <f t="shared" si="5"/>
        <v>NA</v>
      </c>
      <c r="BM27" t="str">
        <f t="shared" si="5"/>
        <v>NA</v>
      </c>
      <c r="BN27" t="str">
        <f t="shared" si="5"/>
        <v>NA</v>
      </c>
      <c r="BO27" t="str">
        <f t="shared" si="5"/>
        <v>NA</v>
      </c>
      <c r="BP27" t="str">
        <f t="shared" si="3"/>
        <v>IL</v>
      </c>
      <c r="BQ27" t="str">
        <f t="shared" si="6"/>
        <v>NA</v>
      </c>
      <c r="BR27" t="str">
        <f t="shared" si="6"/>
        <v>NA</v>
      </c>
    </row>
    <row r="28" spans="1:70">
      <c r="A28">
        <v>9</v>
      </c>
      <c r="B28" t="str">
        <f t="shared" si="0"/>
        <v>Summary of All HUD Programs</v>
      </c>
      <c r="C28">
        <v>1</v>
      </c>
      <c r="D28" t="str">
        <f t="shared" si="1"/>
        <v>NA</v>
      </c>
      <c r="E28" t="str">
        <f>"045 Edgar County"</f>
        <v>045 Edgar County</v>
      </c>
      <c r="F28" t="str">
        <f>"17045"</f>
        <v>17045</v>
      </c>
      <c r="G28">
        <v>287</v>
      </c>
      <c r="H28">
        <v>84</v>
      </c>
      <c r="I28">
        <v>240</v>
      </c>
      <c r="J28">
        <v>100</v>
      </c>
      <c r="K28">
        <v>6</v>
      </c>
      <c r="L28">
        <v>18</v>
      </c>
      <c r="M28">
        <v>1.6</v>
      </c>
      <c r="N28">
        <v>378</v>
      </c>
      <c r="O28">
        <v>270</v>
      </c>
      <c r="P28">
        <v>355</v>
      </c>
      <c r="Q28">
        <v>13177</v>
      </c>
      <c r="R28">
        <v>8366</v>
      </c>
      <c r="S28">
        <v>7</v>
      </c>
      <c r="T28">
        <v>35</v>
      </c>
      <c r="U28">
        <v>28</v>
      </c>
      <c r="V28">
        <v>15</v>
      </c>
      <c r="W28">
        <v>15</v>
      </c>
      <c r="X28">
        <v>20</v>
      </c>
      <c r="Y28">
        <v>0</v>
      </c>
      <c r="Z28">
        <v>79</v>
      </c>
      <c r="AA28">
        <v>30</v>
      </c>
      <c r="AB28">
        <v>89</v>
      </c>
      <c r="AC28">
        <v>58</v>
      </c>
      <c r="AD28">
        <v>2</v>
      </c>
      <c r="AE28">
        <v>20</v>
      </c>
      <c r="AF28">
        <v>67</v>
      </c>
      <c r="AG28">
        <v>18</v>
      </c>
      <c r="AH28">
        <v>51</v>
      </c>
      <c r="AI28">
        <v>30</v>
      </c>
      <c r="AJ28">
        <v>28</v>
      </c>
      <c r="AK28">
        <v>6</v>
      </c>
      <c r="AL28">
        <v>26</v>
      </c>
      <c r="AM28">
        <v>24</v>
      </c>
      <c r="AN28">
        <v>44</v>
      </c>
      <c r="AO28">
        <v>3</v>
      </c>
      <c r="AP28">
        <v>2</v>
      </c>
      <c r="AQ28">
        <v>1</v>
      </c>
      <c r="AR28">
        <v>-1</v>
      </c>
      <c r="AS28">
        <v>0</v>
      </c>
      <c r="AT28">
        <v>98</v>
      </c>
      <c r="AU28">
        <v>-1</v>
      </c>
      <c r="AV28">
        <v>-1</v>
      </c>
      <c r="AW28">
        <v>-1</v>
      </c>
      <c r="AX28">
        <v>0</v>
      </c>
      <c r="AY28">
        <v>1</v>
      </c>
      <c r="AZ28">
        <v>3</v>
      </c>
      <c r="BA28">
        <v>73</v>
      </c>
      <c r="BB28">
        <v>86</v>
      </c>
      <c r="BC28">
        <v>84</v>
      </c>
      <c r="BD28">
        <v>59</v>
      </c>
      <c r="BE28">
        <v>27</v>
      </c>
      <c r="BF28">
        <v>14</v>
      </c>
      <c r="BG28">
        <v>15</v>
      </c>
      <c r="BH28">
        <v>17</v>
      </c>
      <c r="BI28">
        <v>3</v>
      </c>
      <c r="BJ28">
        <v>82</v>
      </c>
      <c r="BK28" t="str">
        <f t="shared" si="5"/>
        <v>NA</v>
      </c>
      <c r="BL28" t="str">
        <f t="shared" si="5"/>
        <v>NA</v>
      </c>
      <c r="BM28" t="str">
        <f t="shared" si="5"/>
        <v>NA</v>
      </c>
      <c r="BN28" t="str">
        <f t="shared" si="5"/>
        <v>NA</v>
      </c>
      <c r="BO28" t="str">
        <f t="shared" si="5"/>
        <v>NA</v>
      </c>
      <c r="BP28" t="str">
        <f t="shared" si="3"/>
        <v>IL</v>
      </c>
      <c r="BQ28" t="str">
        <f t="shared" si="6"/>
        <v>NA</v>
      </c>
      <c r="BR28" t="str">
        <f t="shared" si="6"/>
        <v>NA</v>
      </c>
    </row>
    <row r="29" spans="1:70">
      <c r="A29">
        <v>9</v>
      </c>
      <c r="B29" t="str">
        <f t="shared" si="0"/>
        <v>Summary of All HUD Programs</v>
      </c>
      <c r="C29">
        <v>1</v>
      </c>
      <c r="D29" t="str">
        <f t="shared" si="1"/>
        <v>NA</v>
      </c>
      <c r="E29" t="str">
        <f>"047 Edwards County"</f>
        <v>047 Edwards County</v>
      </c>
      <c r="F29" t="str">
        <f>"17047"</f>
        <v>17047</v>
      </c>
      <c r="G29">
        <v>76</v>
      </c>
      <c r="H29">
        <v>95</v>
      </c>
      <c r="I29">
        <v>72</v>
      </c>
      <c r="J29">
        <v>100</v>
      </c>
      <c r="K29">
        <v>6</v>
      </c>
      <c r="L29">
        <v>28</v>
      </c>
      <c r="M29">
        <v>1.8</v>
      </c>
      <c r="N29">
        <v>131</v>
      </c>
      <c r="O29">
        <v>229</v>
      </c>
      <c r="P29">
        <v>274</v>
      </c>
      <c r="Q29">
        <v>10400</v>
      </c>
      <c r="R29">
        <v>5716</v>
      </c>
      <c r="S29">
        <v>10</v>
      </c>
      <c r="T29">
        <v>37</v>
      </c>
      <c r="U29">
        <v>28</v>
      </c>
      <c r="V29">
        <v>10</v>
      </c>
      <c r="W29">
        <v>15</v>
      </c>
      <c r="X29">
        <v>29</v>
      </c>
      <c r="Y29">
        <v>1</v>
      </c>
      <c r="Z29">
        <v>53</v>
      </c>
      <c r="AA29">
        <v>23</v>
      </c>
      <c r="AB29">
        <v>90</v>
      </c>
      <c r="AC29">
        <v>71</v>
      </c>
      <c r="AD29">
        <v>6</v>
      </c>
      <c r="AE29">
        <v>33</v>
      </c>
      <c r="AF29">
        <v>68</v>
      </c>
      <c r="AG29">
        <v>31</v>
      </c>
      <c r="AH29">
        <v>12</v>
      </c>
      <c r="AI29">
        <v>17</v>
      </c>
      <c r="AJ29">
        <v>8</v>
      </c>
      <c r="AK29">
        <v>10</v>
      </c>
      <c r="AL29">
        <v>39</v>
      </c>
      <c r="AM29">
        <v>19</v>
      </c>
      <c r="AN29">
        <v>32</v>
      </c>
      <c r="AO29">
        <v>1</v>
      </c>
      <c r="AP29">
        <v>0</v>
      </c>
      <c r="AQ29">
        <v>-1</v>
      </c>
      <c r="AR29">
        <v>-1</v>
      </c>
      <c r="AS29">
        <v>-1</v>
      </c>
      <c r="AT29">
        <v>100</v>
      </c>
      <c r="AU29">
        <v>-1</v>
      </c>
      <c r="AV29">
        <v>-1</v>
      </c>
      <c r="AW29">
        <v>-1</v>
      </c>
      <c r="AX29">
        <v>0</v>
      </c>
      <c r="AY29">
        <v>0</v>
      </c>
      <c r="AZ29">
        <v>4</v>
      </c>
      <c r="BA29">
        <v>49</v>
      </c>
      <c r="BB29">
        <v>31</v>
      </c>
      <c r="BC29">
        <v>54</v>
      </c>
      <c r="BD29">
        <v>47</v>
      </c>
      <c r="BE29">
        <v>33</v>
      </c>
      <c r="BF29">
        <v>19</v>
      </c>
      <c r="BG29">
        <v>14</v>
      </c>
      <c r="BH29">
        <v>15</v>
      </c>
      <c r="BI29">
        <v>3</v>
      </c>
      <c r="BJ29">
        <v>80</v>
      </c>
      <c r="BK29" t="str">
        <f t="shared" si="5"/>
        <v>NA</v>
      </c>
      <c r="BL29" t="str">
        <f t="shared" si="5"/>
        <v>NA</v>
      </c>
      <c r="BM29" t="str">
        <f t="shared" si="5"/>
        <v>NA</v>
      </c>
      <c r="BN29" t="str">
        <f t="shared" si="5"/>
        <v>NA</v>
      </c>
      <c r="BO29" t="str">
        <f t="shared" si="5"/>
        <v>NA</v>
      </c>
      <c r="BP29" t="str">
        <f t="shared" si="3"/>
        <v>IL</v>
      </c>
      <c r="BQ29" t="str">
        <f t="shared" si="6"/>
        <v>NA</v>
      </c>
      <c r="BR29" t="str">
        <f t="shared" si="6"/>
        <v>NA</v>
      </c>
    </row>
    <row r="30" spans="1:70">
      <c r="A30">
        <v>9</v>
      </c>
      <c r="B30" t="str">
        <f t="shared" si="0"/>
        <v>Summary of All HUD Programs</v>
      </c>
      <c r="C30">
        <v>1</v>
      </c>
      <c r="D30" t="str">
        <f t="shared" si="1"/>
        <v>NA</v>
      </c>
      <c r="E30" t="str">
        <f>"049 Effingham County"</f>
        <v>049 Effingham County</v>
      </c>
      <c r="F30" t="str">
        <f>"17049"</f>
        <v>17049</v>
      </c>
      <c r="G30">
        <v>468</v>
      </c>
      <c r="H30">
        <v>95</v>
      </c>
      <c r="I30">
        <v>452</v>
      </c>
      <c r="J30">
        <v>100</v>
      </c>
      <c r="K30">
        <v>6</v>
      </c>
      <c r="L30">
        <v>21</v>
      </c>
      <c r="M30">
        <v>1.7</v>
      </c>
      <c r="N30">
        <v>764</v>
      </c>
      <c r="O30">
        <v>273</v>
      </c>
      <c r="P30">
        <v>381</v>
      </c>
      <c r="Q30">
        <v>12642</v>
      </c>
      <c r="R30">
        <v>7479</v>
      </c>
      <c r="S30">
        <v>10</v>
      </c>
      <c r="T30">
        <v>29</v>
      </c>
      <c r="U30">
        <v>28</v>
      </c>
      <c r="V30">
        <v>20</v>
      </c>
      <c r="W30">
        <v>13</v>
      </c>
      <c r="X30">
        <v>29</v>
      </c>
      <c r="Y30">
        <v>1</v>
      </c>
      <c r="Z30">
        <v>67</v>
      </c>
      <c r="AA30">
        <v>25</v>
      </c>
      <c r="AB30">
        <v>97</v>
      </c>
      <c r="AC30">
        <v>66</v>
      </c>
      <c r="AD30">
        <v>6</v>
      </c>
      <c r="AE30">
        <v>24</v>
      </c>
      <c r="AF30">
        <v>73</v>
      </c>
      <c r="AG30">
        <v>27</v>
      </c>
      <c r="AH30">
        <v>35</v>
      </c>
      <c r="AI30">
        <v>24</v>
      </c>
      <c r="AJ30">
        <v>19</v>
      </c>
      <c r="AK30">
        <v>14</v>
      </c>
      <c r="AL30">
        <v>33</v>
      </c>
      <c r="AM30">
        <v>22</v>
      </c>
      <c r="AN30">
        <v>32</v>
      </c>
      <c r="AO30">
        <v>5</v>
      </c>
      <c r="AP30">
        <v>4</v>
      </c>
      <c r="AQ30">
        <v>3</v>
      </c>
      <c r="AR30">
        <v>-1</v>
      </c>
      <c r="AS30">
        <v>0</v>
      </c>
      <c r="AT30">
        <v>96</v>
      </c>
      <c r="AU30">
        <v>-1</v>
      </c>
      <c r="AV30">
        <v>1</v>
      </c>
      <c r="AW30">
        <v>-1</v>
      </c>
      <c r="AX30">
        <v>1</v>
      </c>
      <c r="AY30">
        <v>0</v>
      </c>
      <c r="AZ30">
        <v>5</v>
      </c>
      <c r="BA30">
        <v>62</v>
      </c>
      <c r="BB30">
        <v>58</v>
      </c>
      <c r="BC30">
        <v>93</v>
      </c>
      <c r="BD30">
        <v>55</v>
      </c>
      <c r="BE30">
        <v>35</v>
      </c>
      <c r="BF30">
        <v>10</v>
      </c>
      <c r="BG30">
        <v>10</v>
      </c>
      <c r="BH30">
        <v>13</v>
      </c>
      <c r="BI30">
        <v>5</v>
      </c>
      <c r="BJ30">
        <v>73</v>
      </c>
      <c r="BK30" t="str">
        <f t="shared" si="5"/>
        <v>NA</v>
      </c>
      <c r="BL30" t="str">
        <f t="shared" si="5"/>
        <v>NA</v>
      </c>
      <c r="BM30" t="str">
        <f t="shared" si="5"/>
        <v>NA</v>
      </c>
      <c r="BN30" t="str">
        <f t="shared" si="5"/>
        <v>NA</v>
      </c>
      <c r="BO30" t="str">
        <f t="shared" si="5"/>
        <v>NA</v>
      </c>
      <c r="BP30" t="str">
        <f t="shared" si="3"/>
        <v>IL</v>
      </c>
      <c r="BQ30" t="str">
        <f t="shared" si="6"/>
        <v>NA</v>
      </c>
      <c r="BR30" t="str">
        <f t="shared" si="6"/>
        <v>NA</v>
      </c>
    </row>
    <row r="31" spans="1:70">
      <c r="A31">
        <v>9</v>
      </c>
      <c r="B31" t="str">
        <f t="shared" si="0"/>
        <v>Summary of All HUD Programs</v>
      </c>
      <c r="C31">
        <v>1</v>
      </c>
      <c r="D31" t="str">
        <f t="shared" si="1"/>
        <v>NA</v>
      </c>
      <c r="E31" t="str">
        <f>"051 Fayette County"</f>
        <v>051 Fayette County</v>
      </c>
      <c r="F31" t="str">
        <f>"17051"</f>
        <v>17051</v>
      </c>
      <c r="G31">
        <v>44</v>
      </c>
      <c r="H31">
        <v>78</v>
      </c>
      <c r="I31">
        <v>36</v>
      </c>
      <c r="J31">
        <v>100</v>
      </c>
      <c r="K31">
        <v>5</v>
      </c>
      <c r="L31">
        <v>33</v>
      </c>
      <c r="M31">
        <v>1.8</v>
      </c>
      <c r="N31">
        <v>65</v>
      </c>
      <c r="O31">
        <v>226</v>
      </c>
      <c r="P31">
        <v>400</v>
      </c>
      <c r="Q31">
        <v>9922</v>
      </c>
      <c r="R31">
        <v>5495</v>
      </c>
      <c r="S31">
        <v>17</v>
      </c>
      <c r="T31">
        <v>40</v>
      </c>
      <c r="U31">
        <v>29</v>
      </c>
      <c r="V31">
        <v>9</v>
      </c>
      <c r="W31">
        <v>6</v>
      </c>
      <c r="X31">
        <v>14</v>
      </c>
      <c r="Y31">
        <v>3</v>
      </c>
      <c r="Z31">
        <v>81</v>
      </c>
      <c r="AA31">
        <v>22</v>
      </c>
      <c r="AB31">
        <v>100</v>
      </c>
      <c r="AC31">
        <v>75</v>
      </c>
      <c r="AD31">
        <v>8</v>
      </c>
      <c r="AE31">
        <v>22</v>
      </c>
      <c r="AF31">
        <v>69</v>
      </c>
      <c r="AG31">
        <v>25</v>
      </c>
      <c r="AH31">
        <v>44</v>
      </c>
      <c r="AI31">
        <v>36</v>
      </c>
      <c r="AJ31">
        <v>25</v>
      </c>
      <c r="AK31">
        <v>11</v>
      </c>
      <c r="AL31">
        <v>28</v>
      </c>
      <c r="AM31">
        <v>31</v>
      </c>
      <c r="AN31">
        <v>31</v>
      </c>
      <c r="AO31">
        <v>3</v>
      </c>
      <c r="AP31">
        <v>19</v>
      </c>
      <c r="AQ31">
        <v>-1</v>
      </c>
      <c r="AR31">
        <v>-1</v>
      </c>
      <c r="AS31">
        <v>-1</v>
      </c>
      <c r="AT31">
        <v>81</v>
      </c>
      <c r="AU31">
        <v>-1</v>
      </c>
      <c r="AV31">
        <v>19</v>
      </c>
      <c r="AW31">
        <v>-1</v>
      </c>
      <c r="AX31">
        <v>19</v>
      </c>
      <c r="AY31">
        <v>0</v>
      </c>
      <c r="AZ31">
        <v>-1</v>
      </c>
      <c r="BA31">
        <v>63</v>
      </c>
      <c r="BB31">
        <v>94</v>
      </c>
      <c r="BC31">
        <v>90</v>
      </c>
      <c r="BD31">
        <v>50</v>
      </c>
      <c r="BE31">
        <v>44</v>
      </c>
      <c r="BF31">
        <v>6</v>
      </c>
      <c r="BG31">
        <v>11</v>
      </c>
      <c r="BH31">
        <v>17</v>
      </c>
      <c r="BI31">
        <v>4</v>
      </c>
      <c r="BJ31">
        <v>69</v>
      </c>
      <c r="BK31" t="str">
        <f t="shared" si="5"/>
        <v>NA</v>
      </c>
      <c r="BL31" t="str">
        <f t="shared" si="5"/>
        <v>NA</v>
      </c>
      <c r="BM31" t="str">
        <f t="shared" si="5"/>
        <v>NA</v>
      </c>
      <c r="BN31" t="str">
        <f t="shared" si="5"/>
        <v>NA</v>
      </c>
      <c r="BO31" t="str">
        <f t="shared" si="5"/>
        <v>NA</v>
      </c>
      <c r="BP31" t="str">
        <f t="shared" si="3"/>
        <v>IL</v>
      </c>
      <c r="BQ31" t="str">
        <f t="shared" si="6"/>
        <v>NA</v>
      </c>
      <c r="BR31" t="str">
        <f t="shared" si="6"/>
        <v>NA</v>
      </c>
    </row>
    <row r="32" spans="1:70">
      <c r="A32">
        <v>9</v>
      </c>
      <c r="B32" t="str">
        <f t="shared" si="0"/>
        <v>Summary of All HUD Programs</v>
      </c>
      <c r="C32">
        <v>1</v>
      </c>
      <c r="D32" t="str">
        <f t="shared" si="1"/>
        <v>NA</v>
      </c>
      <c r="E32" t="str">
        <f>"053 Ford County"</f>
        <v>053 Ford County</v>
      </c>
      <c r="F32" t="str">
        <f>"17053"</f>
        <v>17053</v>
      </c>
      <c r="G32">
        <v>182</v>
      </c>
      <c r="H32">
        <v>71</v>
      </c>
      <c r="I32">
        <v>132</v>
      </c>
      <c r="J32">
        <v>100</v>
      </c>
      <c r="K32">
        <v>6</v>
      </c>
      <c r="L32">
        <v>19</v>
      </c>
      <c r="M32">
        <v>1.6</v>
      </c>
      <c r="N32">
        <v>213</v>
      </c>
      <c r="O32">
        <v>296</v>
      </c>
      <c r="P32">
        <v>328</v>
      </c>
      <c r="Q32">
        <v>13882</v>
      </c>
      <c r="R32">
        <v>8603</v>
      </c>
      <c r="S32">
        <v>6</v>
      </c>
      <c r="T32">
        <v>29</v>
      </c>
      <c r="U32">
        <v>28</v>
      </c>
      <c r="V32">
        <v>17</v>
      </c>
      <c r="W32">
        <v>19</v>
      </c>
      <c r="X32">
        <v>20</v>
      </c>
      <c r="Y32">
        <v>2</v>
      </c>
      <c r="Z32">
        <v>75</v>
      </c>
      <c r="AA32">
        <v>26</v>
      </c>
      <c r="AB32">
        <v>96</v>
      </c>
      <c r="AC32">
        <v>70</v>
      </c>
      <c r="AD32">
        <v>6</v>
      </c>
      <c r="AE32">
        <v>15</v>
      </c>
      <c r="AF32">
        <v>69</v>
      </c>
      <c r="AG32">
        <v>19</v>
      </c>
      <c r="AH32">
        <v>52</v>
      </c>
      <c r="AI32">
        <v>28</v>
      </c>
      <c r="AJ32">
        <v>26</v>
      </c>
      <c r="AK32">
        <v>2</v>
      </c>
      <c r="AL32">
        <v>29</v>
      </c>
      <c r="AM32">
        <v>23</v>
      </c>
      <c r="AN32">
        <v>46</v>
      </c>
      <c r="AO32">
        <v>8</v>
      </c>
      <c r="AP32">
        <v>5</v>
      </c>
      <c r="AQ32">
        <v>3</v>
      </c>
      <c r="AR32">
        <v>-1</v>
      </c>
      <c r="AS32">
        <v>-1</v>
      </c>
      <c r="AT32">
        <v>95</v>
      </c>
      <c r="AU32">
        <v>-1</v>
      </c>
      <c r="AV32">
        <v>2</v>
      </c>
      <c r="AW32">
        <v>-1</v>
      </c>
      <c r="AX32">
        <v>2</v>
      </c>
      <c r="AY32">
        <v>0</v>
      </c>
      <c r="AZ32">
        <v>18</v>
      </c>
      <c r="BA32">
        <v>68</v>
      </c>
      <c r="BB32">
        <v>76</v>
      </c>
      <c r="BC32">
        <v>101</v>
      </c>
      <c r="BD32">
        <v>75</v>
      </c>
      <c r="BE32">
        <v>14</v>
      </c>
      <c r="BF32">
        <v>11</v>
      </c>
      <c r="BG32">
        <v>3</v>
      </c>
      <c r="BH32">
        <v>11</v>
      </c>
      <c r="BI32">
        <v>4</v>
      </c>
      <c r="BJ32">
        <v>76</v>
      </c>
      <c r="BK32" t="str">
        <f t="shared" si="5"/>
        <v>NA</v>
      </c>
      <c r="BL32" t="str">
        <f t="shared" si="5"/>
        <v>NA</v>
      </c>
      <c r="BM32" t="str">
        <f t="shared" si="5"/>
        <v>NA</v>
      </c>
      <c r="BN32" t="str">
        <f t="shared" si="5"/>
        <v>NA</v>
      </c>
      <c r="BO32" t="str">
        <f t="shared" si="5"/>
        <v>NA</v>
      </c>
      <c r="BP32" t="str">
        <f t="shared" si="3"/>
        <v>IL</v>
      </c>
      <c r="BQ32" t="str">
        <f t="shared" si="6"/>
        <v>NA</v>
      </c>
      <c r="BR32" t="str">
        <f t="shared" si="6"/>
        <v>NA</v>
      </c>
    </row>
    <row r="33" spans="1:70">
      <c r="A33">
        <v>9</v>
      </c>
      <c r="B33" t="str">
        <f t="shared" si="0"/>
        <v>Summary of All HUD Programs</v>
      </c>
      <c r="C33">
        <v>1</v>
      </c>
      <c r="D33" t="str">
        <f t="shared" si="1"/>
        <v>NA</v>
      </c>
      <c r="E33" t="str">
        <f>"055 Franklin County"</f>
        <v>055 Franklin County</v>
      </c>
      <c r="F33" t="str">
        <f>"17055"</f>
        <v>17055</v>
      </c>
      <c r="G33">
        <v>785</v>
      </c>
      <c r="H33">
        <v>96</v>
      </c>
      <c r="I33">
        <v>750</v>
      </c>
      <c r="J33">
        <v>100</v>
      </c>
      <c r="K33">
        <v>6</v>
      </c>
      <c r="L33">
        <v>26</v>
      </c>
      <c r="M33">
        <v>1.8</v>
      </c>
      <c r="N33">
        <v>1366</v>
      </c>
      <c r="O33">
        <v>233</v>
      </c>
      <c r="P33">
        <v>339</v>
      </c>
      <c r="Q33">
        <v>11578</v>
      </c>
      <c r="R33">
        <v>6357</v>
      </c>
      <c r="S33">
        <v>19</v>
      </c>
      <c r="T33">
        <v>36</v>
      </c>
      <c r="U33">
        <v>22</v>
      </c>
      <c r="V33">
        <v>10</v>
      </c>
      <c r="W33">
        <v>12</v>
      </c>
      <c r="X33">
        <v>28</v>
      </c>
      <c r="Y33">
        <v>4</v>
      </c>
      <c r="Z33">
        <v>68</v>
      </c>
      <c r="AA33">
        <v>26</v>
      </c>
      <c r="AB33">
        <v>91</v>
      </c>
      <c r="AC33">
        <v>72</v>
      </c>
      <c r="AD33">
        <v>7</v>
      </c>
      <c r="AE33">
        <v>26</v>
      </c>
      <c r="AF33">
        <v>73</v>
      </c>
      <c r="AG33">
        <v>29</v>
      </c>
      <c r="AH33">
        <v>34</v>
      </c>
      <c r="AI33">
        <v>39</v>
      </c>
      <c r="AJ33">
        <v>21</v>
      </c>
      <c r="AK33">
        <v>11</v>
      </c>
      <c r="AL33">
        <v>36</v>
      </c>
      <c r="AM33">
        <v>23</v>
      </c>
      <c r="AN33">
        <v>29</v>
      </c>
      <c r="AO33">
        <v>1</v>
      </c>
      <c r="AP33">
        <v>3</v>
      </c>
      <c r="AQ33">
        <v>1</v>
      </c>
      <c r="AR33">
        <v>0</v>
      </c>
      <c r="AS33">
        <v>-1</v>
      </c>
      <c r="AT33">
        <v>97</v>
      </c>
      <c r="AU33">
        <v>-1</v>
      </c>
      <c r="AV33">
        <v>1</v>
      </c>
      <c r="AW33">
        <v>0</v>
      </c>
      <c r="AX33">
        <v>2</v>
      </c>
      <c r="AY33">
        <v>0</v>
      </c>
      <c r="AZ33">
        <v>9</v>
      </c>
      <c r="BA33">
        <v>62</v>
      </c>
      <c r="BB33">
        <v>63</v>
      </c>
      <c r="BC33">
        <v>86</v>
      </c>
      <c r="BD33">
        <v>55</v>
      </c>
      <c r="BE33">
        <v>20</v>
      </c>
      <c r="BF33">
        <v>25</v>
      </c>
      <c r="BG33">
        <v>11</v>
      </c>
      <c r="BH33">
        <v>24</v>
      </c>
      <c r="BI33">
        <v>4</v>
      </c>
      <c r="BJ33">
        <v>73</v>
      </c>
      <c r="BK33" t="str">
        <f t="shared" si="5"/>
        <v>NA</v>
      </c>
      <c r="BL33" t="str">
        <f t="shared" si="5"/>
        <v>NA</v>
      </c>
      <c r="BM33" t="str">
        <f t="shared" si="5"/>
        <v>NA</v>
      </c>
      <c r="BN33" t="str">
        <f t="shared" si="5"/>
        <v>NA</v>
      </c>
      <c r="BO33" t="str">
        <f t="shared" si="5"/>
        <v>NA</v>
      </c>
      <c r="BP33" t="str">
        <f t="shared" si="3"/>
        <v>IL</v>
      </c>
      <c r="BQ33" t="str">
        <f t="shared" si="6"/>
        <v>NA</v>
      </c>
      <c r="BR33" t="str">
        <f t="shared" si="6"/>
        <v>NA</v>
      </c>
    </row>
    <row r="34" spans="1:70">
      <c r="A34">
        <v>9</v>
      </c>
      <c r="B34" t="str">
        <f t="shared" si="0"/>
        <v>Summary of All HUD Programs</v>
      </c>
      <c r="C34">
        <v>1</v>
      </c>
      <c r="D34" t="str">
        <f t="shared" si="1"/>
        <v>NA</v>
      </c>
      <c r="E34" t="str">
        <f>"057 Fulton County"</f>
        <v>057 Fulton County</v>
      </c>
      <c r="F34" t="str">
        <f>"17057"</f>
        <v>17057</v>
      </c>
      <c r="G34">
        <v>750</v>
      </c>
      <c r="H34">
        <v>95</v>
      </c>
      <c r="I34">
        <v>703</v>
      </c>
      <c r="J34">
        <v>99</v>
      </c>
      <c r="K34">
        <v>5</v>
      </c>
      <c r="L34">
        <v>22</v>
      </c>
      <c r="M34">
        <v>1.7</v>
      </c>
      <c r="N34">
        <v>1219</v>
      </c>
      <c r="O34">
        <v>310</v>
      </c>
      <c r="P34">
        <v>356</v>
      </c>
      <c r="Q34">
        <v>14104</v>
      </c>
      <c r="R34">
        <v>8134</v>
      </c>
      <c r="S34">
        <v>4</v>
      </c>
      <c r="T34">
        <v>30</v>
      </c>
      <c r="U34">
        <v>29</v>
      </c>
      <c r="V34">
        <v>19</v>
      </c>
      <c r="W34">
        <v>18</v>
      </c>
      <c r="X34">
        <v>28</v>
      </c>
      <c r="Y34">
        <v>2</v>
      </c>
      <c r="Z34">
        <v>69</v>
      </c>
      <c r="AA34">
        <v>31</v>
      </c>
      <c r="AB34">
        <v>88</v>
      </c>
      <c r="AC34">
        <v>56</v>
      </c>
      <c r="AD34">
        <v>3</v>
      </c>
      <c r="AE34">
        <v>23</v>
      </c>
      <c r="AF34">
        <v>70</v>
      </c>
      <c r="AG34">
        <v>22</v>
      </c>
      <c r="AH34">
        <v>45</v>
      </c>
      <c r="AI34">
        <v>26</v>
      </c>
      <c r="AJ34">
        <v>23</v>
      </c>
      <c r="AK34">
        <v>6</v>
      </c>
      <c r="AL34">
        <v>33</v>
      </c>
      <c r="AM34">
        <v>22</v>
      </c>
      <c r="AN34">
        <v>39</v>
      </c>
      <c r="AO34">
        <v>5</v>
      </c>
      <c r="AP34">
        <v>4</v>
      </c>
      <c r="AQ34">
        <v>1</v>
      </c>
      <c r="AR34">
        <v>1</v>
      </c>
      <c r="AS34">
        <v>1</v>
      </c>
      <c r="AT34">
        <v>95</v>
      </c>
      <c r="AU34">
        <v>0</v>
      </c>
      <c r="AV34">
        <v>1</v>
      </c>
      <c r="AW34">
        <v>0</v>
      </c>
      <c r="AX34">
        <v>2</v>
      </c>
      <c r="AY34">
        <v>1</v>
      </c>
      <c r="AZ34">
        <v>4</v>
      </c>
      <c r="BA34">
        <v>63</v>
      </c>
      <c r="BB34">
        <v>73</v>
      </c>
      <c r="BC34">
        <v>99</v>
      </c>
      <c r="BD34">
        <v>60</v>
      </c>
      <c r="BE34">
        <v>24</v>
      </c>
      <c r="BF34">
        <v>16</v>
      </c>
      <c r="BG34">
        <v>10</v>
      </c>
      <c r="BH34">
        <v>18</v>
      </c>
      <c r="BI34">
        <v>9</v>
      </c>
      <c r="BJ34">
        <v>76</v>
      </c>
      <c r="BK34" t="str">
        <f t="shared" si="5"/>
        <v>NA</v>
      </c>
      <c r="BL34" t="str">
        <f t="shared" si="5"/>
        <v>NA</v>
      </c>
      <c r="BM34" t="str">
        <f t="shared" si="5"/>
        <v>NA</v>
      </c>
      <c r="BN34" t="str">
        <f t="shared" si="5"/>
        <v>NA</v>
      </c>
      <c r="BO34" t="str">
        <f t="shared" si="5"/>
        <v>NA</v>
      </c>
      <c r="BP34" t="str">
        <f t="shared" si="3"/>
        <v>IL</v>
      </c>
      <c r="BQ34" t="str">
        <f t="shared" si="6"/>
        <v>NA</v>
      </c>
      <c r="BR34" t="str">
        <f t="shared" si="6"/>
        <v>NA</v>
      </c>
    </row>
    <row r="35" spans="1:70">
      <c r="A35">
        <v>9</v>
      </c>
      <c r="B35" t="str">
        <f t="shared" si="0"/>
        <v>Summary of All HUD Programs</v>
      </c>
      <c r="C35">
        <v>1</v>
      </c>
      <c r="D35" t="str">
        <f t="shared" si="1"/>
        <v>NA</v>
      </c>
      <c r="E35" t="str">
        <f>"059 Gallatin County"</f>
        <v>059 Gallatin County</v>
      </c>
      <c r="F35" t="str">
        <f>"17059"</f>
        <v>17059</v>
      </c>
      <c r="G35">
        <v>125</v>
      </c>
      <c r="H35">
        <v>98</v>
      </c>
      <c r="I35">
        <v>124</v>
      </c>
      <c r="J35">
        <v>100</v>
      </c>
      <c r="K35">
        <v>6</v>
      </c>
      <c r="L35">
        <v>31</v>
      </c>
      <c r="M35">
        <v>1.7</v>
      </c>
      <c r="N35">
        <v>212</v>
      </c>
      <c r="O35">
        <v>263</v>
      </c>
      <c r="P35">
        <v>304</v>
      </c>
      <c r="Q35">
        <v>14720</v>
      </c>
      <c r="R35">
        <v>8610</v>
      </c>
      <c r="S35">
        <v>9</v>
      </c>
      <c r="T35">
        <v>33</v>
      </c>
      <c r="U35">
        <v>20</v>
      </c>
      <c r="V35">
        <v>15</v>
      </c>
      <c r="W35">
        <v>22</v>
      </c>
      <c r="X35">
        <v>29</v>
      </c>
      <c r="Y35">
        <v>1</v>
      </c>
      <c r="Z35">
        <v>69</v>
      </c>
      <c r="AA35">
        <v>33</v>
      </c>
      <c r="AB35">
        <v>83</v>
      </c>
      <c r="AC35">
        <v>58</v>
      </c>
      <c r="AD35">
        <v>5</v>
      </c>
      <c r="AE35">
        <v>24</v>
      </c>
      <c r="AF35">
        <v>66</v>
      </c>
      <c r="AG35">
        <v>23</v>
      </c>
      <c r="AH35">
        <v>30</v>
      </c>
      <c r="AI35">
        <v>30</v>
      </c>
      <c r="AJ35">
        <v>20</v>
      </c>
      <c r="AK35">
        <v>7</v>
      </c>
      <c r="AL35">
        <v>30</v>
      </c>
      <c r="AM35">
        <v>23</v>
      </c>
      <c r="AN35">
        <v>40</v>
      </c>
      <c r="AO35">
        <v>3</v>
      </c>
      <c r="AP35">
        <v>2</v>
      </c>
      <c r="AQ35">
        <v>-1</v>
      </c>
      <c r="AR35">
        <v>-1</v>
      </c>
      <c r="AS35">
        <v>1</v>
      </c>
      <c r="AT35">
        <v>98</v>
      </c>
      <c r="AU35">
        <v>-1</v>
      </c>
      <c r="AV35">
        <v>1</v>
      </c>
      <c r="AW35">
        <v>-1</v>
      </c>
      <c r="AX35">
        <v>1</v>
      </c>
      <c r="AY35">
        <v>0</v>
      </c>
      <c r="AZ35">
        <v>28</v>
      </c>
      <c r="BA35">
        <v>62</v>
      </c>
      <c r="BB35">
        <v>73</v>
      </c>
      <c r="BC35">
        <v>108</v>
      </c>
      <c r="BD35">
        <v>33</v>
      </c>
      <c r="BE35">
        <v>35</v>
      </c>
      <c r="BF35">
        <v>31</v>
      </c>
      <c r="BG35">
        <v>43</v>
      </c>
      <c r="BH35">
        <v>17</v>
      </c>
      <c r="BI35">
        <v>3</v>
      </c>
      <c r="BJ35">
        <v>74</v>
      </c>
      <c r="BK35" t="str">
        <f t="shared" si="5"/>
        <v>NA</v>
      </c>
      <c r="BL35" t="str">
        <f t="shared" si="5"/>
        <v>NA</v>
      </c>
      <c r="BM35" t="str">
        <f t="shared" si="5"/>
        <v>NA</v>
      </c>
      <c r="BN35" t="str">
        <f t="shared" si="5"/>
        <v>NA</v>
      </c>
      <c r="BO35" t="str">
        <f t="shared" si="5"/>
        <v>NA</v>
      </c>
      <c r="BP35" t="str">
        <f t="shared" si="3"/>
        <v>IL</v>
      </c>
      <c r="BQ35" t="str">
        <f t="shared" si="6"/>
        <v>NA</v>
      </c>
      <c r="BR35" t="str">
        <f t="shared" si="6"/>
        <v>NA</v>
      </c>
    </row>
    <row r="36" spans="1:70">
      <c r="A36">
        <v>9</v>
      </c>
      <c r="B36" t="str">
        <f t="shared" si="0"/>
        <v>Summary of All HUD Programs</v>
      </c>
      <c r="C36">
        <v>1</v>
      </c>
      <c r="D36" t="str">
        <f t="shared" si="1"/>
        <v>NA</v>
      </c>
      <c r="E36" t="str">
        <f>"061 Greene County"</f>
        <v>061 Greene County</v>
      </c>
      <c r="F36" t="str">
        <f>"17061"</f>
        <v>17061</v>
      </c>
      <c r="G36">
        <v>190</v>
      </c>
      <c r="H36">
        <v>94</v>
      </c>
      <c r="I36">
        <v>180</v>
      </c>
      <c r="J36">
        <v>100</v>
      </c>
      <c r="K36">
        <v>5</v>
      </c>
      <c r="L36">
        <v>22</v>
      </c>
      <c r="M36">
        <v>1.6</v>
      </c>
      <c r="N36">
        <v>286</v>
      </c>
      <c r="O36">
        <v>271</v>
      </c>
      <c r="P36">
        <v>285</v>
      </c>
      <c r="Q36">
        <v>12217</v>
      </c>
      <c r="R36">
        <v>7689</v>
      </c>
      <c r="S36">
        <v>14</v>
      </c>
      <c r="T36">
        <v>35</v>
      </c>
      <c r="U36">
        <v>23</v>
      </c>
      <c r="V36">
        <v>10</v>
      </c>
      <c r="W36">
        <v>18</v>
      </c>
      <c r="X36">
        <v>20</v>
      </c>
      <c r="Y36">
        <v>1</v>
      </c>
      <c r="Z36">
        <v>76</v>
      </c>
      <c r="AA36">
        <v>28</v>
      </c>
      <c r="AB36">
        <v>87</v>
      </c>
      <c r="AC36">
        <v>66</v>
      </c>
      <c r="AD36">
        <v>7</v>
      </c>
      <c r="AE36">
        <v>14</v>
      </c>
      <c r="AF36">
        <v>63</v>
      </c>
      <c r="AG36">
        <v>17</v>
      </c>
      <c r="AH36">
        <v>50</v>
      </c>
      <c r="AI36">
        <v>34</v>
      </c>
      <c r="AJ36">
        <v>28</v>
      </c>
      <c r="AK36">
        <v>6</v>
      </c>
      <c r="AL36">
        <v>29</v>
      </c>
      <c r="AM36">
        <v>21</v>
      </c>
      <c r="AN36">
        <v>44</v>
      </c>
      <c r="AO36">
        <v>6</v>
      </c>
      <c r="AP36">
        <v>1</v>
      </c>
      <c r="AQ36">
        <v>1</v>
      </c>
      <c r="AR36">
        <v>-1</v>
      </c>
      <c r="AS36">
        <v>-1</v>
      </c>
      <c r="AT36">
        <v>99</v>
      </c>
      <c r="AU36">
        <v>-1</v>
      </c>
      <c r="AV36">
        <v>-1</v>
      </c>
      <c r="AW36">
        <v>-1</v>
      </c>
      <c r="AX36">
        <v>0</v>
      </c>
      <c r="AY36">
        <v>0</v>
      </c>
      <c r="AZ36">
        <v>27</v>
      </c>
      <c r="BA36">
        <v>68</v>
      </c>
      <c r="BB36">
        <v>16</v>
      </c>
      <c r="BC36">
        <v>164</v>
      </c>
      <c r="BD36">
        <v>64</v>
      </c>
      <c r="BE36">
        <v>26</v>
      </c>
      <c r="BF36">
        <v>9</v>
      </c>
      <c r="BG36">
        <v>7</v>
      </c>
      <c r="BH36">
        <v>18</v>
      </c>
      <c r="BI36">
        <v>2</v>
      </c>
      <c r="BJ36">
        <v>83</v>
      </c>
      <c r="BK36" t="str">
        <f t="shared" ref="BK36:BO45" si="19">"NA"</f>
        <v>NA</v>
      </c>
      <c r="BL36" t="str">
        <f t="shared" si="19"/>
        <v>NA</v>
      </c>
      <c r="BM36" t="str">
        <f t="shared" si="19"/>
        <v>NA</v>
      </c>
      <c r="BN36" t="str">
        <f t="shared" si="19"/>
        <v>NA</v>
      </c>
      <c r="BO36" t="str">
        <f t="shared" si="19"/>
        <v>NA</v>
      </c>
      <c r="BP36" t="str">
        <f t="shared" si="3"/>
        <v>IL</v>
      </c>
      <c r="BQ36" t="str">
        <f t="shared" si="6"/>
        <v>NA</v>
      </c>
      <c r="BR36" t="str">
        <f t="shared" si="6"/>
        <v>NA</v>
      </c>
    </row>
    <row r="37" spans="1:70">
      <c r="A37">
        <v>9</v>
      </c>
      <c r="B37" t="str">
        <f t="shared" si="0"/>
        <v>Summary of All HUD Programs</v>
      </c>
      <c r="C37">
        <v>1</v>
      </c>
      <c r="D37" t="str">
        <f t="shared" si="1"/>
        <v>NA</v>
      </c>
      <c r="E37" t="str">
        <f>"063 Grundy County"</f>
        <v>063 Grundy County</v>
      </c>
      <c r="F37" t="str">
        <f>"17063"</f>
        <v>17063</v>
      </c>
      <c r="G37">
        <v>341</v>
      </c>
      <c r="H37">
        <v>96</v>
      </c>
      <c r="I37">
        <v>325</v>
      </c>
      <c r="J37">
        <v>99</v>
      </c>
      <c r="K37">
        <v>5</v>
      </c>
      <c r="L37">
        <v>14</v>
      </c>
      <c r="M37">
        <v>1.4</v>
      </c>
      <c r="N37">
        <v>461</v>
      </c>
      <c r="O37">
        <v>368</v>
      </c>
      <c r="P37">
        <v>500</v>
      </c>
      <c r="Q37">
        <v>16370</v>
      </c>
      <c r="R37">
        <v>11541</v>
      </c>
      <c r="S37">
        <v>2</v>
      </c>
      <c r="T37">
        <v>21</v>
      </c>
      <c r="U37">
        <v>26</v>
      </c>
      <c r="V37">
        <v>26</v>
      </c>
      <c r="W37">
        <v>26</v>
      </c>
      <c r="X37">
        <v>18</v>
      </c>
      <c r="Y37">
        <v>0</v>
      </c>
      <c r="Z37">
        <v>80</v>
      </c>
      <c r="AA37">
        <v>27</v>
      </c>
      <c r="AB37">
        <v>93</v>
      </c>
      <c r="AC37">
        <v>65</v>
      </c>
      <c r="AD37">
        <v>3</v>
      </c>
      <c r="AE37">
        <v>14</v>
      </c>
      <c r="AF37">
        <v>77</v>
      </c>
      <c r="AG37">
        <v>15</v>
      </c>
      <c r="AH37">
        <v>56</v>
      </c>
      <c r="AI37">
        <v>18</v>
      </c>
      <c r="AJ37">
        <v>24</v>
      </c>
      <c r="AK37">
        <v>1</v>
      </c>
      <c r="AL37">
        <v>23</v>
      </c>
      <c r="AM37">
        <v>17</v>
      </c>
      <c r="AN37">
        <v>59</v>
      </c>
      <c r="AO37">
        <v>10</v>
      </c>
      <c r="AP37">
        <v>6</v>
      </c>
      <c r="AQ37">
        <v>3</v>
      </c>
      <c r="AR37">
        <v>0</v>
      </c>
      <c r="AS37">
        <v>-1</v>
      </c>
      <c r="AT37">
        <v>94</v>
      </c>
      <c r="AU37">
        <v>-1</v>
      </c>
      <c r="AV37">
        <v>2</v>
      </c>
      <c r="AW37">
        <v>-1</v>
      </c>
      <c r="AX37">
        <v>2</v>
      </c>
      <c r="AY37">
        <v>0</v>
      </c>
      <c r="AZ37">
        <v>5</v>
      </c>
      <c r="BA37">
        <v>71</v>
      </c>
      <c r="BB37">
        <v>98</v>
      </c>
      <c r="BC37">
        <v>85</v>
      </c>
      <c r="BD37">
        <v>74</v>
      </c>
      <c r="BE37">
        <v>19</v>
      </c>
      <c r="BF37">
        <v>6</v>
      </c>
      <c r="BG37">
        <v>5</v>
      </c>
      <c r="BH37">
        <v>10</v>
      </c>
      <c r="BI37">
        <v>10</v>
      </c>
      <c r="BJ37">
        <v>60</v>
      </c>
      <c r="BK37" t="str">
        <f t="shared" si="19"/>
        <v>NA</v>
      </c>
      <c r="BL37" t="str">
        <f t="shared" si="19"/>
        <v>NA</v>
      </c>
      <c r="BM37" t="str">
        <f t="shared" si="19"/>
        <v>NA</v>
      </c>
      <c r="BN37" t="str">
        <f t="shared" si="19"/>
        <v>NA</v>
      </c>
      <c r="BO37" t="str">
        <f t="shared" si="19"/>
        <v>NA</v>
      </c>
      <c r="BP37" t="str">
        <f t="shared" si="3"/>
        <v>IL</v>
      </c>
      <c r="BQ37" t="str">
        <f t="shared" si="6"/>
        <v>NA</v>
      </c>
      <c r="BR37" t="str">
        <f t="shared" si="6"/>
        <v>NA</v>
      </c>
    </row>
    <row r="38" spans="1:70">
      <c r="A38">
        <v>9</v>
      </c>
      <c r="B38" t="str">
        <f t="shared" si="7"/>
        <v>Summary of All HUD Programs</v>
      </c>
      <c r="C38">
        <v>1</v>
      </c>
      <c r="D38" t="str">
        <f t="shared" si="8"/>
        <v>NA</v>
      </c>
      <c r="E38" t="str">
        <f>"065 Hamilton County"</f>
        <v>065 Hamilton County</v>
      </c>
      <c r="F38" t="str">
        <f>"17065"</f>
        <v>17065</v>
      </c>
      <c r="G38">
        <v>79</v>
      </c>
      <c r="H38">
        <v>91</v>
      </c>
      <c r="I38">
        <v>71</v>
      </c>
      <c r="J38">
        <v>99</v>
      </c>
      <c r="K38">
        <v>9</v>
      </c>
      <c r="L38">
        <v>20</v>
      </c>
      <c r="M38">
        <v>1.3</v>
      </c>
      <c r="N38">
        <v>94</v>
      </c>
      <c r="O38">
        <v>300</v>
      </c>
      <c r="P38">
        <v>258</v>
      </c>
      <c r="Q38">
        <v>16852</v>
      </c>
      <c r="R38">
        <v>12728</v>
      </c>
      <c r="S38">
        <v>8</v>
      </c>
      <c r="T38">
        <v>18</v>
      </c>
      <c r="U38">
        <v>30</v>
      </c>
      <c r="V38">
        <v>15</v>
      </c>
      <c r="W38">
        <v>28</v>
      </c>
      <c r="X38">
        <v>21</v>
      </c>
      <c r="Y38">
        <v>-1</v>
      </c>
      <c r="Z38">
        <v>79</v>
      </c>
      <c r="AA38">
        <v>39</v>
      </c>
      <c r="AB38">
        <v>76</v>
      </c>
      <c r="AC38">
        <v>45</v>
      </c>
      <c r="AD38">
        <v>-1</v>
      </c>
      <c r="AE38">
        <v>8</v>
      </c>
      <c r="AF38">
        <v>69</v>
      </c>
      <c r="AG38">
        <v>7</v>
      </c>
      <c r="AH38">
        <v>35</v>
      </c>
      <c r="AI38">
        <v>27</v>
      </c>
      <c r="AJ38">
        <v>23</v>
      </c>
      <c r="AK38">
        <v>6</v>
      </c>
      <c r="AL38">
        <v>13</v>
      </c>
      <c r="AM38">
        <v>18</v>
      </c>
      <c r="AN38">
        <v>63</v>
      </c>
      <c r="AO38">
        <v>11</v>
      </c>
      <c r="AP38">
        <v>0</v>
      </c>
      <c r="AQ38">
        <v>-1</v>
      </c>
      <c r="AR38">
        <v>-1</v>
      </c>
      <c r="AS38">
        <v>-1</v>
      </c>
      <c r="AT38">
        <v>100</v>
      </c>
      <c r="AU38">
        <v>-1</v>
      </c>
      <c r="AV38">
        <v>-1</v>
      </c>
      <c r="AW38">
        <v>-1</v>
      </c>
      <c r="AX38">
        <v>0</v>
      </c>
      <c r="AY38">
        <v>0</v>
      </c>
      <c r="AZ38">
        <v>6</v>
      </c>
      <c r="BA38">
        <v>64</v>
      </c>
      <c r="BB38">
        <v>73</v>
      </c>
      <c r="BC38">
        <v>16</v>
      </c>
      <c r="BD38">
        <v>55</v>
      </c>
      <c r="BE38">
        <v>39</v>
      </c>
      <c r="BF38">
        <v>6</v>
      </c>
      <c r="BG38">
        <v>28</v>
      </c>
      <c r="BH38">
        <v>18</v>
      </c>
      <c r="BI38">
        <v>3</v>
      </c>
      <c r="BJ38">
        <v>76</v>
      </c>
      <c r="BK38" t="str">
        <f t="shared" si="19"/>
        <v>NA</v>
      </c>
      <c r="BL38" t="str">
        <f t="shared" si="19"/>
        <v>NA</v>
      </c>
      <c r="BM38" t="str">
        <f t="shared" si="19"/>
        <v>NA</v>
      </c>
      <c r="BN38" t="str">
        <f t="shared" si="19"/>
        <v>NA</v>
      </c>
      <c r="BO38" t="str">
        <f t="shared" si="19"/>
        <v>NA</v>
      </c>
      <c r="BP38" t="str">
        <f t="shared" si="10"/>
        <v>IL</v>
      </c>
      <c r="BQ38" t="str">
        <f t="shared" si="6"/>
        <v>NA</v>
      </c>
      <c r="BR38" t="str">
        <f t="shared" si="6"/>
        <v>NA</v>
      </c>
    </row>
    <row r="39" spans="1:70">
      <c r="A39">
        <v>9</v>
      </c>
      <c r="B39" t="str">
        <f t="shared" si="7"/>
        <v>Summary of All HUD Programs</v>
      </c>
      <c r="C39">
        <v>1</v>
      </c>
      <c r="D39" t="str">
        <f t="shared" si="8"/>
        <v>NA</v>
      </c>
      <c r="E39" t="str">
        <f>"067 Hancock County"</f>
        <v>067 Hancock County</v>
      </c>
      <c r="F39" t="str">
        <f>"17067"</f>
        <v>17067</v>
      </c>
      <c r="G39">
        <v>90</v>
      </c>
      <c r="H39">
        <v>87</v>
      </c>
      <c r="I39">
        <v>83</v>
      </c>
      <c r="J39">
        <v>100</v>
      </c>
      <c r="K39">
        <v>6</v>
      </c>
      <c r="L39">
        <v>28</v>
      </c>
      <c r="M39">
        <v>1.4</v>
      </c>
      <c r="N39">
        <v>118</v>
      </c>
      <c r="O39">
        <v>255</v>
      </c>
      <c r="P39">
        <v>348</v>
      </c>
      <c r="Q39">
        <v>12345</v>
      </c>
      <c r="R39">
        <v>8683</v>
      </c>
      <c r="S39">
        <v>9</v>
      </c>
      <c r="T39">
        <v>29</v>
      </c>
      <c r="U39">
        <v>33</v>
      </c>
      <c r="V39">
        <v>17</v>
      </c>
      <c r="W39">
        <v>12</v>
      </c>
      <c r="X39">
        <v>20</v>
      </c>
      <c r="Y39">
        <v>2</v>
      </c>
      <c r="Z39">
        <v>71</v>
      </c>
      <c r="AA39">
        <v>28</v>
      </c>
      <c r="AB39">
        <v>92</v>
      </c>
      <c r="AC39">
        <v>64</v>
      </c>
      <c r="AD39">
        <v>1</v>
      </c>
      <c r="AE39">
        <v>14</v>
      </c>
      <c r="AF39">
        <v>61</v>
      </c>
      <c r="AG39">
        <v>16</v>
      </c>
      <c r="AH39">
        <v>56</v>
      </c>
      <c r="AI39">
        <v>26</v>
      </c>
      <c r="AJ39">
        <v>32</v>
      </c>
      <c r="AK39">
        <v>5</v>
      </c>
      <c r="AL39">
        <v>36</v>
      </c>
      <c r="AM39">
        <v>22</v>
      </c>
      <c r="AN39">
        <v>37</v>
      </c>
      <c r="AO39">
        <v>6</v>
      </c>
      <c r="AP39">
        <v>5</v>
      </c>
      <c r="AQ39">
        <v>4</v>
      </c>
      <c r="AR39">
        <v>-1</v>
      </c>
      <c r="AS39">
        <v>-1</v>
      </c>
      <c r="AT39">
        <v>95</v>
      </c>
      <c r="AU39">
        <v>-1</v>
      </c>
      <c r="AV39">
        <v>1</v>
      </c>
      <c r="AW39">
        <v>-1</v>
      </c>
      <c r="AX39">
        <v>1</v>
      </c>
      <c r="AY39">
        <v>0</v>
      </c>
      <c r="AZ39">
        <v>5</v>
      </c>
      <c r="BA39">
        <v>53</v>
      </c>
      <c r="BB39">
        <v>81</v>
      </c>
      <c r="BC39">
        <v>63</v>
      </c>
      <c r="BD39">
        <v>84</v>
      </c>
      <c r="BE39">
        <v>11</v>
      </c>
      <c r="BF39">
        <v>5</v>
      </c>
      <c r="BG39">
        <v>2</v>
      </c>
      <c r="BH39">
        <v>12</v>
      </c>
      <c r="BI39">
        <v>3</v>
      </c>
      <c r="BJ39">
        <v>82</v>
      </c>
      <c r="BK39" t="str">
        <f t="shared" si="19"/>
        <v>NA</v>
      </c>
      <c r="BL39" t="str">
        <f t="shared" si="19"/>
        <v>NA</v>
      </c>
      <c r="BM39" t="str">
        <f t="shared" si="19"/>
        <v>NA</v>
      </c>
      <c r="BN39" t="str">
        <f t="shared" si="19"/>
        <v>NA</v>
      </c>
      <c r="BO39" t="str">
        <f t="shared" si="19"/>
        <v>NA</v>
      </c>
      <c r="BP39" t="str">
        <f t="shared" si="10"/>
        <v>IL</v>
      </c>
      <c r="BQ39" t="str">
        <f t="shared" si="6"/>
        <v>NA</v>
      </c>
      <c r="BR39" t="str">
        <f t="shared" si="6"/>
        <v>NA</v>
      </c>
    </row>
    <row r="40" spans="1:70">
      <c r="A40">
        <v>9</v>
      </c>
      <c r="B40" t="str">
        <f t="shared" si="7"/>
        <v>Summary of All HUD Programs</v>
      </c>
      <c r="C40">
        <v>1</v>
      </c>
      <c r="D40" t="str">
        <f t="shared" si="8"/>
        <v>NA</v>
      </c>
      <c r="E40" t="str">
        <f>"069 Hardin County"</f>
        <v>069 Hardin County</v>
      </c>
      <c r="F40" t="str">
        <f>"17069"</f>
        <v>17069</v>
      </c>
      <c r="G40">
        <v>147</v>
      </c>
      <c r="H40">
        <v>96</v>
      </c>
      <c r="I40">
        <v>141</v>
      </c>
      <c r="J40">
        <v>100</v>
      </c>
      <c r="K40">
        <v>6</v>
      </c>
      <c r="L40">
        <v>22</v>
      </c>
      <c r="M40">
        <v>1.6</v>
      </c>
      <c r="N40">
        <v>222</v>
      </c>
      <c r="O40">
        <v>224</v>
      </c>
      <c r="P40">
        <v>479</v>
      </c>
      <c r="Q40">
        <v>13202</v>
      </c>
      <c r="R40">
        <v>8385</v>
      </c>
      <c r="S40">
        <v>18</v>
      </c>
      <c r="T40">
        <v>27</v>
      </c>
      <c r="U40">
        <v>22</v>
      </c>
      <c r="V40">
        <v>15</v>
      </c>
      <c r="W40">
        <v>18</v>
      </c>
      <c r="X40">
        <v>23</v>
      </c>
      <c r="Y40">
        <v>2</v>
      </c>
      <c r="Z40">
        <v>74</v>
      </c>
      <c r="AA40">
        <v>30</v>
      </c>
      <c r="AB40">
        <v>84</v>
      </c>
      <c r="AC40">
        <v>61</v>
      </c>
      <c r="AD40">
        <v>8</v>
      </c>
      <c r="AE40">
        <v>15</v>
      </c>
      <c r="AF40">
        <v>67</v>
      </c>
      <c r="AG40">
        <v>18</v>
      </c>
      <c r="AH40">
        <v>40</v>
      </c>
      <c r="AI40">
        <v>50</v>
      </c>
      <c r="AJ40">
        <v>28</v>
      </c>
      <c r="AK40">
        <v>11</v>
      </c>
      <c r="AL40">
        <v>30</v>
      </c>
      <c r="AM40">
        <v>21</v>
      </c>
      <c r="AN40">
        <v>38</v>
      </c>
      <c r="AO40">
        <v>4</v>
      </c>
      <c r="AP40">
        <v>1</v>
      </c>
      <c r="AQ40">
        <v>-1</v>
      </c>
      <c r="AR40">
        <v>-1</v>
      </c>
      <c r="AS40">
        <v>1</v>
      </c>
      <c r="AT40">
        <v>99</v>
      </c>
      <c r="AU40">
        <v>-1</v>
      </c>
      <c r="AV40">
        <v>-1</v>
      </c>
      <c r="AW40">
        <v>-1</v>
      </c>
      <c r="AX40">
        <v>0</v>
      </c>
      <c r="AY40">
        <v>0</v>
      </c>
      <c r="AZ40">
        <v>2</v>
      </c>
      <c r="BA40">
        <v>88</v>
      </c>
      <c r="BB40">
        <v>69</v>
      </c>
      <c r="BC40">
        <v>46</v>
      </c>
      <c r="BD40">
        <v>43</v>
      </c>
      <c r="BE40">
        <v>42</v>
      </c>
      <c r="BF40">
        <v>16</v>
      </c>
      <c r="BG40">
        <v>33</v>
      </c>
      <c r="BH40">
        <v>25</v>
      </c>
      <c r="BI40">
        <v>3</v>
      </c>
      <c r="BJ40">
        <v>72</v>
      </c>
      <c r="BK40" t="str">
        <f t="shared" si="19"/>
        <v>NA</v>
      </c>
      <c r="BL40" t="str">
        <f t="shared" si="19"/>
        <v>NA</v>
      </c>
      <c r="BM40" t="str">
        <f t="shared" si="19"/>
        <v>NA</v>
      </c>
      <c r="BN40" t="str">
        <f t="shared" si="19"/>
        <v>NA</v>
      </c>
      <c r="BO40" t="str">
        <f t="shared" si="19"/>
        <v>NA</v>
      </c>
      <c r="BP40" t="str">
        <f t="shared" si="10"/>
        <v>IL</v>
      </c>
      <c r="BQ40" t="str">
        <f t="shared" si="6"/>
        <v>NA</v>
      </c>
      <c r="BR40" t="str">
        <f t="shared" si="6"/>
        <v>NA</v>
      </c>
    </row>
    <row r="41" spans="1:70">
      <c r="A41">
        <v>9</v>
      </c>
      <c r="B41" t="str">
        <f t="shared" si="7"/>
        <v>Summary of All HUD Programs</v>
      </c>
      <c r="C41">
        <v>1</v>
      </c>
      <c r="D41" t="str">
        <f t="shared" si="8"/>
        <v>NA</v>
      </c>
      <c r="E41" t="str">
        <f>"071 Henderson County"</f>
        <v>071 Henderson County</v>
      </c>
      <c r="F41" t="str">
        <f>"17071"</f>
        <v>17071</v>
      </c>
      <c r="G41">
        <v>42</v>
      </c>
      <c r="H41">
        <v>84</v>
      </c>
      <c r="I41">
        <v>37</v>
      </c>
      <c r="J41">
        <v>100</v>
      </c>
      <c r="K41">
        <v>6</v>
      </c>
      <c r="L41">
        <v>11</v>
      </c>
      <c r="M41">
        <v>1.5</v>
      </c>
      <c r="N41">
        <v>54</v>
      </c>
      <c r="O41">
        <v>251</v>
      </c>
      <c r="P41">
        <v>427</v>
      </c>
      <c r="Q41">
        <v>11463</v>
      </c>
      <c r="R41">
        <v>7854</v>
      </c>
      <c r="S41">
        <v>17</v>
      </c>
      <c r="T41">
        <v>25</v>
      </c>
      <c r="U41">
        <v>36</v>
      </c>
      <c r="V41">
        <v>8</v>
      </c>
      <c r="W41">
        <v>14</v>
      </c>
      <c r="X41">
        <v>5</v>
      </c>
      <c r="Y41">
        <v>-1</v>
      </c>
      <c r="Z41">
        <v>89</v>
      </c>
      <c r="AA41">
        <v>26</v>
      </c>
      <c r="AB41">
        <v>86</v>
      </c>
      <c r="AC41">
        <v>68</v>
      </c>
      <c r="AD41">
        <v>3</v>
      </c>
      <c r="AE41">
        <v>14</v>
      </c>
      <c r="AF41">
        <v>70</v>
      </c>
      <c r="AG41">
        <v>16</v>
      </c>
      <c r="AH41">
        <v>61</v>
      </c>
      <c r="AI41">
        <v>11</v>
      </c>
      <c r="AJ41">
        <v>26</v>
      </c>
      <c r="AK41">
        <v>-1</v>
      </c>
      <c r="AL41">
        <v>22</v>
      </c>
      <c r="AM41">
        <v>27</v>
      </c>
      <c r="AN41">
        <v>51</v>
      </c>
      <c r="AO41">
        <v>8</v>
      </c>
      <c r="AP41">
        <v>3</v>
      </c>
      <c r="AQ41">
        <v>-1</v>
      </c>
      <c r="AR41">
        <v>-1</v>
      </c>
      <c r="AS41">
        <v>3</v>
      </c>
      <c r="AT41">
        <v>97</v>
      </c>
      <c r="AU41">
        <v>-1</v>
      </c>
      <c r="AV41">
        <v>-1</v>
      </c>
      <c r="AW41">
        <v>-1</v>
      </c>
      <c r="AX41">
        <v>0</v>
      </c>
      <c r="AY41">
        <v>0</v>
      </c>
      <c r="AZ41">
        <v>-1</v>
      </c>
      <c r="BA41">
        <v>74</v>
      </c>
      <c r="BB41">
        <v>24</v>
      </c>
      <c r="BC41">
        <v>156</v>
      </c>
      <c r="BD41">
        <v>68</v>
      </c>
      <c r="BE41">
        <v>24</v>
      </c>
      <c r="BF41">
        <v>8</v>
      </c>
      <c r="BG41">
        <v>8</v>
      </c>
      <c r="BH41">
        <v>12</v>
      </c>
      <c r="BI41">
        <v>3</v>
      </c>
      <c r="BJ41">
        <v>79</v>
      </c>
      <c r="BK41" t="str">
        <f t="shared" si="19"/>
        <v>NA</v>
      </c>
      <c r="BL41" t="str">
        <f t="shared" si="19"/>
        <v>NA</v>
      </c>
      <c r="BM41" t="str">
        <f t="shared" si="19"/>
        <v>NA</v>
      </c>
      <c r="BN41" t="str">
        <f t="shared" si="19"/>
        <v>NA</v>
      </c>
      <c r="BO41" t="str">
        <f t="shared" si="19"/>
        <v>NA</v>
      </c>
      <c r="BP41" t="str">
        <f t="shared" si="10"/>
        <v>IL</v>
      </c>
      <c r="BQ41" t="str">
        <f t="shared" si="6"/>
        <v>NA</v>
      </c>
      <c r="BR41" t="str">
        <f t="shared" si="6"/>
        <v>NA</v>
      </c>
    </row>
    <row r="42" spans="1:70">
      <c r="A42">
        <v>9</v>
      </c>
      <c r="B42" t="str">
        <f t="shared" si="7"/>
        <v>Summary of All HUD Programs</v>
      </c>
      <c r="C42">
        <v>1</v>
      </c>
      <c r="D42" t="str">
        <f t="shared" si="8"/>
        <v>NA</v>
      </c>
      <c r="E42" t="str">
        <f>"073 Henry County"</f>
        <v>073 Henry County</v>
      </c>
      <c r="F42" t="str">
        <f>"17073"</f>
        <v>17073</v>
      </c>
      <c r="G42">
        <v>688</v>
      </c>
      <c r="H42">
        <v>93</v>
      </c>
      <c r="I42">
        <v>638</v>
      </c>
      <c r="J42">
        <v>100</v>
      </c>
      <c r="K42">
        <v>5</v>
      </c>
      <c r="L42">
        <v>22</v>
      </c>
      <c r="M42">
        <v>1.8</v>
      </c>
      <c r="N42">
        <v>1153</v>
      </c>
      <c r="O42">
        <v>225</v>
      </c>
      <c r="P42">
        <v>399</v>
      </c>
      <c r="Q42">
        <v>10559</v>
      </c>
      <c r="R42">
        <v>5843</v>
      </c>
      <c r="S42">
        <v>18</v>
      </c>
      <c r="T42">
        <v>33</v>
      </c>
      <c r="U42">
        <v>24</v>
      </c>
      <c r="V42">
        <v>15</v>
      </c>
      <c r="W42">
        <v>10</v>
      </c>
      <c r="X42">
        <v>18</v>
      </c>
      <c r="Y42">
        <v>5</v>
      </c>
      <c r="Z42">
        <v>68</v>
      </c>
      <c r="AA42">
        <v>20</v>
      </c>
      <c r="AB42">
        <v>97</v>
      </c>
      <c r="AC42">
        <v>78</v>
      </c>
      <c r="AD42">
        <v>1</v>
      </c>
      <c r="AE42">
        <v>29</v>
      </c>
      <c r="AF42">
        <v>69</v>
      </c>
      <c r="AG42">
        <v>28</v>
      </c>
      <c r="AH42">
        <v>37</v>
      </c>
      <c r="AI42">
        <v>31</v>
      </c>
      <c r="AJ42">
        <v>22</v>
      </c>
      <c r="AK42">
        <v>8</v>
      </c>
      <c r="AL42">
        <v>42</v>
      </c>
      <c r="AM42">
        <v>21</v>
      </c>
      <c r="AN42">
        <v>29</v>
      </c>
      <c r="AO42">
        <v>4</v>
      </c>
      <c r="AP42">
        <v>24</v>
      </c>
      <c r="AQ42">
        <v>20</v>
      </c>
      <c r="AR42">
        <v>0</v>
      </c>
      <c r="AS42">
        <v>0</v>
      </c>
      <c r="AT42">
        <v>76</v>
      </c>
      <c r="AU42">
        <v>-1</v>
      </c>
      <c r="AV42">
        <v>3</v>
      </c>
      <c r="AW42">
        <v>0</v>
      </c>
      <c r="AX42">
        <v>3</v>
      </c>
      <c r="AY42">
        <v>2</v>
      </c>
      <c r="AZ42">
        <v>5</v>
      </c>
      <c r="BA42">
        <v>66</v>
      </c>
      <c r="BB42">
        <v>61</v>
      </c>
      <c r="BC42">
        <v>91</v>
      </c>
      <c r="BD42">
        <v>61</v>
      </c>
      <c r="BE42">
        <v>24</v>
      </c>
      <c r="BF42">
        <v>15</v>
      </c>
      <c r="BG42">
        <v>6</v>
      </c>
      <c r="BH42">
        <v>19</v>
      </c>
      <c r="BI42">
        <v>16</v>
      </c>
      <c r="BJ42">
        <v>77</v>
      </c>
      <c r="BK42" t="str">
        <f t="shared" si="19"/>
        <v>NA</v>
      </c>
      <c r="BL42" t="str">
        <f t="shared" si="19"/>
        <v>NA</v>
      </c>
      <c r="BM42" t="str">
        <f t="shared" si="19"/>
        <v>NA</v>
      </c>
      <c r="BN42" t="str">
        <f t="shared" si="19"/>
        <v>NA</v>
      </c>
      <c r="BO42" t="str">
        <f t="shared" si="19"/>
        <v>NA</v>
      </c>
      <c r="BP42" t="str">
        <f t="shared" si="10"/>
        <v>IL</v>
      </c>
      <c r="BQ42" t="str">
        <f t="shared" si="6"/>
        <v>NA</v>
      </c>
      <c r="BR42" t="str">
        <f t="shared" si="6"/>
        <v>NA</v>
      </c>
    </row>
    <row r="43" spans="1:70">
      <c r="A43">
        <v>9</v>
      </c>
      <c r="B43" t="str">
        <f t="shared" si="7"/>
        <v>Summary of All HUD Programs</v>
      </c>
      <c r="C43">
        <v>1</v>
      </c>
      <c r="D43" t="str">
        <f t="shared" si="8"/>
        <v>NA</v>
      </c>
      <c r="E43" t="str">
        <f>"075 Iroquois County"</f>
        <v>075 Iroquois County</v>
      </c>
      <c r="F43" t="str">
        <f>"17075"</f>
        <v>17075</v>
      </c>
      <c r="G43">
        <v>42</v>
      </c>
      <c r="H43">
        <v>87</v>
      </c>
      <c r="I43">
        <v>39</v>
      </c>
      <c r="J43">
        <v>100</v>
      </c>
      <c r="K43">
        <v>5</v>
      </c>
      <c r="L43">
        <v>21</v>
      </c>
      <c r="M43">
        <v>1.1000000000000001</v>
      </c>
      <c r="N43">
        <v>42</v>
      </c>
      <c r="O43">
        <v>292</v>
      </c>
      <c r="P43">
        <v>364</v>
      </c>
      <c r="Q43">
        <v>13298</v>
      </c>
      <c r="R43">
        <v>12348</v>
      </c>
      <c r="S43">
        <v>-1</v>
      </c>
      <c r="T43">
        <v>23</v>
      </c>
      <c r="U43">
        <v>51</v>
      </c>
      <c r="V43">
        <v>18</v>
      </c>
      <c r="W43">
        <v>8</v>
      </c>
      <c r="X43">
        <v>-1</v>
      </c>
      <c r="Y43">
        <v>-1</v>
      </c>
      <c r="Z43">
        <v>100</v>
      </c>
      <c r="AA43">
        <v>31</v>
      </c>
      <c r="AB43">
        <v>92</v>
      </c>
      <c r="AC43">
        <v>56</v>
      </c>
      <c r="AD43">
        <v>-1</v>
      </c>
      <c r="AE43">
        <v>-1</v>
      </c>
      <c r="AF43">
        <v>85</v>
      </c>
      <c r="AG43">
        <v>-1</v>
      </c>
      <c r="AH43">
        <v>100</v>
      </c>
      <c r="AI43">
        <v>14</v>
      </c>
      <c r="AJ43">
        <v>36</v>
      </c>
      <c r="AK43">
        <v>-1</v>
      </c>
      <c r="AL43">
        <v>10</v>
      </c>
      <c r="AM43">
        <v>15</v>
      </c>
      <c r="AN43">
        <v>74</v>
      </c>
      <c r="AO43">
        <v>18</v>
      </c>
      <c r="AP43">
        <v>3</v>
      </c>
      <c r="AQ43">
        <v>3</v>
      </c>
      <c r="AR43">
        <v>-1</v>
      </c>
      <c r="AS43">
        <v>-1</v>
      </c>
      <c r="AT43">
        <v>97</v>
      </c>
      <c r="AU43">
        <v>-1</v>
      </c>
      <c r="AV43">
        <v>-1</v>
      </c>
      <c r="AW43">
        <v>-1</v>
      </c>
      <c r="AX43">
        <v>0</v>
      </c>
      <c r="AY43">
        <v>0</v>
      </c>
      <c r="AZ43">
        <v>-1</v>
      </c>
      <c r="BA43">
        <v>62</v>
      </c>
      <c r="BB43">
        <v>100</v>
      </c>
      <c r="BC43">
        <v>76</v>
      </c>
      <c r="BD43">
        <v>85</v>
      </c>
      <c r="BE43">
        <v>15</v>
      </c>
      <c r="BF43">
        <v>-1</v>
      </c>
      <c r="BG43">
        <v>10</v>
      </c>
      <c r="BH43">
        <v>20</v>
      </c>
      <c r="BI43">
        <v>6</v>
      </c>
      <c r="BJ43">
        <v>72</v>
      </c>
      <c r="BK43" t="str">
        <f t="shared" si="19"/>
        <v>NA</v>
      </c>
      <c r="BL43" t="str">
        <f t="shared" si="19"/>
        <v>NA</v>
      </c>
      <c r="BM43" t="str">
        <f t="shared" si="19"/>
        <v>NA</v>
      </c>
      <c r="BN43" t="str">
        <f t="shared" si="19"/>
        <v>NA</v>
      </c>
      <c r="BO43" t="str">
        <f t="shared" si="19"/>
        <v>NA</v>
      </c>
      <c r="BP43" t="str">
        <f t="shared" si="10"/>
        <v>IL</v>
      </c>
      <c r="BQ43" t="str">
        <f t="shared" si="6"/>
        <v>NA</v>
      </c>
      <c r="BR43" t="str">
        <f t="shared" si="6"/>
        <v>NA</v>
      </c>
    </row>
    <row r="44" spans="1:70">
      <c r="A44">
        <v>9</v>
      </c>
      <c r="B44" t="str">
        <f t="shared" si="7"/>
        <v>Summary of All HUD Programs</v>
      </c>
      <c r="C44">
        <v>1</v>
      </c>
      <c r="D44" t="str">
        <f t="shared" si="8"/>
        <v>NA</v>
      </c>
      <c r="E44" t="str">
        <f>"077 Jackson County"</f>
        <v>077 Jackson County</v>
      </c>
      <c r="F44" t="str">
        <f>"17077"</f>
        <v>17077</v>
      </c>
      <c r="G44">
        <v>1822</v>
      </c>
      <c r="H44">
        <v>82</v>
      </c>
      <c r="I44">
        <v>1460</v>
      </c>
      <c r="J44">
        <v>98</v>
      </c>
      <c r="K44">
        <v>5</v>
      </c>
      <c r="L44">
        <v>24</v>
      </c>
      <c r="M44">
        <v>1.9</v>
      </c>
      <c r="N44">
        <v>2737</v>
      </c>
      <c r="O44">
        <v>239</v>
      </c>
      <c r="P44">
        <v>462</v>
      </c>
      <c r="Q44">
        <v>10659</v>
      </c>
      <c r="R44">
        <v>5686</v>
      </c>
      <c r="S44">
        <v>20</v>
      </c>
      <c r="T44">
        <v>37</v>
      </c>
      <c r="U44">
        <v>22</v>
      </c>
      <c r="V44">
        <v>10</v>
      </c>
      <c r="W44">
        <v>11</v>
      </c>
      <c r="X44">
        <v>28</v>
      </c>
      <c r="Y44">
        <v>6</v>
      </c>
      <c r="Z44">
        <v>63</v>
      </c>
      <c r="AA44">
        <v>23</v>
      </c>
      <c r="AB44">
        <v>94</v>
      </c>
      <c r="AC44">
        <v>75</v>
      </c>
      <c r="AD44">
        <v>3</v>
      </c>
      <c r="AE44">
        <v>31</v>
      </c>
      <c r="AF44">
        <v>68</v>
      </c>
      <c r="AG44">
        <v>31</v>
      </c>
      <c r="AH44">
        <v>42</v>
      </c>
      <c r="AI44">
        <v>45</v>
      </c>
      <c r="AJ44">
        <v>25</v>
      </c>
      <c r="AK44">
        <v>10</v>
      </c>
      <c r="AL44">
        <v>46</v>
      </c>
      <c r="AM44">
        <v>24</v>
      </c>
      <c r="AN44">
        <v>19</v>
      </c>
      <c r="AO44">
        <v>1</v>
      </c>
      <c r="AP44">
        <v>60</v>
      </c>
      <c r="AQ44">
        <v>56</v>
      </c>
      <c r="AR44">
        <v>1</v>
      </c>
      <c r="AS44">
        <v>0</v>
      </c>
      <c r="AT44">
        <v>40</v>
      </c>
      <c r="AU44">
        <v>1</v>
      </c>
      <c r="AV44">
        <v>1</v>
      </c>
      <c r="AW44">
        <v>0</v>
      </c>
      <c r="AX44">
        <v>3</v>
      </c>
      <c r="AY44">
        <v>1</v>
      </c>
      <c r="AZ44">
        <v>13</v>
      </c>
      <c r="BA44">
        <v>74</v>
      </c>
      <c r="BB44">
        <v>67</v>
      </c>
      <c r="BC44">
        <v>73</v>
      </c>
      <c r="BD44">
        <v>50</v>
      </c>
      <c r="BE44">
        <v>26</v>
      </c>
      <c r="BF44">
        <v>24</v>
      </c>
      <c r="BG44">
        <v>14</v>
      </c>
      <c r="BH44">
        <v>48</v>
      </c>
      <c r="BI44">
        <v>33</v>
      </c>
      <c r="BJ44">
        <v>43</v>
      </c>
      <c r="BK44" t="str">
        <f t="shared" si="19"/>
        <v>NA</v>
      </c>
      <c r="BL44" t="str">
        <f t="shared" si="19"/>
        <v>NA</v>
      </c>
      <c r="BM44" t="str">
        <f t="shared" si="19"/>
        <v>NA</v>
      </c>
      <c r="BN44" t="str">
        <f t="shared" si="19"/>
        <v>NA</v>
      </c>
      <c r="BO44" t="str">
        <f t="shared" si="19"/>
        <v>NA</v>
      </c>
      <c r="BP44" t="str">
        <f t="shared" si="10"/>
        <v>IL</v>
      </c>
      <c r="BQ44" t="str">
        <f t="shared" si="6"/>
        <v>NA</v>
      </c>
      <c r="BR44" t="str">
        <f t="shared" si="6"/>
        <v>NA</v>
      </c>
    </row>
    <row r="45" spans="1:70">
      <c r="A45">
        <v>9</v>
      </c>
      <c r="B45" t="str">
        <f t="shared" si="7"/>
        <v>Summary of All HUD Programs</v>
      </c>
      <c r="C45">
        <v>1</v>
      </c>
      <c r="D45" t="str">
        <f t="shared" si="8"/>
        <v>NA</v>
      </c>
      <c r="E45" t="str">
        <f>"079 Jasper County"</f>
        <v>079 Jasper County</v>
      </c>
      <c r="F45" t="str">
        <f>"17079"</f>
        <v>17079</v>
      </c>
      <c r="G45">
        <v>41</v>
      </c>
      <c r="H45">
        <v>89</v>
      </c>
      <c r="I45">
        <v>38</v>
      </c>
      <c r="J45">
        <v>100</v>
      </c>
      <c r="K45">
        <v>7</v>
      </c>
      <c r="L45">
        <v>18</v>
      </c>
      <c r="M45">
        <v>1.1000000000000001</v>
      </c>
      <c r="N45">
        <v>42</v>
      </c>
      <c r="O45">
        <v>254</v>
      </c>
      <c r="P45">
        <v>352</v>
      </c>
      <c r="Q45">
        <v>11037</v>
      </c>
      <c r="R45">
        <v>9986</v>
      </c>
      <c r="S45">
        <v>3</v>
      </c>
      <c r="T45">
        <v>58</v>
      </c>
      <c r="U45">
        <v>26</v>
      </c>
      <c r="V45">
        <v>13</v>
      </c>
      <c r="W45">
        <v>-1</v>
      </c>
      <c r="X45">
        <v>-1</v>
      </c>
      <c r="Y45">
        <v>-1</v>
      </c>
      <c r="Z45">
        <v>100</v>
      </c>
      <c r="AA45">
        <v>25</v>
      </c>
      <c r="AB45">
        <v>100</v>
      </c>
      <c r="AC45">
        <v>68</v>
      </c>
      <c r="AD45">
        <v>-1</v>
      </c>
      <c r="AE45">
        <v>5</v>
      </c>
      <c r="AF45">
        <v>66</v>
      </c>
      <c r="AG45">
        <v>5</v>
      </c>
      <c r="AH45">
        <v>94</v>
      </c>
      <c r="AI45">
        <v>25</v>
      </c>
      <c r="AJ45">
        <v>55</v>
      </c>
      <c r="AK45">
        <v>-1</v>
      </c>
      <c r="AL45">
        <v>16</v>
      </c>
      <c r="AM45">
        <v>32</v>
      </c>
      <c r="AN45">
        <v>53</v>
      </c>
      <c r="AO45">
        <v>8</v>
      </c>
      <c r="AP45">
        <v>8</v>
      </c>
      <c r="AQ45">
        <v>-1</v>
      </c>
      <c r="AR45">
        <v>3</v>
      </c>
      <c r="AS45">
        <v>-1</v>
      </c>
      <c r="AT45">
        <v>92</v>
      </c>
      <c r="AU45">
        <v>-1</v>
      </c>
      <c r="AV45">
        <v>5</v>
      </c>
      <c r="AW45">
        <v>-1</v>
      </c>
      <c r="AX45">
        <v>5</v>
      </c>
      <c r="AY45">
        <v>0</v>
      </c>
      <c r="AZ45">
        <v>-1</v>
      </c>
      <c r="BA45">
        <v>58</v>
      </c>
      <c r="BB45">
        <v>100</v>
      </c>
      <c r="BC45">
        <v>129</v>
      </c>
      <c r="BD45">
        <v>82</v>
      </c>
      <c r="BE45">
        <v>13</v>
      </c>
      <c r="BF45">
        <v>5</v>
      </c>
      <c r="BG45">
        <v>16</v>
      </c>
      <c r="BH45">
        <v>10</v>
      </c>
      <c r="BI45">
        <v>2</v>
      </c>
      <c r="BJ45">
        <v>82</v>
      </c>
      <c r="BK45" t="str">
        <f t="shared" si="19"/>
        <v>NA</v>
      </c>
      <c r="BL45" t="str">
        <f t="shared" si="19"/>
        <v>NA</v>
      </c>
      <c r="BM45" t="str">
        <f t="shared" si="19"/>
        <v>NA</v>
      </c>
      <c r="BN45" t="str">
        <f t="shared" si="19"/>
        <v>NA</v>
      </c>
      <c r="BO45" t="str">
        <f t="shared" si="19"/>
        <v>NA</v>
      </c>
      <c r="BP45" t="str">
        <f t="shared" si="10"/>
        <v>IL</v>
      </c>
      <c r="BQ45" t="str">
        <f t="shared" si="6"/>
        <v>NA</v>
      </c>
      <c r="BR45" t="str">
        <f t="shared" si="6"/>
        <v>NA</v>
      </c>
    </row>
    <row r="46" spans="1:70">
      <c r="A46">
        <v>9</v>
      </c>
      <c r="B46" t="str">
        <f t="shared" si="7"/>
        <v>Summary of All HUD Programs</v>
      </c>
      <c r="C46">
        <v>1</v>
      </c>
      <c r="D46" t="str">
        <f t="shared" si="8"/>
        <v>NA</v>
      </c>
      <c r="E46" t="str">
        <f>"081 Jefferson County"</f>
        <v>081 Jefferson County</v>
      </c>
      <c r="F46" t="str">
        <f>"17081"</f>
        <v>17081</v>
      </c>
      <c r="G46">
        <v>793</v>
      </c>
      <c r="H46">
        <v>89</v>
      </c>
      <c r="I46">
        <v>717</v>
      </c>
      <c r="J46">
        <v>100</v>
      </c>
      <c r="K46">
        <v>5</v>
      </c>
      <c r="L46">
        <v>22</v>
      </c>
      <c r="M46">
        <v>1.9</v>
      </c>
      <c r="N46">
        <v>1333</v>
      </c>
      <c r="O46">
        <v>267</v>
      </c>
      <c r="P46">
        <v>418</v>
      </c>
      <c r="Q46">
        <v>12057</v>
      </c>
      <c r="R46">
        <v>6485</v>
      </c>
      <c r="S46">
        <v>7</v>
      </c>
      <c r="T46">
        <v>38</v>
      </c>
      <c r="U46">
        <v>26</v>
      </c>
      <c r="V46">
        <v>18</v>
      </c>
      <c r="W46">
        <v>11</v>
      </c>
      <c r="X46">
        <v>23</v>
      </c>
      <c r="Y46">
        <v>3</v>
      </c>
      <c r="Z46">
        <v>68</v>
      </c>
      <c r="AA46">
        <v>27</v>
      </c>
      <c r="AB46">
        <v>94</v>
      </c>
      <c r="AC46">
        <v>66</v>
      </c>
      <c r="AD46">
        <v>3</v>
      </c>
      <c r="AE46">
        <v>31</v>
      </c>
      <c r="AF46">
        <v>77</v>
      </c>
      <c r="AG46">
        <v>32</v>
      </c>
      <c r="AH46">
        <v>39</v>
      </c>
      <c r="AI46">
        <v>40</v>
      </c>
      <c r="AJ46">
        <v>23</v>
      </c>
      <c r="AK46">
        <v>8</v>
      </c>
      <c r="AL46">
        <v>34</v>
      </c>
      <c r="AM46">
        <v>19</v>
      </c>
      <c r="AN46">
        <v>39</v>
      </c>
      <c r="AO46">
        <v>4</v>
      </c>
      <c r="AP46">
        <v>33</v>
      </c>
      <c r="AQ46">
        <v>30</v>
      </c>
      <c r="AR46">
        <v>1</v>
      </c>
      <c r="AS46">
        <v>0</v>
      </c>
      <c r="AT46">
        <v>66</v>
      </c>
      <c r="AU46">
        <v>1</v>
      </c>
      <c r="AV46">
        <v>2</v>
      </c>
      <c r="AW46">
        <v>0</v>
      </c>
      <c r="AX46">
        <v>3</v>
      </c>
      <c r="AY46">
        <v>1</v>
      </c>
      <c r="AZ46">
        <v>16</v>
      </c>
      <c r="BA46">
        <v>69</v>
      </c>
      <c r="BB46">
        <v>79</v>
      </c>
      <c r="BC46">
        <v>104</v>
      </c>
      <c r="BD46">
        <v>54</v>
      </c>
      <c r="BE46">
        <v>23</v>
      </c>
      <c r="BF46">
        <v>24</v>
      </c>
      <c r="BG46">
        <v>12</v>
      </c>
      <c r="BH46">
        <v>27</v>
      </c>
      <c r="BI46">
        <v>23</v>
      </c>
      <c r="BJ46">
        <v>53</v>
      </c>
      <c r="BK46" t="str">
        <f t="shared" si="9"/>
        <v>NA</v>
      </c>
      <c r="BL46" t="str">
        <f t="shared" si="9"/>
        <v>NA</v>
      </c>
      <c r="BM46" t="str">
        <f t="shared" si="9"/>
        <v>NA</v>
      </c>
      <c r="BN46" t="str">
        <f t="shared" si="9"/>
        <v>NA</v>
      </c>
      <c r="BO46" t="str">
        <f t="shared" si="9"/>
        <v>NA</v>
      </c>
      <c r="BP46" t="str">
        <f t="shared" si="10"/>
        <v>IL</v>
      </c>
      <c r="BQ46" t="str">
        <f t="shared" si="11"/>
        <v>NA</v>
      </c>
      <c r="BR46" t="str">
        <f t="shared" si="11"/>
        <v>NA</v>
      </c>
    </row>
    <row r="47" spans="1:70">
      <c r="A47">
        <v>9</v>
      </c>
      <c r="B47" t="str">
        <f t="shared" si="7"/>
        <v>Summary of All HUD Programs</v>
      </c>
      <c r="C47">
        <v>1</v>
      </c>
      <c r="D47" t="str">
        <f t="shared" si="8"/>
        <v>NA</v>
      </c>
      <c r="E47" t="str">
        <f>"083 Jersey County"</f>
        <v>083 Jersey County</v>
      </c>
      <c r="F47" t="str">
        <f>"17083"</f>
        <v>17083</v>
      </c>
      <c r="G47">
        <v>416</v>
      </c>
      <c r="H47">
        <v>87</v>
      </c>
      <c r="I47">
        <v>371</v>
      </c>
      <c r="J47">
        <v>100</v>
      </c>
      <c r="K47">
        <v>6</v>
      </c>
      <c r="L47">
        <v>27</v>
      </c>
      <c r="M47">
        <v>1.8</v>
      </c>
      <c r="N47">
        <v>662</v>
      </c>
      <c r="O47">
        <v>271</v>
      </c>
      <c r="P47">
        <v>371</v>
      </c>
      <c r="Q47">
        <v>13043</v>
      </c>
      <c r="R47">
        <v>7309</v>
      </c>
      <c r="S47">
        <v>8</v>
      </c>
      <c r="T47">
        <v>34</v>
      </c>
      <c r="U47">
        <v>25</v>
      </c>
      <c r="V47">
        <v>17</v>
      </c>
      <c r="W47">
        <v>16</v>
      </c>
      <c r="X47">
        <v>23</v>
      </c>
      <c r="Y47">
        <v>1</v>
      </c>
      <c r="Z47">
        <v>72</v>
      </c>
      <c r="AA47">
        <v>24</v>
      </c>
      <c r="AB47">
        <v>96</v>
      </c>
      <c r="AC47">
        <v>74</v>
      </c>
      <c r="AD47">
        <v>5</v>
      </c>
      <c r="AE47">
        <v>30</v>
      </c>
      <c r="AF47">
        <v>77</v>
      </c>
      <c r="AG47">
        <v>32</v>
      </c>
      <c r="AH47">
        <v>47</v>
      </c>
      <c r="AI47">
        <v>22</v>
      </c>
      <c r="AJ47">
        <v>24</v>
      </c>
      <c r="AK47">
        <v>8</v>
      </c>
      <c r="AL47">
        <v>36</v>
      </c>
      <c r="AM47">
        <v>25</v>
      </c>
      <c r="AN47">
        <v>30</v>
      </c>
      <c r="AO47">
        <v>4</v>
      </c>
      <c r="AP47">
        <v>1</v>
      </c>
      <c r="AQ47">
        <v>1</v>
      </c>
      <c r="AR47">
        <v>-1</v>
      </c>
      <c r="AS47">
        <v>-1</v>
      </c>
      <c r="AT47">
        <v>99</v>
      </c>
      <c r="AU47">
        <v>-1</v>
      </c>
      <c r="AV47">
        <v>-1</v>
      </c>
      <c r="AW47">
        <v>-1</v>
      </c>
      <c r="AX47">
        <v>0</v>
      </c>
      <c r="AY47">
        <v>0</v>
      </c>
      <c r="AZ47">
        <v>7</v>
      </c>
      <c r="BA47">
        <v>63</v>
      </c>
      <c r="BB47">
        <v>84</v>
      </c>
      <c r="BC47">
        <v>111</v>
      </c>
      <c r="BD47">
        <v>46</v>
      </c>
      <c r="BE47">
        <v>38</v>
      </c>
      <c r="BF47">
        <v>16</v>
      </c>
      <c r="BG47">
        <v>15</v>
      </c>
      <c r="BH47">
        <v>8</v>
      </c>
      <c r="BI47">
        <v>3</v>
      </c>
      <c r="BJ47">
        <v>82</v>
      </c>
      <c r="BK47" t="str">
        <f t="shared" si="9"/>
        <v>NA</v>
      </c>
      <c r="BL47" t="str">
        <f t="shared" si="9"/>
        <v>NA</v>
      </c>
      <c r="BM47" t="str">
        <f t="shared" si="9"/>
        <v>NA</v>
      </c>
      <c r="BN47" t="str">
        <f t="shared" si="9"/>
        <v>NA</v>
      </c>
      <c r="BO47" t="str">
        <f t="shared" si="9"/>
        <v>NA</v>
      </c>
      <c r="BP47" t="str">
        <f t="shared" si="10"/>
        <v>IL</v>
      </c>
      <c r="BQ47" t="str">
        <f t="shared" si="11"/>
        <v>NA</v>
      </c>
      <c r="BR47" t="str">
        <f t="shared" si="11"/>
        <v>NA</v>
      </c>
    </row>
    <row r="48" spans="1:70">
      <c r="A48">
        <v>9</v>
      </c>
      <c r="B48" t="str">
        <f t="shared" si="7"/>
        <v>Summary of All HUD Programs</v>
      </c>
      <c r="C48">
        <v>1</v>
      </c>
      <c r="D48" t="str">
        <f t="shared" si="8"/>
        <v>NA</v>
      </c>
      <c r="E48" t="str">
        <f>"085 Jo Daviess County"</f>
        <v>085 Jo Daviess County</v>
      </c>
      <c r="F48" t="str">
        <f>"17085"</f>
        <v>17085</v>
      </c>
      <c r="G48">
        <v>186</v>
      </c>
      <c r="H48">
        <v>91</v>
      </c>
      <c r="I48">
        <v>168</v>
      </c>
      <c r="J48">
        <v>99</v>
      </c>
      <c r="K48">
        <v>6</v>
      </c>
      <c r="L48">
        <v>22</v>
      </c>
      <c r="M48">
        <v>1.5</v>
      </c>
      <c r="N48">
        <v>244</v>
      </c>
      <c r="O48">
        <v>255</v>
      </c>
      <c r="P48">
        <v>315</v>
      </c>
      <c r="Q48">
        <v>11289</v>
      </c>
      <c r="R48">
        <v>7773</v>
      </c>
      <c r="S48">
        <v>11</v>
      </c>
      <c r="T48">
        <v>33</v>
      </c>
      <c r="U48">
        <v>30</v>
      </c>
      <c r="V48">
        <v>19</v>
      </c>
      <c r="W48">
        <v>7</v>
      </c>
      <c r="X48">
        <v>17</v>
      </c>
      <c r="Y48">
        <v>2</v>
      </c>
      <c r="Z48">
        <v>76</v>
      </c>
      <c r="AA48">
        <v>24</v>
      </c>
      <c r="AB48">
        <v>96</v>
      </c>
      <c r="AC48">
        <v>73</v>
      </c>
      <c r="AD48">
        <v>2</v>
      </c>
      <c r="AE48">
        <v>15</v>
      </c>
      <c r="AF48">
        <v>67</v>
      </c>
      <c r="AG48">
        <v>14</v>
      </c>
      <c r="AH48">
        <v>58</v>
      </c>
      <c r="AI48">
        <v>38</v>
      </c>
      <c r="AJ48">
        <v>36</v>
      </c>
      <c r="AK48">
        <v>5</v>
      </c>
      <c r="AL48">
        <v>31</v>
      </c>
      <c r="AM48">
        <v>26</v>
      </c>
      <c r="AN48">
        <v>38</v>
      </c>
      <c r="AO48">
        <v>6</v>
      </c>
      <c r="AP48">
        <v>14</v>
      </c>
      <c r="AQ48">
        <v>11</v>
      </c>
      <c r="AR48">
        <v>1</v>
      </c>
      <c r="AS48">
        <v>1</v>
      </c>
      <c r="AT48">
        <v>86</v>
      </c>
      <c r="AU48">
        <v>-1</v>
      </c>
      <c r="AV48">
        <v>2</v>
      </c>
      <c r="AW48">
        <v>-1</v>
      </c>
      <c r="AX48">
        <v>2</v>
      </c>
      <c r="AY48">
        <v>1</v>
      </c>
      <c r="AZ48">
        <v>3</v>
      </c>
      <c r="BA48">
        <v>71</v>
      </c>
      <c r="BB48">
        <v>11</v>
      </c>
      <c r="BC48">
        <v>152</v>
      </c>
      <c r="BD48">
        <v>78</v>
      </c>
      <c r="BE48">
        <v>11</v>
      </c>
      <c r="BF48">
        <v>11</v>
      </c>
      <c r="BG48">
        <v>5</v>
      </c>
      <c r="BH48">
        <v>10</v>
      </c>
      <c r="BI48">
        <v>6</v>
      </c>
      <c r="BJ48">
        <v>83</v>
      </c>
      <c r="BK48" t="str">
        <f t="shared" si="9"/>
        <v>NA</v>
      </c>
      <c r="BL48" t="str">
        <f t="shared" si="9"/>
        <v>NA</v>
      </c>
      <c r="BM48" t="str">
        <f t="shared" si="9"/>
        <v>NA</v>
      </c>
      <c r="BN48" t="str">
        <f t="shared" si="9"/>
        <v>NA</v>
      </c>
      <c r="BO48" t="str">
        <f t="shared" si="9"/>
        <v>NA</v>
      </c>
      <c r="BP48" t="str">
        <f t="shared" si="10"/>
        <v>IL</v>
      </c>
      <c r="BQ48" t="str">
        <f t="shared" si="11"/>
        <v>NA</v>
      </c>
      <c r="BR48" t="str">
        <f t="shared" si="11"/>
        <v>NA</v>
      </c>
    </row>
    <row r="49" spans="1:70">
      <c r="A49">
        <v>9</v>
      </c>
      <c r="B49" t="str">
        <f t="shared" si="7"/>
        <v>Summary of All HUD Programs</v>
      </c>
      <c r="C49">
        <v>1</v>
      </c>
      <c r="D49" t="str">
        <f t="shared" si="8"/>
        <v>NA</v>
      </c>
      <c r="E49" t="str">
        <f>"087 Johnson County"</f>
        <v>087 Johnson County</v>
      </c>
      <c r="F49" t="str">
        <f>"17087"</f>
        <v>17087</v>
      </c>
      <c r="G49">
        <v>158</v>
      </c>
      <c r="H49">
        <v>95</v>
      </c>
      <c r="I49">
        <v>152</v>
      </c>
      <c r="J49">
        <v>100</v>
      </c>
      <c r="K49">
        <v>5</v>
      </c>
      <c r="L49">
        <v>22</v>
      </c>
      <c r="M49">
        <v>1.5</v>
      </c>
      <c r="N49">
        <v>228</v>
      </c>
      <c r="O49">
        <v>290</v>
      </c>
      <c r="P49">
        <v>316</v>
      </c>
      <c r="Q49">
        <v>13881</v>
      </c>
      <c r="R49">
        <v>9254</v>
      </c>
      <c r="S49">
        <v>7</v>
      </c>
      <c r="T49">
        <v>32</v>
      </c>
      <c r="U49">
        <v>25</v>
      </c>
      <c r="V49">
        <v>20</v>
      </c>
      <c r="W49">
        <v>16</v>
      </c>
      <c r="X49">
        <v>25</v>
      </c>
      <c r="Y49">
        <v>1</v>
      </c>
      <c r="Z49">
        <v>72</v>
      </c>
      <c r="AA49">
        <v>32</v>
      </c>
      <c r="AB49">
        <v>90</v>
      </c>
      <c r="AC49">
        <v>55</v>
      </c>
      <c r="AD49">
        <v>3</v>
      </c>
      <c r="AE49">
        <v>20</v>
      </c>
      <c r="AF49">
        <v>77</v>
      </c>
      <c r="AG49">
        <v>21</v>
      </c>
      <c r="AH49">
        <v>35</v>
      </c>
      <c r="AI49">
        <v>26</v>
      </c>
      <c r="AJ49">
        <v>21</v>
      </c>
      <c r="AK49">
        <v>6</v>
      </c>
      <c r="AL49">
        <v>30</v>
      </c>
      <c r="AM49">
        <v>16</v>
      </c>
      <c r="AN49">
        <v>48</v>
      </c>
      <c r="AO49">
        <v>6</v>
      </c>
      <c r="AP49">
        <v>1</v>
      </c>
      <c r="AQ49">
        <v>1</v>
      </c>
      <c r="AR49">
        <v>-1</v>
      </c>
      <c r="AS49">
        <v>-1</v>
      </c>
      <c r="AT49">
        <v>99</v>
      </c>
      <c r="AU49">
        <v>-1</v>
      </c>
      <c r="AV49">
        <v>-1</v>
      </c>
      <c r="AW49">
        <v>-1</v>
      </c>
      <c r="AX49">
        <v>0</v>
      </c>
      <c r="AY49">
        <v>0</v>
      </c>
      <c r="AZ49">
        <v>4</v>
      </c>
      <c r="BA49">
        <v>81</v>
      </c>
      <c r="BB49">
        <v>57</v>
      </c>
      <c r="BC49">
        <v>71</v>
      </c>
      <c r="BD49">
        <v>51</v>
      </c>
      <c r="BE49">
        <v>34</v>
      </c>
      <c r="BF49">
        <v>16</v>
      </c>
      <c r="BG49">
        <v>26</v>
      </c>
      <c r="BH49">
        <v>19</v>
      </c>
      <c r="BI49">
        <v>5</v>
      </c>
      <c r="BJ49">
        <v>67</v>
      </c>
      <c r="BK49" t="str">
        <f t="shared" si="9"/>
        <v>NA</v>
      </c>
      <c r="BL49" t="str">
        <f t="shared" si="9"/>
        <v>NA</v>
      </c>
      <c r="BM49" t="str">
        <f t="shared" si="9"/>
        <v>NA</v>
      </c>
      <c r="BN49" t="str">
        <f t="shared" si="9"/>
        <v>NA</v>
      </c>
      <c r="BO49" t="str">
        <f t="shared" si="9"/>
        <v>NA</v>
      </c>
      <c r="BP49" t="str">
        <f t="shared" si="10"/>
        <v>IL</v>
      </c>
      <c r="BQ49" t="str">
        <f t="shared" si="11"/>
        <v>NA</v>
      </c>
      <c r="BR49" t="str">
        <f t="shared" si="11"/>
        <v>NA</v>
      </c>
    </row>
    <row r="50" spans="1:70">
      <c r="A50">
        <v>9</v>
      </c>
      <c r="B50" t="str">
        <f t="shared" si="7"/>
        <v>Summary of All HUD Programs</v>
      </c>
      <c r="C50">
        <v>1</v>
      </c>
      <c r="D50" t="str">
        <f t="shared" si="8"/>
        <v>NA</v>
      </c>
      <c r="E50" t="str">
        <f>"091 Kankakee County"</f>
        <v>091 Kankakee County</v>
      </c>
      <c r="F50" t="str">
        <f>"17091"</f>
        <v>17091</v>
      </c>
      <c r="G50">
        <v>1658</v>
      </c>
      <c r="H50">
        <v>83</v>
      </c>
      <c r="I50">
        <v>1356</v>
      </c>
      <c r="J50">
        <v>98</v>
      </c>
      <c r="K50">
        <v>6</v>
      </c>
      <c r="L50">
        <v>15</v>
      </c>
      <c r="M50">
        <v>2</v>
      </c>
      <c r="N50">
        <v>2772</v>
      </c>
      <c r="O50">
        <v>297</v>
      </c>
      <c r="P50">
        <v>631</v>
      </c>
      <c r="Q50">
        <v>12643</v>
      </c>
      <c r="R50">
        <v>6184</v>
      </c>
      <c r="S50">
        <v>10</v>
      </c>
      <c r="T50">
        <v>35</v>
      </c>
      <c r="U50">
        <v>23</v>
      </c>
      <c r="V50">
        <v>16</v>
      </c>
      <c r="W50">
        <v>16</v>
      </c>
      <c r="X50">
        <v>26</v>
      </c>
      <c r="Y50">
        <v>2</v>
      </c>
      <c r="Z50">
        <v>69</v>
      </c>
      <c r="AA50">
        <v>26</v>
      </c>
      <c r="AB50">
        <v>93</v>
      </c>
      <c r="AC50">
        <v>67</v>
      </c>
      <c r="AD50">
        <v>1</v>
      </c>
      <c r="AE50">
        <v>39</v>
      </c>
      <c r="AF50">
        <v>79</v>
      </c>
      <c r="AG50">
        <v>40</v>
      </c>
      <c r="AH50">
        <v>37</v>
      </c>
      <c r="AI50">
        <v>31</v>
      </c>
      <c r="AJ50">
        <v>19</v>
      </c>
      <c r="AK50">
        <v>7</v>
      </c>
      <c r="AL50">
        <v>45</v>
      </c>
      <c r="AM50">
        <v>20</v>
      </c>
      <c r="AN50">
        <v>29</v>
      </c>
      <c r="AO50">
        <v>4</v>
      </c>
      <c r="AP50">
        <v>69</v>
      </c>
      <c r="AQ50">
        <v>65</v>
      </c>
      <c r="AR50">
        <v>0</v>
      </c>
      <c r="AS50">
        <v>0</v>
      </c>
      <c r="AT50">
        <v>31</v>
      </c>
      <c r="AU50">
        <v>1</v>
      </c>
      <c r="AV50">
        <v>2</v>
      </c>
      <c r="AW50">
        <v>0</v>
      </c>
      <c r="AX50">
        <v>3</v>
      </c>
      <c r="AY50">
        <v>0</v>
      </c>
      <c r="AZ50">
        <v>17</v>
      </c>
      <c r="BA50">
        <v>74</v>
      </c>
      <c r="BB50">
        <v>99</v>
      </c>
      <c r="BC50">
        <v>116</v>
      </c>
      <c r="BD50">
        <v>46</v>
      </c>
      <c r="BE50">
        <v>31</v>
      </c>
      <c r="BF50">
        <v>23</v>
      </c>
      <c r="BG50">
        <v>12</v>
      </c>
      <c r="BH50">
        <v>35</v>
      </c>
      <c r="BI50">
        <v>58</v>
      </c>
      <c r="BJ50">
        <v>57</v>
      </c>
      <c r="BK50" t="str">
        <f t="shared" si="9"/>
        <v>NA</v>
      </c>
      <c r="BL50" t="str">
        <f t="shared" si="9"/>
        <v>NA</v>
      </c>
      <c r="BM50" t="str">
        <f t="shared" si="9"/>
        <v>NA</v>
      </c>
      <c r="BN50" t="str">
        <f t="shared" si="9"/>
        <v>NA</v>
      </c>
      <c r="BO50" t="str">
        <f t="shared" si="9"/>
        <v>NA</v>
      </c>
      <c r="BP50" t="str">
        <f t="shared" si="10"/>
        <v>IL</v>
      </c>
      <c r="BQ50" t="str">
        <f t="shared" si="11"/>
        <v>NA</v>
      </c>
      <c r="BR50" t="str">
        <f t="shared" si="11"/>
        <v>NA</v>
      </c>
    </row>
    <row r="51" spans="1:70">
      <c r="A51">
        <v>9</v>
      </c>
      <c r="B51" t="str">
        <f t="shared" si="7"/>
        <v>Summary of All HUD Programs</v>
      </c>
      <c r="C51">
        <v>1</v>
      </c>
      <c r="D51" t="str">
        <f t="shared" si="8"/>
        <v>NA</v>
      </c>
      <c r="E51" t="str">
        <f>"093 Kendall County"</f>
        <v>093 Kendall County</v>
      </c>
      <c r="F51" t="str">
        <f>"17093"</f>
        <v>17093</v>
      </c>
      <c r="G51">
        <v>305</v>
      </c>
      <c r="H51">
        <v>96</v>
      </c>
      <c r="I51">
        <v>460</v>
      </c>
      <c r="J51">
        <v>100</v>
      </c>
      <c r="K51">
        <v>5</v>
      </c>
      <c r="L51">
        <v>10</v>
      </c>
      <c r="M51">
        <v>2.7</v>
      </c>
      <c r="N51">
        <v>1245</v>
      </c>
      <c r="O51">
        <v>463</v>
      </c>
      <c r="P51">
        <v>1476</v>
      </c>
      <c r="Q51">
        <v>17756</v>
      </c>
      <c r="R51">
        <v>6560</v>
      </c>
      <c r="S51">
        <v>6</v>
      </c>
      <c r="T51">
        <v>18</v>
      </c>
      <c r="U51">
        <v>20</v>
      </c>
      <c r="V51">
        <v>19</v>
      </c>
      <c r="W51">
        <v>36</v>
      </c>
      <c r="X51">
        <v>35</v>
      </c>
      <c r="Y51">
        <v>0</v>
      </c>
      <c r="Z51">
        <v>58</v>
      </c>
      <c r="AA51">
        <v>24</v>
      </c>
      <c r="AB51">
        <v>94</v>
      </c>
      <c r="AC51">
        <v>69</v>
      </c>
      <c r="AD51">
        <v>3</v>
      </c>
      <c r="AE51">
        <v>50</v>
      </c>
      <c r="AF51">
        <v>87</v>
      </c>
      <c r="AG51">
        <v>51</v>
      </c>
      <c r="AH51">
        <v>30</v>
      </c>
      <c r="AI51">
        <v>30</v>
      </c>
      <c r="AJ51">
        <v>17</v>
      </c>
      <c r="AK51">
        <v>2</v>
      </c>
      <c r="AL51">
        <v>56</v>
      </c>
      <c r="AM51">
        <v>16</v>
      </c>
      <c r="AN51">
        <v>27</v>
      </c>
      <c r="AO51">
        <v>4</v>
      </c>
      <c r="AP51">
        <v>55</v>
      </c>
      <c r="AQ51">
        <v>48</v>
      </c>
      <c r="AR51">
        <v>0</v>
      </c>
      <c r="AS51">
        <v>1</v>
      </c>
      <c r="AT51">
        <v>45</v>
      </c>
      <c r="AU51">
        <v>1</v>
      </c>
      <c r="AV51">
        <v>4</v>
      </c>
      <c r="AW51">
        <v>0</v>
      </c>
      <c r="AX51">
        <v>5</v>
      </c>
      <c r="AY51">
        <v>0</v>
      </c>
      <c r="AZ51">
        <v>68</v>
      </c>
      <c r="BA51">
        <v>89</v>
      </c>
      <c r="BB51">
        <v>94</v>
      </c>
      <c r="BC51">
        <v>126</v>
      </c>
      <c r="BD51">
        <v>34</v>
      </c>
      <c r="BE51">
        <v>18</v>
      </c>
      <c r="BF51">
        <v>48</v>
      </c>
      <c r="BG51">
        <v>10</v>
      </c>
      <c r="BH51">
        <v>6</v>
      </c>
      <c r="BI51">
        <v>27</v>
      </c>
      <c r="BJ51">
        <v>73</v>
      </c>
      <c r="BK51" t="str">
        <f t="shared" si="9"/>
        <v>NA</v>
      </c>
      <c r="BL51" t="str">
        <f t="shared" si="9"/>
        <v>NA</v>
      </c>
      <c r="BM51" t="str">
        <f t="shared" si="9"/>
        <v>NA</v>
      </c>
      <c r="BN51" t="str">
        <f t="shared" si="9"/>
        <v>NA</v>
      </c>
      <c r="BO51" t="str">
        <f t="shared" si="9"/>
        <v>NA</v>
      </c>
      <c r="BP51" t="str">
        <f t="shared" si="10"/>
        <v>IL</v>
      </c>
      <c r="BQ51" t="str">
        <f t="shared" si="11"/>
        <v>NA</v>
      </c>
      <c r="BR51" t="str">
        <f t="shared" si="11"/>
        <v>NA</v>
      </c>
    </row>
    <row r="52" spans="1:70">
      <c r="A52">
        <v>9</v>
      </c>
      <c r="B52" t="str">
        <f t="shared" si="7"/>
        <v>Summary of All HUD Programs</v>
      </c>
      <c r="C52">
        <v>1</v>
      </c>
      <c r="D52" t="str">
        <f t="shared" si="8"/>
        <v>NA</v>
      </c>
      <c r="E52" t="str">
        <f>"095 Knox County"</f>
        <v>095 Knox County</v>
      </c>
      <c r="F52" t="str">
        <f>"17095"</f>
        <v>17095</v>
      </c>
      <c r="G52">
        <v>1270</v>
      </c>
      <c r="H52">
        <v>89</v>
      </c>
      <c r="I52">
        <v>1107</v>
      </c>
      <c r="J52">
        <v>98</v>
      </c>
      <c r="K52">
        <v>5</v>
      </c>
      <c r="L52">
        <v>21</v>
      </c>
      <c r="M52">
        <v>1.8</v>
      </c>
      <c r="N52">
        <v>1938</v>
      </c>
      <c r="O52">
        <v>265</v>
      </c>
      <c r="P52">
        <v>428</v>
      </c>
      <c r="Q52">
        <v>11912</v>
      </c>
      <c r="R52">
        <v>6804</v>
      </c>
      <c r="S52">
        <v>11</v>
      </c>
      <c r="T52">
        <v>34</v>
      </c>
      <c r="U52">
        <v>25</v>
      </c>
      <c r="V52">
        <v>18</v>
      </c>
      <c r="W52">
        <v>12</v>
      </c>
      <c r="X52">
        <v>23</v>
      </c>
      <c r="Y52">
        <v>4</v>
      </c>
      <c r="Z52">
        <v>68</v>
      </c>
      <c r="AA52">
        <v>27</v>
      </c>
      <c r="AB52">
        <v>93</v>
      </c>
      <c r="AC52">
        <v>64</v>
      </c>
      <c r="AD52">
        <v>3</v>
      </c>
      <c r="AE52">
        <v>27</v>
      </c>
      <c r="AF52">
        <v>72</v>
      </c>
      <c r="AG52">
        <v>28</v>
      </c>
      <c r="AH52">
        <v>43</v>
      </c>
      <c r="AI52">
        <v>35</v>
      </c>
      <c r="AJ52">
        <v>24</v>
      </c>
      <c r="AK52">
        <v>8</v>
      </c>
      <c r="AL52">
        <v>38</v>
      </c>
      <c r="AM52">
        <v>21</v>
      </c>
      <c r="AN52">
        <v>34</v>
      </c>
      <c r="AO52">
        <v>3</v>
      </c>
      <c r="AP52">
        <v>30</v>
      </c>
      <c r="AQ52">
        <v>26</v>
      </c>
      <c r="AR52">
        <v>1</v>
      </c>
      <c r="AS52">
        <v>0</v>
      </c>
      <c r="AT52">
        <v>69</v>
      </c>
      <c r="AU52">
        <v>0</v>
      </c>
      <c r="AV52">
        <v>2</v>
      </c>
      <c r="AW52">
        <v>1</v>
      </c>
      <c r="AX52">
        <v>3</v>
      </c>
      <c r="AY52">
        <v>2</v>
      </c>
      <c r="AZ52">
        <v>7</v>
      </c>
      <c r="BA52">
        <v>67</v>
      </c>
      <c r="BB52">
        <v>96</v>
      </c>
      <c r="BC52">
        <v>96</v>
      </c>
      <c r="BD52">
        <v>60</v>
      </c>
      <c r="BE52">
        <v>22</v>
      </c>
      <c r="BF52">
        <v>18</v>
      </c>
      <c r="BG52">
        <v>9</v>
      </c>
      <c r="BH52">
        <v>30</v>
      </c>
      <c r="BI52">
        <v>19</v>
      </c>
      <c r="BJ52">
        <v>49</v>
      </c>
      <c r="BK52" t="str">
        <f t="shared" si="9"/>
        <v>NA</v>
      </c>
      <c r="BL52" t="str">
        <f t="shared" si="9"/>
        <v>NA</v>
      </c>
      <c r="BM52" t="str">
        <f t="shared" si="9"/>
        <v>NA</v>
      </c>
      <c r="BN52" t="str">
        <f t="shared" si="9"/>
        <v>NA</v>
      </c>
      <c r="BO52" t="str">
        <f t="shared" si="9"/>
        <v>NA</v>
      </c>
      <c r="BP52" t="str">
        <f t="shared" si="10"/>
        <v>IL</v>
      </c>
      <c r="BQ52" t="str">
        <f t="shared" si="11"/>
        <v>NA</v>
      </c>
      <c r="BR52" t="str">
        <f t="shared" si="11"/>
        <v>NA</v>
      </c>
    </row>
    <row r="53" spans="1:70">
      <c r="A53">
        <v>9</v>
      </c>
      <c r="B53" t="str">
        <f t="shared" si="7"/>
        <v>Summary of All HUD Programs</v>
      </c>
      <c r="C53">
        <v>1</v>
      </c>
      <c r="D53" t="str">
        <f t="shared" si="8"/>
        <v>NA</v>
      </c>
      <c r="E53" t="str">
        <f>"099 Lasalle County"</f>
        <v>099 Lasalle County</v>
      </c>
      <c r="F53" t="str">
        <f>"17099"</f>
        <v>17099</v>
      </c>
      <c r="G53">
        <v>1718</v>
      </c>
      <c r="H53">
        <v>98</v>
      </c>
      <c r="I53">
        <v>1574</v>
      </c>
      <c r="J53">
        <v>94</v>
      </c>
      <c r="K53">
        <v>5</v>
      </c>
      <c r="L53">
        <v>24</v>
      </c>
      <c r="M53">
        <v>1.9</v>
      </c>
      <c r="N53">
        <v>3046</v>
      </c>
      <c r="O53">
        <v>278</v>
      </c>
      <c r="P53">
        <v>439</v>
      </c>
      <c r="Q53">
        <v>12208</v>
      </c>
      <c r="R53">
        <v>6308</v>
      </c>
      <c r="S53">
        <v>13</v>
      </c>
      <c r="T53">
        <v>32</v>
      </c>
      <c r="U53">
        <v>22</v>
      </c>
      <c r="V53">
        <v>15</v>
      </c>
      <c r="W53">
        <v>18</v>
      </c>
      <c r="X53">
        <v>25</v>
      </c>
      <c r="Y53">
        <v>1</v>
      </c>
      <c r="Z53">
        <v>65</v>
      </c>
      <c r="AA53">
        <v>25</v>
      </c>
      <c r="AB53">
        <v>93</v>
      </c>
      <c r="AC53">
        <v>68</v>
      </c>
      <c r="AD53">
        <v>6</v>
      </c>
      <c r="AE53">
        <v>27</v>
      </c>
      <c r="AF53">
        <v>67</v>
      </c>
      <c r="AG53">
        <v>31</v>
      </c>
      <c r="AH53">
        <v>37</v>
      </c>
      <c r="AI53">
        <v>32</v>
      </c>
      <c r="AJ53">
        <v>21</v>
      </c>
      <c r="AK53">
        <v>7</v>
      </c>
      <c r="AL53">
        <v>40</v>
      </c>
      <c r="AM53">
        <v>27</v>
      </c>
      <c r="AN53">
        <v>25</v>
      </c>
      <c r="AO53">
        <v>3</v>
      </c>
      <c r="AP53">
        <v>16</v>
      </c>
      <c r="AQ53">
        <v>10</v>
      </c>
      <c r="AR53">
        <v>0</v>
      </c>
      <c r="AS53">
        <v>0</v>
      </c>
      <c r="AT53">
        <v>84</v>
      </c>
      <c r="AU53">
        <v>0</v>
      </c>
      <c r="AV53">
        <v>6</v>
      </c>
      <c r="AW53">
        <v>-1</v>
      </c>
      <c r="AX53">
        <v>6</v>
      </c>
      <c r="AY53">
        <v>1</v>
      </c>
      <c r="AZ53">
        <v>5</v>
      </c>
      <c r="BA53">
        <v>63</v>
      </c>
      <c r="BB53">
        <v>91</v>
      </c>
      <c r="BC53">
        <v>83</v>
      </c>
      <c r="BD53">
        <v>58</v>
      </c>
      <c r="BE53">
        <v>25</v>
      </c>
      <c r="BF53">
        <v>17</v>
      </c>
      <c r="BG53">
        <v>5</v>
      </c>
      <c r="BH53">
        <v>16</v>
      </c>
      <c r="BI53">
        <v>14</v>
      </c>
      <c r="BJ53">
        <v>70</v>
      </c>
      <c r="BK53" t="str">
        <f t="shared" si="9"/>
        <v>NA</v>
      </c>
      <c r="BL53" t="str">
        <f t="shared" si="9"/>
        <v>NA</v>
      </c>
      <c r="BM53" t="str">
        <f t="shared" si="9"/>
        <v>NA</v>
      </c>
      <c r="BN53" t="str">
        <f t="shared" si="9"/>
        <v>NA</v>
      </c>
      <c r="BO53" t="str">
        <f t="shared" si="9"/>
        <v>NA</v>
      </c>
      <c r="BP53" t="str">
        <f t="shared" si="10"/>
        <v>IL</v>
      </c>
      <c r="BQ53" t="str">
        <f t="shared" si="11"/>
        <v>NA</v>
      </c>
      <c r="BR53" t="str">
        <f t="shared" si="11"/>
        <v>NA</v>
      </c>
    </row>
    <row r="54" spans="1:70">
      <c r="A54">
        <v>9</v>
      </c>
      <c r="B54" t="str">
        <f t="shared" si="7"/>
        <v>Summary of All HUD Programs</v>
      </c>
      <c r="C54">
        <v>1</v>
      </c>
      <c r="D54" t="str">
        <f t="shared" si="8"/>
        <v>NA</v>
      </c>
      <c r="E54" t="str">
        <f>"101 Lawrence County"</f>
        <v>101 Lawrence County</v>
      </c>
      <c r="F54" t="str">
        <f>"17101"</f>
        <v>17101</v>
      </c>
      <c r="G54">
        <v>183</v>
      </c>
      <c r="H54">
        <v>98</v>
      </c>
      <c r="I54">
        <v>173</v>
      </c>
      <c r="J54">
        <v>97</v>
      </c>
      <c r="K54">
        <v>8</v>
      </c>
      <c r="L54">
        <v>23</v>
      </c>
      <c r="M54">
        <v>1.3</v>
      </c>
      <c r="N54">
        <v>221</v>
      </c>
      <c r="O54">
        <v>239</v>
      </c>
      <c r="P54">
        <v>228</v>
      </c>
      <c r="Q54">
        <v>11507</v>
      </c>
      <c r="R54">
        <v>9008</v>
      </c>
      <c r="S54">
        <v>5</v>
      </c>
      <c r="T54">
        <v>32</v>
      </c>
      <c r="U54">
        <v>29</v>
      </c>
      <c r="V54">
        <v>20</v>
      </c>
      <c r="W54">
        <v>14</v>
      </c>
      <c r="X54">
        <v>12</v>
      </c>
      <c r="Y54">
        <v>-1</v>
      </c>
      <c r="Z54">
        <v>73</v>
      </c>
      <c r="AA54">
        <v>28</v>
      </c>
      <c r="AB54">
        <v>88</v>
      </c>
      <c r="AC54">
        <v>59</v>
      </c>
      <c r="AD54">
        <v>2</v>
      </c>
      <c r="AE54">
        <v>10</v>
      </c>
      <c r="AF54">
        <v>67</v>
      </c>
      <c r="AG54">
        <v>10</v>
      </c>
      <c r="AH54">
        <v>40</v>
      </c>
      <c r="AI54">
        <v>22</v>
      </c>
      <c r="AJ54">
        <v>25</v>
      </c>
      <c r="AK54">
        <v>5</v>
      </c>
      <c r="AL54">
        <v>23</v>
      </c>
      <c r="AM54">
        <v>22</v>
      </c>
      <c r="AN54">
        <v>50</v>
      </c>
      <c r="AO54">
        <v>6</v>
      </c>
      <c r="AP54">
        <v>1</v>
      </c>
      <c r="AQ54">
        <v>1</v>
      </c>
      <c r="AR54">
        <v>-1</v>
      </c>
      <c r="AS54">
        <v>-1</v>
      </c>
      <c r="AT54">
        <v>99</v>
      </c>
      <c r="AU54">
        <v>-1</v>
      </c>
      <c r="AV54">
        <v>-1</v>
      </c>
      <c r="AW54">
        <v>-1</v>
      </c>
      <c r="AX54">
        <v>0</v>
      </c>
      <c r="AY54">
        <v>0</v>
      </c>
      <c r="AZ54">
        <v>4</v>
      </c>
      <c r="BA54">
        <v>58</v>
      </c>
      <c r="BB54">
        <v>38</v>
      </c>
      <c r="BC54">
        <v>35</v>
      </c>
      <c r="BD54">
        <v>85</v>
      </c>
      <c r="BE54">
        <v>10</v>
      </c>
      <c r="BF54">
        <v>5</v>
      </c>
      <c r="BG54">
        <v>3</v>
      </c>
      <c r="BH54">
        <v>13</v>
      </c>
      <c r="BI54">
        <v>6</v>
      </c>
      <c r="BJ54">
        <v>74</v>
      </c>
      <c r="BK54" t="str">
        <f t="shared" si="12"/>
        <v>NA</v>
      </c>
      <c r="BL54" t="str">
        <f t="shared" si="12"/>
        <v>NA</v>
      </c>
      <c r="BM54" t="str">
        <f t="shared" si="12"/>
        <v>NA</v>
      </c>
      <c r="BN54" t="str">
        <f t="shared" si="12"/>
        <v>NA</v>
      </c>
      <c r="BO54" t="str">
        <f t="shared" si="12"/>
        <v>NA</v>
      </c>
      <c r="BP54" t="str">
        <f t="shared" si="10"/>
        <v>IL</v>
      </c>
      <c r="BQ54" t="str">
        <f t="shared" si="11"/>
        <v>NA</v>
      </c>
      <c r="BR54" t="str">
        <f t="shared" si="11"/>
        <v>NA</v>
      </c>
    </row>
    <row r="55" spans="1:70">
      <c r="A55">
        <v>9</v>
      </c>
      <c r="B55" t="str">
        <f t="shared" si="7"/>
        <v>Summary of All HUD Programs</v>
      </c>
      <c r="C55">
        <v>1</v>
      </c>
      <c r="D55" t="str">
        <f t="shared" si="8"/>
        <v>NA</v>
      </c>
      <c r="E55" t="str">
        <f>"103 Lee County"</f>
        <v>103 Lee County</v>
      </c>
      <c r="F55" t="str">
        <f>"17103"</f>
        <v>17103</v>
      </c>
      <c r="G55">
        <v>424</v>
      </c>
      <c r="H55">
        <v>87</v>
      </c>
      <c r="I55">
        <v>379</v>
      </c>
      <c r="J55">
        <v>100</v>
      </c>
      <c r="K55">
        <v>6</v>
      </c>
      <c r="L55">
        <v>24</v>
      </c>
      <c r="M55">
        <v>1.7</v>
      </c>
      <c r="N55">
        <v>627</v>
      </c>
      <c r="O55">
        <v>286</v>
      </c>
      <c r="P55">
        <v>358</v>
      </c>
      <c r="Q55">
        <v>13290</v>
      </c>
      <c r="R55">
        <v>8034</v>
      </c>
      <c r="S55">
        <v>10</v>
      </c>
      <c r="T55">
        <v>27</v>
      </c>
      <c r="U55">
        <v>26</v>
      </c>
      <c r="V55">
        <v>23</v>
      </c>
      <c r="W55">
        <v>15</v>
      </c>
      <c r="X55">
        <v>21</v>
      </c>
      <c r="Y55">
        <v>1</v>
      </c>
      <c r="Z55">
        <v>76</v>
      </c>
      <c r="AA55">
        <v>27</v>
      </c>
      <c r="AB55">
        <v>95</v>
      </c>
      <c r="AC55">
        <v>60</v>
      </c>
      <c r="AD55">
        <v>3</v>
      </c>
      <c r="AE55">
        <v>24</v>
      </c>
      <c r="AF55">
        <v>70</v>
      </c>
      <c r="AG55">
        <v>24</v>
      </c>
      <c r="AH55">
        <v>39</v>
      </c>
      <c r="AI55">
        <v>23</v>
      </c>
      <c r="AJ55">
        <v>22</v>
      </c>
      <c r="AK55">
        <v>10</v>
      </c>
      <c r="AL55">
        <v>33</v>
      </c>
      <c r="AM55">
        <v>20</v>
      </c>
      <c r="AN55">
        <v>37</v>
      </c>
      <c r="AO55">
        <v>9</v>
      </c>
      <c r="AP55">
        <v>12</v>
      </c>
      <c r="AQ55">
        <v>5</v>
      </c>
      <c r="AR55">
        <v>0</v>
      </c>
      <c r="AS55">
        <v>1</v>
      </c>
      <c r="AT55">
        <v>88</v>
      </c>
      <c r="AU55">
        <v>1</v>
      </c>
      <c r="AV55">
        <v>4</v>
      </c>
      <c r="AW55">
        <v>1</v>
      </c>
      <c r="AX55">
        <v>6</v>
      </c>
      <c r="AY55">
        <v>1</v>
      </c>
      <c r="AZ55">
        <v>26</v>
      </c>
      <c r="BA55">
        <v>73</v>
      </c>
      <c r="BB55">
        <v>94</v>
      </c>
      <c r="BC55">
        <v>56</v>
      </c>
      <c r="BD55">
        <v>70</v>
      </c>
      <c r="BE55">
        <v>18</v>
      </c>
      <c r="BF55">
        <v>12</v>
      </c>
      <c r="BG55">
        <v>2</v>
      </c>
      <c r="BH55">
        <v>12</v>
      </c>
      <c r="BI55">
        <v>21</v>
      </c>
      <c r="BJ55">
        <v>66</v>
      </c>
      <c r="BK55" t="str">
        <f t="shared" si="12"/>
        <v>NA</v>
      </c>
      <c r="BL55" t="str">
        <f t="shared" si="12"/>
        <v>NA</v>
      </c>
      <c r="BM55" t="str">
        <f t="shared" si="12"/>
        <v>NA</v>
      </c>
      <c r="BN55" t="str">
        <f t="shared" si="12"/>
        <v>NA</v>
      </c>
      <c r="BO55" t="str">
        <f t="shared" si="12"/>
        <v>NA</v>
      </c>
      <c r="BP55" t="str">
        <f t="shared" si="10"/>
        <v>IL</v>
      </c>
      <c r="BQ55" t="str">
        <f t="shared" si="11"/>
        <v>NA</v>
      </c>
      <c r="BR55" t="str">
        <f t="shared" si="11"/>
        <v>NA</v>
      </c>
    </row>
    <row r="56" spans="1:70">
      <c r="A56">
        <v>9</v>
      </c>
      <c r="B56" t="str">
        <f t="shared" si="7"/>
        <v>Summary of All HUD Programs</v>
      </c>
      <c r="C56">
        <v>1</v>
      </c>
      <c r="D56" t="str">
        <f t="shared" si="8"/>
        <v>NA</v>
      </c>
      <c r="E56" t="str">
        <f>"105 Livingston County"</f>
        <v>105 Livingston County</v>
      </c>
      <c r="F56" t="str">
        <f>"17105"</f>
        <v>17105</v>
      </c>
      <c r="G56">
        <v>485</v>
      </c>
      <c r="H56">
        <v>86</v>
      </c>
      <c r="I56">
        <v>420</v>
      </c>
      <c r="J56">
        <v>100</v>
      </c>
      <c r="K56">
        <v>6</v>
      </c>
      <c r="L56">
        <v>26</v>
      </c>
      <c r="M56">
        <v>1.7</v>
      </c>
      <c r="N56">
        <v>713</v>
      </c>
      <c r="O56">
        <v>269</v>
      </c>
      <c r="P56">
        <v>380</v>
      </c>
      <c r="Q56">
        <v>11521</v>
      </c>
      <c r="R56">
        <v>6786</v>
      </c>
      <c r="S56">
        <v>10</v>
      </c>
      <c r="T56">
        <v>33</v>
      </c>
      <c r="U56">
        <v>30</v>
      </c>
      <c r="V56">
        <v>13</v>
      </c>
      <c r="W56">
        <v>14</v>
      </c>
      <c r="X56">
        <v>23</v>
      </c>
      <c r="Y56">
        <v>2</v>
      </c>
      <c r="Z56">
        <v>66</v>
      </c>
      <c r="AA56">
        <v>23</v>
      </c>
      <c r="AB56">
        <v>96</v>
      </c>
      <c r="AC56">
        <v>74</v>
      </c>
      <c r="AD56">
        <v>3</v>
      </c>
      <c r="AE56">
        <v>25</v>
      </c>
      <c r="AF56">
        <v>71</v>
      </c>
      <c r="AG56">
        <v>26</v>
      </c>
      <c r="AH56">
        <v>48</v>
      </c>
      <c r="AI56">
        <v>37</v>
      </c>
      <c r="AJ56">
        <v>30</v>
      </c>
      <c r="AK56">
        <v>12</v>
      </c>
      <c r="AL56">
        <v>31</v>
      </c>
      <c r="AM56">
        <v>27</v>
      </c>
      <c r="AN56">
        <v>30</v>
      </c>
      <c r="AO56">
        <v>3</v>
      </c>
      <c r="AP56">
        <v>12</v>
      </c>
      <c r="AQ56">
        <v>8</v>
      </c>
      <c r="AR56">
        <v>0</v>
      </c>
      <c r="AS56">
        <v>-1</v>
      </c>
      <c r="AT56">
        <v>88</v>
      </c>
      <c r="AU56">
        <v>-1</v>
      </c>
      <c r="AV56">
        <v>4</v>
      </c>
      <c r="AW56">
        <v>0</v>
      </c>
      <c r="AX56">
        <v>5</v>
      </c>
      <c r="AY56">
        <v>0</v>
      </c>
      <c r="AZ56">
        <v>5</v>
      </c>
      <c r="BA56">
        <v>59</v>
      </c>
      <c r="BB56">
        <v>92</v>
      </c>
      <c r="BC56">
        <v>83</v>
      </c>
      <c r="BD56">
        <v>65</v>
      </c>
      <c r="BE56">
        <v>16</v>
      </c>
      <c r="BF56">
        <v>19</v>
      </c>
      <c r="BG56">
        <v>8</v>
      </c>
      <c r="BH56">
        <v>13</v>
      </c>
      <c r="BI56">
        <v>11</v>
      </c>
      <c r="BJ56">
        <v>58</v>
      </c>
      <c r="BK56" t="str">
        <f t="shared" si="12"/>
        <v>NA</v>
      </c>
      <c r="BL56" t="str">
        <f t="shared" si="12"/>
        <v>NA</v>
      </c>
      <c r="BM56" t="str">
        <f t="shared" si="12"/>
        <v>NA</v>
      </c>
      <c r="BN56" t="str">
        <f t="shared" si="12"/>
        <v>NA</v>
      </c>
      <c r="BO56" t="str">
        <f t="shared" si="12"/>
        <v>NA</v>
      </c>
      <c r="BP56" t="str">
        <f t="shared" si="10"/>
        <v>IL</v>
      </c>
      <c r="BQ56" t="str">
        <f t="shared" si="11"/>
        <v>NA</v>
      </c>
      <c r="BR56" t="str">
        <f t="shared" si="11"/>
        <v>NA</v>
      </c>
    </row>
    <row r="57" spans="1:70">
      <c r="A57">
        <v>9</v>
      </c>
      <c r="B57" t="str">
        <f t="shared" si="7"/>
        <v>Summary of All HUD Programs</v>
      </c>
      <c r="C57">
        <v>1</v>
      </c>
      <c r="D57" t="str">
        <f t="shared" si="8"/>
        <v>NA</v>
      </c>
      <c r="E57" t="str">
        <f>"107 Logan County"</f>
        <v>107 Logan County</v>
      </c>
      <c r="F57" t="str">
        <f>"17107"</f>
        <v>17107</v>
      </c>
      <c r="G57">
        <v>402</v>
      </c>
      <c r="H57">
        <v>93</v>
      </c>
      <c r="I57">
        <v>364</v>
      </c>
      <c r="J57">
        <v>98</v>
      </c>
      <c r="K57">
        <v>5</v>
      </c>
      <c r="L57">
        <v>22</v>
      </c>
      <c r="M57">
        <v>1.6</v>
      </c>
      <c r="N57">
        <v>596</v>
      </c>
      <c r="O57">
        <v>308</v>
      </c>
      <c r="P57">
        <v>391</v>
      </c>
      <c r="Q57">
        <v>14644</v>
      </c>
      <c r="R57">
        <v>8943</v>
      </c>
      <c r="S57">
        <v>4</v>
      </c>
      <c r="T57">
        <v>23</v>
      </c>
      <c r="U57">
        <v>29</v>
      </c>
      <c r="V57">
        <v>23</v>
      </c>
      <c r="W57">
        <v>22</v>
      </c>
      <c r="X57">
        <v>21</v>
      </c>
      <c r="Y57">
        <v>0</v>
      </c>
      <c r="Z57">
        <v>74</v>
      </c>
      <c r="AA57">
        <v>30</v>
      </c>
      <c r="AB57">
        <v>88</v>
      </c>
      <c r="AC57">
        <v>57</v>
      </c>
      <c r="AD57">
        <v>5</v>
      </c>
      <c r="AE57">
        <v>20</v>
      </c>
      <c r="AF57">
        <v>66</v>
      </c>
      <c r="AG57">
        <v>18</v>
      </c>
      <c r="AH57">
        <v>50</v>
      </c>
      <c r="AI57">
        <v>29</v>
      </c>
      <c r="AJ57">
        <v>27</v>
      </c>
      <c r="AK57">
        <v>7</v>
      </c>
      <c r="AL57">
        <v>27</v>
      </c>
      <c r="AM57">
        <v>22</v>
      </c>
      <c r="AN57">
        <v>43</v>
      </c>
      <c r="AO57">
        <v>7</v>
      </c>
      <c r="AP57">
        <v>7</v>
      </c>
      <c r="AQ57">
        <v>5</v>
      </c>
      <c r="AR57">
        <v>0</v>
      </c>
      <c r="AS57">
        <v>1</v>
      </c>
      <c r="AT57">
        <v>93</v>
      </c>
      <c r="AU57">
        <v>-1</v>
      </c>
      <c r="AV57">
        <v>1</v>
      </c>
      <c r="AW57">
        <v>-1</v>
      </c>
      <c r="AX57">
        <v>1</v>
      </c>
      <c r="AY57">
        <v>0</v>
      </c>
      <c r="AZ57">
        <v>6</v>
      </c>
      <c r="BA57">
        <v>63</v>
      </c>
      <c r="BB57">
        <v>85</v>
      </c>
      <c r="BC57">
        <v>82</v>
      </c>
      <c r="BD57">
        <v>68</v>
      </c>
      <c r="BE57">
        <v>20</v>
      </c>
      <c r="BF57">
        <v>13</v>
      </c>
      <c r="BG57">
        <v>5</v>
      </c>
      <c r="BH57">
        <v>16</v>
      </c>
      <c r="BI57">
        <v>9</v>
      </c>
      <c r="BJ57">
        <v>71</v>
      </c>
      <c r="BK57" t="str">
        <f t="shared" si="12"/>
        <v>NA</v>
      </c>
      <c r="BL57" t="str">
        <f t="shared" si="12"/>
        <v>NA</v>
      </c>
      <c r="BM57" t="str">
        <f t="shared" si="12"/>
        <v>NA</v>
      </c>
      <c r="BN57" t="str">
        <f t="shared" si="12"/>
        <v>NA</v>
      </c>
      <c r="BO57" t="str">
        <f t="shared" si="12"/>
        <v>NA</v>
      </c>
      <c r="BP57" t="str">
        <f t="shared" si="10"/>
        <v>IL</v>
      </c>
      <c r="BQ57" t="str">
        <f t="shared" si="11"/>
        <v>NA</v>
      </c>
      <c r="BR57" t="str">
        <f t="shared" si="11"/>
        <v>NA</v>
      </c>
    </row>
    <row r="58" spans="1:70">
      <c r="A58">
        <v>9</v>
      </c>
      <c r="B58" t="str">
        <f t="shared" si="7"/>
        <v>Summary of All HUD Programs</v>
      </c>
      <c r="C58">
        <v>1</v>
      </c>
      <c r="D58" t="str">
        <f t="shared" si="8"/>
        <v>NA</v>
      </c>
      <c r="E58" t="str">
        <f>"109 McDonough County"</f>
        <v>109 McDonough County</v>
      </c>
      <c r="F58" t="str">
        <f>"17109"</f>
        <v>17109</v>
      </c>
      <c r="G58">
        <v>812</v>
      </c>
      <c r="H58">
        <v>86</v>
      </c>
      <c r="I58">
        <v>706</v>
      </c>
      <c r="J58">
        <v>100</v>
      </c>
      <c r="K58">
        <v>6</v>
      </c>
      <c r="L58">
        <v>20</v>
      </c>
      <c r="M58">
        <v>1.6</v>
      </c>
      <c r="N58">
        <v>1157</v>
      </c>
      <c r="O58">
        <v>267</v>
      </c>
      <c r="P58">
        <v>538</v>
      </c>
      <c r="Q58">
        <v>11877</v>
      </c>
      <c r="R58">
        <v>7247</v>
      </c>
      <c r="S58">
        <v>9</v>
      </c>
      <c r="T58">
        <v>31</v>
      </c>
      <c r="U58">
        <v>30</v>
      </c>
      <c r="V58">
        <v>19</v>
      </c>
      <c r="W58">
        <v>11</v>
      </c>
      <c r="X58">
        <v>23</v>
      </c>
      <c r="Y58">
        <v>2</v>
      </c>
      <c r="Z58">
        <v>68</v>
      </c>
      <c r="AA58">
        <v>27</v>
      </c>
      <c r="AB58">
        <v>93</v>
      </c>
      <c r="AC58">
        <v>62</v>
      </c>
      <c r="AD58">
        <v>4</v>
      </c>
      <c r="AE58">
        <v>23</v>
      </c>
      <c r="AF58">
        <v>69</v>
      </c>
      <c r="AG58">
        <v>23</v>
      </c>
      <c r="AH58">
        <v>43</v>
      </c>
      <c r="AI58">
        <v>17</v>
      </c>
      <c r="AJ58">
        <v>22</v>
      </c>
      <c r="AK58">
        <v>8</v>
      </c>
      <c r="AL58">
        <v>39</v>
      </c>
      <c r="AM58">
        <v>19</v>
      </c>
      <c r="AN58">
        <v>34</v>
      </c>
      <c r="AO58">
        <v>5</v>
      </c>
      <c r="AP58">
        <v>23</v>
      </c>
      <c r="AQ58">
        <v>20</v>
      </c>
      <c r="AR58">
        <v>1</v>
      </c>
      <c r="AS58">
        <v>0</v>
      </c>
      <c r="AT58">
        <v>76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5</v>
      </c>
      <c r="BA58">
        <v>57</v>
      </c>
      <c r="BB58">
        <v>55</v>
      </c>
      <c r="BC58">
        <v>75</v>
      </c>
      <c r="BD58">
        <v>65</v>
      </c>
      <c r="BE58">
        <v>17</v>
      </c>
      <c r="BF58">
        <v>17</v>
      </c>
      <c r="BG58">
        <v>8</v>
      </c>
      <c r="BH58">
        <v>33</v>
      </c>
      <c r="BI58">
        <v>13</v>
      </c>
      <c r="BJ58">
        <v>56</v>
      </c>
      <c r="BK58" t="str">
        <f t="shared" si="12"/>
        <v>NA</v>
      </c>
      <c r="BL58" t="str">
        <f t="shared" si="12"/>
        <v>NA</v>
      </c>
      <c r="BM58" t="str">
        <f t="shared" si="12"/>
        <v>NA</v>
      </c>
      <c r="BN58" t="str">
        <f t="shared" si="12"/>
        <v>NA</v>
      </c>
      <c r="BO58" t="str">
        <f t="shared" si="12"/>
        <v>NA</v>
      </c>
      <c r="BP58" t="str">
        <f t="shared" si="10"/>
        <v>IL</v>
      </c>
      <c r="BQ58" t="str">
        <f t="shared" si="11"/>
        <v>NA</v>
      </c>
      <c r="BR58" t="str">
        <f t="shared" si="11"/>
        <v>NA</v>
      </c>
    </row>
    <row r="59" spans="1:70">
      <c r="A59">
        <v>9</v>
      </c>
      <c r="B59" t="str">
        <f t="shared" si="7"/>
        <v>Summary of All HUD Programs</v>
      </c>
      <c r="C59">
        <v>1</v>
      </c>
      <c r="D59" t="str">
        <f t="shared" si="8"/>
        <v>NA</v>
      </c>
      <c r="E59" t="str">
        <f>"113 McLean County"</f>
        <v>113 McLean County</v>
      </c>
      <c r="F59" t="str">
        <f>"17113"</f>
        <v>17113</v>
      </c>
      <c r="G59">
        <v>2071</v>
      </c>
      <c r="H59">
        <v>92</v>
      </c>
      <c r="I59">
        <v>1911</v>
      </c>
      <c r="J59">
        <v>100</v>
      </c>
      <c r="K59">
        <v>5</v>
      </c>
      <c r="L59">
        <v>12</v>
      </c>
      <c r="M59">
        <v>2</v>
      </c>
      <c r="N59">
        <v>3789</v>
      </c>
      <c r="O59">
        <v>301</v>
      </c>
      <c r="P59">
        <v>532</v>
      </c>
      <c r="Q59">
        <v>12908</v>
      </c>
      <c r="R59">
        <v>6510</v>
      </c>
      <c r="S59">
        <v>9</v>
      </c>
      <c r="T59">
        <v>31</v>
      </c>
      <c r="U59">
        <v>23</v>
      </c>
      <c r="V59">
        <v>18</v>
      </c>
      <c r="W59">
        <v>19</v>
      </c>
      <c r="X59">
        <v>30</v>
      </c>
      <c r="Y59">
        <v>3</v>
      </c>
      <c r="Z59">
        <v>59</v>
      </c>
      <c r="AA59">
        <v>19</v>
      </c>
      <c r="AB59">
        <v>99</v>
      </c>
      <c r="AC59">
        <v>85</v>
      </c>
      <c r="AD59">
        <v>2</v>
      </c>
      <c r="AE59">
        <v>37</v>
      </c>
      <c r="AF59">
        <v>76</v>
      </c>
      <c r="AG59">
        <v>37</v>
      </c>
      <c r="AH59">
        <v>36</v>
      </c>
      <c r="AI59">
        <v>32</v>
      </c>
      <c r="AJ59">
        <v>19</v>
      </c>
      <c r="AK59">
        <v>6</v>
      </c>
      <c r="AL59">
        <v>44</v>
      </c>
      <c r="AM59">
        <v>22</v>
      </c>
      <c r="AN59">
        <v>28</v>
      </c>
      <c r="AO59">
        <v>4</v>
      </c>
      <c r="AP59">
        <v>50</v>
      </c>
      <c r="AQ59">
        <v>49</v>
      </c>
      <c r="AR59">
        <v>0</v>
      </c>
      <c r="AS59">
        <v>0</v>
      </c>
      <c r="AT59">
        <v>49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15</v>
      </c>
      <c r="BA59">
        <v>77</v>
      </c>
      <c r="BB59">
        <v>89</v>
      </c>
      <c r="BC59">
        <v>87</v>
      </c>
      <c r="BD59">
        <v>52</v>
      </c>
      <c r="BE59">
        <v>27</v>
      </c>
      <c r="BF59">
        <v>21</v>
      </c>
      <c r="BG59">
        <v>6</v>
      </c>
      <c r="BH59">
        <v>27</v>
      </c>
      <c r="BI59">
        <v>28</v>
      </c>
      <c r="BJ59">
        <v>49</v>
      </c>
      <c r="BK59" t="str">
        <f t="shared" si="12"/>
        <v>NA</v>
      </c>
      <c r="BL59" t="str">
        <f t="shared" si="12"/>
        <v>NA</v>
      </c>
      <c r="BM59" t="str">
        <f t="shared" si="12"/>
        <v>NA</v>
      </c>
      <c r="BN59" t="str">
        <f t="shared" si="12"/>
        <v>NA</v>
      </c>
      <c r="BO59" t="str">
        <f t="shared" si="12"/>
        <v>NA</v>
      </c>
      <c r="BP59" t="str">
        <f t="shared" si="10"/>
        <v>IL</v>
      </c>
      <c r="BQ59" t="str">
        <f t="shared" si="11"/>
        <v>NA</v>
      </c>
      <c r="BR59" t="str">
        <f t="shared" si="11"/>
        <v>NA</v>
      </c>
    </row>
    <row r="60" spans="1:70">
      <c r="A60">
        <v>9</v>
      </c>
      <c r="B60" t="str">
        <f t="shared" si="7"/>
        <v>Summary of All HUD Programs</v>
      </c>
      <c r="C60">
        <v>1</v>
      </c>
      <c r="D60" t="str">
        <f t="shared" si="8"/>
        <v>NA</v>
      </c>
      <c r="E60" t="str">
        <f>"115 Macon County"</f>
        <v>115 Macon County</v>
      </c>
      <c r="F60" t="str">
        <f>"17115"</f>
        <v>17115</v>
      </c>
      <c r="G60">
        <v>3010</v>
      </c>
      <c r="H60">
        <v>91</v>
      </c>
      <c r="I60">
        <v>2753</v>
      </c>
      <c r="J60">
        <v>100</v>
      </c>
      <c r="K60">
        <v>5</v>
      </c>
      <c r="L60">
        <v>20</v>
      </c>
      <c r="M60">
        <v>2</v>
      </c>
      <c r="N60">
        <v>5439</v>
      </c>
      <c r="O60">
        <v>260</v>
      </c>
      <c r="P60">
        <v>559</v>
      </c>
      <c r="Q60">
        <v>10779</v>
      </c>
      <c r="R60">
        <v>5456</v>
      </c>
      <c r="S60">
        <v>13</v>
      </c>
      <c r="T60">
        <v>36</v>
      </c>
      <c r="U60">
        <v>25</v>
      </c>
      <c r="V60">
        <v>14</v>
      </c>
      <c r="W60">
        <v>12</v>
      </c>
      <c r="X60">
        <v>26</v>
      </c>
      <c r="Y60">
        <v>5</v>
      </c>
      <c r="Z60">
        <v>60</v>
      </c>
      <c r="AA60">
        <v>23</v>
      </c>
      <c r="AB60">
        <v>95</v>
      </c>
      <c r="AC60">
        <v>71</v>
      </c>
      <c r="AD60">
        <v>1</v>
      </c>
      <c r="AE60">
        <v>40</v>
      </c>
      <c r="AF60">
        <v>77</v>
      </c>
      <c r="AG60">
        <v>40</v>
      </c>
      <c r="AH60">
        <v>33</v>
      </c>
      <c r="AI60">
        <v>44</v>
      </c>
      <c r="AJ60">
        <v>20</v>
      </c>
      <c r="AK60">
        <v>13</v>
      </c>
      <c r="AL60">
        <v>42</v>
      </c>
      <c r="AM60">
        <v>20</v>
      </c>
      <c r="AN60">
        <v>25</v>
      </c>
      <c r="AO60">
        <v>2</v>
      </c>
      <c r="AP60">
        <v>59</v>
      </c>
      <c r="AQ60">
        <v>57</v>
      </c>
      <c r="AR60">
        <v>0</v>
      </c>
      <c r="AS60">
        <v>0</v>
      </c>
      <c r="AT60">
        <v>40</v>
      </c>
      <c r="AU60">
        <v>1</v>
      </c>
      <c r="AV60">
        <v>1</v>
      </c>
      <c r="AW60">
        <v>0</v>
      </c>
      <c r="AX60">
        <v>1</v>
      </c>
      <c r="AY60">
        <v>2</v>
      </c>
      <c r="AZ60">
        <v>13</v>
      </c>
      <c r="BA60">
        <v>63</v>
      </c>
      <c r="BB60">
        <v>98</v>
      </c>
      <c r="BC60">
        <v>114</v>
      </c>
      <c r="BD60">
        <v>51</v>
      </c>
      <c r="BE60">
        <v>28</v>
      </c>
      <c r="BF60">
        <v>21</v>
      </c>
      <c r="BG60">
        <v>7</v>
      </c>
      <c r="BH60">
        <v>38</v>
      </c>
      <c r="BI60">
        <v>42</v>
      </c>
      <c r="BJ60">
        <v>57</v>
      </c>
      <c r="BK60" t="str">
        <f t="shared" si="12"/>
        <v>NA</v>
      </c>
      <c r="BL60" t="str">
        <f t="shared" si="12"/>
        <v>NA</v>
      </c>
      <c r="BM60" t="str">
        <f t="shared" si="12"/>
        <v>NA</v>
      </c>
      <c r="BN60" t="str">
        <f t="shared" si="12"/>
        <v>NA</v>
      </c>
      <c r="BO60" t="str">
        <f t="shared" si="12"/>
        <v>NA</v>
      </c>
      <c r="BP60" t="str">
        <f t="shared" si="10"/>
        <v>IL</v>
      </c>
      <c r="BQ60" t="str">
        <f t="shared" si="11"/>
        <v>NA</v>
      </c>
      <c r="BR60" t="str">
        <f t="shared" si="11"/>
        <v>NA</v>
      </c>
    </row>
    <row r="61" spans="1:70">
      <c r="A61">
        <v>9</v>
      </c>
      <c r="B61" t="str">
        <f t="shared" si="7"/>
        <v>Summary of All HUD Programs</v>
      </c>
      <c r="C61">
        <v>1</v>
      </c>
      <c r="D61" t="str">
        <f t="shared" si="8"/>
        <v>NA</v>
      </c>
      <c r="E61" t="str">
        <f>"117 Macoupin County"</f>
        <v>117 Macoupin County</v>
      </c>
      <c r="F61" t="str">
        <f>"17117"</f>
        <v>17117</v>
      </c>
      <c r="G61">
        <v>410</v>
      </c>
      <c r="H61">
        <v>89</v>
      </c>
      <c r="I61">
        <v>364</v>
      </c>
      <c r="J61">
        <v>100</v>
      </c>
      <c r="K61">
        <v>5</v>
      </c>
      <c r="L61">
        <v>25</v>
      </c>
      <c r="M61">
        <v>1.8</v>
      </c>
      <c r="N61">
        <v>670</v>
      </c>
      <c r="O61">
        <v>275</v>
      </c>
      <c r="P61">
        <v>374</v>
      </c>
      <c r="Q61">
        <v>13702</v>
      </c>
      <c r="R61">
        <v>7444</v>
      </c>
      <c r="S61">
        <v>9</v>
      </c>
      <c r="T61">
        <v>30</v>
      </c>
      <c r="U61">
        <v>26</v>
      </c>
      <c r="V61">
        <v>16</v>
      </c>
      <c r="W61">
        <v>20</v>
      </c>
      <c r="X61">
        <v>29</v>
      </c>
      <c r="Y61">
        <v>1</v>
      </c>
      <c r="Z61">
        <v>66</v>
      </c>
      <c r="AA61">
        <v>28</v>
      </c>
      <c r="AB61">
        <v>91</v>
      </c>
      <c r="AC61">
        <v>62</v>
      </c>
      <c r="AD61">
        <v>7</v>
      </c>
      <c r="AE61">
        <v>24</v>
      </c>
      <c r="AF61">
        <v>77</v>
      </c>
      <c r="AG61">
        <v>27</v>
      </c>
      <c r="AH61">
        <v>34</v>
      </c>
      <c r="AI61">
        <v>34</v>
      </c>
      <c r="AJ61">
        <v>21</v>
      </c>
      <c r="AK61">
        <v>8</v>
      </c>
      <c r="AL61">
        <v>36</v>
      </c>
      <c r="AM61">
        <v>21</v>
      </c>
      <c r="AN61">
        <v>35</v>
      </c>
      <c r="AO61">
        <v>3</v>
      </c>
      <c r="AP61">
        <v>3</v>
      </c>
      <c r="AQ61">
        <v>2</v>
      </c>
      <c r="AR61">
        <v>1</v>
      </c>
      <c r="AS61">
        <v>-1</v>
      </c>
      <c r="AT61">
        <v>97</v>
      </c>
      <c r="AU61">
        <v>-1</v>
      </c>
      <c r="AV61">
        <v>1</v>
      </c>
      <c r="AW61">
        <v>-1</v>
      </c>
      <c r="AX61">
        <v>1</v>
      </c>
      <c r="AY61">
        <v>1</v>
      </c>
      <c r="AZ61">
        <v>11</v>
      </c>
      <c r="BA61">
        <v>65</v>
      </c>
      <c r="BB61">
        <v>100</v>
      </c>
      <c r="BC61">
        <v>119</v>
      </c>
      <c r="BD61">
        <v>36</v>
      </c>
      <c r="BE61">
        <v>39</v>
      </c>
      <c r="BF61">
        <v>25</v>
      </c>
      <c r="BG61">
        <v>28</v>
      </c>
      <c r="BH61">
        <v>15</v>
      </c>
      <c r="BI61">
        <v>3</v>
      </c>
      <c r="BJ61">
        <v>79</v>
      </c>
      <c r="BK61" t="str">
        <f t="shared" si="12"/>
        <v>NA</v>
      </c>
      <c r="BL61" t="str">
        <f t="shared" si="12"/>
        <v>NA</v>
      </c>
      <c r="BM61" t="str">
        <f t="shared" si="12"/>
        <v>NA</v>
      </c>
      <c r="BN61" t="str">
        <f t="shared" si="12"/>
        <v>NA</v>
      </c>
      <c r="BO61" t="str">
        <f t="shared" si="12"/>
        <v>NA</v>
      </c>
      <c r="BP61" t="str">
        <f t="shared" si="10"/>
        <v>IL</v>
      </c>
      <c r="BQ61" t="str">
        <f t="shared" si="11"/>
        <v>NA</v>
      </c>
      <c r="BR61" t="str">
        <f t="shared" si="11"/>
        <v>NA</v>
      </c>
    </row>
    <row r="62" spans="1:70">
      <c r="A62">
        <v>9</v>
      </c>
      <c r="B62" t="str">
        <f t="shared" si="7"/>
        <v>Summary of All HUD Programs</v>
      </c>
      <c r="C62">
        <v>1</v>
      </c>
      <c r="D62" t="str">
        <f t="shared" si="8"/>
        <v>NA</v>
      </c>
      <c r="E62" t="str">
        <f>"119 Madison County"</f>
        <v>119 Madison County</v>
      </c>
      <c r="F62" t="str">
        <f>"17119"</f>
        <v>17119</v>
      </c>
      <c r="G62">
        <v>3326</v>
      </c>
      <c r="H62">
        <v>90</v>
      </c>
      <c r="I62">
        <v>2999</v>
      </c>
      <c r="J62">
        <v>100</v>
      </c>
      <c r="K62">
        <v>6</v>
      </c>
      <c r="L62">
        <v>21</v>
      </c>
      <c r="M62">
        <v>1.8</v>
      </c>
      <c r="N62">
        <v>5462</v>
      </c>
      <c r="O62">
        <v>307</v>
      </c>
      <c r="P62">
        <v>566</v>
      </c>
      <c r="Q62">
        <v>13389</v>
      </c>
      <c r="R62">
        <v>7352</v>
      </c>
      <c r="S62">
        <v>6</v>
      </c>
      <c r="T62">
        <v>33</v>
      </c>
      <c r="U62">
        <v>25</v>
      </c>
      <c r="V62">
        <v>18</v>
      </c>
      <c r="W62">
        <v>17</v>
      </c>
      <c r="X62">
        <v>28</v>
      </c>
      <c r="Y62">
        <v>2</v>
      </c>
      <c r="Z62">
        <v>67</v>
      </c>
      <c r="AA62">
        <v>25</v>
      </c>
      <c r="AB62">
        <v>96</v>
      </c>
      <c r="AC62">
        <v>71</v>
      </c>
      <c r="AD62">
        <v>2</v>
      </c>
      <c r="AE62">
        <v>33</v>
      </c>
      <c r="AF62">
        <v>81</v>
      </c>
      <c r="AG62">
        <v>33</v>
      </c>
      <c r="AH62">
        <v>39</v>
      </c>
      <c r="AI62">
        <v>30</v>
      </c>
      <c r="AJ62">
        <v>21</v>
      </c>
      <c r="AK62">
        <v>7</v>
      </c>
      <c r="AL62">
        <v>37</v>
      </c>
      <c r="AM62">
        <v>19</v>
      </c>
      <c r="AN62">
        <v>37</v>
      </c>
      <c r="AO62">
        <v>5</v>
      </c>
      <c r="AP62">
        <v>49</v>
      </c>
      <c r="AQ62">
        <v>45</v>
      </c>
      <c r="AR62">
        <v>0</v>
      </c>
      <c r="AS62">
        <v>0</v>
      </c>
      <c r="AT62">
        <v>50</v>
      </c>
      <c r="AU62">
        <v>2</v>
      </c>
      <c r="AV62">
        <v>1</v>
      </c>
      <c r="AW62">
        <v>0</v>
      </c>
      <c r="AX62">
        <v>4</v>
      </c>
      <c r="AY62">
        <v>0</v>
      </c>
      <c r="AZ62">
        <v>17</v>
      </c>
      <c r="BA62">
        <v>73</v>
      </c>
      <c r="BB62">
        <v>86</v>
      </c>
      <c r="BC62">
        <v>127</v>
      </c>
      <c r="BD62">
        <v>51</v>
      </c>
      <c r="BE62">
        <v>29</v>
      </c>
      <c r="BF62">
        <v>19</v>
      </c>
      <c r="BG62">
        <v>12</v>
      </c>
      <c r="BH62">
        <v>22</v>
      </c>
      <c r="BI62">
        <v>27</v>
      </c>
      <c r="BJ62">
        <v>74</v>
      </c>
      <c r="BK62" t="str">
        <f t="shared" si="12"/>
        <v>NA</v>
      </c>
      <c r="BL62" t="str">
        <f t="shared" si="12"/>
        <v>NA</v>
      </c>
      <c r="BM62" t="str">
        <f t="shared" si="12"/>
        <v>NA</v>
      </c>
      <c r="BN62" t="str">
        <f t="shared" si="12"/>
        <v>NA</v>
      </c>
      <c r="BO62" t="str">
        <f t="shared" si="12"/>
        <v>NA</v>
      </c>
      <c r="BP62" t="str">
        <f t="shared" si="10"/>
        <v>IL</v>
      </c>
      <c r="BQ62" t="str">
        <f t="shared" si="11"/>
        <v>NA</v>
      </c>
      <c r="BR62" t="str">
        <f t="shared" si="11"/>
        <v>NA</v>
      </c>
    </row>
    <row r="63" spans="1:70">
      <c r="A63">
        <v>9</v>
      </c>
      <c r="B63" t="str">
        <f t="shared" si="7"/>
        <v>Summary of All HUD Programs</v>
      </c>
      <c r="C63">
        <v>1</v>
      </c>
      <c r="D63" t="str">
        <f t="shared" si="8"/>
        <v>NA</v>
      </c>
      <c r="E63" t="str">
        <f>"121 Marion County"</f>
        <v>121 Marion County</v>
      </c>
      <c r="F63" t="str">
        <f>"17121"</f>
        <v>17121</v>
      </c>
      <c r="G63">
        <v>726</v>
      </c>
      <c r="H63">
        <v>96</v>
      </c>
      <c r="I63">
        <v>698</v>
      </c>
      <c r="J63">
        <v>100</v>
      </c>
      <c r="K63">
        <v>6</v>
      </c>
      <c r="L63">
        <v>21</v>
      </c>
      <c r="M63">
        <v>1.9</v>
      </c>
      <c r="N63">
        <v>1357</v>
      </c>
      <c r="O63">
        <v>242</v>
      </c>
      <c r="P63">
        <v>402</v>
      </c>
      <c r="Q63">
        <v>10440</v>
      </c>
      <c r="R63">
        <v>5370</v>
      </c>
      <c r="S63">
        <v>15</v>
      </c>
      <c r="T63">
        <v>39</v>
      </c>
      <c r="U63">
        <v>25</v>
      </c>
      <c r="V63">
        <v>13</v>
      </c>
      <c r="W63">
        <v>8</v>
      </c>
      <c r="X63">
        <v>22</v>
      </c>
      <c r="Y63">
        <v>4</v>
      </c>
      <c r="Z63">
        <v>69</v>
      </c>
      <c r="AA63">
        <v>23</v>
      </c>
      <c r="AB63">
        <v>97</v>
      </c>
      <c r="AC63">
        <v>75</v>
      </c>
      <c r="AD63">
        <v>4</v>
      </c>
      <c r="AE63">
        <v>32</v>
      </c>
      <c r="AF63">
        <v>75</v>
      </c>
      <c r="AG63">
        <v>33</v>
      </c>
      <c r="AH63">
        <v>34</v>
      </c>
      <c r="AI63">
        <v>41</v>
      </c>
      <c r="AJ63">
        <v>20</v>
      </c>
      <c r="AK63">
        <v>8</v>
      </c>
      <c r="AL63">
        <v>41</v>
      </c>
      <c r="AM63">
        <v>20</v>
      </c>
      <c r="AN63">
        <v>32</v>
      </c>
      <c r="AO63">
        <v>4</v>
      </c>
      <c r="AP63">
        <v>24</v>
      </c>
      <c r="AQ63">
        <v>21</v>
      </c>
      <c r="AR63">
        <v>-1</v>
      </c>
      <c r="AS63">
        <v>0</v>
      </c>
      <c r="AT63">
        <v>76</v>
      </c>
      <c r="AU63">
        <v>-1</v>
      </c>
      <c r="AV63">
        <v>2</v>
      </c>
      <c r="AW63">
        <v>-1</v>
      </c>
      <c r="AX63">
        <v>2</v>
      </c>
      <c r="AY63">
        <v>0</v>
      </c>
      <c r="AZ63">
        <v>8</v>
      </c>
      <c r="BA63">
        <v>72</v>
      </c>
      <c r="BB63">
        <v>96</v>
      </c>
      <c r="BC63">
        <v>118</v>
      </c>
      <c r="BD63">
        <v>43</v>
      </c>
      <c r="BE63">
        <v>29</v>
      </c>
      <c r="BF63">
        <v>28</v>
      </c>
      <c r="BG63">
        <v>20</v>
      </c>
      <c r="BH63">
        <v>26</v>
      </c>
      <c r="BI63">
        <v>13</v>
      </c>
      <c r="BJ63">
        <v>65</v>
      </c>
      <c r="BK63" t="str">
        <f t="shared" ref="BK63:BO72" si="20">"NA"</f>
        <v>NA</v>
      </c>
      <c r="BL63" t="str">
        <f t="shared" si="20"/>
        <v>NA</v>
      </c>
      <c r="BM63" t="str">
        <f t="shared" si="20"/>
        <v>NA</v>
      </c>
      <c r="BN63" t="str">
        <f t="shared" si="20"/>
        <v>NA</v>
      </c>
      <c r="BO63" t="str">
        <f t="shared" si="20"/>
        <v>NA</v>
      </c>
      <c r="BP63" t="str">
        <f t="shared" si="10"/>
        <v>IL</v>
      </c>
      <c r="BQ63" t="str">
        <f t="shared" ref="BQ63:BR82" si="21">"NA"</f>
        <v>NA</v>
      </c>
      <c r="BR63" t="str">
        <f t="shared" si="21"/>
        <v>NA</v>
      </c>
    </row>
    <row r="64" spans="1:70">
      <c r="A64">
        <v>9</v>
      </c>
      <c r="B64" t="str">
        <f t="shared" si="7"/>
        <v>Summary of All HUD Programs</v>
      </c>
      <c r="C64">
        <v>1</v>
      </c>
      <c r="D64" t="str">
        <f t="shared" si="8"/>
        <v>NA</v>
      </c>
      <c r="E64" t="str">
        <f>"123 Marshall County"</f>
        <v>123 Marshall County</v>
      </c>
      <c r="F64" t="str">
        <f>"17123"</f>
        <v>17123</v>
      </c>
      <c r="G64">
        <v>49</v>
      </c>
      <c r="H64">
        <v>92</v>
      </c>
      <c r="I64">
        <v>45</v>
      </c>
      <c r="J64">
        <v>99</v>
      </c>
      <c r="K64">
        <v>5</v>
      </c>
      <c r="L64">
        <v>27</v>
      </c>
      <c r="M64">
        <v>1</v>
      </c>
      <c r="N64">
        <v>47</v>
      </c>
      <c r="O64">
        <v>318</v>
      </c>
      <c r="P64">
        <v>359</v>
      </c>
      <c r="Q64">
        <v>14604</v>
      </c>
      <c r="R64">
        <v>13983</v>
      </c>
      <c r="S64">
        <v>-1</v>
      </c>
      <c r="T64">
        <v>20</v>
      </c>
      <c r="U64">
        <v>31</v>
      </c>
      <c r="V64">
        <v>31</v>
      </c>
      <c r="W64">
        <v>18</v>
      </c>
      <c r="X64">
        <v>2</v>
      </c>
      <c r="Y64">
        <v>-1</v>
      </c>
      <c r="Z64">
        <v>98</v>
      </c>
      <c r="AA64">
        <v>30</v>
      </c>
      <c r="AB64">
        <v>98</v>
      </c>
      <c r="AC64">
        <v>51</v>
      </c>
      <c r="AD64">
        <v>-1</v>
      </c>
      <c r="AE64">
        <v>-1</v>
      </c>
      <c r="AF64">
        <v>64</v>
      </c>
      <c r="AG64">
        <v>-1</v>
      </c>
      <c r="AH64">
        <v>100</v>
      </c>
      <c r="AI64">
        <v>10</v>
      </c>
      <c r="AJ64">
        <v>21</v>
      </c>
      <c r="AK64">
        <v>-1</v>
      </c>
      <c r="AL64">
        <v>4</v>
      </c>
      <c r="AM64">
        <v>9</v>
      </c>
      <c r="AN64">
        <v>87</v>
      </c>
      <c r="AO64">
        <v>13</v>
      </c>
      <c r="AP64">
        <v>4</v>
      </c>
      <c r="AQ64">
        <v>-1</v>
      </c>
      <c r="AR64">
        <v>-1</v>
      </c>
      <c r="AS64">
        <v>4</v>
      </c>
      <c r="AT64">
        <v>96</v>
      </c>
      <c r="AU64">
        <v>-1</v>
      </c>
      <c r="AV64">
        <v>-1</v>
      </c>
      <c r="AW64">
        <v>-1</v>
      </c>
      <c r="AX64">
        <v>0</v>
      </c>
      <c r="AY64">
        <v>0</v>
      </c>
      <c r="AZ64">
        <v>-1</v>
      </c>
      <c r="BA64">
        <v>61</v>
      </c>
      <c r="BB64">
        <v>100</v>
      </c>
      <c r="BC64">
        <v>74</v>
      </c>
      <c r="BD64">
        <v>96</v>
      </c>
      <c r="BE64">
        <v>4</v>
      </c>
      <c r="BF64">
        <v>-1</v>
      </c>
      <c r="BG64">
        <v>2</v>
      </c>
      <c r="BH64">
        <v>13</v>
      </c>
      <c r="BI64">
        <v>3</v>
      </c>
      <c r="BJ64">
        <v>79</v>
      </c>
      <c r="BK64" t="str">
        <f t="shared" si="20"/>
        <v>NA</v>
      </c>
      <c r="BL64" t="str">
        <f t="shared" si="20"/>
        <v>NA</v>
      </c>
      <c r="BM64" t="str">
        <f t="shared" si="20"/>
        <v>NA</v>
      </c>
      <c r="BN64" t="str">
        <f t="shared" si="20"/>
        <v>NA</v>
      </c>
      <c r="BO64" t="str">
        <f t="shared" si="20"/>
        <v>NA</v>
      </c>
      <c r="BP64" t="str">
        <f t="shared" si="10"/>
        <v>IL</v>
      </c>
      <c r="BQ64" t="str">
        <f t="shared" si="21"/>
        <v>NA</v>
      </c>
      <c r="BR64" t="str">
        <f t="shared" si="21"/>
        <v>NA</v>
      </c>
    </row>
    <row r="65" spans="1:70">
      <c r="A65">
        <v>9</v>
      </c>
      <c r="B65" t="str">
        <f t="shared" si="7"/>
        <v>Summary of All HUD Programs</v>
      </c>
      <c r="C65">
        <v>1</v>
      </c>
      <c r="D65" t="str">
        <f t="shared" si="8"/>
        <v>NA</v>
      </c>
      <c r="E65" t="str">
        <f>"125 Mason County"</f>
        <v>125 Mason County</v>
      </c>
      <c r="F65" t="str">
        <f>"17125"</f>
        <v>17125</v>
      </c>
      <c r="G65">
        <v>223</v>
      </c>
      <c r="H65">
        <v>73</v>
      </c>
      <c r="I65">
        <v>165</v>
      </c>
      <c r="J65">
        <v>100</v>
      </c>
      <c r="K65">
        <v>5</v>
      </c>
      <c r="L65">
        <v>24</v>
      </c>
      <c r="M65">
        <v>2.2000000000000002</v>
      </c>
      <c r="N65">
        <v>367</v>
      </c>
      <c r="O65">
        <v>239</v>
      </c>
      <c r="P65">
        <v>426</v>
      </c>
      <c r="Q65">
        <v>9639</v>
      </c>
      <c r="R65">
        <v>4333</v>
      </c>
      <c r="S65">
        <v>21</v>
      </c>
      <c r="T65">
        <v>40</v>
      </c>
      <c r="U65">
        <v>25</v>
      </c>
      <c r="V65">
        <v>10</v>
      </c>
      <c r="W65">
        <v>5</v>
      </c>
      <c r="X65">
        <v>32</v>
      </c>
      <c r="Y65">
        <v>1</v>
      </c>
      <c r="Z65">
        <v>67</v>
      </c>
      <c r="AA65">
        <v>21</v>
      </c>
      <c r="AB65">
        <v>98</v>
      </c>
      <c r="AC65">
        <v>80</v>
      </c>
      <c r="AD65">
        <v>6</v>
      </c>
      <c r="AE65">
        <v>41</v>
      </c>
      <c r="AF65">
        <v>78</v>
      </c>
      <c r="AG65">
        <v>39</v>
      </c>
      <c r="AH65">
        <v>24</v>
      </c>
      <c r="AI65">
        <v>50</v>
      </c>
      <c r="AJ65">
        <v>14</v>
      </c>
      <c r="AK65">
        <v>12</v>
      </c>
      <c r="AL65">
        <v>52</v>
      </c>
      <c r="AM65">
        <v>15</v>
      </c>
      <c r="AN65">
        <v>22</v>
      </c>
      <c r="AO65">
        <v>5</v>
      </c>
      <c r="AP65">
        <v>1</v>
      </c>
      <c r="AQ65">
        <v>1</v>
      </c>
      <c r="AR65">
        <v>-1</v>
      </c>
      <c r="AS65">
        <v>-1</v>
      </c>
      <c r="AT65">
        <v>99</v>
      </c>
      <c r="AU65">
        <v>-1</v>
      </c>
      <c r="AV65">
        <v>-1</v>
      </c>
      <c r="AW65">
        <v>-1</v>
      </c>
      <c r="AX65">
        <v>0</v>
      </c>
      <c r="AY65">
        <v>0</v>
      </c>
      <c r="AZ65">
        <v>12</v>
      </c>
      <c r="BA65">
        <v>59</v>
      </c>
      <c r="BB65">
        <v>86</v>
      </c>
      <c r="BC65">
        <v>109</v>
      </c>
      <c r="BD65">
        <v>27</v>
      </c>
      <c r="BE65">
        <v>35</v>
      </c>
      <c r="BF65">
        <v>38</v>
      </c>
      <c r="BG65">
        <v>25</v>
      </c>
      <c r="BH65">
        <v>21</v>
      </c>
      <c r="BI65">
        <v>2</v>
      </c>
      <c r="BJ65">
        <v>75</v>
      </c>
      <c r="BK65" t="str">
        <f t="shared" si="20"/>
        <v>NA</v>
      </c>
      <c r="BL65" t="str">
        <f t="shared" si="20"/>
        <v>NA</v>
      </c>
      <c r="BM65" t="str">
        <f t="shared" si="20"/>
        <v>NA</v>
      </c>
      <c r="BN65" t="str">
        <f t="shared" si="20"/>
        <v>NA</v>
      </c>
      <c r="BO65" t="str">
        <f t="shared" si="20"/>
        <v>NA</v>
      </c>
      <c r="BP65" t="str">
        <f t="shared" si="10"/>
        <v>IL</v>
      </c>
      <c r="BQ65" t="str">
        <f t="shared" si="21"/>
        <v>NA</v>
      </c>
      <c r="BR65" t="str">
        <f t="shared" si="21"/>
        <v>NA</v>
      </c>
    </row>
    <row r="66" spans="1:70">
      <c r="A66">
        <v>9</v>
      </c>
      <c r="B66" t="str">
        <f t="shared" si="7"/>
        <v>Summary of All HUD Programs</v>
      </c>
      <c r="C66">
        <v>1</v>
      </c>
      <c r="D66" t="str">
        <f t="shared" si="8"/>
        <v>NA</v>
      </c>
      <c r="E66" t="str">
        <f>"127 Massac County"</f>
        <v>127 Massac County</v>
      </c>
      <c r="F66" t="str">
        <f>"17127"</f>
        <v>17127</v>
      </c>
      <c r="G66">
        <v>293</v>
      </c>
      <c r="H66">
        <v>98</v>
      </c>
      <c r="I66">
        <v>287</v>
      </c>
      <c r="J66">
        <v>100</v>
      </c>
      <c r="K66">
        <v>5</v>
      </c>
      <c r="L66">
        <v>24</v>
      </c>
      <c r="M66">
        <v>1.9</v>
      </c>
      <c r="N66">
        <v>540</v>
      </c>
      <c r="O66">
        <v>274</v>
      </c>
      <c r="P66">
        <v>334</v>
      </c>
      <c r="Q66">
        <v>13610</v>
      </c>
      <c r="R66">
        <v>7234</v>
      </c>
      <c r="S66">
        <v>14</v>
      </c>
      <c r="T66">
        <v>33</v>
      </c>
      <c r="U66">
        <v>22</v>
      </c>
      <c r="V66">
        <v>13</v>
      </c>
      <c r="W66">
        <v>18</v>
      </c>
      <c r="X66">
        <v>31</v>
      </c>
      <c r="Y66">
        <v>1</v>
      </c>
      <c r="Z66">
        <v>67</v>
      </c>
      <c r="AA66">
        <v>30</v>
      </c>
      <c r="AB66">
        <v>86</v>
      </c>
      <c r="AC66">
        <v>67</v>
      </c>
      <c r="AD66">
        <v>6</v>
      </c>
      <c r="AE66">
        <v>28</v>
      </c>
      <c r="AF66">
        <v>66</v>
      </c>
      <c r="AG66">
        <v>29</v>
      </c>
      <c r="AH66">
        <v>30</v>
      </c>
      <c r="AI66">
        <v>38</v>
      </c>
      <c r="AJ66">
        <v>19</v>
      </c>
      <c r="AK66">
        <v>10</v>
      </c>
      <c r="AL66">
        <v>37</v>
      </c>
      <c r="AM66">
        <v>21</v>
      </c>
      <c r="AN66">
        <v>32</v>
      </c>
      <c r="AO66">
        <v>1</v>
      </c>
      <c r="AP66">
        <v>21</v>
      </c>
      <c r="AQ66">
        <v>18</v>
      </c>
      <c r="AR66">
        <v>-1</v>
      </c>
      <c r="AS66">
        <v>-1</v>
      </c>
      <c r="AT66">
        <v>79</v>
      </c>
      <c r="AU66">
        <v>0</v>
      </c>
      <c r="AV66">
        <v>2</v>
      </c>
      <c r="AW66">
        <v>-1</v>
      </c>
      <c r="AX66">
        <v>3</v>
      </c>
      <c r="AY66">
        <v>1</v>
      </c>
      <c r="AZ66">
        <v>38</v>
      </c>
      <c r="BA66">
        <v>75</v>
      </c>
      <c r="BB66">
        <v>45</v>
      </c>
      <c r="BC66">
        <v>108</v>
      </c>
      <c r="BD66">
        <v>52</v>
      </c>
      <c r="BE66">
        <v>30</v>
      </c>
      <c r="BF66">
        <v>17</v>
      </c>
      <c r="BG66">
        <v>10</v>
      </c>
      <c r="BH66">
        <v>23</v>
      </c>
      <c r="BI66">
        <v>13</v>
      </c>
      <c r="BJ66">
        <v>74</v>
      </c>
      <c r="BK66" t="str">
        <f t="shared" si="20"/>
        <v>NA</v>
      </c>
      <c r="BL66" t="str">
        <f t="shared" si="20"/>
        <v>NA</v>
      </c>
      <c r="BM66" t="str">
        <f t="shared" si="20"/>
        <v>NA</v>
      </c>
      <c r="BN66" t="str">
        <f t="shared" si="20"/>
        <v>NA</v>
      </c>
      <c r="BO66" t="str">
        <f t="shared" si="20"/>
        <v>NA</v>
      </c>
      <c r="BP66" t="str">
        <f t="shared" si="10"/>
        <v>IL</v>
      </c>
      <c r="BQ66" t="str">
        <f t="shared" si="21"/>
        <v>NA</v>
      </c>
      <c r="BR66" t="str">
        <f t="shared" si="21"/>
        <v>NA</v>
      </c>
    </row>
    <row r="67" spans="1:70">
      <c r="A67">
        <v>9</v>
      </c>
      <c r="B67" t="str">
        <f t="shared" ref="B67:B98" si="22">"Summary of All HUD Programs"</f>
        <v>Summary of All HUD Programs</v>
      </c>
      <c r="C67">
        <v>1</v>
      </c>
      <c r="D67" t="str">
        <f t="shared" ref="D67:D98" si="23">"NA"</f>
        <v>NA</v>
      </c>
      <c r="E67" t="str">
        <f>"129 Menard County"</f>
        <v>129 Menard County</v>
      </c>
      <c r="F67" t="str">
        <f>"17129"</f>
        <v>17129</v>
      </c>
      <c r="G67">
        <v>346</v>
      </c>
      <c r="H67">
        <v>76</v>
      </c>
      <c r="I67">
        <v>264</v>
      </c>
      <c r="J67">
        <v>100</v>
      </c>
      <c r="K67">
        <v>5</v>
      </c>
      <c r="L67">
        <v>17</v>
      </c>
      <c r="M67">
        <v>2.2000000000000002</v>
      </c>
      <c r="N67">
        <v>585</v>
      </c>
      <c r="O67">
        <v>299</v>
      </c>
      <c r="P67">
        <v>435</v>
      </c>
      <c r="Q67">
        <v>13445</v>
      </c>
      <c r="R67">
        <v>6068</v>
      </c>
      <c r="S67">
        <v>10</v>
      </c>
      <c r="T67">
        <v>28</v>
      </c>
      <c r="U67">
        <v>21</v>
      </c>
      <c r="V67">
        <v>20</v>
      </c>
      <c r="W67">
        <v>21</v>
      </c>
      <c r="X67">
        <v>34</v>
      </c>
      <c r="Y67">
        <v>-1</v>
      </c>
      <c r="Z67">
        <v>58</v>
      </c>
      <c r="AA67">
        <v>22</v>
      </c>
      <c r="AB67">
        <v>97</v>
      </c>
      <c r="AC67">
        <v>73</v>
      </c>
      <c r="AD67">
        <v>11</v>
      </c>
      <c r="AE67">
        <v>35</v>
      </c>
      <c r="AF67">
        <v>73</v>
      </c>
      <c r="AG67">
        <v>38</v>
      </c>
      <c r="AH67">
        <v>32</v>
      </c>
      <c r="AI67">
        <v>41</v>
      </c>
      <c r="AJ67">
        <v>19</v>
      </c>
      <c r="AK67">
        <v>9</v>
      </c>
      <c r="AL67">
        <v>48</v>
      </c>
      <c r="AM67">
        <v>19</v>
      </c>
      <c r="AN67">
        <v>25</v>
      </c>
      <c r="AO67">
        <v>3</v>
      </c>
      <c r="AP67">
        <v>6</v>
      </c>
      <c r="AQ67">
        <v>4</v>
      </c>
      <c r="AR67">
        <v>-1</v>
      </c>
      <c r="AS67">
        <v>0</v>
      </c>
      <c r="AT67">
        <v>94</v>
      </c>
      <c r="AU67">
        <v>-1</v>
      </c>
      <c r="AV67">
        <v>2</v>
      </c>
      <c r="AW67">
        <v>-1</v>
      </c>
      <c r="AX67">
        <v>2</v>
      </c>
      <c r="AY67">
        <v>0</v>
      </c>
      <c r="AZ67">
        <v>6</v>
      </c>
      <c r="BA67">
        <v>68</v>
      </c>
      <c r="BB67">
        <v>80</v>
      </c>
      <c r="BC67">
        <v>172</v>
      </c>
      <c r="BD67">
        <v>31</v>
      </c>
      <c r="BE67">
        <v>30</v>
      </c>
      <c r="BF67">
        <v>38</v>
      </c>
      <c r="BG67">
        <v>24</v>
      </c>
      <c r="BH67">
        <v>10</v>
      </c>
      <c r="BI67">
        <v>3</v>
      </c>
      <c r="BJ67">
        <v>80</v>
      </c>
      <c r="BK67" t="str">
        <f t="shared" si="20"/>
        <v>NA</v>
      </c>
      <c r="BL67" t="str">
        <f t="shared" si="20"/>
        <v>NA</v>
      </c>
      <c r="BM67" t="str">
        <f t="shared" si="20"/>
        <v>NA</v>
      </c>
      <c r="BN67" t="str">
        <f t="shared" si="20"/>
        <v>NA</v>
      </c>
      <c r="BO67" t="str">
        <f t="shared" si="20"/>
        <v>NA</v>
      </c>
      <c r="BP67" t="str">
        <f t="shared" ref="BP67:BP98" si="24">"IL"</f>
        <v>IL</v>
      </c>
      <c r="BQ67" t="str">
        <f t="shared" si="21"/>
        <v>NA</v>
      </c>
      <c r="BR67" t="str">
        <f t="shared" si="21"/>
        <v>NA</v>
      </c>
    </row>
    <row r="68" spans="1:70">
      <c r="A68">
        <v>9</v>
      </c>
      <c r="B68" t="str">
        <f t="shared" si="22"/>
        <v>Summary of All HUD Programs</v>
      </c>
      <c r="C68">
        <v>1</v>
      </c>
      <c r="D68" t="str">
        <f t="shared" si="23"/>
        <v>NA</v>
      </c>
      <c r="E68" t="str">
        <f>"131 Mercer County"</f>
        <v>131 Mercer County</v>
      </c>
      <c r="F68" t="str">
        <f>"17131"</f>
        <v>17131</v>
      </c>
      <c r="G68">
        <v>96</v>
      </c>
      <c r="H68">
        <v>85</v>
      </c>
      <c r="I68">
        <v>82</v>
      </c>
      <c r="J68">
        <v>100</v>
      </c>
      <c r="K68">
        <v>5</v>
      </c>
      <c r="L68">
        <v>21</v>
      </c>
      <c r="M68">
        <v>1.3</v>
      </c>
      <c r="N68">
        <v>107</v>
      </c>
      <c r="O68">
        <v>245</v>
      </c>
      <c r="P68">
        <v>302</v>
      </c>
      <c r="Q68">
        <v>11574</v>
      </c>
      <c r="R68">
        <v>8870</v>
      </c>
      <c r="S68">
        <v>6</v>
      </c>
      <c r="T68">
        <v>42</v>
      </c>
      <c r="U68">
        <v>27</v>
      </c>
      <c r="V68">
        <v>14</v>
      </c>
      <c r="W68">
        <v>10</v>
      </c>
      <c r="X68">
        <v>15</v>
      </c>
      <c r="Y68">
        <v>1</v>
      </c>
      <c r="Z68">
        <v>78</v>
      </c>
      <c r="AA68">
        <v>23</v>
      </c>
      <c r="AB68">
        <v>95</v>
      </c>
      <c r="AC68">
        <v>74</v>
      </c>
      <c r="AD68">
        <v>1</v>
      </c>
      <c r="AE68">
        <v>9</v>
      </c>
      <c r="AF68">
        <v>66</v>
      </c>
      <c r="AG68">
        <v>9</v>
      </c>
      <c r="AH68">
        <v>70</v>
      </c>
      <c r="AI68">
        <v>42</v>
      </c>
      <c r="AJ68">
        <v>44</v>
      </c>
      <c r="AK68">
        <v>1</v>
      </c>
      <c r="AL68">
        <v>26</v>
      </c>
      <c r="AM68">
        <v>29</v>
      </c>
      <c r="AN68">
        <v>44</v>
      </c>
      <c r="AO68">
        <v>11</v>
      </c>
      <c r="AP68">
        <v>5</v>
      </c>
      <c r="AQ68">
        <v>2</v>
      </c>
      <c r="AR68">
        <v>1</v>
      </c>
      <c r="AS68">
        <v>-1</v>
      </c>
      <c r="AT68">
        <v>95</v>
      </c>
      <c r="AU68">
        <v>-1</v>
      </c>
      <c r="AV68">
        <v>-1</v>
      </c>
      <c r="AW68">
        <v>1</v>
      </c>
      <c r="AX68">
        <v>1</v>
      </c>
      <c r="AY68">
        <v>1</v>
      </c>
      <c r="AZ68">
        <v>9</v>
      </c>
      <c r="BA68">
        <v>69</v>
      </c>
      <c r="BB68">
        <v>93</v>
      </c>
      <c r="BC68">
        <v>67</v>
      </c>
      <c r="BD68">
        <v>82</v>
      </c>
      <c r="BE68">
        <v>10</v>
      </c>
      <c r="BF68">
        <v>9</v>
      </c>
      <c r="BG68">
        <v>10</v>
      </c>
      <c r="BH68">
        <v>15</v>
      </c>
      <c r="BI68">
        <v>3</v>
      </c>
      <c r="BJ68">
        <v>80</v>
      </c>
      <c r="BK68" t="str">
        <f t="shared" si="20"/>
        <v>NA</v>
      </c>
      <c r="BL68" t="str">
        <f t="shared" si="20"/>
        <v>NA</v>
      </c>
      <c r="BM68" t="str">
        <f t="shared" si="20"/>
        <v>NA</v>
      </c>
      <c r="BN68" t="str">
        <f t="shared" si="20"/>
        <v>NA</v>
      </c>
      <c r="BO68" t="str">
        <f t="shared" si="20"/>
        <v>NA</v>
      </c>
      <c r="BP68" t="str">
        <f t="shared" si="24"/>
        <v>IL</v>
      </c>
      <c r="BQ68" t="str">
        <f t="shared" si="21"/>
        <v>NA</v>
      </c>
      <c r="BR68" t="str">
        <f t="shared" si="21"/>
        <v>NA</v>
      </c>
    </row>
    <row r="69" spans="1:70">
      <c r="A69">
        <v>9</v>
      </c>
      <c r="B69" t="str">
        <f t="shared" si="22"/>
        <v>Summary of All HUD Programs</v>
      </c>
      <c r="C69">
        <v>1</v>
      </c>
      <c r="D69" t="str">
        <f t="shared" si="23"/>
        <v>NA</v>
      </c>
      <c r="E69" t="str">
        <f>"133 Monroe County"</f>
        <v>133 Monroe County</v>
      </c>
      <c r="F69" t="str">
        <f>"17133"</f>
        <v>17133</v>
      </c>
      <c r="G69">
        <v>2</v>
      </c>
      <c r="H69">
        <v>-4</v>
      </c>
      <c r="I69">
        <v>1</v>
      </c>
      <c r="J69">
        <v>-4</v>
      </c>
      <c r="K69">
        <v>-4</v>
      </c>
      <c r="L69">
        <v>-4</v>
      </c>
      <c r="M69">
        <v>-4</v>
      </c>
      <c r="N69">
        <v>-4</v>
      </c>
      <c r="O69">
        <v>-4</v>
      </c>
      <c r="P69">
        <v>-4</v>
      </c>
      <c r="Q69">
        <v>-4</v>
      </c>
      <c r="R69">
        <v>-4</v>
      </c>
      <c r="S69">
        <v>-4</v>
      </c>
      <c r="T69">
        <v>-4</v>
      </c>
      <c r="U69">
        <v>-4</v>
      </c>
      <c r="V69">
        <v>-4</v>
      </c>
      <c r="W69">
        <v>-4</v>
      </c>
      <c r="X69">
        <v>-4</v>
      </c>
      <c r="Y69">
        <v>-4</v>
      </c>
      <c r="Z69">
        <v>-4</v>
      </c>
      <c r="AA69">
        <v>-4</v>
      </c>
      <c r="AB69">
        <v>-4</v>
      </c>
      <c r="AC69">
        <v>-4</v>
      </c>
      <c r="AD69">
        <v>-4</v>
      </c>
      <c r="AE69">
        <v>-4</v>
      </c>
      <c r="AF69">
        <v>-4</v>
      </c>
      <c r="AG69">
        <v>-4</v>
      </c>
      <c r="AH69">
        <v>-4</v>
      </c>
      <c r="AI69">
        <v>-4</v>
      </c>
      <c r="AJ69">
        <v>-4</v>
      </c>
      <c r="AK69">
        <v>-4</v>
      </c>
      <c r="AL69">
        <v>-4</v>
      </c>
      <c r="AM69">
        <v>-4</v>
      </c>
      <c r="AN69">
        <v>-4</v>
      </c>
      <c r="AO69">
        <v>-4</v>
      </c>
      <c r="AP69">
        <v>-4</v>
      </c>
      <c r="AQ69">
        <v>-4</v>
      </c>
      <c r="AR69">
        <v>-4</v>
      </c>
      <c r="AS69">
        <v>-4</v>
      </c>
      <c r="AT69">
        <v>-4</v>
      </c>
      <c r="AU69">
        <v>-4</v>
      </c>
      <c r="AV69">
        <v>-4</v>
      </c>
      <c r="AW69">
        <v>-4</v>
      </c>
      <c r="AX69">
        <v>-4</v>
      </c>
      <c r="AY69">
        <v>-4</v>
      </c>
      <c r="AZ69">
        <v>-4</v>
      </c>
      <c r="BA69">
        <v>-4</v>
      </c>
      <c r="BB69">
        <v>-4</v>
      </c>
      <c r="BC69">
        <v>-4</v>
      </c>
      <c r="BD69">
        <v>-4</v>
      </c>
      <c r="BE69">
        <v>-4</v>
      </c>
      <c r="BF69">
        <v>-4</v>
      </c>
      <c r="BG69">
        <v>-4</v>
      </c>
      <c r="BH69">
        <v>-4</v>
      </c>
      <c r="BI69">
        <v>-4</v>
      </c>
      <c r="BJ69">
        <v>-4</v>
      </c>
      <c r="BK69" t="str">
        <f t="shared" si="20"/>
        <v>NA</v>
      </c>
      <c r="BL69" t="str">
        <f t="shared" si="20"/>
        <v>NA</v>
      </c>
      <c r="BM69" t="str">
        <f t="shared" si="20"/>
        <v>NA</v>
      </c>
      <c r="BN69" t="str">
        <f t="shared" si="20"/>
        <v>NA</v>
      </c>
      <c r="BO69" t="str">
        <f t="shared" si="20"/>
        <v>NA</v>
      </c>
      <c r="BP69" t="str">
        <f t="shared" si="24"/>
        <v>IL</v>
      </c>
      <c r="BQ69" t="str">
        <f t="shared" si="21"/>
        <v>NA</v>
      </c>
      <c r="BR69" t="str">
        <f t="shared" si="21"/>
        <v>NA</v>
      </c>
    </row>
    <row r="70" spans="1:70">
      <c r="A70">
        <v>9</v>
      </c>
      <c r="B70" t="str">
        <f t="shared" si="22"/>
        <v>Summary of All HUD Programs</v>
      </c>
      <c r="C70">
        <v>1</v>
      </c>
      <c r="D70" t="str">
        <f t="shared" si="23"/>
        <v>NA</v>
      </c>
      <c r="E70" t="str">
        <f>"135 Montgomery County"</f>
        <v>135 Montgomery County</v>
      </c>
      <c r="F70" t="str">
        <f>"17135"</f>
        <v>17135</v>
      </c>
      <c r="G70">
        <v>285</v>
      </c>
      <c r="H70">
        <v>94</v>
      </c>
      <c r="I70">
        <v>269</v>
      </c>
      <c r="J70">
        <v>100</v>
      </c>
      <c r="K70">
        <v>5</v>
      </c>
      <c r="L70">
        <v>19</v>
      </c>
      <c r="M70">
        <v>1.8</v>
      </c>
      <c r="N70">
        <v>493</v>
      </c>
      <c r="O70">
        <v>246</v>
      </c>
      <c r="P70">
        <v>460</v>
      </c>
      <c r="Q70">
        <v>11216</v>
      </c>
      <c r="R70">
        <v>6120</v>
      </c>
      <c r="S70">
        <v>17</v>
      </c>
      <c r="T70">
        <v>31</v>
      </c>
      <c r="U70">
        <v>23</v>
      </c>
      <c r="V70">
        <v>17</v>
      </c>
      <c r="W70">
        <v>11</v>
      </c>
      <c r="X70">
        <v>23</v>
      </c>
      <c r="Y70">
        <v>2</v>
      </c>
      <c r="Z70">
        <v>69</v>
      </c>
      <c r="AA70">
        <v>25</v>
      </c>
      <c r="AB70">
        <v>93</v>
      </c>
      <c r="AC70">
        <v>66</v>
      </c>
      <c r="AD70">
        <v>9</v>
      </c>
      <c r="AE70">
        <v>22</v>
      </c>
      <c r="AF70">
        <v>72</v>
      </c>
      <c r="AG70">
        <v>27</v>
      </c>
      <c r="AH70">
        <v>27</v>
      </c>
      <c r="AI70">
        <v>37</v>
      </c>
      <c r="AJ70">
        <v>18</v>
      </c>
      <c r="AK70">
        <v>10</v>
      </c>
      <c r="AL70">
        <v>37</v>
      </c>
      <c r="AM70">
        <v>18</v>
      </c>
      <c r="AN70">
        <v>35</v>
      </c>
      <c r="AO70">
        <v>3</v>
      </c>
      <c r="AP70">
        <v>7</v>
      </c>
      <c r="AQ70">
        <v>4</v>
      </c>
      <c r="AR70">
        <v>-1</v>
      </c>
      <c r="AS70">
        <v>-1</v>
      </c>
      <c r="AT70">
        <v>93</v>
      </c>
      <c r="AU70">
        <v>0</v>
      </c>
      <c r="AV70">
        <v>3</v>
      </c>
      <c r="AW70">
        <v>-1</v>
      </c>
      <c r="AX70">
        <v>3</v>
      </c>
      <c r="AY70">
        <v>0</v>
      </c>
      <c r="AZ70">
        <v>9</v>
      </c>
      <c r="BA70">
        <v>66</v>
      </c>
      <c r="BB70">
        <v>96</v>
      </c>
      <c r="BC70">
        <v>121</v>
      </c>
      <c r="BD70">
        <v>41</v>
      </c>
      <c r="BE70">
        <v>34</v>
      </c>
      <c r="BF70">
        <v>25</v>
      </c>
      <c r="BG70">
        <v>27</v>
      </c>
      <c r="BH70">
        <v>13</v>
      </c>
      <c r="BI70">
        <v>5</v>
      </c>
      <c r="BJ70">
        <v>84</v>
      </c>
      <c r="BK70" t="str">
        <f t="shared" si="20"/>
        <v>NA</v>
      </c>
      <c r="BL70" t="str">
        <f t="shared" si="20"/>
        <v>NA</v>
      </c>
      <c r="BM70" t="str">
        <f t="shared" si="20"/>
        <v>NA</v>
      </c>
      <c r="BN70" t="str">
        <f t="shared" si="20"/>
        <v>NA</v>
      </c>
      <c r="BO70" t="str">
        <f t="shared" si="20"/>
        <v>NA</v>
      </c>
      <c r="BP70" t="str">
        <f t="shared" si="24"/>
        <v>IL</v>
      </c>
      <c r="BQ70" t="str">
        <f t="shared" si="21"/>
        <v>NA</v>
      </c>
      <c r="BR70" t="str">
        <f t="shared" si="21"/>
        <v>NA</v>
      </c>
    </row>
    <row r="71" spans="1:70">
      <c r="A71">
        <v>9</v>
      </c>
      <c r="B71" t="str">
        <f t="shared" si="22"/>
        <v>Summary of All HUD Programs</v>
      </c>
      <c r="C71">
        <v>1</v>
      </c>
      <c r="D71" t="str">
        <f t="shared" si="23"/>
        <v>NA</v>
      </c>
      <c r="E71" t="str">
        <f>"137 Morgan County"</f>
        <v>137 Morgan County</v>
      </c>
      <c r="F71" t="str">
        <f>"17137"</f>
        <v>17137</v>
      </c>
      <c r="G71">
        <v>837</v>
      </c>
      <c r="H71">
        <v>93</v>
      </c>
      <c r="I71">
        <v>768</v>
      </c>
      <c r="J71">
        <v>99</v>
      </c>
      <c r="K71">
        <v>6</v>
      </c>
      <c r="L71">
        <v>25</v>
      </c>
      <c r="M71">
        <v>1.5</v>
      </c>
      <c r="N71">
        <v>1177</v>
      </c>
      <c r="O71">
        <v>260</v>
      </c>
      <c r="P71">
        <v>360</v>
      </c>
      <c r="Q71">
        <v>12029</v>
      </c>
      <c r="R71">
        <v>7849</v>
      </c>
      <c r="S71">
        <v>12</v>
      </c>
      <c r="T71">
        <v>33</v>
      </c>
      <c r="U71">
        <v>28</v>
      </c>
      <c r="V71">
        <v>15</v>
      </c>
      <c r="W71">
        <v>13</v>
      </c>
      <c r="X71">
        <v>22</v>
      </c>
      <c r="Y71">
        <v>2</v>
      </c>
      <c r="Z71">
        <v>74</v>
      </c>
      <c r="AA71">
        <v>25</v>
      </c>
      <c r="AB71">
        <v>95</v>
      </c>
      <c r="AC71">
        <v>69</v>
      </c>
      <c r="AD71">
        <v>4</v>
      </c>
      <c r="AE71">
        <v>15</v>
      </c>
      <c r="AF71">
        <v>69</v>
      </c>
      <c r="AG71">
        <v>17</v>
      </c>
      <c r="AH71">
        <v>46</v>
      </c>
      <c r="AI71">
        <v>36</v>
      </c>
      <c r="AJ71">
        <v>30</v>
      </c>
      <c r="AK71">
        <v>8</v>
      </c>
      <c r="AL71">
        <v>29</v>
      </c>
      <c r="AM71">
        <v>26</v>
      </c>
      <c r="AN71">
        <v>37</v>
      </c>
      <c r="AO71">
        <v>3</v>
      </c>
      <c r="AP71">
        <v>18</v>
      </c>
      <c r="AQ71">
        <v>15</v>
      </c>
      <c r="AR71">
        <v>0</v>
      </c>
      <c r="AS71">
        <v>1</v>
      </c>
      <c r="AT71">
        <v>81</v>
      </c>
      <c r="AU71">
        <v>-1</v>
      </c>
      <c r="AV71">
        <v>1</v>
      </c>
      <c r="AW71">
        <v>0</v>
      </c>
      <c r="AX71">
        <v>1</v>
      </c>
      <c r="AY71">
        <v>2</v>
      </c>
      <c r="AZ71">
        <v>18</v>
      </c>
      <c r="BA71">
        <v>61</v>
      </c>
      <c r="BB71">
        <v>84</v>
      </c>
      <c r="BC71">
        <v>83</v>
      </c>
      <c r="BD71">
        <v>71</v>
      </c>
      <c r="BE71">
        <v>15</v>
      </c>
      <c r="BF71">
        <v>14</v>
      </c>
      <c r="BG71">
        <v>10</v>
      </c>
      <c r="BH71">
        <v>23</v>
      </c>
      <c r="BI71">
        <v>20</v>
      </c>
      <c r="BJ71">
        <v>60</v>
      </c>
      <c r="BK71" t="str">
        <f t="shared" si="20"/>
        <v>NA</v>
      </c>
      <c r="BL71" t="str">
        <f t="shared" si="20"/>
        <v>NA</v>
      </c>
      <c r="BM71" t="str">
        <f t="shared" si="20"/>
        <v>NA</v>
      </c>
      <c r="BN71" t="str">
        <f t="shared" si="20"/>
        <v>NA</v>
      </c>
      <c r="BO71" t="str">
        <f t="shared" si="20"/>
        <v>NA</v>
      </c>
      <c r="BP71" t="str">
        <f t="shared" si="24"/>
        <v>IL</v>
      </c>
      <c r="BQ71" t="str">
        <f t="shared" si="21"/>
        <v>NA</v>
      </c>
      <c r="BR71" t="str">
        <f t="shared" si="21"/>
        <v>NA</v>
      </c>
    </row>
    <row r="72" spans="1:70">
      <c r="A72">
        <v>9</v>
      </c>
      <c r="B72" t="str">
        <f t="shared" si="22"/>
        <v>Summary of All HUD Programs</v>
      </c>
      <c r="C72">
        <v>1</v>
      </c>
      <c r="D72" t="str">
        <f t="shared" si="23"/>
        <v>NA</v>
      </c>
      <c r="E72" t="str">
        <f>"139 Moultrie County"</f>
        <v>139 Moultrie County</v>
      </c>
      <c r="F72" t="str">
        <f>"17139"</f>
        <v>17139</v>
      </c>
      <c r="G72">
        <v>38</v>
      </c>
      <c r="H72">
        <v>80</v>
      </c>
      <c r="I72">
        <v>30</v>
      </c>
      <c r="J72">
        <v>99</v>
      </c>
      <c r="K72">
        <v>6</v>
      </c>
      <c r="L72">
        <v>20</v>
      </c>
      <c r="M72">
        <v>1.4</v>
      </c>
      <c r="N72">
        <v>42</v>
      </c>
      <c r="O72">
        <v>301</v>
      </c>
      <c r="P72">
        <v>526</v>
      </c>
      <c r="Q72">
        <v>12641</v>
      </c>
      <c r="R72">
        <v>9029</v>
      </c>
      <c r="S72">
        <v>3</v>
      </c>
      <c r="T72">
        <v>37</v>
      </c>
      <c r="U72">
        <v>33</v>
      </c>
      <c r="V72">
        <v>17</v>
      </c>
      <c r="W72">
        <v>10</v>
      </c>
      <c r="X72">
        <v>13</v>
      </c>
      <c r="Y72">
        <v>-1</v>
      </c>
      <c r="Z72">
        <v>87</v>
      </c>
      <c r="AA72">
        <v>29</v>
      </c>
      <c r="AB72">
        <v>97</v>
      </c>
      <c r="AC72">
        <v>67</v>
      </c>
      <c r="AD72">
        <v>-1</v>
      </c>
      <c r="AE72">
        <v>13</v>
      </c>
      <c r="AF72">
        <v>70</v>
      </c>
      <c r="AG72">
        <v>13</v>
      </c>
      <c r="AH72">
        <v>62</v>
      </c>
      <c r="AI72">
        <v>82</v>
      </c>
      <c r="AJ72">
        <v>62</v>
      </c>
      <c r="AK72">
        <v>-1</v>
      </c>
      <c r="AL72">
        <v>23</v>
      </c>
      <c r="AM72">
        <v>20</v>
      </c>
      <c r="AN72">
        <v>57</v>
      </c>
      <c r="AO72">
        <v>10</v>
      </c>
      <c r="AP72">
        <v>27</v>
      </c>
      <c r="AQ72">
        <v>13</v>
      </c>
      <c r="AR72">
        <v>-1</v>
      </c>
      <c r="AS72">
        <v>-1</v>
      </c>
      <c r="AT72">
        <v>73</v>
      </c>
      <c r="AU72">
        <v>-1</v>
      </c>
      <c r="AV72">
        <v>13</v>
      </c>
      <c r="AW72">
        <v>-1</v>
      </c>
      <c r="AX72">
        <v>13</v>
      </c>
      <c r="AY72">
        <v>0</v>
      </c>
      <c r="AZ72">
        <v>4</v>
      </c>
      <c r="BA72">
        <v>35</v>
      </c>
      <c r="BB72">
        <v>97</v>
      </c>
      <c r="BC72">
        <v>107</v>
      </c>
      <c r="BD72">
        <v>60</v>
      </c>
      <c r="BE72">
        <v>33</v>
      </c>
      <c r="BF72">
        <v>7</v>
      </c>
      <c r="BG72">
        <v>23</v>
      </c>
      <c r="BH72">
        <v>21</v>
      </c>
      <c r="BI72">
        <v>2</v>
      </c>
      <c r="BJ72">
        <v>81</v>
      </c>
      <c r="BK72" t="str">
        <f t="shared" si="20"/>
        <v>NA</v>
      </c>
      <c r="BL72" t="str">
        <f t="shared" si="20"/>
        <v>NA</v>
      </c>
      <c r="BM72" t="str">
        <f t="shared" si="20"/>
        <v>NA</v>
      </c>
      <c r="BN72" t="str">
        <f t="shared" si="20"/>
        <v>NA</v>
      </c>
      <c r="BO72" t="str">
        <f t="shared" si="20"/>
        <v>NA</v>
      </c>
      <c r="BP72" t="str">
        <f t="shared" si="24"/>
        <v>IL</v>
      </c>
      <c r="BQ72" t="str">
        <f t="shared" si="21"/>
        <v>NA</v>
      </c>
      <c r="BR72" t="str">
        <f t="shared" si="21"/>
        <v>NA</v>
      </c>
    </row>
    <row r="73" spans="1:70">
      <c r="A73">
        <v>9</v>
      </c>
      <c r="B73" t="str">
        <f t="shared" si="22"/>
        <v>Summary of All HUD Programs</v>
      </c>
      <c r="C73">
        <v>1</v>
      </c>
      <c r="D73" t="str">
        <f t="shared" si="23"/>
        <v>NA</v>
      </c>
      <c r="E73" t="str">
        <f>"141 Ogle County"</f>
        <v>141 Ogle County</v>
      </c>
      <c r="F73" t="str">
        <f>"17141"</f>
        <v>17141</v>
      </c>
      <c r="G73">
        <v>536</v>
      </c>
      <c r="H73">
        <v>96</v>
      </c>
      <c r="I73">
        <v>527</v>
      </c>
      <c r="J73">
        <v>100</v>
      </c>
      <c r="K73">
        <v>5</v>
      </c>
      <c r="L73">
        <v>20</v>
      </c>
      <c r="M73">
        <v>1.5</v>
      </c>
      <c r="N73">
        <v>812</v>
      </c>
      <c r="O73">
        <v>322</v>
      </c>
      <c r="P73">
        <v>467</v>
      </c>
      <c r="Q73">
        <v>14801</v>
      </c>
      <c r="R73">
        <v>9606</v>
      </c>
      <c r="S73">
        <v>4</v>
      </c>
      <c r="T73">
        <v>25</v>
      </c>
      <c r="U73">
        <v>27</v>
      </c>
      <c r="V73">
        <v>23</v>
      </c>
      <c r="W73">
        <v>21</v>
      </c>
      <c r="X73">
        <v>18</v>
      </c>
      <c r="Y73">
        <v>1</v>
      </c>
      <c r="Z73">
        <v>79</v>
      </c>
      <c r="AA73">
        <v>28</v>
      </c>
      <c r="AB73">
        <v>96</v>
      </c>
      <c r="AC73">
        <v>61</v>
      </c>
      <c r="AD73">
        <v>2</v>
      </c>
      <c r="AE73">
        <v>19</v>
      </c>
      <c r="AF73">
        <v>70</v>
      </c>
      <c r="AG73">
        <v>19</v>
      </c>
      <c r="AH73">
        <v>54</v>
      </c>
      <c r="AI73">
        <v>15</v>
      </c>
      <c r="AJ73">
        <v>26</v>
      </c>
      <c r="AK73">
        <v>2</v>
      </c>
      <c r="AL73">
        <v>31</v>
      </c>
      <c r="AM73">
        <v>21</v>
      </c>
      <c r="AN73">
        <v>45</v>
      </c>
      <c r="AO73">
        <v>7</v>
      </c>
      <c r="AP73">
        <v>9</v>
      </c>
      <c r="AQ73">
        <v>4</v>
      </c>
      <c r="AR73">
        <v>0</v>
      </c>
      <c r="AS73">
        <v>-1</v>
      </c>
      <c r="AT73">
        <v>89</v>
      </c>
      <c r="AU73">
        <v>-1</v>
      </c>
      <c r="AV73">
        <v>4</v>
      </c>
      <c r="AW73">
        <v>0</v>
      </c>
      <c r="AX73">
        <v>4</v>
      </c>
      <c r="AY73">
        <v>0</v>
      </c>
      <c r="AZ73">
        <v>10</v>
      </c>
      <c r="BA73">
        <v>66</v>
      </c>
      <c r="BB73">
        <v>98</v>
      </c>
      <c r="BC73">
        <v>79</v>
      </c>
      <c r="BD73">
        <v>70</v>
      </c>
      <c r="BE73">
        <v>15</v>
      </c>
      <c r="BF73">
        <v>15</v>
      </c>
      <c r="BG73">
        <v>8</v>
      </c>
      <c r="BH73">
        <v>14</v>
      </c>
      <c r="BI73">
        <v>14</v>
      </c>
      <c r="BJ73">
        <v>73</v>
      </c>
      <c r="BK73" t="str">
        <f t="shared" ref="BK73:BO82" si="25">"NA"</f>
        <v>NA</v>
      </c>
      <c r="BL73" t="str">
        <f t="shared" si="25"/>
        <v>NA</v>
      </c>
      <c r="BM73" t="str">
        <f t="shared" si="25"/>
        <v>NA</v>
      </c>
      <c r="BN73" t="str">
        <f t="shared" si="25"/>
        <v>NA</v>
      </c>
      <c r="BO73" t="str">
        <f t="shared" si="25"/>
        <v>NA</v>
      </c>
      <c r="BP73" t="str">
        <f t="shared" si="24"/>
        <v>IL</v>
      </c>
      <c r="BQ73" t="str">
        <f t="shared" si="21"/>
        <v>NA</v>
      </c>
      <c r="BR73" t="str">
        <f t="shared" si="21"/>
        <v>NA</v>
      </c>
    </row>
    <row r="74" spans="1:70">
      <c r="A74">
        <v>9</v>
      </c>
      <c r="B74" t="str">
        <f t="shared" si="22"/>
        <v>Summary of All HUD Programs</v>
      </c>
      <c r="C74">
        <v>1</v>
      </c>
      <c r="D74" t="str">
        <f t="shared" si="23"/>
        <v>NA</v>
      </c>
      <c r="E74" t="str">
        <f>"143 Peoria County"</f>
        <v>143 Peoria County</v>
      </c>
      <c r="F74" t="str">
        <f>"17143"</f>
        <v>17143</v>
      </c>
      <c r="G74">
        <v>5650</v>
      </c>
      <c r="H74">
        <v>90</v>
      </c>
      <c r="I74">
        <v>5180</v>
      </c>
      <c r="J74">
        <v>100</v>
      </c>
      <c r="K74">
        <v>6</v>
      </c>
      <c r="L74">
        <v>17</v>
      </c>
      <c r="M74">
        <v>2</v>
      </c>
      <c r="N74">
        <v>10244</v>
      </c>
      <c r="O74">
        <v>276</v>
      </c>
      <c r="P74">
        <v>572</v>
      </c>
      <c r="Q74">
        <v>11235</v>
      </c>
      <c r="R74">
        <v>5681</v>
      </c>
      <c r="S74">
        <v>10</v>
      </c>
      <c r="T74">
        <v>37</v>
      </c>
      <c r="U74">
        <v>23</v>
      </c>
      <c r="V74">
        <v>15</v>
      </c>
      <c r="W74">
        <v>15</v>
      </c>
      <c r="X74">
        <v>25</v>
      </c>
      <c r="Y74">
        <v>6</v>
      </c>
      <c r="Z74">
        <v>58</v>
      </c>
      <c r="AA74">
        <v>21</v>
      </c>
      <c r="AB74">
        <v>97</v>
      </c>
      <c r="AC74">
        <v>78</v>
      </c>
      <c r="AD74">
        <v>1</v>
      </c>
      <c r="AE74">
        <v>38</v>
      </c>
      <c r="AF74">
        <v>77</v>
      </c>
      <c r="AG74">
        <v>38</v>
      </c>
      <c r="AH74">
        <v>36</v>
      </c>
      <c r="AI74">
        <v>39</v>
      </c>
      <c r="AJ74">
        <v>21</v>
      </c>
      <c r="AK74">
        <v>11</v>
      </c>
      <c r="AL74">
        <v>42</v>
      </c>
      <c r="AM74">
        <v>20</v>
      </c>
      <c r="AN74">
        <v>27</v>
      </c>
      <c r="AO74">
        <v>3</v>
      </c>
      <c r="AP74">
        <v>69</v>
      </c>
      <c r="AQ74">
        <v>67</v>
      </c>
      <c r="AR74">
        <v>0</v>
      </c>
      <c r="AS74">
        <v>0</v>
      </c>
      <c r="AT74">
        <v>29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18</v>
      </c>
      <c r="BA74">
        <v>76</v>
      </c>
      <c r="BB74">
        <v>67</v>
      </c>
      <c r="BC74">
        <v>124</v>
      </c>
      <c r="BD74">
        <v>51</v>
      </c>
      <c r="BE74">
        <v>25</v>
      </c>
      <c r="BF74">
        <v>25</v>
      </c>
      <c r="BG74">
        <v>10</v>
      </c>
      <c r="BH74">
        <v>34</v>
      </c>
      <c r="BI74">
        <v>53</v>
      </c>
      <c r="BJ74">
        <v>52</v>
      </c>
      <c r="BK74" t="str">
        <f t="shared" si="25"/>
        <v>NA</v>
      </c>
      <c r="BL74" t="str">
        <f t="shared" si="25"/>
        <v>NA</v>
      </c>
      <c r="BM74" t="str">
        <f t="shared" si="25"/>
        <v>NA</v>
      </c>
      <c r="BN74" t="str">
        <f t="shared" si="25"/>
        <v>NA</v>
      </c>
      <c r="BO74" t="str">
        <f t="shared" si="25"/>
        <v>NA</v>
      </c>
      <c r="BP74" t="str">
        <f t="shared" si="24"/>
        <v>IL</v>
      </c>
      <c r="BQ74" t="str">
        <f t="shared" si="21"/>
        <v>NA</v>
      </c>
      <c r="BR74" t="str">
        <f t="shared" si="21"/>
        <v>NA</v>
      </c>
    </row>
    <row r="75" spans="1:70">
      <c r="A75">
        <v>9</v>
      </c>
      <c r="B75" t="str">
        <f t="shared" si="22"/>
        <v>Summary of All HUD Programs</v>
      </c>
      <c r="C75">
        <v>1</v>
      </c>
      <c r="D75" t="str">
        <f t="shared" si="23"/>
        <v>NA</v>
      </c>
      <c r="E75" t="str">
        <f>"145 Perry County"</f>
        <v>145 Perry County</v>
      </c>
      <c r="F75" t="str">
        <f>"17145"</f>
        <v>17145</v>
      </c>
      <c r="G75">
        <v>414</v>
      </c>
      <c r="H75">
        <v>90</v>
      </c>
      <c r="I75">
        <v>372</v>
      </c>
      <c r="J75">
        <v>100</v>
      </c>
      <c r="K75">
        <v>6</v>
      </c>
      <c r="L75">
        <v>23</v>
      </c>
      <c r="M75">
        <v>1.7</v>
      </c>
      <c r="N75">
        <v>647</v>
      </c>
      <c r="O75">
        <v>215</v>
      </c>
      <c r="P75">
        <v>339</v>
      </c>
      <c r="Q75">
        <v>9761</v>
      </c>
      <c r="R75">
        <v>5612</v>
      </c>
      <c r="S75">
        <v>22</v>
      </c>
      <c r="T75">
        <v>33</v>
      </c>
      <c r="U75">
        <v>22</v>
      </c>
      <c r="V75">
        <v>11</v>
      </c>
      <c r="W75">
        <v>12</v>
      </c>
      <c r="X75">
        <v>20</v>
      </c>
      <c r="Y75">
        <v>6</v>
      </c>
      <c r="Z75">
        <v>62</v>
      </c>
      <c r="AA75">
        <v>22</v>
      </c>
      <c r="AB75">
        <v>92</v>
      </c>
      <c r="AC75">
        <v>74</v>
      </c>
      <c r="AD75">
        <v>6</v>
      </c>
      <c r="AE75">
        <v>26</v>
      </c>
      <c r="AF75">
        <v>72</v>
      </c>
      <c r="AG75">
        <v>28</v>
      </c>
      <c r="AH75">
        <v>34</v>
      </c>
      <c r="AI75">
        <v>35</v>
      </c>
      <c r="AJ75">
        <v>21</v>
      </c>
      <c r="AK75">
        <v>16</v>
      </c>
      <c r="AL75">
        <v>38</v>
      </c>
      <c r="AM75">
        <v>21</v>
      </c>
      <c r="AN75">
        <v>26</v>
      </c>
      <c r="AO75">
        <v>2</v>
      </c>
      <c r="AP75">
        <v>12</v>
      </c>
      <c r="AQ75">
        <v>10</v>
      </c>
      <c r="AR75">
        <v>-1</v>
      </c>
      <c r="AS75">
        <v>1</v>
      </c>
      <c r="AT75">
        <v>88</v>
      </c>
      <c r="AU75">
        <v>0</v>
      </c>
      <c r="AV75">
        <v>1</v>
      </c>
      <c r="AW75">
        <v>1</v>
      </c>
      <c r="AX75">
        <v>2</v>
      </c>
      <c r="AY75">
        <v>2</v>
      </c>
      <c r="AZ75">
        <v>5</v>
      </c>
      <c r="BA75">
        <v>61</v>
      </c>
      <c r="BB75">
        <v>78</v>
      </c>
      <c r="BC75">
        <v>34</v>
      </c>
      <c r="BD75">
        <v>50</v>
      </c>
      <c r="BE75">
        <v>30</v>
      </c>
      <c r="BF75">
        <v>20</v>
      </c>
      <c r="BG75">
        <v>16</v>
      </c>
      <c r="BH75">
        <v>24</v>
      </c>
      <c r="BI75">
        <v>16</v>
      </c>
      <c r="BJ75">
        <v>68</v>
      </c>
      <c r="BK75" t="str">
        <f t="shared" si="25"/>
        <v>NA</v>
      </c>
      <c r="BL75" t="str">
        <f t="shared" si="25"/>
        <v>NA</v>
      </c>
      <c r="BM75" t="str">
        <f t="shared" si="25"/>
        <v>NA</v>
      </c>
      <c r="BN75" t="str">
        <f t="shared" si="25"/>
        <v>NA</v>
      </c>
      <c r="BO75" t="str">
        <f t="shared" si="25"/>
        <v>NA</v>
      </c>
      <c r="BP75" t="str">
        <f t="shared" si="24"/>
        <v>IL</v>
      </c>
      <c r="BQ75" t="str">
        <f t="shared" si="21"/>
        <v>NA</v>
      </c>
      <c r="BR75" t="str">
        <f t="shared" si="21"/>
        <v>NA</v>
      </c>
    </row>
    <row r="76" spans="1:70">
      <c r="A76">
        <v>9</v>
      </c>
      <c r="B76" t="str">
        <f t="shared" si="22"/>
        <v>Summary of All HUD Programs</v>
      </c>
      <c r="C76">
        <v>1</v>
      </c>
      <c r="D76" t="str">
        <f t="shared" si="23"/>
        <v>NA</v>
      </c>
      <c r="E76" t="str">
        <f>"147 Piatt County"</f>
        <v>147 Piatt County</v>
      </c>
      <c r="F76" t="str">
        <f>"17147"</f>
        <v>17147</v>
      </c>
      <c r="G76">
        <v>77</v>
      </c>
      <c r="H76">
        <v>94</v>
      </c>
      <c r="I76">
        <v>73</v>
      </c>
      <c r="J76">
        <v>100</v>
      </c>
      <c r="K76">
        <v>7</v>
      </c>
      <c r="L76">
        <v>33</v>
      </c>
      <c r="M76">
        <v>1.6</v>
      </c>
      <c r="N76">
        <v>120</v>
      </c>
      <c r="O76">
        <v>326</v>
      </c>
      <c r="P76">
        <v>409</v>
      </c>
      <c r="Q76">
        <v>15831</v>
      </c>
      <c r="R76">
        <v>9631</v>
      </c>
      <c r="S76">
        <v>10</v>
      </c>
      <c r="T76">
        <v>22</v>
      </c>
      <c r="U76">
        <v>19</v>
      </c>
      <c r="V76">
        <v>24</v>
      </c>
      <c r="W76">
        <v>25</v>
      </c>
      <c r="X76">
        <v>37</v>
      </c>
      <c r="Y76">
        <v>-1</v>
      </c>
      <c r="Z76">
        <v>62</v>
      </c>
      <c r="AA76">
        <v>29</v>
      </c>
      <c r="AB76">
        <v>85</v>
      </c>
      <c r="AC76">
        <v>56</v>
      </c>
      <c r="AD76">
        <v>5</v>
      </c>
      <c r="AE76">
        <v>30</v>
      </c>
      <c r="AF76">
        <v>62</v>
      </c>
      <c r="AG76">
        <v>32</v>
      </c>
      <c r="AH76">
        <v>36</v>
      </c>
      <c r="AI76">
        <v>41</v>
      </c>
      <c r="AJ76">
        <v>26</v>
      </c>
      <c r="AK76">
        <v>8</v>
      </c>
      <c r="AL76">
        <v>44</v>
      </c>
      <c r="AM76">
        <v>25</v>
      </c>
      <c r="AN76">
        <v>23</v>
      </c>
      <c r="AO76">
        <v>4</v>
      </c>
      <c r="AP76">
        <v>1</v>
      </c>
      <c r="AQ76">
        <v>-1</v>
      </c>
      <c r="AR76">
        <v>-1</v>
      </c>
      <c r="AS76">
        <v>-1</v>
      </c>
      <c r="AT76">
        <v>97</v>
      </c>
      <c r="AU76">
        <v>-1</v>
      </c>
      <c r="AV76">
        <v>1</v>
      </c>
      <c r="AW76">
        <v>-1</v>
      </c>
      <c r="AX76">
        <v>1</v>
      </c>
      <c r="AY76">
        <v>0</v>
      </c>
      <c r="AZ76">
        <v>1</v>
      </c>
      <c r="BA76">
        <v>42</v>
      </c>
      <c r="BB76">
        <v>88</v>
      </c>
      <c r="BC76">
        <v>84</v>
      </c>
      <c r="BD76">
        <v>58</v>
      </c>
      <c r="BE76">
        <v>33</v>
      </c>
      <c r="BF76">
        <v>10</v>
      </c>
      <c r="BG76">
        <v>10</v>
      </c>
      <c r="BH76">
        <v>7</v>
      </c>
      <c r="BI76">
        <v>3</v>
      </c>
      <c r="BJ76">
        <v>88</v>
      </c>
      <c r="BK76" t="str">
        <f t="shared" si="25"/>
        <v>NA</v>
      </c>
      <c r="BL76" t="str">
        <f t="shared" si="25"/>
        <v>NA</v>
      </c>
      <c r="BM76" t="str">
        <f t="shared" si="25"/>
        <v>NA</v>
      </c>
      <c r="BN76" t="str">
        <f t="shared" si="25"/>
        <v>NA</v>
      </c>
      <c r="BO76" t="str">
        <f t="shared" si="25"/>
        <v>NA</v>
      </c>
      <c r="BP76" t="str">
        <f t="shared" si="24"/>
        <v>IL</v>
      </c>
      <c r="BQ76" t="str">
        <f t="shared" si="21"/>
        <v>NA</v>
      </c>
      <c r="BR76" t="str">
        <f t="shared" si="21"/>
        <v>NA</v>
      </c>
    </row>
    <row r="77" spans="1:70">
      <c r="A77">
        <v>9</v>
      </c>
      <c r="B77" t="str">
        <f t="shared" si="22"/>
        <v>Summary of All HUD Programs</v>
      </c>
      <c r="C77">
        <v>1</v>
      </c>
      <c r="D77" t="str">
        <f t="shared" si="23"/>
        <v>NA</v>
      </c>
      <c r="E77" t="str">
        <f>"149 Pike County"</f>
        <v>149 Pike County</v>
      </c>
      <c r="F77" t="str">
        <f>"17149"</f>
        <v>17149</v>
      </c>
      <c r="G77">
        <v>261</v>
      </c>
      <c r="H77">
        <v>96</v>
      </c>
      <c r="I77">
        <v>250</v>
      </c>
      <c r="J77">
        <v>100</v>
      </c>
      <c r="K77">
        <v>6</v>
      </c>
      <c r="L77">
        <v>28</v>
      </c>
      <c r="M77">
        <v>1.6</v>
      </c>
      <c r="N77">
        <v>392</v>
      </c>
      <c r="O77">
        <v>253</v>
      </c>
      <c r="P77">
        <v>284</v>
      </c>
      <c r="Q77">
        <v>12576</v>
      </c>
      <c r="R77">
        <v>8020</v>
      </c>
      <c r="S77">
        <v>6</v>
      </c>
      <c r="T77">
        <v>35</v>
      </c>
      <c r="U77">
        <v>25</v>
      </c>
      <c r="V77">
        <v>15</v>
      </c>
      <c r="W77">
        <v>19</v>
      </c>
      <c r="X77">
        <v>25</v>
      </c>
      <c r="Y77">
        <v>-1</v>
      </c>
      <c r="Z77">
        <v>63</v>
      </c>
      <c r="AA77">
        <v>28</v>
      </c>
      <c r="AB77">
        <v>86</v>
      </c>
      <c r="AC77">
        <v>62</v>
      </c>
      <c r="AD77">
        <v>4</v>
      </c>
      <c r="AE77">
        <v>18</v>
      </c>
      <c r="AF77">
        <v>66</v>
      </c>
      <c r="AG77">
        <v>19</v>
      </c>
      <c r="AH77">
        <v>29</v>
      </c>
      <c r="AI77">
        <v>31</v>
      </c>
      <c r="AJ77">
        <v>21</v>
      </c>
      <c r="AK77">
        <v>12</v>
      </c>
      <c r="AL77">
        <v>28</v>
      </c>
      <c r="AM77">
        <v>19</v>
      </c>
      <c r="AN77">
        <v>41</v>
      </c>
      <c r="AO77">
        <v>7</v>
      </c>
      <c r="AP77">
        <v>0</v>
      </c>
      <c r="AQ77">
        <v>-1</v>
      </c>
      <c r="AR77">
        <v>-1</v>
      </c>
      <c r="AS77">
        <v>0</v>
      </c>
      <c r="AT77">
        <v>100</v>
      </c>
      <c r="AU77">
        <v>-1</v>
      </c>
      <c r="AV77">
        <v>-1</v>
      </c>
      <c r="AW77">
        <v>-1</v>
      </c>
      <c r="AX77">
        <v>0</v>
      </c>
      <c r="AY77">
        <v>0</v>
      </c>
      <c r="AZ77">
        <v>5</v>
      </c>
      <c r="BA77">
        <v>58</v>
      </c>
      <c r="BB77">
        <v>11</v>
      </c>
      <c r="BC77">
        <v>59</v>
      </c>
      <c r="BD77">
        <v>72</v>
      </c>
      <c r="BE77">
        <v>18</v>
      </c>
      <c r="BF77">
        <v>11</v>
      </c>
      <c r="BG77">
        <v>6</v>
      </c>
      <c r="BH77">
        <v>15</v>
      </c>
      <c r="BI77">
        <v>5</v>
      </c>
      <c r="BJ77">
        <v>78</v>
      </c>
      <c r="BK77" t="str">
        <f t="shared" si="25"/>
        <v>NA</v>
      </c>
      <c r="BL77" t="str">
        <f t="shared" si="25"/>
        <v>NA</v>
      </c>
      <c r="BM77" t="str">
        <f t="shared" si="25"/>
        <v>NA</v>
      </c>
      <c r="BN77" t="str">
        <f t="shared" si="25"/>
        <v>NA</v>
      </c>
      <c r="BO77" t="str">
        <f t="shared" si="25"/>
        <v>NA</v>
      </c>
      <c r="BP77" t="str">
        <f t="shared" si="24"/>
        <v>IL</v>
      </c>
      <c r="BQ77" t="str">
        <f t="shared" si="21"/>
        <v>NA</v>
      </c>
      <c r="BR77" t="str">
        <f t="shared" si="21"/>
        <v>NA</v>
      </c>
    </row>
    <row r="78" spans="1:70">
      <c r="A78">
        <v>9</v>
      </c>
      <c r="B78" t="str">
        <f t="shared" si="22"/>
        <v>Summary of All HUD Programs</v>
      </c>
      <c r="C78">
        <v>1</v>
      </c>
      <c r="D78" t="str">
        <f t="shared" si="23"/>
        <v>NA</v>
      </c>
      <c r="E78" t="str">
        <f>"151 Pope County"</f>
        <v>151 Pope County</v>
      </c>
      <c r="F78" t="str">
        <f>"17151"</f>
        <v>17151</v>
      </c>
      <c r="G78">
        <v>121</v>
      </c>
      <c r="H78">
        <v>95</v>
      </c>
      <c r="I78">
        <v>115</v>
      </c>
      <c r="J78">
        <v>100</v>
      </c>
      <c r="K78">
        <v>7</v>
      </c>
      <c r="L78">
        <v>32</v>
      </c>
      <c r="M78">
        <v>1.7</v>
      </c>
      <c r="N78">
        <v>198</v>
      </c>
      <c r="O78">
        <v>238</v>
      </c>
      <c r="P78">
        <v>315</v>
      </c>
      <c r="Q78">
        <v>11307</v>
      </c>
      <c r="R78">
        <v>6567</v>
      </c>
      <c r="S78">
        <v>20</v>
      </c>
      <c r="T78">
        <v>35</v>
      </c>
      <c r="U78">
        <v>22</v>
      </c>
      <c r="V78">
        <v>10</v>
      </c>
      <c r="W78">
        <v>13</v>
      </c>
      <c r="X78">
        <v>26</v>
      </c>
      <c r="Y78">
        <v>3</v>
      </c>
      <c r="Z78">
        <v>66</v>
      </c>
      <c r="AA78">
        <v>26</v>
      </c>
      <c r="AB78">
        <v>90</v>
      </c>
      <c r="AC78">
        <v>69</v>
      </c>
      <c r="AD78">
        <v>3</v>
      </c>
      <c r="AE78">
        <v>27</v>
      </c>
      <c r="AF78">
        <v>68</v>
      </c>
      <c r="AG78">
        <v>23</v>
      </c>
      <c r="AH78">
        <v>22</v>
      </c>
      <c r="AI78">
        <v>33</v>
      </c>
      <c r="AJ78">
        <v>16</v>
      </c>
      <c r="AK78">
        <v>10</v>
      </c>
      <c r="AL78">
        <v>37</v>
      </c>
      <c r="AM78">
        <v>21</v>
      </c>
      <c r="AN78">
        <v>31</v>
      </c>
      <c r="AO78">
        <v>4</v>
      </c>
      <c r="AP78">
        <v>4</v>
      </c>
      <c r="AQ78">
        <v>3</v>
      </c>
      <c r="AR78">
        <v>-1</v>
      </c>
      <c r="AS78">
        <v>-1</v>
      </c>
      <c r="AT78">
        <v>96</v>
      </c>
      <c r="AU78">
        <v>-1</v>
      </c>
      <c r="AV78">
        <v>1</v>
      </c>
      <c r="AW78">
        <v>-1</v>
      </c>
      <c r="AX78">
        <v>1</v>
      </c>
      <c r="AY78">
        <v>0</v>
      </c>
      <c r="AZ78">
        <v>14</v>
      </c>
      <c r="BA78">
        <v>60</v>
      </c>
      <c r="BB78">
        <v>70</v>
      </c>
      <c r="BC78">
        <v>68</v>
      </c>
      <c r="BD78">
        <v>62</v>
      </c>
      <c r="BE78">
        <v>23</v>
      </c>
      <c r="BF78">
        <v>15</v>
      </c>
      <c r="BG78">
        <v>8</v>
      </c>
      <c r="BH78">
        <v>18</v>
      </c>
      <c r="BI78">
        <v>6</v>
      </c>
      <c r="BJ78">
        <v>67</v>
      </c>
      <c r="BK78" t="str">
        <f t="shared" si="25"/>
        <v>NA</v>
      </c>
      <c r="BL78" t="str">
        <f t="shared" si="25"/>
        <v>NA</v>
      </c>
      <c r="BM78" t="str">
        <f t="shared" si="25"/>
        <v>NA</v>
      </c>
      <c r="BN78" t="str">
        <f t="shared" si="25"/>
        <v>NA</v>
      </c>
      <c r="BO78" t="str">
        <f t="shared" si="25"/>
        <v>NA</v>
      </c>
      <c r="BP78" t="str">
        <f t="shared" si="24"/>
        <v>IL</v>
      </c>
      <c r="BQ78" t="str">
        <f t="shared" si="21"/>
        <v>NA</v>
      </c>
      <c r="BR78" t="str">
        <f t="shared" si="21"/>
        <v>NA</v>
      </c>
    </row>
    <row r="79" spans="1:70">
      <c r="A79">
        <v>9</v>
      </c>
      <c r="B79" t="str">
        <f t="shared" si="22"/>
        <v>Summary of All HUD Programs</v>
      </c>
      <c r="C79">
        <v>1</v>
      </c>
      <c r="D79" t="str">
        <f t="shared" si="23"/>
        <v>NA</v>
      </c>
      <c r="E79" t="str">
        <f>"153 Pulaski County"</f>
        <v>153 Pulaski County</v>
      </c>
      <c r="F79" t="str">
        <f>"17153"</f>
        <v>17153</v>
      </c>
      <c r="G79">
        <v>161</v>
      </c>
      <c r="H79">
        <v>95</v>
      </c>
      <c r="I79">
        <v>153</v>
      </c>
      <c r="J79">
        <v>100</v>
      </c>
      <c r="K79">
        <v>7</v>
      </c>
      <c r="L79">
        <v>20</v>
      </c>
      <c r="M79">
        <v>2.1</v>
      </c>
      <c r="N79">
        <v>318</v>
      </c>
      <c r="O79">
        <v>248</v>
      </c>
      <c r="P79">
        <v>436</v>
      </c>
      <c r="Q79">
        <v>13127</v>
      </c>
      <c r="R79">
        <v>6316</v>
      </c>
      <c r="S79">
        <v>17</v>
      </c>
      <c r="T79">
        <v>37</v>
      </c>
      <c r="U79">
        <v>19</v>
      </c>
      <c r="V79">
        <v>7</v>
      </c>
      <c r="W79">
        <v>20</v>
      </c>
      <c r="X79">
        <v>27</v>
      </c>
      <c r="Y79">
        <v>10</v>
      </c>
      <c r="Z79">
        <v>55</v>
      </c>
      <c r="AA79">
        <v>28</v>
      </c>
      <c r="AB79">
        <v>86</v>
      </c>
      <c r="AC79">
        <v>72</v>
      </c>
      <c r="AD79">
        <v>3</v>
      </c>
      <c r="AE79">
        <v>42</v>
      </c>
      <c r="AF79">
        <v>78</v>
      </c>
      <c r="AG79">
        <v>44</v>
      </c>
      <c r="AH79">
        <v>31</v>
      </c>
      <c r="AI79">
        <v>43</v>
      </c>
      <c r="AJ79">
        <v>19</v>
      </c>
      <c r="AK79">
        <v>8</v>
      </c>
      <c r="AL79">
        <v>38</v>
      </c>
      <c r="AM79">
        <v>26</v>
      </c>
      <c r="AN79">
        <v>27</v>
      </c>
      <c r="AO79">
        <v>3</v>
      </c>
      <c r="AP79">
        <v>89</v>
      </c>
      <c r="AQ79">
        <v>89</v>
      </c>
      <c r="AR79">
        <v>-1</v>
      </c>
      <c r="AS79">
        <v>-1</v>
      </c>
      <c r="AT79">
        <v>11</v>
      </c>
      <c r="AU79">
        <v>-1</v>
      </c>
      <c r="AV79">
        <v>-1</v>
      </c>
      <c r="AW79">
        <v>-1</v>
      </c>
      <c r="AX79">
        <v>0</v>
      </c>
      <c r="AY79">
        <v>0</v>
      </c>
      <c r="AZ79">
        <v>7</v>
      </c>
      <c r="BA79">
        <v>135</v>
      </c>
      <c r="BB79">
        <v>18</v>
      </c>
      <c r="BC79">
        <v>108</v>
      </c>
      <c r="BD79">
        <v>39</v>
      </c>
      <c r="BE79">
        <v>25</v>
      </c>
      <c r="BF79">
        <v>36</v>
      </c>
      <c r="BG79">
        <v>20</v>
      </c>
      <c r="BH79">
        <v>19</v>
      </c>
      <c r="BI79">
        <v>35</v>
      </c>
      <c r="BJ79">
        <v>66</v>
      </c>
      <c r="BK79" t="str">
        <f t="shared" si="25"/>
        <v>NA</v>
      </c>
      <c r="BL79" t="str">
        <f t="shared" si="25"/>
        <v>NA</v>
      </c>
      <c r="BM79" t="str">
        <f t="shared" si="25"/>
        <v>NA</v>
      </c>
      <c r="BN79" t="str">
        <f t="shared" si="25"/>
        <v>NA</v>
      </c>
      <c r="BO79" t="str">
        <f t="shared" si="25"/>
        <v>NA</v>
      </c>
      <c r="BP79" t="str">
        <f t="shared" si="24"/>
        <v>IL</v>
      </c>
      <c r="BQ79" t="str">
        <f t="shared" si="21"/>
        <v>NA</v>
      </c>
      <c r="BR79" t="str">
        <f t="shared" si="21"/>
        <v>NA</v>
      </c>
    </row>
    <row r="80" spans="1:70">
      <c r="A80">
        <v>9</v>
      </c>
      <c r="B80" t="str">
        <f t="shared" si="22"/>
        <v>Summary of All HUD Programs</v>
      </c>
      <c r="C80">
        <v>1</v>
      </c>
      <c r="D80" t="str">
        <f t="shared" si="23"/>
        <v>NA</v>
      </c>
      <c r="E80" t="str">
        <f>"157 Randolph County"</f>
        <v>157 Randolph County</v>
      </c>
      <c r="F80" t="str">
        <f>"17157"</f>
        <v>17157</v>
      </c>
      <c r="G80">
        <v>271</v>
      </c>
      <c r="H80">
        <v>94</v>
      </c>
      <c r="I80">
        <v>256</v>
      </c>
      <c r="J80">
        <v>100</v>
      </c>
      <c r="K80">
        <v>6</v>
      </c>
      <c r="L80">
        <v>22</v>
      </c>
      <c r="M80">
        <v>1.8</v>
      </c>
      <c r="N80">
        <v>462</v>
      </c>
      <c r="O80">
        <v>260</v>
      </c>
      <c r="P80">
        <v>297</v>
      </c>
      <c r="Q80">
        <v>13662</v>
      </c>
      <c r="R80">
        <v>7570</v>
      </c>
      <c r="S80">
        <v>8</v>
      </c>
      <c r="T80">
        <v>31</v>
      </c>
      <c r="U80">
        <v>29</v>
      </c>
      <c r="V80">
        <v>11</v>
      </c>
      <c r="W80">
        <v>22</v>
      </c>
      <c r="X80">
        <v>29</v>
      </c>
      <c r="Y80">
        <v>3</v>
      </c>
      <c r="Z80">
        <v>60</v>
      </c>
      <c r="AA80">
        <v>29</v>
      </c>
      <c r="AB80">
        <v>88</v>
      </c>
      <c r="AC80">
        <v>65</v>
      </c>
      <c r="AD80">
        <v>5</v>
      </c>
      <c r="AE80">
        <v>28</v>
      </c>
      <c r="AF80">
        <v>75</v>
      </c>
      <c r="AG80">
        <v>30</v>
      </c>
      <c r="AH80">
        <v>36</v>
      </c>
      <c r="AI80">
        <v>32</v>
      </c>
      <c r="AJ80">
        <v>20</v>
      </c>
      <c r="AK80">
        <v>10</v>
      </c>
      <c r="AL80">
        <v>39</v>
      </c>
      <c r="AM80">
        <v>22</v>
      </c>
      <c r="AN80">
        <v>30</v>
      </c>
      <c r="AO80">
        <v>3</v>
      </c>
      <c r="AP80">
        <v>14</v>
      </c>
      <c r="AQ80">
        <v>11</v>
      </c>
      <c r="AR80">
        <v>-1</v>
      </c>
      <c r="AS80">
        <v>0</v>
      </c>
      <c r="AT80">
        <v>86</v>
      </c>
      <c r="AU80">
        <v>1</v>
      </c>
      <c r="AV80">
        <v>2</v>
      </c>
      <c r="AW80">
        <v>-1</v>
      </c>
      <c r="AX80">
        <v>3</v>
      </c>
      <c r="AY80">
        <v>0</v>
      </c>
      <c r="AZ80">
        <v>4</v>
      </c>
      <c r="BA80">
        <v>68</v>
      </c>
      <c r="BB80">
        <v>71</v>
      </c>
      <c r="BC80">
        <v>26</v>
      </c>
      <c r="BD80">
        <v>46</v>
      </c>
      <c r="BE80">
        <v>32</v>
      </c>
      <c r="BF80">
        <v>21</v>
      </c>
      <c r="BG80">
        <v>19</v>
      </c>
      <c r="BH80">
        <v>17</v>
      </c>
      <c r="BI80">
        <v>18</v>
      </c>
      <c r="BJ80">
        <v>76</v>
      </c>
      <c r="BK80" t="str">
        <f t="shared" si="25"/>
        <v>NA</v>
      </c>
      <c r="BL80" t="str">
        <f t="shared" si="25"/>
        <v>NA</v>
      </c>
      <c r="BM80" t="str">
        <f t="shared" si="25"/>
        <v>NA</v>
      </c>
      <c r="BN80" t="str">
        <f t="shared" si="25"/>
        <v>NA</v>
      </c>
      <c r="BO80" t="str">
        <f t="shared" si="25"/>
        <v>NA</v>
      </c>
      <c r="BP80" t="str">
        <f t="shared" si="24"/>
        <v>IL</v>
      </c>
      <c r="BQ80" t="str">
        <f t="shared" si="21"/>
        <v>NA</v>
      </c>
      <c r="BR80" t="str">
        <f t="shared" si="21"/>
        <v>NA</v>
      </c>
    </row>
    <row r="81" spans="1:70">
      <c r="A81">
        <v>9</v>
      </c>
      <c r="B81" t="str">
        <f t="shared" si="22"/>
        <v>Summary of All HUD Programs</v>
      </c>
      <c r="C81">
        <v>1</v>
      </c>
      <c r="D81" t="str">
        <f t="shared" si="23"/>
        <v>NA</v>
      </c>
      <c r="E81" t="str">
        <f>"159 Richland County"</f>
        <v>159 Richland County</v>
      </c>
      <c r="F81" t="str">
        <f>"17159"</f>
        <v>17159</v>
      </c>
      <c r="G81">
        <v>273</v>
      </c>
      <c r="H81">
        <v>90</v>
      </c>
      <c r="I81">
        <v>247</v>
      </c>
      <c r="J81">
        <v>100</v>
      </c>
      <c r="K81">
        <v>6</v>
      </c>
      <c r="L81">
        <v>32</v>
      </c>
      <c r="M81">
        <v>1.7</v>
      </c>
      <c r="N81">
        <v>430</v>
      </c>
      <c r="O81">
        <v>260</v>
      </c>
      <c r="P81">
        <v>325</v>
      </c>
      <c r="Q81">
        <v>11240</v>
      </c>
      <c r="R81">
        <v>6457</v>
      </c>
      <c r="S81">
        <v>8</v>
      </c>
      <c r="T81">
        <v>37</v>
      </c>
      <c r="U81">
        <v>31</v>
      </c>
      <c r="V81">
        <v>12</v>
      </c>
      <c r="W81">
        <v>11</v>
      </c>
      <c r="X81">
        <v>21</v>
      </c>
      <c r="Y81">
        <v>3</v>
      </c>
      <c r="Z81">
        <v>68</v>
      </c>
      <c r="AA81">
        <v>25</v>
      </c>
      <c r="AB81">
        <v>96</v>
      </c>
      <c r="AC81">
        <v>68</v>
      </c>
      <c r="AD81">
        <v>4</v>
      </c>
      <c r="AE81">
        <v>28</v>
      </c>
      <c r="AF81">
        <v>69</v>
      </c>
      <c r="AG81">
        <v>26</v>
      </c>
      <c r="AH81">
        <v>47</v>
      </c>
      <c r="AI81">
        <v>39</v>
      </c>
      <c r="AJ81">
        <v>28</v>
      </c>
      <c r="AK81">
        <v>8</v>
      </c>
      <c r="AL81">
        <v>34</v>
      </c>
      <c r="AM81">
        <v>24</v>
      </c>
      <c r="AN81">
        <v>34</v>
      </c>
      <c r="AO81">
        <v>4</v>
      </c>
      <c r="AP81">
        <v>7</v>
      </c>
      <c r="AQ81">
        <v>4</v>
      </c>
      <c r="AR81">
        <v>0</v>
      </c>
      <c r="AS81">
        <v>0</v>
      </c>
      <c r="AT81">
        <v>93</v>
      </c>
      <c r="AU81">
        <v>-1</v>
      </c>
      <c r="AV81">
        <v>2</v>
      </c>
      <c r="AW81">
        <v>-1</v>
      </c>
      <c r="AX81">
        <v>2</v>
      </c>
      <c r="AY81">
        <v>0</v>
      </c>
      <c r="AZ81">
        <v>4</v>
      </c>
      <c r="BA81">
        <v>55</v>
      </c>
      <c r="BB81">
        <v>49</v>
      </c>
      <c r="BC81">
        <v>133</v>
      </c>
      <c r="BD81">
        <v>56</v>
      </c>
      <c r="BE81">
        <v>27</v>
      </c>
      <c r="BF81">
        <v>17</v>
      </c>
      <c r="BG81">
        <v>10</v>
      </c>
      <c r="BH81">
        <v>17</v>
      </c>
      <c r="BI81">
        <v>4</v>
      </c>
      <c r="BJ81">
        <v>77</v>
      </c>
      <c r="BK81" t="str">
        <f t="shared" si="25"/>
        <v>NA</v>
      </c>
      <c r="BL81" t="str">
        <f t="shared" si="25"/>
        <v>NA</v>
      </c>
      <c r="BM81" t="str">
        <f t="shared" si="25"/>
        <v>NA</v>
      </c>
      <c r="BN81" t="str">
        <f t="shared" si="25"/>
        <v>NA</v>
      </c>
      <c r="BO81" t="str">
        <f t="shared" si="25"/>
        <v>NA</v>
      </c>
      <c r="BP81" t="str">
        <f t="shared" si="24"/>
        <v>IL</v>
      </c>
      <c r="BQ81" t="str">
        <f t="shared" si="21"/>
        <v>NA</v>
      </c>
      <c r="BR81" t="str">
        <f t="shared" si="21"/>
        <v>NA</v>
      </c>
    </row>
    <row r="82" spans="1:70">
      <c r="A82">
        <v>9</v>
      </c>
      <c r="B82" t="str">
        <f t="shared" si="22"/>
        <v>Summary of All HUD Programs</v>
      </c>
      <c r="C82">
        <v>1</v>
      </c>
      <c r="D82" t="str">
        <f t="shared" si="23"/>
        <v>NA</v>
      </c>
      <c r="E82" t="str">
        <f>"161 Rock Island County"</f>
        <v>161 Rock Island County</v>
      </c>
      <c r="F82" t="str">
        <f>"17161"</f>
        <v>17161</v>
      </c>
      <c r="G82">
        <v>4602</v>
      </c>
      <c r="H82">
        <v>92</v>
      </c>
      <c r="I82">
        <v>4255</v>
      </c>
      <c r="J82">
        <v>100</v>
      </c>
      <c r="K82">
        <v>5</v>
      </c>
      <c r="L82">
        <v>19</v>
      </c>
      <c r="M82">
        <v>1.9</v>
      </c>
      <c r="N82">
        <v>8232</v>
      </c>
      <c r="O82">
        <v>275</v>
      </c>
      <c r="P82">
        <v>490</v>
      </c>
      <c r="Q82">
        <v>12975</v>
      </c>
      <c r="R82">
        <v>6707</v>
      </c>
      <c r="S82">
        <v>14</v>
      </c>
      <c r="T82">
        <v>30</v>
      </c>
      <c r="U82">
        <v>22</v>
      </c>
      <c r="V82">
        <v>14</v>
      </c>
      <c r="W82">
        <v>20</v>
      </c>
      <c r="X82">
        <v>32</v>
      </c>
      <c r="Y82">
        <v>3</v>
      </c>
      <c r="Z82">
        <v>58</v>
      </c>
      <c r="AA82">
        <v>24</v>
      </c>
      <c r="AB82">
        <v>93</v>
      </c>
      <c r="AC82">
        <v>71</v>
      </c>
      <c r="AD82">
        <v>5</v>
      </c>
      <c r="AE82">
        <v>33</v>
      </c>
      <c r="AF82">
        <v>71</v>
      </c>
      <c r="AG82">
        <v>33</v>
      </c>
      <c r="AH82">
        <v>29</v>
      </c>
      <c r="AI82">
        <v>28</v>
      </c>
      <c r="AJ82">
        <v>16</v>
      </c>
      <c r="AK82">
        <v>12</v>
      </c>
      <c r="AL82">
        <v>44</v>
      </c>
      <c r="AM82">
        <v>19</v>
      </c>
      <c r="AN82">
        <v>26</v>
      </c>
      <c r="AO82">
        <v>3</v>
      </c>
      <c r="AP82">
        <v>46</v>
      </c>
      <c r="AQ82">
        <v>37</v>
      </c>
      <c r="AR82">
        <v>0</v>
      </c>
      <c r="AS82">
        <v>2</v>
      </c>
      <c r="AT82">
        <v>53</v>
      </c>
      <c r="AU82">
        <v>0</v>
      </c>
      <c r="AV82">
        <v>4</v>
      </c>
      <c r="AW82">
        <v>1</v>
      </c>
      <c r="AX82">
        <v>6</v>
      </c>
      <c r="AY82">
        <v>1</v>
      </c>
      <c r="AZ82">
        <v>12</v>
      </c>
      <c r="BA82">
        <v>66</v>
      </c>
      <c r="BB82">
        <v>75</v>
      </c>
      <c r="BC82">
        <v>84</v>
      </c>
      <c r="BD82">
        <v>56</v>
      </c>
      <c r="BE82">
        <v>27</v>
      </c>
      <c r="BF82">
        <v>17</v>
      </c>
      <c r="BG82">
        <v>5</v>
      </c>
      <c r="BH82">
        <v>22</v>
      </c>
      <c r="BI82">
        <v>34</v>
      </c>
      <c r="BJ82">
        <v>59</v>
      </c>
      <c r="BK82" t="str">
        <f t="shared" si="25"/>
        <v>NA</v>
      </c>
      <c r="BL82" t="str">
        <f t="shared" si="25"/>
        <v>NA</v>
      </c>
      <c r="BM82" t="str">
        <f t="shared" si="25"/>
        <v>NA</v>
      </c>
      <c r="BN82" t="str">
        <f t="shared" si="25"/>
        <v>NA</v>
      </c>
      <c r="BO82" t="str">
        <f t="shared" si="25"/>
        <v>NA</v>
      </c>
      <c r="BP82" t="str">
        <f t="shared" si="24"/>
        <v>IL</v>
      </c>
      <c r="BQ82" t="str">
        <f t="shared" si="21"/>
        <v>NA</v>
      </c>
      <c r="BR82" t="str">
        <f t="shared" si="21"/>
        <v>NA</v>
      </c>
    </row>
    <row r="83" spans="1:70">
      <c r="A83">
        <v>9</v>
      </c>
      <c r="B83" t="str">
        <f t="shared" si="22"/>
        <v>Summary of All HUD Programs</v>
      </c>
      <c r="C83">
        <v>1</v>
      </c>
      <c r="D83" t="str">
        <f t="shared" si="23"/>
        <v>NA</v>
      </c>
      <c r="E83" t="str">
        <f>"163 St. Clair County"</f>
        <v>163 St. Clair County</v>
      </c>
      <c r="F83" t="str">
        <f>"17163"</f>
        <v>17163</v>
      </c>
      <c r="G83">
        <v>6782</v>
      </c>
      <c r="H83">
        <v>90</v>
      </c>
      <c r="I83">
        <v>6183</v>
      </c>
      <c r="J83">
        <v>100</v>
      </c>
      <c r="K83">
        <v>6</v>
      </c>
      <c r="L83">
        <v>14</v>
      </c>
      <c r="M83">
        <v>2.2999999999999998</v>
      </c>
      <c r="N83">
        <v>14379</v>
      </c>
      <c r="O83">
        <v>306</v>
      </c>
      <c r="P83">
        <v>560</v>
      </c>
      <c r="Q83">
        <v>12518</v>
      </c>
      <c r="R83">
        <v>5383</v>
      </c>
      <c r="S83">
        <v>14</v>
      </c>
      <c r="T83">
        <v>34</v>
      </c>
      <c r="U83">
        <v>20</v>
      </c>
      <c r="V83">
        <v>14</v>
      </c>
      <c r="W83">
        <v>18</v>
      </c>
      <c r="X83">
        <v>36</v>
      </c>
      <c r="Y83">
        <v>5</v>
      </c>
      <c r="Z83">
        <v>56</v>
      </c>
      <c r="AA83">
        <v>22</v>
      </c>
      <c r="AB83">
        <v>96</v>
      </c>
      <c r="AC83">
        <v>77</v>
      </c>
      <c r="AD83">
        <v>2</v>
      </c>
      <c r="AE83">
        <v>48</v>
      </c>
      <c r="AF83">
        <v>84</v>
      </c>
      <c r="AG83">
        <v>49</v>
      </c>
      <c r="AH83">
        <v>26</v>
      </c>
      <c r="AI83">
        <v>45</v>
      </c>
      <c r="AJ83">
        <v>16</v>
      </c>
      <c r="AK83">
        <v>9</v>
      </c>
      <c r="AL83">
        <v>53</v>
      </c>
      <c r="AM83">
        <v>16</v>
      </c>
      <c r="AN83">
        <v>23</v>
      </c>
      <c r="AO83">
        <v>2</v>
      </c>
      <c r="AP83">
        <v>88</v>
      </c>
      <c r="AQ83">
        <v>87</v>
      </c>
      <c r="AR83">
        <v>0</v>
      </c>
      <c r="AS83">
        <v>0</v>
      </c>
      <c r="AT83">
        <v>12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29</v>
      </c>
      <c r="BA83">
        <v>79</v>
      </c>
      <c r="BB83">
        <v>98</v>
      </c>
      <c r="BC83">
        <v>137</v>
      </c>
      <c r="BD83">
        <v>33</v>
      </c>
      <c r="BE83">
        <v>31</v>
      </c>
      <c r="BF83">
        <v>36</v>
      </c>
      <c r="BG83">
        <v>14</v>
      </c>
      <c r="BH83">
        <v>38</v>
      </c>
      <c r="BI83">
        <v>71</v>
      </c>
      <c r="BJ83">
        <v>57</v>
      </c>
      <c r="BK83" t="str">
        <f t="shared" ref="BK83:BO92" si="26">"NA"</f>
        <v>NA</v>
      </c>
      <c r="BL83" t="str">
        <f t="shared" si="26"/>
        <v>NA</v>
      </c>
      <c r="BM83" t="str">
        <f t="shared" si="26"/>
        <v>NA</v>
      </c>
      <c r="BN83" t="str">
        <f t="shared" si="26"/>
        <v>NA</v>
      </c>
      <c r="BO83" t="str">
        <f t="shared" si="26"/>
        <v>NA</v>
      </c>
      <c r="BP83" t="str">
        <f t="shared" si="24"/>
        <v>IL</v>
      </c>
      <c r="BQ83" t="str">
        <f t="shared" si="17"/>
        <v>NA</v>
      </c>
      <c r="BR83" t="str">
        <f t="shared" si="17"/>
        <v>NA</v>
      </c>
    </row>
    <row r="84" spans="1:70">
      <c r="A84">
        <v>9</v>
      </c>
      <c r="B84" t="str">
        <f t="shared" si="22"/>
        <v>Summary of All HUD Programs</v>
      </c>
      <c r="C84">
        <v>1</v>
      </c>
      <c r="D84" t="str">
        <f t="shared" si="23"/>
        <v>NA</v>
      </c>
      <c r="E84" t="str">
        <f>"165 Saline County"</f>
        <v>165 Saline County</v>
      </c>
      <c r="F84" t="str">
        <f>"17165"</f>
        <v>17165</v>
      </c>
      <c r="G84">
        <v>600</v>
      </c>
      <c r="H84">
        <v>94</v>
      </c>
      <c r="I84">
        <v>565</v>
      </c>
      <c r="J84">
        <v>100</v>
      </c>
      <c r="K84">
        <v>5</v>
      </c>
      <c r="L84">
        <v>26</v>
      </c>
      <c r="M84">
        <v>1.6</v>
      </c>
      <c r="N84">
        <v>922</v>
      </c>
      <c r="O84">
        <v>212</v>
      </c>
      <c r="P84">
        <v>402</v>
      </c>
      <c r="Q84">
        <v>9304</v>
      </c>
      <c r="R84">
        <v>5701</v>
      </c>
      <c r="S84">
        <v>26</v>
      </c>
      <c r="T84">
        <v>38</v>
      </c>
      <c r="U84">
        <v>19</v>
      </c>
      <c r="V84">
        <v>10</v>
      </c>
      <c r="W84">
        <v>8</v>
      </c>
      <c r="X84">
        <v>23</v>
      </c>
      <c r="Y84">
        <v>1</v>
      </c>
      <c r="Z84">
        <v>72</v>
      </c>
      <c r="AA84">
        <v>21</v>
      </c>
      <c r="AB84">
        <v>96</v>
      </c>
      <c r="AC84">
        <v>79</v>
      </c>
      <c r="AD84">
        <v>6</v>
      </c>
      <c r="AE84">
        <v>21</v>
      </c>
      <c r="AF84">
        <v>68</v>
      </c>
      <c r="AG84">
        <v>24</v>
      </c>
      <c r="AH84">
        <v>33</v>
      </c>
      <c r="AI84">
        <v>57</v>
      </c>
      <c r="AJ84">
        <v>26</v>
      </c>
      <c r="AK84">
        <v>15</v>
      </c>
      <c r="AL84">
        <v>36</v>
      </c>
      <c r="AM84">
        <v>22</v>
      </c>
      <c r="AN84">
        <v>27</v>
      </c>
      <c r="AO84">
        <v>2</v>
      </c>
      <c r="AP84">
        <v>12</v>
      </c>
      <c r="AQ84">
        <v>10</v>
      </c>
      <c r="AR84">
        <v>1</v>
      </c>
      <c r="AS84">
        <v>0</v>
      </c>
      <c r="AT84">
        <v>88</v>
      </c>
      <c r="AU84">
        <v>-1</v>
      </c>
      <c r="AV84">
        <v>1</v>
      </c>
      <c r="AW84">
        <v>-1</v>
      </c>
      <c r="AX84">
        <v>1</v>
      </c>
      <c r="AY84">
        <v>0</v>
      </c>
      <c r="AZ84">
        <v>2</v>
      </c>
      <c r="BA84">
        <v>66</v>
      </c>
      <c r="BB84">
        <v>59</v>
      </c>
      <c r="BC84">
        <v>65</v>
      </c>
      <c r="BD84">
        <v>55</v>
      </c>
      <c r="BE84">
        <v>23</v>
      </c>
      <c r="BF84">
        <v>22</v>
      </c>
      <c r="BG84">
        <v>20</v>
      </c>
      <c r="BH84">
        <v>25</v>
      </c>
      <c r="BI84">
        <v>9</v>
      </c>
      <c r="BJ84">
        <v>72</v>
      </c>
      <c r="BK84" t="str">
        <f t="shared" si="26"/>
        <v>NA</v>
      </c>
      <c r="BL84" t="str">
        <f t="shared" si="26"/>
        <v>NA</v>
      </c>
      <c r="BM84" t="str">
        <f t="shared" si="26"/>
        <v>NA</v>
      </c>
      <c r="BN84" t="str">
        <f t="shared" si="26"/>
        <v>NA</v>
      </c>
      <c r="BO84" t="str">
        <f t="shared" si="26"/>
        <v>NA</v>
      </c>
      <c r="BP84" t="str">
        <f t="shared" si="24"/>
        <v>IL</v>
      </c>
      <c r="BQ84" t="str">
        <f t="shared" si="17"/>
        <v>NA</v>
      </c>
      <c r="BR84" t="str">
        <f t="shared" si="17"/>
        <v>NA</v>
      </c>
    </row>
    <row r="85" spans="1:70">
      <c r="A85">
        <v>9</v>
      </c>
      <c r="B85" t="str">
        <f t="shared" si="22"/>
        <v>Summary of All HUD Programs</v>
      </c>
      <c r="C85">
        <v>1</v>
      </c>
      <c r="D85" t="str">
        <f t="shared" si="23"/>
        <v>NA</v>
      </c>
      <c r="E85" t="str">
        <f>"167 Sangamon County"</f>
        <v>167 Sangamon County</v>
      </c>
      <c r="F85" t="str">
        <f>"17167"</f>
        <v>17167</v>
      </c>
      <c r="G85">
        <v>3832</v>
      </c>
      <c r="H85">
        <v>97</v>
      </c>
      <c r="I85">
        <v>3790</v>
      </c>
      <c r="J85">
        <v>100</v>
      </c>
      <c r="K85">
        <v>5</v>
      </c>
      <c r="L85">
        <v>20</v>
      </c>
      <c r="M85">
        <v>2.1</v>
      </c>
      <c r="N85">
        <v>7937</v>
      </c>
      <c r="O85">
        <v>313</v>
      </c>
      <c r="P85">
        <v>596</v>
      </c>
      <c r="Q85">
        <v>12581</v>
      </c>
      <c r="R85">
        <v>6007</v>
      </c>
      <c r="S85">
        <v>6</v>
      </c>
      <c r="T85">
        <v>35</v>
      </c>
      <c r="U85">
        <v>25</v>
      </c>
      <c r="V85">
        <v>17</v>
      </c>
      <c r="W85">
        <v>18</v>
      </c>
      <c r="X85">
        <v>29</v>
      </c>
      <c r="Y85">
        <v>3</v>
      </c>
      <c r="Z85">
        <v>58</v>
      </c>
      <c r="AA85">
        <v>21</v>
      </c>
      <c r="AB85">
        <v>98</v>
      </c>
      <c r="AC85">
        <v>78</v>
      </c>
      <c r="AD85">
        <v>1</v>
      </c>
      <c r="AE85">
        <v>40</v>
      </c>
      <c r="AF85">
        <v>79</v>
      </c>
      <c r="AG85">
        <v>40</v>
      </c>
      <c r="AH85">
        <v>35</v>
      </c>
      <c r="AI85">
        <v>40</v>
      </c>
      <c r="AJ85">
        <v>20</v>
      </c>
      <c r="AK85">
        <v>6</v>
      </c>
      <c r="AL85">
        <v>48</v>
      </c>
      <c r="AM85">
        <v>21</v>
      </c>
      <c r="AN85">
        <v>26</v>
      </c>
      <c r="AO85">
        <v>2</v>
      </c>
      <c r="AP85">
        <v>63</v>
      </c>
      <c r="AQ85">
        <v>61</v>
      </c>
      <c r="AR85">
        <v>1</v>
      </c>
      <c r="AS85">
        <v>0</v>
      </c>
      <c r="AT85">
        <v>36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9</v>
      </c>
      <c r="BA85">
        <v>67</v>
      </c>
      <c r="BB85">
        <v>72</v>
      </c>
      <c r="BC85">
        <v>153</v>
      </c>
      <c r="BD85">
        <v>42</v>
      </c>
      <c r="BE85">
        <v>28</v>
      </c>
      <c r="BF85">
        <v>29</v>
      </c>
      <c r="BG85">
        <v>18</v>
      </c>
      <c r="BH85">
        <v>35</v>
      </c>
      <c r="BI85">
        <v>43</v>
      </c>
      <c r="BJ85">
        <v>58</v>
      </c>
      <c r="BK85" t="str">
        <f t="shared" si="26"/>
        <v>NA</v>
      </c>
      <c r="BL85" t="str">
        <f t="shared" si="26"/>
        <v>NA</v>
      </c>
      <c r="BM85" t="str">
        <f t="shared" si="26"/>
        <v>NA</v>
      </c>
      <c r="BN85" t="str">
        <f t="shared" si="26"/>
        <v>NA</v>
      </c>
      <c r="BO85" t="str">
        <f t="shared" si="26"/>
        <v>NA</v>
      </c>
      <c r="BP85" t="str">
        <f t="shared" si="24"/>
        <v>IL</v>
      </c>
      <c r="BQ85" t="str">
        <f t="shared" si="17"/>
        <v>NA</v>
      </c>
      <c r="BR85" t="str">
        <f t="shared" si="17"/>
        <v>NA</v>
      </c>
    </row>
    <row r="86" spans="1:70">
      <c r="A86">
        <v>9</v>
      </c>
      <c r="B86" t="str">
        <f t="shared" si="22"/>
        <v>Summary of All HUD Programs</v>
      </c>
      <c r="C86">
        <v>1</v>
      </c>
      <c r="D86" t="str">
        <f t="shared" si="23"/>
        <v>NA</v>
      </c>
      <c r="E86" t="str">
        <f>"169 Schuyler County"</f>
        <v>169 Schuyler County</v>
      </c>
      <c r="F86" t="str">
        <f>"17169"</f>
        <v>17169</v>
      </c>
      <c r="G86">
        <v>17</v>
      </c>
      <c r="H86">
        <v>94</v>
      </c>
      <c r="I86">
        <v>14</v>
      </c>
      <c r="J86">
        <v>89</v>
      </c>
      <c r="K86">
        <v>4</v>
      </c>
      <c r="L86">
        <v>7</v>
      </c>
      <c r="M86">
        <v>1.1000000000000001</v>
      </c>
      <c r="N86">
        <v>15</v>
      </c>
      <c r="O86">
        <v>263</v>
      </c>
      <c r="P86">
        <v>382</v>
      </c>
      <c r="Q86">
        <v>12787</v>
      </c>
      <c r="R86">
        <v>11934</v>
      </c>
      <c r="S86">
        <v>-1</v>
      </c>
      <c r="T86">
        <v>29</v>
      </c>
      <c r="U86">
        <v>50</v>
      </c>
      <c r="V86">
        <v>21</v>
      </c>
      <c r="W86">
        <v>-1</v>
      </c>
      <c r="X86">
        <v>-1</v>
      </c>
      <c r="Y86">
        <v>-1</v>
      </c>
      <c r="Z86">
        <v>100</v>
      </c>
      <c r="AA86">
        <v>30</v>
      </c>
      <c r="AB86">
        <v>100</v>
      </c>
      <c r="AC86">
        <v>57</v>
      </c>
      <c r="AD86">
        <v>-1</v>
      </c>
      <c r="AE86">
        <v>-1</v>
      </c>
      <c r="AF86">
        <v>79</v>
      </c>
      <c r="AG86">
        <v>-1</v>
      </c>
      <c r="AH86">
        <v>-1</v>
      </c>
      <c r="AI86">
        <v>7</v>
      </c>
      <c r="AJ86">
        <v>7</v>
      </c>
      <c r="AK86">
        <v>-1</v>
      </c>
      <c r="AL86">
        <v>-1</v>
      </c>
      <c r="AM86">
        <v>-1</v>
      </c>
      <c r="AN86">
        <v>100</v>
      </c>
      <c r="AO86">
        <v>36</v>
      </c>
      <c r="AP86">
        <v>7</v>
      </c>
      <c r="AQ86">
        <v>-1</v>
      </c>
      <c r="AR86">
        <v>-1</v>
      </c>
      <c r="AS86">
        <v>-1</v>
      </c>
      <c r="AT86">
        <v>93</v>
      </c>
      <c r="AU86">
        <v>-1</v>
      </c>
      <c r="AV86">
        <v>7</v>
      </c>
      <c r="AW86">
        <v>-1</v>
      </c>
      <c r="AX86">
        <v>7</v>
      </c>
      <c r="AY86">
        <v>0</v>
      </c>
      <c r="AZ86">
        <v>-1</v>
      </c>
      <c r="BA86">
        <v>49</v>
      </c>
      <c r="BB86">
        <v>100</v>
      </c>
      <c r="BC86">
        <v>44</v>
      </c>
      <c r="BD86">
        <v>100</v>
      </c>
      <c r="BE86">
        <v>-1</v>
      </c>
      <c r="BF86">
        <v>-1</v>
      </c>
      <c r="BG86">
        <v>-1</v>
      </c>
      <c r="BH86">
        <v>17</v>
      </c>
      <c r="BI86">
        <v>6</v>
      </c>
      <c r="BJ86">
        <v>75</v>
      </c>
      <c r="BK86" t="str">
        <f t="shared" si="26"/>
        <v>NA</v>
      </c>
      <c r="BL86" t="str">
        <f t="shared" si="26"/>
        <v>NA</v>
      </c>
      <c r="BM86" t="str">
        <f t="shared" si="26"/>
        <v>NA</v>
      </c>
      <c r="BN86" t="str">
        <f t="shared" si="26"/>
        <v>NA</v>
      </c>
      <c r="BO86" t="str">
        <f t="shared" si="26"/>
        <v>NA</v>
      </c>
      <c r="BP86" t="str">
        <f t="shared" si="24"/>
        <v>IL</v>
      </c>
      <c r="BQ86" t="str">
        <f t="shared" si="17"/>
        <v>NA</v>
      </c>
      <c r="BR86" t="str">
        <f t="shared" si="17"/>
        <v>NA</v>
      </c>
    </row>
    <row r="87" spans="1:70">
      <c r="A87">
        <v>9</v>
      </c>
      <c r="B87" t="str">
        <f t="shared" si="22"/>
        <v>Summary of All HUD Programs</v>
      </c>
      <c r="C87">
        <v>1</v>
      </c>
      <c r="D87" t="str">
        <f t="shared" si="23"/>
        <v>NA</v>
      </c>
      <c r="E87" t="str">
        <f>"171 Scott County"</f>
        <v>171 Scott County</v>
      </c>
      <c r="F87" t="str">
        <f>"17171"</f>
        <v>17171</v>
      </c>
      <c r="G87">
        <v>105</v>
      </c>
      <c r="H87">
        <v>98</v>
      </c>
      <c r="I87">
        <v>102</v>
      </c>
      <c r="J87">
        <v>99</v>
      </c>
      <c r="K87">
        <v>7</v>
      </c>
      <c r="L87">
        <v>23</v>
      </c>
      <c r="M87">
        <v>1.8</v>
      </c>
      <c r="N87">
        <v>186</v>
      </c>
      <c r="O87">
        <v>270</v>
      </c>
      <c r="P87">
        <v>324</v>
      </c>
      <c r="Q87">
        <v>14178</v>
      </c>
      <c r="R87">
        <v>7775</v>
      </c>
      <c r="S87">
        <v>3</v>
      </c>
      <c r="T87">
        <v>24</v>
      </c>
      <c r="U87">
        <v>23</v>
      </c>
      <c r="V87">
        <v>23</v>
      </c>
      <c r="W87">
        <v>26</v>
      </c>
      <c r="X87">
        <v>26</v>
      </c>
      <c r="Y87">
        <v>-1</v>
      </c>
      <c r="Z87">
        <v>59</v>
      </c>
      <c r="AA87">
        <v>29</v>
      </c>
      <c r="AB87">
        <v>85</v>
      </c>
      <c r="AC87">
        <v>60</v>
      </c>
      <c r="AD87">
        <v>6</v>
      </c>
      <c r="AE87">
        <v>25</v>
      </c>
      <c r="AF87">
        <v>69</v>
      </c>
      <c r="AG87">
        <v>25</v>
      </c>
      <c r="AH87">
        <v>19</v>
      </c>
      <c r="AI87">
        <v>28</v>
      </c>
      <c r="AJ87">
        <v>13</v>
      </c>
      <c r="AK87">
        <v>5</v>
      </c>
      <c r="AL87">
        <v>36</v>
      </c>
      <c r="AM87">
        <v>17</v>
      </c>
      <c r="AN87">
        <v>42</v>
      </c>
      <c r="AO87">
        <v>4</v>
      </c>
      <c r="AP87">
        <v>0</v>
      </c>
      <c r="AQ87">
        <v>-1</v>
      </c>
      <c r="AR87">
        <v>-1</v>
      </c>
      <c r="AS87">
        <v>-1</v>
      </c>
      <c r="AT87">
        <v>100</v>
      </c>
      <c r="AU87">
        <v>-1</v>
      </c>
      <c r="AV87">
        <v>-1</v>
      </c>
      <c r="AW87">
        <v>-1</v>
      </c>
      <c r="AX87">
        <v>0</v>
      </c>
      <c r="AY87">
        <v>0</v>
      </c>
      <c r="AZ87">
        <v>11</v>
      </c>
      <c r="BA87">
        <v>77</v>
      </c>
      <c r="BB87">
        <v>56</v>
      </c>
      <c r="BC87">
        <v>81</v>
      </c>
      <c r="BD87">
        <v>63</v>
      </c>
      <c r="BE87">
        <v>15</v>
      </c>
      <c r="BF87">
        <v>23</v>
      </c>
      <c r="BG87">
        <v>5</v>
      </c>
      <c r="BH87">
        <v>14</v>
      </c>
      <c r="BI87">
        <v>2</v>
      </c>
      <c r="BJ87">
        <v>80</v>
      </c>
      <c r="BK87" t="str">
        <f t="shared" si="26"/>
        <v>NA</v>
      </c>
      <c r="BL87" t="str">
        <f t="shared" si="26"/>
        <v>NA</v>
      </c>
      <c r="BM87" t="str">
        <f t="shared" si="26"/>
        <v>NA</v>
      </c>
      <c r="BN87" t="str">
        <f t="shared" si="26"/>
        <v>NA</v>
      </c>
      <c r="BO87" t="str">
        <f t="shared" si="26"/>
        <v>NA</v>
      </c>
      <c r="BP87" t="str">
        <f t="shared" si="24"/>
        <v>IL</v>
      </c>
      <c r="BQ87" t="str">
        <f t="shared" si="17"/>
        <v>NA</v>
      </c>
      <c r="BR87" t="str">
        <f t="shared" si="17"/>
        <v>NA</v>
      </c>
    </row>
    <row r="88" spans="1:70">
      <c r="A88">
        <v>9</v>
      </c>
      <c r="B88" t="str">
        <f t="shared" si="22"/>
        <v>Summary of All HUD Programs</v>
      </c>
      <c r="C88">
        <v>1</v>
      </c>
      <c r="D88" t="str">
        <f t="shared" si="23"/>
        <v>NA</v>
      </c>
      <c r="E88" t="str">
        <f>"173 Shelby County"</f>
        <v>173 Shelby County</v>
      </c>
      <c r="F88" t="str">
        <f>"17173"</f>
        <v>17173</v>
      </c>
      <c r="G88">
        <v>171</v>
      </c>
      <c r="H88">
        <v>93</v>
      </c>
      <c r="I88">
        <v>159</v>
      </c>
      <c r="J88">
        <v>100</v>
      </c>
      <c r="K88">
        <v>5</v>
      </c>
      <c r="L88">
        <v>17</v>
      </c>
      <c r="M88">
        <v>1.4</v>
      </c>
      <c r="N88">
        <v>230</v>
      </c>
      <c r="O88">
        <v>276</v>
      </c>
      <c r="P88">
        <v>259</v>
      </c>
      <c r="Q88">
        <v>13279</v>
      </c>
      <c r="R88">
        <v>9180</v>
      </c>
      <c r="S88">
        <v>11</v>
      </c>
      <c r="T88">
        <v>39</v>
      </c>
      <c r="U88">
        <v>19</v>
      </c>
      <c r="V88">
        <v>12</v>
      </c>
      <c r="W88">
        <v>19</v>
      </c>
      <c r="X88">
        <v>16</v>
      </c>
      <c r="Y88">
        <v>3</v>
      </c>
      <c r="Z88">
        <v>81</v>
      </c>
      <c r="AA88">
        <v>30</v>
      </c>
      <c r="AB88">
        <v>85</v>
      </c>
      <c r="AC88">
        <v>59</v>
      </c>
      <c r="AD88">
        <v>3</v>
      </c>
      <c r="AE88">
        <v>11</v>
      </c>
      <c r="AF88">
        <v>52</v>
      </c>
      <c r="AG88">
        <v>11</v>
      </c>
      <c r="AH88">
        <v>45</v>
      </c>
      <c r="AI88">
        <v>39</v>
      </c>
      <c r="AJ88">
        <v>35</v>
      </c>
      <c r="AK88">
        <v>6</v>
      </c>
      <c r="AL88">
        <v>25</v>
      </c>
      <c r="AM88">
        <v>31</v>
      </c>
      <c r="AN88">
        <v>38</v>
      </c>
      <c r="AO88">
        <v>4</v>
      </c>
      <c r="AP88">
        <v>3</v>
      </c>
      <c r="AQ88">
        <v>1</v>
      </c>
      <c r="AR88">
        <v>-1</v>
      </c>
      <c r="AS88">
        <v>1</v>
      </c>
      <c r="AT88">
        <v>97</v>
      </c>
      <c r="AU88">
        <v>-1</v>
      </c>
      <c r="AV88">
        <v>1</v>
      </c>
      <c r="AW88">
        <v>-1</v>
      </c>
      <c r="AX88">
        <v>1</v>
      </c>
      <c r="AY88">
        <v>0</v>
      </c>
      <c r="AZ88">
        <v>3</v>
      </c>
      <c r="BA88">
        <v>73</v>
      </c>
      <c r="BB88">
        <v>19</v>
      </c>
      <c r="BC88">
        <v>145</v>
      </c>
      <c r="BD88">
        <v>70</v>
      </c>
      <c r="BE88">
        <v>21</v>
      </c>
      <c r="BF88">
        <v>9</v>
      </c>
      <c r="BG88">
        <v>9</v>
      </c>
      <c r="BH88">
        <v>11</v>
      </c>
      <c r="BI88">
        <v>2</v>
      </c>
      <c r="BJ88">
        <v>77</v>
      </c>
      <c r="BK88" t="str">
        <f t="shared" si="26"/>
        <v>NA</v>
      </c>
      <c r="BL88" t="str">
        <f t="shared" si="26"/>
        <v>NA</v>
      </c>
      <c r="BM88" t="str">
        <f t="shared" si="26"/>
        <v>NA</v>
      </c>
      <c r="BN88" t="str">
        <f t="shared" si="26"/>
        <v>NA</v>
      </c>
      <c r="BO88" t="str">
        <f t="shared" si="26"/>
        <v>NA</v>
      </c>
      <c r="BP88" t="str">
        <f t="shared" si="24"/>
        <v>IL</v>
      </c>
      <c r="BQ88" t="str">
        <f t="shared" si="17"/>
        <v>NA</v>
      </c>
      <c r="BR88" t="str">
        <f t="shared" si="17"/>
        <v>NA</v>
      </c>
    </row>
    <row r="89" spans="1:70">
      <c r="A89">
        <v>9</v>
      </c>
      <c r="B89" t="str">
        <f t="shared" si="22"/>
        <v>Summary of All HUD Programs</v>
      </c>
      <c r="C89">
        <v>1</v>
      </c>
      <c r="D89" t="str">
        <f t="shared" si="23"/>
        <v>NA</v>
      </c>
      <c r="E89" t="str">
        <f>"175 Stark County"</f>
        <v>175 Stark County</v>
      </c>
      <c r="F89" t="str">
        <f>"17175"</f>
        <v>17175</v>
      </c>
      <c r="G89">
        <v>27</v>
      </c>
      <c r="H89">
        <v>85</v>
      </c>
      <c r="I89">
        <v>24</v>
      </c>
      <c r="J89">
        <v>100</v>
      </c>
      <c r="K89">
        <v>6</v>
      </c>
      <c r="L89">
        <v>17</v>
      </c>
      <c r="M89">
        <v>1</v>
      </c>
      <c r="N89">
        <v>25</v>
      </c>
      <c r="O89">
        <v>282</v>
      </c>
      <c r="P89">
        <v>303</v>
      </c>
      <c r="Q89">
        <v>13252</v>
      </c>
      <c r="R89">
        <v>12722</v>
      </c>
      <c r="S89">
        <v>4</v>
      </c>
      <c r="T89">
        <v>25</v>
      </c>
      <c r="U89">
        <v>38</v>
      </c>
      <c r="V89">
        <v>25</v>
      </c>
      <c r="W89">
        <v>8</v>
      </c>
      <c r="X89">
        <v>4</v>
      </c>
      <c r="Y89">
        <v>-1</v>
      </c>
      <c r="Z89">
        <v>96</v>
      </c>
      <c r="AA89">
        <v>27</v>
      </c>
      <c r="AB89">
        <v>100</v>
      </c>
      <c r="AC89">
        <v>63</v>
      </c>
      <c r="AD89">
        <v>-1</v>
      </c>
      <c r="AE89">
        <v>-1</v>
      </c>
      <c r="AF89">
        <v>50</v>
      </c>
      <c r="AG89">
        <v>-1</v>
      </c>
      <c r="AH89">
        <v>78</v>
      </c>
      <c r="AI89">
        <v>20</v>
      </c>
      <c r="AJ89">
        <v>40</v>
      </c>
      <c r="AK89">
        <v>4</v>
      </c>
      <c r="AL89">
        <v>13</v>
      </c>
      <c r="AM89">
        <v>21</v>
      </c>
      <c r="AN89">
        <v>63</v>
      </c>
      <c r="AO89">
        <v>8</v>
      </c>
      <c r="AP89">
        <v>0</v>
      </c>
      <c r="AQ89">
        <v>-1</v>
      </c>
      <c r="AR89">
        <v>-1</v>
      </c>
      <c r="AS89">
        <v>-1</v>
      </c>
      <c r="AT89">
        <v>96</v>
      </c>
      <c r="AU89">
        <v>-1</v>
      </c>
      <c r="AV89">
        <v>-1</v>
      </c>
      <c r="AW89">
        <v>-1</v>
      </c>
      <c r="AX89">
        <v>0</v>
      </c>
      <c r="AY89">
        <v>0</v>
      </c>
      <c r="AZ89">
        <v>-1</v>
      </c>
      <c r="BA89">
        <v>50</v>
      </c>
      <c r="BB89">
        <v>8</v>
      </c>
      <c r="BC89">
        <v>147</v>
      </c>
      <c r="BD89">
        <v>96</v>
      </c>
      <c r="BE89">
        <v>4</v>
      </c>
      <c r="BF89">
        <v>-1</v>
      </c>
      <c r="BG89">
        <v>-1</v>
      </c>
      <c r="BH89">
        <v>11</v>
      </c>
      <c r="BI89">
        <v>3</v>
      </c>
      <c r="BJ89">
        <v>89</v>
      </c>
      <c r="BK89" t="str">
        <f t="shared" si="26"/>
        <v>NA</v>
      </c>
      <c r="BL89" t="str">
        <f t="shared" si="26"/>
        <v>NA</v>
      </c>
      <c r="BM89" t="str">
        <f t="shared" si="26"/>
        <v>NA</v>
      </c>
      <c r="BN89" t="str">
        <f t="shared" si="26"/>
        <v>NA</v>
      </c>
      <c r="BO89" t="str">
        <f t="shared" si="26"/>
        <v>NA</v>
      </c>
      <c r="BP89" t="str">
        <f t="shared" si="24"/>
        <v>IL</v>
      </c>
      <c r="BQ89" t="str">
        <f t="shared" si="17"/>
        <v>NA</v>
      </c>
      <c r="BR89" t="str">
        <f t="shared" si="17"/>
        <v>NA</v>
      </c>
    </row>
    <row r="90" spans="1:70">
      <c r="A90">
        <v>9</v>
      </c>
      <c r="B90" t="str">
        <f t="shared" si="22"/>
        <v>Summary of All HUD Programs</v>
      </c>
      <c r="C90">
        <v>1</v>
      </c>
      <c r="D90" t="str">
        <f t="shared" si="23"/>
        <v>NA</v>
      </c>
      <c r="E90" t="str">
        <f>"177 Stephenson County"</f>
        <v>177 Stephenson County</v>
      </c>
      <c r="F90" t="str">
        <f>"17177"</f>
        <v>17177</v>
      </c>
      <c r="G90">
        <v>890</v>
      </c>
      <c r="H90">
        <v>86</v>
      </c>
      <c r="I90">
        <v>764</v>
      </c>
      <c r="J90">
        <v>100</v>
      </c>
      <c r="K90">
        <v>5</v>
      </c>
      <c r="L90">
        <v>22</v>
      </c>
      <c r="M90">
        <v>1.6</v>
      </c>
      <c r="N90">
        <v>1254</v>
      </c>
      <c r="O90">
        <v>268</v>
      </c>
      <c r="P90">
        <v>485</v>
      </c>
      <c r="Q90">
        <v>12292</v>
      </c>
      <c r="R90">
        <v>7489</v>
      </c>
      <c r="S90">
        <v>6</v>
      </c>
      <c r="T90">
        <v>27</v>
      </c>
      <c r="U90">
        <v>30</v>
      </c>
      <c r="V90">
        <v>20</v>
      </c>
      <c r="W90">
        <v>16</v>
      </c>
      <c r="X90">
        <v>21</v>
      </c>
      <c r="Y90">
        <v>2</v>
      </c>
      <c r="Z90">
        <v>65</v>
      </c>
      <c r="AA90">
        <v>28</v>
      </c>
      <c r="AB90">
        <v>90</v>
      </c>
      <c r="AC90">
        <v>58</v>
      </c>
      <c r="AD90">
        <v>4</v>
      </c>
      <c r="AE90">
        <v>22</v>
      </c>
      <c r="AF90">
        <v>72</v>
      </c>
      <c r="AG90">
        <v>23</v>
      </c>
      <c r="AH90">
        <v>37</v>
      </c>
      <c r="AI90">
        <v>25</v>
      </c>
      <c r="AJ90">
        <v>21</v>
      </c>
      <c r="AK90">
        <v>9</v>
      </c>
      <c r="AL90">
        <v>30</v>
      </c>
      <c r="AM90">
        <v>22</v>
      </c>
      <c r="AN90">
        <v>39</v>
      </c>
      <c r="AO90">
        <v>7</v>
      </c>
      <c r="AP90">
        <v>40</v>
      </c>
      <c r="AQ90">
        <v>38</v>
      </c>
      <c r="AR90">
        <v>1</v>
      </c>
      <c r="AS90">
        <v>-1</v>
      </c>
      <c r="AT90">
        <v>60</v>
      </c>
      <c r="AU90">
        <v>0</v>
      </c>
      <c r="AV90">
        <v>2</v>
      </c>
      <c r="AW90">
        <v>0</v>
      </c>
      <c r="AX90">
        <v>2</v>
      </c>
      <c r="AY90">
        <v>1</v>
      </c>
      <c r="AZ90">
        <v>5</v>
      </c>
      <c r="BA90">
        <v>57</v>
      </c>
      <c r="BB90">
        <v>99</v>
      </c>
      <c r="BC90">
        <v>57</v>
      </c>
      <c r="BD90">
        <v>69</v>
      </c>
      <c r="BE90">
        <v>15</v>
      </c>
      <c r="BF90">
        <v>16</v>
      </c>
      <c r="BG90">
        <v>6</v>
      </c>
      <c r="BH90">
        <v>21</v>
      </c>
      <c r="BI90">
        <v>22</v>
      </c>
      <c r="BJ90">
        <v>65</v>
      </c>
      <c r="BK90" t="str">
        <f t="shared" si="26"/>
        <v>NA</v>
      </c>
      <c r="BL90" t="str">
        <f t="shared" si="26"/>
        <v>NA</v>
      </c>
      <c r="BM90" t="str">
        <f t="shared" si="26"/>
        <v>NA</v>
      </c>
      <c r="BN90" t="str">
        <f t="shared" si="26"/>
        <v>NA</v>
      </c>
      <c r="BO90" t="str">
        <f t="shared" si="26"/>
        <v>NA</v>
      </c>
      <c r="BP90" t="str">
        <f t="shared" si="24"/>
        <v>IL</v>
      </c>
      <c r="BQ90" t="str">
        <f t="shared" si="17"/>
        <v>NA</v>
      </c>
      <c r="BR90" t="str">
        <f t="shared" si="17"/>
        <v>NA</v>
      </c>
    </row>
    <row r="91" spans="1:70">
      <c r="A91">
        <v>9</v>
      </c>
      <c r="B91" t="str">
        <f t="shared" si="22"/>
        <v>Summary of All HUD Programs</v>
      </c>
      <c r="C91">
        <v>1</v>
      </c>
      <c r="D91" t="str">
        <f t="shared" si="23"/>
        <v>NA</v>
      </c>
      <c r="E91" t="str">
        <f>"179 Tazewell County"</f>
        <v>179 Tazewell County</v>
      </c>
      <c r="F91" t="str">
        <f>"17179"</f>
        <v>17179</v>
      </c>
      <c r="G91">
        <v>1748</v>
      </c>
      <c r="H91">
        <v>95</v>
      </c>
      <c r="I91">
        <v>1698</v>
      </c>
      <c r="J91">
        <v>100</v>
      </c>
      <c r="K91">
        <v>6</v>
      </c>
      <c r="L91">
        <v>17</v>
      </c>
      <c r="M91">
        <v>1.6</v>
      </c>
      <c r="N91">
        <v>2698</v>
      </c>
      <c r="O91">
        <v>302</v>
      </c>
      <c r="P91">
        <v>573</v>
      </c>
      <c r="Q91">
        <v>13105</v>
      </c>
      <c r="R91">
        <v>8248</v>
      </c>
      <c r="S91">
        <v>8</v>
      </c>
      <c r="T91">
        <v>29</v>
      </c>
      <c r="U91">
        <v>26</v>
      </c>
      <c r="V91">
        <v>19</v>
      </c>
      <c r="W91">
        <v>18</v>
      </c>
      <c r="X91">
        <v>17</v>
      </c>
      <c r="Y91">
        <v>1</v>
      </c>
      <c r="Z91">
        <v>77</v>
      </c>
      <c r="AA91">
        <v>26</v>
      </c>
      <c r="AB91">
        <v>93</v>
      </c>
      <c r="AC91">
        <v>65</v>
      </c>
      <c r="AD91">
        <v>4</v>
      </c>
      <c r="AE91">
        <v>22</v>
      </c>
      <c r="AF91">
        <v>74</v>
      </c>
      <c r="AG91">
        <v>23</v>
      </c>
      <c r="AH91">
        <v>44</v>
      </c>
      <c r="AI91">
        <v>21</v>
      </c>
      <c r="AJ91">
        <v>23</v>
      </c>
      <c r="AK91">
        <v>6</v>
      </c>
      <c r="AL91">
        <v>30</v>
      </c>
      <c r="AM91">
        <v>19</v>
      </c>
      <c r="AN91">
        <v>46</v>
      </c>
      <c r="AO91">
        <v>7</v>
      </c>
      <c r="AP91">
        <v>4</v>
      </c>
      <c r="AQ91">
        <v>2</v>
      </c>
      <c r="AR91">
        <v>0</v>
      </c>
      <c r="AS91">
        <v>0</v>
      </c>
      <c r="AT91">
        <v>94</v>
      </c>
      <c r="AU91">
        <v>-1</v>
      </c>
      <c r="AV91">
        <v>1</v>
      </c>
      <c r="AW91">
        <v>0</v>
      </c>
      <c r="AX91">
        <v>1</v>
      </c>
      <c r="AY91">
        <v>1</v>
      </c>
      <c r="AZ91">
        <v>22</v>
      </c>
      <c r="BA91">
        <v>74</v>
      </c>
      <c r="BB91">
        <v>79</v>
      </c>
      <c r="BC91">
        <v>90</v>
      </c>
      <c r="BD91">
        <v>67</v>
      </c>
      <c r="BE91">
        <v>24</v>
      </c>
      <c r="BF91">
        <v>9</v>
      </c>
      <c r="BG91">
        <v>4</v>
      </c>
      <c r="BH91">
        <v>13</v>
      </c>
      <c r="BI91">
        <v>5</v>
      </c>
      <c r="BJ91">
        <v>72</v>
      </c>
      <c r="BK91" t="str">
        <f t="shared" si="26"/>
        <v>NA</v>
      </c>
      <c r="BL91" t="str">
        <f t="shared" si="26"/>
        <v>NA</v>
      </c>
      <c r="BM91" t="str">
        <f t="shared" si="26"/>
        <v>NA</v>
      </c>
      <c r="BN91" t="str">
        <f t="shared" si="26"/>
        <v>NA</v>
      </c>
      <c r="BO91" t="str">
        <f t="shared" si="26"/>
        <v>NA</v>
      </c>
      <c r="BP91" t="str">
        <f t="shared" si="24"/>
        <v>IL</v>
      </c>
      <c r="BQ91" t="str">
        <f t="shared" si="17"/>
        <v>NA</v>
      </c>
      <c r="BR91" t="str">
        <f t="shared" si="17"/>
        <v>NA</v>
      </c>
    </row>
    <row r="92" spans="1:70">
      <c r="A92">
        <v>9</v>
      </c>
      <c r="B92" t="str">
        <f t="shared" si="22"/>
        <v>Summary of All HUD Programs</v>
      </c>
      <c r="C92">
        <v>1</v>
      </c>
      <c r="D92" t="str">
        <f t="shared" si="23"/>
        <v>NA</v>
      </c>
      <c r="E92" t="str">
        <f>"181 Union County"</f>
        <v>181 Union County</v>
      </c>
      <c r="F92" t="str">
        <f>"17181"</f>
        <v>17181</v>
      </c>
      <c r="G92">
        <v>384</v>
      </c>
      <c r="H92">
        <v>98</v>
      </c>
      <c r="I92">
        <v>377</v>
      </c>
      <c r="J92">
        <v>100</v>
      </c>
      <c r="K92">
        <v>5</v>
      </c>
      <c r="L92">
        <v>19</v>
      </c>
      <c r="M92">
        <v>1.7</v>
      </c>
      <c r="N92">
        <v>628</v>
      </c>
      <c r="O92">
        <v>261</v>
      </c>
      <c r="P92">
        <v>305</v>
      </c>
      <c r="Q92">
        <v>12378</v>
      </c>
      <c r="R92">
        <v>7431</v>
      </c>
      <c r="S92">
        <v>9</v>
      </c>
      <c r="T92">
        <v>33</v>
      </c>
      <c r="U92">
        <v>25</v>
      </c>
      <c r="V92">
        <v>17</v>
      </c>
      <c r="W92">
        <v>17</v>
      </c>
      <c r="X92">
        <v>22</v>
      </c>
      <c r="Y92">
        <v>2</v>
      </c>
      <c r="Z92">
        <v>66</v>
      </c>
      <c r="AA92">
        <v>28</v>
      </c>
      <c r="AB92">
        <v>88</v>
      </c>
      <c r="AC92">
        <v>63</v>
      </c>
      <c r="AD92">
        <v>4</v>
      </c>
      <c r="AE92">
        <v>22</v>
      </c>
      <c r="AF92">
        <v>73</v>
      </c>
      <c r="AG92">
        <v>23</v>
      </c>
      <c r="AH92">
        <v>39</v>
      </c>
      <c r="AI92">
        <v>22</v>
      </c>
      <c r="AJ92">
        <v>23</v>
      </c>
      <c r="AK92">
        <v>8</v>
      </c>
      <c r="AL92">
        <v>34</v>
      </c>
      <c r="AM92">
        <v>22</v>
      </c>
      <c r="AN92">
        <v>36</v>
      </c>
      <c r="AO92">
        <v>5</v>
      </c>
      <c r="AP92">
        <v>5</v>
      </c>
      <c r="AQ92">
        <v>2</v>
      </c>
      <c r="AR92">
        <v>-1</v>
      </c>
      <c r="AS92">
        <v>-1</v>
      </c>
      <c r="AT92">
        <v>95</v>
      </c>
      <c r="AU92">
        <v>-1</v>
      </c>
      <c r="AV92">
        <v>2</v>
      </c>
      <c r="AW92">
        <v>-1</v>
      </c>
      <c r="AX92">
        <v>2</v>
      </c>
      <c r="AY92">
        <v>0</v>
      </c>
      <c r="AZ92">
        <v>5</v>
      </c>
      <c r="BA92">
        <v>73</v>
      </c>
      <c r="BB92">
        <v>9</v>
      </c>
      <c r="BC92">
        <v>123</v>
      </c>
      <c r="BD92">
        <v>63</v>
      </c>
      <c r="BE92">
        <v>19</v>
      </c>
      <c r="BF92">
        <v>18</v>
      </c>
      <c r="BG92">
        <v>9</v>
      </c>
      <c r="BH92">
        <v>23</v>
      </c>
      <c r="BI92">
        <v>7</v>
      </c>
      <c r="BJ92">
        <v>75</v>
      </c>
      <c r="BK92" t="str">
        <f t="shared" si="26"/>
        <v>NA</v>
      </c>
      <c r="BL92" t="str">
        <f t="shared" si="26"/>
        <v>NA</v>
      </c>
      <c r="BM92" t="str">
        <f t="shared" si="26"/>
        <v>NA</v>
      </c>
      <c r="BN92" t="str">
        <f t="shared" si="26"/>
        <v>NA</v>
      </c>
      <c r="BO92" t="str">
        <f t="shared" si="26"/>
        <v>NA</v>
      </c>
      <c r="BP92" t="str">
        <f t="shared" si="24"/>
        <v>IL</v>
      </c>
      <c r="BQ92" t="str">
        <f t="shared" si="17"/>
        <v>NA</v>
      </c>
      <c r="BR92" t="str">
        <f t="shared" si="17"/>
        <v>NA</v>
      </c>
    </row>
    <row r="93" spans="1:70">
      <c r="A93">
        <v>9</v>
      </c>
      <c r="B93" t="str">
        <f t="shared" si="22"/>
        <v>Summary of All HUD Programs</v>
      </c>
      <c r="C93">
        <v>1</v>
      </c>
      <c r="D93" t="str">
        <f t="shared" si="23"/>
        <v>NA</v>
      </c>
      <c r="E93" t="str">
        <f>"183 Vermilion County"</f>
        <v>183 Vermilion County</v>
      </c>
      <c r="F93" t="str">
        <f>"17183"</f>
        <v>17183</v>
      </c>
      <c r="G93">
        <v>2516</v>
      </c>
      <c r="H93">
        <v>76</v>
      </c>
      <c r="I93">
        <v>1918</v>
      </c>
      <c r="J93">
        <v>100</v>
      </c>
      <c r="K93">
        <v>6</v>
      </c>
      <c r="L93">
        <v>28</v>
      </c>
      <c r="M93">
        <v>1.9</v>
      </c>
      <c r="N93">
        <v>3712</v>
      </c>
      <c r="O93">
        <v>215</v>
      </c>
      <c r="P93">
        <v>564</v>
      </c>
      <c r="Q93">
        <v>9303</v>
      </c>
      <c r="R93">
        <v>4807</v>
      </c>
      <c r="S93">
        <v>21</v>
      </c>
      <c r="T93">
        <v>36</v>
      </c>
      <c r="U93">
        <v>23</v>
      </c>
      <c r="V93">
        <v>13</v>
      </c>
      <c r="W93">
        <v>8</v>
      </c>
      <c r="X93">
        <v>16</v>
      </c>
      <c r="Y93">
        <v>6</v>
      </c>
      <c r="Z93">
        <v>67</v>
      </c>
      <c r="AA93">
        <v>21</v>
      </c>
      <c r="AB93">
        <v>96</v>
      </c>
      <c r="AC93">
        <v>75</v>
      </c>
      <c r="AD93">
        <v>3</v>
      </c>
      <c r="AE93">
        <v>35</v>
      </c>
      <c r="AF93">
        <v>73</v>
      </c>
      <c r="AG93">
        <v>36</v>
      </c>
      <c r="AH93">
        <v>33</v>
      </c>
      <c r="AI93">
        <v>32</v>
      </c>
      <c r="AJ93">
        <v>19</v>
      </c>
      <c r="AK93">
        <v>14</v>
      </c>
      <c r="AL93">
        <v>39</v>
      </c>
      <c r="AM93">
        <v>19</v>
      </c>
      <c r="AN93">
        <v>28</v>
      </c>
      <c r="AO93">
        <v>4</v>
      </c>
      <c r="AP93">
        <v>57</v>
      </c>
      <c r="AQ93">
        <v>54</v>
      </c>
      <c r="AR93">
        <v>1</v>
      </c>
      <c r="AS93">
        <v>0</v>
      </c>
      <c r="AT93">
        <v>43</v>
      </c>
      <c r="AU93">
        <v>0</v>
      </c>
      <c r="AV93">
        <v>1</v>
      </c>
      <c r="AW93">
        <v>1</v>
      </c>
      <c r="AX93">
        <v>2</v>
      </c>
      <c r="AY93">
        <v>1</v>
      </c>
      <c r="AZ93">
        <v>19</v>
      </c>
      <c r="BA93">
        <v>54</v>
      </c>
      <c r="BB93">
        <v>91</v>
      </c>
      <c r="BC93">
        <v>88</v>
      </c>
      <c r="BD93">
        <v>54</v>
      </c>
      <c r="BE93">
        <v>26</v>
      </c>
      <c r="BF93">
        <v>20</v>
      </c>
      <c r="BG93">
        <v>7</v>
      </c>
      <c r="BH93">
        <v>31</v>
      </c>
      <c r="BI93">
        <v>42</v>
      </c>
      <c r="BJ93">
        <v>67</v>
      </c>
      <c r="BK93" t="str">
        <f t="shared" si="15"/>
        <v>NA</v>
      </c>
      <c r="BL93" t="str">
        <f t="shared" si="15"/>
        <v>NA</v>
      </c>
      <c r="BM93" t="str">
        <f t="shared" si="15"/>
        <v>NA</v>
      </c>
      <c r="BN93" t="str">
        <f t="shared" si="15"/>
        <v>NA</v>
      </c>
      <c r="BO93" t="str">
        <f t="shared" si="15"/>
        <v>NA</v>
      </c>
      <c r="BP93" t="str">
        <f t="shared" si="24"/>
        <v>IL</v>
      </c>
      <c r="BQ93" t="str">
        <f t="shared" si="17"/>
        <v>NA</v>
      </c>
      <c r="BR93" t="str">
        <f t="shared" si="17"/>
        <v>NA</v>
      </c>
    </row>
    <row r="94" spans="1:70">
      <c r="A94">
        <v>9</v>
      </c>
      <c r="B94" t="str">
        <f t="shared" si="22"/>
        <v>Summary of All HUD Programs</v>
      </c>
      <c r="C94">
        <v>1</v>
      </c>
      <c r="D94" t="str">
        <f t="shared" si="23"/>
        <v>NA</v>
      </c>
      <c r="E94" t="str">
        <f>"185 Wabash County"</f>
        <v>185 Wabash County</v>
      </c>
      <c r="F94" t="str">
        <f>"17185"</f>
        <v>17185</v>
      </c>
      <c r="G94">
        <v>173</v>
      </c>
      <c r="H94">
        <v>95</v>
      </c>
      <c r="I94">
        <v>164</v>
      </c>
      <c r="J94">
        <v>100</v>
      </c>
      <c r="K94">
        <v>7</v>
      </c>
      <c r="L94">
        <v>15</v>
      </c>
      <c r="M94">
        <v>1.1000000000000001</v>
      </c>
      <c r="N94">
        <v>187</v>
      </c>
      <c r="O94">
        <v>277</v>
      </c>
      <c r="P94">
        <v>219</v>
      </c>
      <c r="Q94">
        <v>16320</v>
      </c>
      <c r="R94">
        <v>14312</v>
      </c>
      <c r="S94">
        <v>5</v>
      </c>
      <c r="T94">
        <v>27</v>
      </c>
      <c r="U94">
        <v>23</v>
      </c>
      <c r="V94">
        <v>19</v>
      </c>
      <c r="W94">
        <v>26</v>
      </c>
      <c r="X94">
        <v>13</v>
      </c>
      <c r="Y94">
        <v>1</v>
      </c>
      <c r="Z94">
        <v>83</v>
      </c>
      <c r="AA94">
        <v>36</v>
      </c>
      <c r="AB94">
        <v>80</v>
      </c>
      <c r="AC94">
        <v>50</v>
      </c>
      <c r="AD94">
        <v>-1</v>
      </c>
      <c r="AE94">
        <v>2</v>
      </c>
      <c r="AF94">
        <v>60</v>
      </c>
      <c r="AG94">
        <v>2</v>
      </c>
      <c r="AH94">
        <v>51</v>
      </c>
      <c r="AI94">
        <v>44</v>
      </c>
      <c r="AJ94">
        <v>43</v>
      </c>
      <c r="AK94">
        <v>-1</v>
      </c>
      <c r="AL94">
        <v>9</v>
      </c>
      <c r="AM94">
        <v>25</v>
      </c>
      <c r="AN94">
        <v>66</v>
      </c>
      <c r="AO94">
        <v>8</v>
      </c>
      <c r="AP94">
        <v>5</v>
      </c>
      <c r="AQ94">
        <v>-1</v>
      </c>
      <c r="AR94">
        <v>-1</v>
      </c>
      <c r="AS94">
        <v>-1</v>
      </c>
      <c r="AT94">
        <v>95</v>
      </c>
      <c r="AU94">
        <v>-1</v>
      </c>
      <c r="AV94">
        <v>4</v>
      </c>
      <c r="AW94">
        <v>1</v>
      </c>
      <c r="AX94">
        <v>5</v>
      </c>
      <c r="AY94">
        <v>0</v>
      </c>
      <c r="AZ94">
        <v>6</v>
      </c>
      <c r="BA94">
        <v>66</v>
      </c>
      <c r="BB94">
        <v>6</v>
      </c>
      <c r="BC94">
        <v>168</v>
      </c>
      <c r="BD94">
        <v>95</v>
      </c>
      <c r="BE94">
        <v>4</v>
      </c>
      <c r="BF94">
        <v>2</v>
      </c>
      <c r="BG94">
        <v>2</v>
      </c>
      <c r="BH94">
        <v>12</v>
      </c>
      <c r="BI94">
        <v>4</v>
      </c>
      <c r="BJ94">
        <v>66</v>
      </c>
      <c r="BK94" t="str">
        <f t="shared" si="15"/>
        <v>NA</v>
      </c>
      <c r="BL94" t="str">
        <f t="shared" si="15"/>
        <v>NA</v>
      </c>
      <c r="BM94" t="str">
        <f t="shared" si="15"/>
        <v>NA</v>
      </c>
      <c r="BN94" t="str">
        <f t="shared" si="15"/>
        <v>NA</v>
      </c>
      <c r="BO94" t="str">
        <f t="shared" si="15"/>
        <v>NA</v>
      </c>
      <c r="BP94" t="str">
        <f t="shared" si="24"/>
        <v>IL</v>
      </c>
      <c r="BQ94" t="str">
        <f t="shared" si="17"/>
        <v>NA</v>
      </c>
      <c r="BR94" t="str">
        <f t="shared" si="17"/>
        <v>NA</v>
      </c>
    </row>
    <row r="95" spans="1:70">
      <c r="A95">
        <v>9</v>
      </c>
      <c r="B95" t="str">
        <f t="shared" si="22"/>
        <v>Summary of All HUD Programs</v>
      </c>
      <c r="C95">
        <v>1</v>
      </c>
      <c r="D95" t="str">
        <f t="shared" si="23"/>
        <v>NA</v>
      </c>
      <c r="E95" t="str">
        <f>"187 Warren County"</f>
        <v>187 Warren County</v>
      </c>
      <c r="F95" t="str">
        <f>"17187"</f>
        <v>17187</v>
      </c>
      <c r="G95">
        <v>364</v>
      </c>
      <c r="H95">
        <v>93</v>
      </c>
      <c r="I95">
        <v>338</v>
      </c>
      <c r="J95">
        <v>100</v>
      </c>
      <c r="K95">
        <v>7</v>
      </c>
      <c r="L95">
        <v>19</v>
      </c>
      <c r="M95">
        <v>1.6</v>
      </c>
      <c r="N95">
        <v>556</v>
      </c>
      <c r="O95">
        <v>299</v>
      </c>
      <c r="P95">
        <v>352</v>
      </c>
      <c r="Q95">
        <v>15279</v>
      </c>
      <c r="R95">
        <v>9288</v>
      </c>
      <c r="S95">
        <v>8</v>
      </c>
      <c r="T95">
        <v>28</v>
      </c>
      <c r="U95">
        <v>23</v>
      </c>
      <c r="V95">
        <v>17</v>
      </c>
      <c r="W95">
        <v>24</v>
      </c>
      <c r="X95">
        <v>40</v>
      </c>
      <c r="Y95">
        <v>-1</v>
      </c>
      <c r="Z95">
        <v>59</v>
      </c>
      <c r="AA95">
        <v>34</v>
      </c>
      <c r="AB95">
        <v>81</v>
      </c>
      <c r="AC95">
        <v>51</v>
      </c>
      <c r="AD95">
        <v>7</v>
      </c>
      <c r="AE95">
        <v>18</v>
      </c>
      <c r="AF95">
        <v>67</v>
      </c>
      <c r="AG95">
        <v>21</v>
      </c>
      <c r="AH95">
        <v>27</v>
      </c>
      <c r="AI95">
        <v>20</v>
      </c>
      <c r="AJ95">
        <v>16</v>
      </c>
      <c r="AK95">
        <v>10</v>
      </c>
      <c r="AL95">
        <v>35</v>
      </c>
      <c r="AM95">
        <v>20</v>
      </c>
      <c r="AN95">
        <v>35</v>
      </c>
      <c r="AO95">
        <v>3</v>
      </c>
      <c r="AP95">
        <v>11</v>
      </c>
      <c r="AQ95">
        <v>7</v>
      </c>
      <c r="AR95">
        <v>-1</v>
      </c>
      <c r="AS95">
        <v>2</v>
      </c>
      <c r="AT95">
        <v>89</v>
      </c>
      <c r="AU95">
        <v>-1</v>
      </c>
      <c r="AV95">
        <v>2</v>
      </c>
      <c r="AW95">
        <v>-1</v>
      </c>
      <c r="AX95">
        <v>2</v>
      </c>
      <c r="AY95">
        <v>1</v>
      </c>
      <c r="AZ95">
        <v>2</v>
      </c>
      <c r="BA95">
        <v>66</v>
      </c>
      <c r="BB95">
        <v>64</v>
      </c>
      <c r="BC95">
        <v>120</v>
      </c>
      <c r="BD95">
        <v>67</v>
      </c>
      <c r="BE95">
        <v>13</v>
      </c>
      <c r="BF95">
        <v>20</v>
      </c>
      <c r="BG95">
        <v>9</v>
      </c>
      <c r="BH95">
        <v>17</v>
      </c>
      <c r="BI95">
        <v>15</v>
      </c>
      <c r="BJ95">
        <v>76</v>
      </c>
      <c r="BK95" t="str">
        <f t="shared" si="15"/>
        <v>NA</v>
      </c>
      <c r="BL95" t="str">
        <f t="shared" si="15"/>
        <v>NA</v>
      </c>
      <c r="BM95" t="str">
        <f t="shared" si="15"/>
        <v>NA</v>
      </c>
      <c r="BN95" t="str">
        <f t="shared" si="15"/>
        <v>NA</v>
      </c>
      <c r="BO95" t="str">
        <f t="shared" si="15"/>
        <v>NA</v>
      </c>
      <c r="BP95" t="str">
        <f t="shared" si="24"/>
        <v>IL</v>
      </c>
      <c r="BQ95" t="str">
        <f t="shared" si="17"/>
        <v>NA</v>
      </c>
      <c r="BR95" t="str">
        <f t="shared" si="17"/>
        <v>NA</v>
      </c>
    </row>
    <row r="96" spans="1:70">
      <c r="A96">
        <v>9</v>
      </c>
      <c r="B96" t="str">
        <f t="shared" si="22"/>
        <v>Summary of All HUD Programs</v>
      </c>
      <c r="C96">
        <v>1</v>
      </c>
      <c r="D96" t="str">
        <f t="shared" si="23"/>
        <v>NA</v>
      </c>
      <c r="E96" t="str">
        <f>"189 Washington County"</f>
        <v>189 Washington County</v>
      </c>
      <c r="F96" t="str">
        <f>"17189"</f>
        <v>17189</v>
      </c>
      <c r="G96">
        <v>8</v>
      </c>
      <c r="H96">
        <v>-4</v>
      </c>
      <c r="I96">
        <v>8</v>
      </c>
      <c r="J96">
        <v>-4</v>
      </c>
      <c r="K96">
        <v>-4</v>
      </c>
      <c r="L96">
        <v>-4</v>
      </c>
      <c r="M96">
        <v>-4</v>
      </c>
      <c r="N96">
        <v>-4</v>
      </c>
      <c r="O96">
        <v>-4</v>
      </c>
      <c r="P96">
        <v>-4</v>
      </c>
      <c r="Q96">
        <v>-4</v>
      </c>
      <c r="R96">
        <v>-4</v>
      </c>
      <c r="S96">
        <v>-4</v>
      </c>
      <c r="T96">
        <v>-4</v>
      </c>
      <c r="U96">
        <v>-4</v>
      </c>
      <c r="V96">
        <v>-4</v>
      </c>
      <c r="W96">
        <v>-4</v>
      </c>
      <c r="X96">
        <v>-4</v>
      </c>
      <c r="Y96">
        <v>-4</v>
      </c>
      <c r="Z96">
        <v>-4</v>
      </c>
      <c r="AA96">
        <v>-4</v>
      </c>
      <c r="AB96">
        <v>-4</v>
      </c>
      <c r="AC96">
        <v>-4</v>
      </c>
      <c r="AD96">
        <v>-4</v>
      </c>
      <c r="AE96">
        <v>-4</v>
      </c>
      <c r="AF96">
        <v>-4</v>
      </c>
      <c r="AG96">
        <v>-4</v>
      </c>
      <c r="AH96">
        <v>-4</v>
      </c>
      <c r="AI96">
        <v>-4</v>
      </c>
      <c r="AJ96">
        <v>-4</v>
      </c>
      <c r="AK96">
        <v>-4</v>
      </c>
      <c r="AL96">
        <v>-4</v>
      </c>
      <c r="AM96">
        <v>-4</v>
      </c>
      <c r="AN96">
        <v>-4</v>
      </c>
      <c r="AO96">
        <v>-4</v>
      </c>
      <c r="AP96">
        <v>-4</v>
      </c>
      <c r="AQ96">
        <v>-4</v>
      </c>
      <c r="AR96">
        <v>-4</v>
      </c>
      <c r="AS96">
        <v>-4</v>
      </c>
      <c r="AT96">
        <v>-4</v>
      </c>
      <c r="AU96">
        <v>-4</v>
      </c>
      <c r="AV96">
        <v>-4</v>
      </c>
      <c r="AW96">
        <v>-4</v>
      </c>
      <c r="AX96">
        <v>-4</v>
      </c>
      <c r="AY96">
        <v>-4</v>
      </c>
      <c r="AZ96">
        <v>-4</v>
      </c>
      <c r="BA96">
        <v>-4</v>
      </c>
      <c r="BB96">
        <v>-4</v>
      </c>
      <c r="BC96">
        <v>-4</v>
      </c>
      <c r="BD96">
        <v>-4</v>
      </c>
      <c r="BE96">
        <v>-4</v>
      </c>
      <c r="BF96">
        <v>-4</v>
      </c>
      <c r="BG96">
        <v>-4</v>
      </c>
      <c r="BH96">
        <v>-4</v>
      </c>
      <c r="BI96">
        <v>-4</v>
      </c>
      <c r="BJ96">
        <v>-4</v>
      </c>
      <c r="BK96" t="str">
        <f t="shared" si="15"/>
        <v>NA</v>
      </c>
      <c r="BL96" t="str">
        <f t="shared" si="15"/>
        <v>NA</v>
      </c>
      <c r="BM96" t="str">
        <f t="shared" si="15"/>
        <v>NA</v>
      </c>
      <c r="BN96" t="str">
        <f t="shared" si="15"/>
        <v>NA</v>
      </c>
      <c r="BO96" t="str">
        <f t="shared" si="15"/>
        <v>NA</v>
      </c>
      <c r="BP96" t="str">
        <f t="shared" si="24"/>
        <v>IL</v>
      </c>
      <c r="BQ96" t="str">
        <f t="shared" si="17"/>
        <v>NA</v>
      </c>
      <c r="BR96" t="str">
        <f t="shared" si="17"/>
        <v>NA</v>
      </c>
    </row>
    <row r="97" spans="1:70">
      <c r="A97">
        <v>9</v>
      </c>
      <c r="B97" t="str">
        <f t="shared" si="22"/>
        <v>Summary of All HUD Programs</v>
      </c>
      <c r="C97">
        <v>1</v>
      </c>
      <c r="D97" t="str">
        <f t="shared" si="23"/>
        <v>NA</v>
      </c>
      <c r="E97" t="str">
        <f>"191 Wayne County"</f>
        <v>191 Wayne County</v>
      </c>
      <c r="F97" t="str">
        <f>"17191"</f>
        <v>17191</v>
      </c>
      <c r="G97">
        <v>284</v>
      </c>
      <c r="H97">
        <v>77</v>
      </c>
      <c r="I97">
        <v>218</v>
      </c>
      <c r="J97">
        <v>100</v>
      </c>
      <c r="K97">
        <v>5</v>
      </c>
      <c r="L97">
        <v>23</v>
      </c>
      <c r="M97">
        <v>1.7</v>
      </c>
      <c r="N97">
        <v>375</v>
      </c>
      <c r="O97">
        <v>290</v>
      </c>
      <c r="P97">
        <v>263</v>
      </c>
      <c r="Q97">
        <v>14820</v>
      </c>
      <c r="R97">
        <v>8615</v>
      </c>
      <c r="S97">
        <v>4</v>
      </c>
      <c r="T97">
        <v>35</v>
      </c>
      <c r="U97">
        <v>27</v>
      </c>
      <c r="V97">
        <v>15</v>
      </c>
      <c r="W97">
        <v>19</v>
      </c>
      <c r="X97">
        <v>19</v>
      </c>
      <c r="Y97">
        <v>1</v>
      </c>
      <c r="Z97">
        <v>80</v>
      </c>
      <c r="AA97">
        <v>33</v>
      </c>
      <c r="AB97">
        <v>84</v>
      </c>
      <c r="AC97">
        <v>57</v>
      </c>
      <c r="AD97">
        <v>4</v>
      </c>
      <c r="AE97">
        <v>22</v>
      </c>
      <c r="AF97">
        <v>69</v>
      </c>
      <c r="AG97">
        <v>24</v>
      </c>
      <c r="AH97">
        <v>49</v>
      </c>
      <c r="AI97">
        <v>43</v>
      </c>
      <c r="AJ97">
        <v>29</v>
      </c>
      <c r="AK97">
        <v>6</v>
      </c>
      <c r="AL97">
        <v>25</v>
      </c>
      <c r="AM97">
        <v>22</v>
      </c>
      <c r="AN97">
        <v>46</v>
      </c>
      <c r="AO97">
        <v>7</v>
      </c>
      <c r="AP97">
        <v>7</v>
      </c>
      <c r="AQ97">
        <v>6</v>
      </c>
      <c r="AR97">
        <v>0</v>
      </c>
      <c r="AS97">
        <v>-1</v>
      </c>
      <c r="AT97">
        <v>93</v>
      </c>
      <c r="AU97">
        <v>-1</v>
      </c>
      <c r="AV97">
        <v>-1</v>
      </c>
      <c r="AW97">
        <v>-1</v>
      </c>
      <c r="AX97">
        <v>0</v>
      </c>
      <c r="AY97">
        <v>0</v>
      </c>
      <c r="AZ97">
        <v>26</v>
      </c>
      <c r="BA97">
        <v>67</v>
      </c>
      <c r="BB97">
        <v>33</v>
      </c>
      <c r="BC97">
        <v>84</v>
      </c>
      <c r="BD97">
        <v>64</v>
      </c>
      <c r="BE97">
        <v>17</v>
      </c>
      <c r="BF97">
        <v>18</v>
      </c>
      <c r="BG97">
        <v>8</v>
      </c>
      <c r="BH97">
        <v>17</v>
      </c>
      <c r="BI97">
        <v>3</v>
      </c>
      <c r="BJ97">
        <v>74</v>
      </c>
      <c r="BK97" t="str">
        <f t="shared" si="15"/>
        <v>NA</v>
      </c>
      <c r="BL97" t="str">
        <f t="shared" si="15"/>
        <v>NA</v>
      </c>
      <c r="BM97" t="str">
        <f t="shared" si="15"/>
        <v>NA</v>
      </c>
      <c r="BN97" t="str">
        <f t="shared" si="15"/>
        <v>NA</v>
      </c>
      <c r="BO97" t="str">
        <f t="shared" si="15"/>
        <v>NA</v>
      </c>
      <c r="BP97" t="str">
        <f t="shared" si="24"/>
        <v>IL</v>
      </c>
      <c r="BQ97" t="str">
        <f t="shared" si="17"/>
        <v>NA</v>
      </c>
      <c r="BR97" t="str">
        <f t="shared" si="17"/>
        <v>NA</v>
      </c>
    </row>
    <row r="98" spans="1:70">
      <c r="A98">
        <v>9</v>
      </c>
      <c r="B98" t="str">
        <f t="shared" si="22"/>
        <v>Summary of All HUD Programs</v>
      </c>
      <c r="C98">
        <v>1</v>
      </c>
      <c r="D98" t="str">
        <f t="shared" si="23"/>
        <v>NA</v>
      </c>
      <c r="E98" t="str">
        <f>"193 White County"</f>
        <v>193 White County</v>
      </c>
      <c r="F98" t="str">
        <f>"17193"</f>
        <v>17193</v>
      </c>
      <c r="G98">
        <v>154</v>
      </c>
      <c r="H98">
        <v>97</v>
      </c>
      <c r="I98">
        <v>148</v>
      </c>
      <c r="J98">
        <v>100</v>
      </c>
      <c r="K98">
        <v>7</v>
      </c>
      <c r="L98">
        <v>29</v>
      </c>
      <c r="M98">
        <v>1.4</v>
      </c>
      <c r="N98">
        <v>209</v>
      </c>
      <c r="O98">
        <v>247</v>
      </c>
      <c r="P98">
        <v>473</v>
      </c>
      <c r="Q98">
        <v>11955</v>
      </c>
      <c r="R98">
        <v>8466</v>
      </c>
      <c r="S98">
        <v>7</v>
      </c>
      <c r="T98">
        <v>25</v>
      </c>
      <c r="U98">
        <v>39</v>
      </c>
      <c r="V98">
        <v>15</v>
      </c>
      <c r="W98">
        <v>15</v>
      </c>
      <c r="X98">
        <v>19</v>
      </c>
      <c r="Y98">
        <v>-1</v>
      </c>
      <c r="Z98">
        <v>70</v>
      </c>
      <c r="AA98">
        <v>28</v>
      </c>
      <c r="AB98">
        <v>91</v>
      </c>
      <c r="AC98">
        <v>59</v>
      </c>
      <c r="AD98">
        <v>3</v>
      </c>
      <c r="AE98">
        <v>16</v>
      </c>
      <c r="AF98">
        <v>71</v>
      </c>
      <c r="AG98">
        <v>18</v>
      </c>
      <c r="AH98">
        <v>32</v>
      </c>
      <c r="AI98">
        <v>37</v>
      </c>
      <c r="AJ98">
        <v>24</v>
      </c>
      <c r="AK98">
        <v>9</v>
      </c>
      <c r="AL98">
        <v>22</v>
      </c>
      <c r="AM98">
        <v>14</v>
      </c>
      <c r="AN98">
        <v>55</v>
      </c>
      <c r="AO98">
        <v>9</v>
      </c>
      <c r="AP98">
        <v>1</v>
      </c>
      <c r="AQ98">
        <v>-1</v>
      </c>
      <c r="AR98">
        <v>-1</v>
      </c>
      <c r="AS98">
        <v>-1</v>
      </c>
      <c r="AT98">
        <v>99</v>
      </c>
      <c r="AU98">
        <v>-1</v>
      </c>
      <c r="AV98">
        <v>1</v>
      </c>
      <c r="AW98">
        <v>-1</v>
      </c>
      <c r="AX98">
        <v>1</v>
      </c>
      <c r="AY98">
        <v>0</v>
      </c>
      <c r="AZ98">
        <v>13</v>
      </c>
      <c r="BA98">
        <v>53</v>
      </c>
      <c r="BB98">
        <v>55</v>
      </c>
      <c r="BC98">
        <v>13</v>
      </c>
      <c r="BD98">
        <v>73</v>
      </c>
      <c r="BE98">
        <v>11</v>
      </c>
      <c r="BF98">
        <v>16</v>
      </c>
      <c r="BG98">
        <v>13</v>
      </c>
      <c r="BH98">
        <v>13</v>
      </c>
      <c r="BI98">
        <v>2</v>
      </c>
      <c r="BJ98">
        <v>79</v>
      </c>
      <c r="BK98" t="str">
        <f t="shared" si="15"/>
        <v>NA</v>
      </c>
      <c r="BL98" t="str">
        <f t="shared" si="15"/>
        <v>NA</v>
      </c>
      <c r="BM98" t="str">
        <f t="shared" si="15"/>
        <v>NA</v>
      </c>
      <c r="BN98" t="str">
        <f t="shared" si="15"/>
        <v>NA</v>
      </c>
      <c r="BO98" t="str">
        <f t="shared" si="15"/>
        <v>NA</v>
      </c>
      <c r="BP98" t="str">
        <f t="shared" si="24"/>
        <v>IL</v>
      </c>
      <c r="BQ98" t="str">
        <f t="shared" si="17"/>
        <v>NA</v>
      </c>
      <c r="BR98" t="str">
        <f t="shared" si="17"/>
        <v>NA</v>
      </c>
    </row>
    <row r="99" spans="1:70">
      <c r="A99">
        <v>9</v>
      </c>
      <c r="B99" t="str">
        <f t="shared" si="13"/>
        <v>Summary of All HUD Programs</v>
      </c>
      <c r="C99">
        <v>1</v>
      </c>
      <c r="D99" t="str">
        <f t="shared" si="14"/>
        <v>NA</v>
      </c>
      <c r="E99" t="str">
        <f>"195 Whiteside County"</f>
        <v>195 Whiteside County</v>
      </c>
      <c r="F99" t="str">
        <f>"17195"</f>
        <v>17195</v>
      </c>
      <c r="G99">
        <v>798</v>
      </c>
      <c r="H99">
        <v>94</v>
      </c>
      <c r="I99">
        <v>745</v>
      </c>
      <c r="J99">
        <v>100</v>
      </c>
      <c r="K99">
        <v>6</v>
      </c>
      <c r="L99">
        <v>18</v>
      </c>
      <c r="M99">
        <v>1.8</v>
      </c>
      <c r="N99">
        <v>1361</v>
      </c>
      <c r="O99">
        <v>280</v>
      </c>
      <c r="P99">
        <v>466</v>
      </c>
      <c r="Q99">
        <v>11745</v>
      </c>
      <c r="R99">
        <v>6429</v>
      </c>
      <c r="S99">
        <v>7</v>
      </c>
      <c r="T99">
        <v>36</v>
      </c>
      <c r="U99">
        <v>27</v>
      </c>
      <c r="V99">
        <v>19</v>
      </c>
      <c r="W99">
        <v>11</v>
      </c>
      <c r="X99">
        <v>21</v>
      </c>
      <c r="Y99">
        <v>1</v>
      </c>
      <c r="Z99">
        <v>69</v>
      </c>
      <c r="AA99">
        <v>26</v>
      </c>
      <c r="AB99">
        <v>95</v>
      </c>
      <c r="AC99">
        <v>67</v>
      </c>
      <c r="AD99">
        <v>2</v>
      </c>
      <c r="AE99">
        <v>29</v>
      </c>
      <c r="AF99">
        <v>72</v>
      </c>
      <c r="AG99">
        <v>28</v>
      </c>
      <c r="AH99">
        <v>46</v>
      </c>
      <c r="AI99">
        <v>42</v>
      </c>
      <c r="AJ99">
        <v>27</v>
      </c>
      <c r="AK99">
        <v>5</v>
      </c>
      <c r="AL99">
        <v>37</v>
      </c>
      <c r="AM99">
        <v>24</v>
      </c>
      <c r="AN99">
        <v>34</v>
      </c>
      <c r="AO99">
        <v>4</v>
      </c>
      <c r="AP99">
        <v>17</v>
      </c>
      <c r="AQ99">
        <v>5</v>
      </c>
      <c r="AR99">
        <v>-1</v>
      </c>
      <c r="AS99">
        <v>0</v>
      </c>
      <c r="AT99">
        <v>83</v>
      </c>
      <c r="AU99">
        <v>0</v>
      </c>
      <c r="AV99">
        <v>10</v>
      </c>
      <c r="AW99">
        <v>1</v>
      </c>
      <c r="AX99">
        <v>11</v>
      </c>
      <c r="AY99">
        <v>0</v>
      </c>
      <c r="AZ99">
        <v>12</v>
      </c>
      <c r="BA99">
        <v>80</v>
      </c>
      <c r="BB99">
        <v>61</v>
      </c>
      <c r="BC99">
        <v>130</v>
      </c>
      <c r="BD99">
        <v>58</v>
      </c>
      <c r="BE99">
        <v>17</v>
      </c>
      <c r="BF99">
        <v>25</v>
      </c>
      <c r="BG99">
        <v>11</v>
      </c>
      <c r="BH99">
        <v>17</v>
      </c>
      <c r="BI99">
        <v>20</v>
      </c>
      <c r="BJ99">
        <v>71</v>
      </c>
      <c r="BK99" t="str">
        <f t="shared" si="15"/>
        <v>NA</v>
      </c>
      <c r="BL99" t="str">
        <f t="shared" si="15"/>
        <v>NA</v>
      </c>
      <c r="BM99" t="str">
        <f t="shared" si="15"/>
        <v>NA</v>
      </c>
      <c r="BN99" t="str">
        <f t="shared" si="15"/>
        <v>NA</v>
      </c>
      <c r="BO99" t="str">
        <f t="shared" si="15"/>
        <v>NA</v>
      </c>
      <c r="BP99" t="str">
        <f t="shared" si="16"/>
        <v>IL</v>
      </c>
      <c r="BQ99" t="str">
        <f t="shared" si="17"/>
        <v>NA</v>
      </c>
      <c r="BR99" t="str">
        <f t="shared" si="17"/>
        <v>NA</v>
      </c>
    </row>
    <row r="100" spans="1:70">
      <c r="A100">
        <v>9</v>
      </c>
      <c r="B100" t="str">
        <f t="shared" si="13"/>
        <v>Summary of All HUD Programs</v>
      </c>
      <c r="C100">
        <v>1</v>
      </c>
      <c r="D100" t="str">
        <f t="shared" si="14"/>
        <v>NA</v>
      </c>
      <c r="E100" t="str">
        <f>"199 Williamson County"</f>
        <v>199 Williamson County</v>
      </c>
      <c r="F100" t="str">
        <f>"17199"</f>
        <v>17199</v>
      </c>
      <c r="G100">
        <v>1520</v>
      </c>
      <c r="H100">
        <v>93</v>
      </c>
      <c r="I100">
        <v>1426</v>
      </c>
      <c r="J100">
        <v>100</v>
      </c>
      <c r="K100">
        <v>6</v>
      </c>
      <c r="L100">
        <v>20</v>
      </c>
      <c r="M100">
        <v>1.9</v>
      </c>
      <c r="N100">
        <v>2700</v>
      </c>
      <c r="O100">
        <v>242</v>
      </c>
      <c r="P100">
        <v>402</v>
      </c>
      <c r="Q100">
        <v>11155</v>
      </c>
      <c r="R100">
        <v>5891</v>
      </c>
      <c r="S100">
        <v>19</v>
      </c>
      <c r="T100">
        <v>31</v>
      </c>
      <c r="U100">
        <v>24</v>
      </c>
      <c r="V100">
        <v>13</v>
      </c>
      <c r="W100">
        <v>13</v>
      </c>
      <c r="X100">
        <v>27</v>
      </c>
      <c r="Y100">
        <v>2</v>
      </c>
      <c r="Z100">
        <v>66</v>
      </c>
      <c r="AA100">
        <v>25</v>
      </c>
      <c r="AB100">
        <v>93</v>
      </c>
      <c r="AC100">
        <v>69</v>
      </c>
      <c r="AD100">
        <v>4</v>
      </c>
      <c r="AE100">
        <v>33</v>
      </c>
      <c r="AF100">
        <v>73</v>
      </c>
      <c r="AG100">
        <v>34</v>
      </c>
      <c r="AH100">
        <v>30</v>
      </c>
      <c r="AI100">
        <v>52</v>
      </c>
      <c r="AJ100">
        <v>22</v>
      </c>
      <c r="AK100">
        <v>10</v>
      </c>
      <c r="AL100">
        <v>38</v>
      </c>
      <c r="AM100">
        <v>23</v>
      </c>
      <c r="AN100">
        <v>29</v>
      </c>
      <c r="AO100">
        <v>2</v>
      </c>
      <c r="AP100">
        <v>16</v>
      </c>
      <c r="AQ100">
        <v>14</v>
      </c>
      <c r="AR100">
        <v>0</v>
      </c>
      <c r="AS100">
        <v>0</v>
      </c>
      <c r="AT100">
        <v>84</v>
      </c>
      <c r="AU100">
        <v>0</v>
      </c>
      <c r="AV100">
        <v>1</v>
      </c>
      <c r="AW100">
        <v>-1</v>
      </c>
      <c r="AX100">
        <v>1</v>
      </c>
      <c r="AY100">
        <v>0</v>
      </c>
      <c r="AZ100">
        <v>4</v>
      </c>
      <c r="BA100">
        <v>67</v>
      </c>
      <c r="BB100">
        <v>40</v>
      </c>
      <c r="BC100">
        <v>95</v>
      </c>
      <c r="BD100">
        <v>47</v>
      </c>
      <c r="BE100">
        <v>31</v>
      </c>
      <c r="BF100">
        <v>21</v>
      </c>
      <c r="BG100">
        <v>13</v>
      </c>
      <c r="BH100">
        <v>21</v>
      </c>
      <c r="BI100">
        <v>10</v>
      </c>
      <c r="BJ100">
        <v>67</v>
      </c>
      <c r="BK100" t="str">
        <f t="shared" si="15"/>
        <v>NA</v>
      </c>
      <c r="BL100" t="str">
        <f t="shared" si="15"/>
        <v>NA</v>
      </c>
      <c r="BM100" t="str">
        <f t="shared" si="15"/>
        <v>NA</v>
      </c>
      <c r="BN100" t="str">
        <f t="shared" si="15"/>
        <v>NA</v>
      </c>
      <c r="BO100" t="str">
        <f t="shared" si="15"/>
        <v>NA</v>
      </c>
      <c r="BP100" t="str">
        <f t="shared" si="16"/>
        <v>IL</v>
      </c>
      <c r="BQ100" t="str">
        <f t="shared" si="17"/>
        <v>NA</v>
      </c>
      <c r="BR100" t="str">
        <f t="shared" si="17"/>
        <v>NA</v>
      </c>
    </row>
    <row r="101" spans="1:70">
      <c r="A101">
        <v>9</v>
      </c>
      <c r="B101" t="str">
        <f t="shared" si="13"/>
        <v>Summary of All HUD Programs</v>
      </c>
      <c r="C101">
        <v>1</v>
      </c>
      <c r="D101" t="str">
        <f t="shared" si="14"/>
        <v>NA</v>
      </c>
      <c r="E101" t="str">
        <f>"201 Winnebago County"</f>
        <v>201 Winnebago County</v>
      </c>
      <c r="F101" t="str">
        <f>"17201"</f>
        <v>17201</v>
      </c>
      <c r="G101">
        <v>6372</v>
      </c>
      <c r="H101">
        <v>90</v>
      </c>
      <c r="I101">
        <v>5665</v>
      </c>
      <c r="J101">
        <v>99</v>
      </c>
      <c r="K101">
        <v>5</v>
      </c>
      <c r="L101">
        <v>19</v>
      </c>
      <c r="M101">
        <v>2</v>
      </c>
      <c r="N101">
        <v>11119</v>
      </c>
      <c r="O101">
        <v>264</v>
      </c>
      <c r="P101">
        <v>570</v>
      </c>
      <c r="Q101">
        <v>10982</v>
      </c>
      <c r="R101">
        <v>5595</v>
      </c>
      <c r="S101">
        <v>16</v>
      </c>
      <c r="T101">
        <v>34</v>
      </c>
      <c r="U101">
        <v>23</v>
      </c>
      <c r="V101">
        <v>15</v>
      </c>
      <c r="W101">
        <v>12</v>
      </c>
      <c r="X101">
        <v>21</v>
      </c>
      <c r="Y101">
        <v>4</v>
      </c>
      <c r="Z101">
        <v>68</v>
      </c>
      <c r="AA101">
        <v>24</v>
      </c>
      <c r="AB101">
        <v>95</v>
      </c>
      <c r="AC101">
        <v>69</v>
      </c>
      <c r="AD101">
        <v>1</v>
      </c>
      <c r="AE101">
        <v>35</v>
      </c>
      <c r="AF101">
        <v>76</v>
      </c>
      <c r="AG101">
        <v>35</v>
      </c>
      <c r="AH101">
        <v>37</v>
      </c>
      <c r="AI101">
        <v>36</v>
      </c>
      <c r="AJ101">
        <v>21</v>
      </c>
      <c r="AK101">
        <v>7</v>
      </c>
      <c r="AL101">
        <v>41</v>
      </c>
      <c r="AM101">
        <v>23</v>
      </c>
      <c r="AN101">
        <v>29</v>
      </c>
      <c r="AO101">
        <v>4</v>
      </c>
      <c r="AP101">
        <v>60</v>
      </c>
      <c r="AQ101">
        <v>55</v>
      </c>
      <c r="AR101">
        <v>0</v>
      </c>
      <c r="AS101">
        <v>0</v>
      </c>
      <c r="AT101">
        <v>40</v>
      </c>
      <c r="AU101">
        <v>0</v>
      </c>
      <c r="AV101">
        <v>3</v>
      </c>
      <c r="AW101">
        <v>0</v>
      </c>
      <c r="AX101">
        <v>4</v>
      </c>
      <c r="AY101">
        <v>1</v>
      </c>
      <c r="AZ101">
        <v>23</v>
      </c>
      <c r="BA101">
        <v>73</v>
      </c>
      <c r="BB101">
        <v>96</v>
      </c>
      <c r="BC101">
        <v>89</v>
      </c>
      <c r="BD101">
        <v>49</v>
      </c>
      <c r="BE101">
        <v>24</v>
      </c>
      <c r="BF101">
        <v>26</v>
      </c>
      <c r="BG101">
        <v>13</v>
      </c>
      <c r="BH101">
        <v>35</v>
      </c>
      <c r="BI101">
        <v>45</v>
      </c>
      <c r="BJ101">
        <v>50</v>
      </c>
      <c r="BK101" t="str">
        <f t="shared" si="15"/>
        <v>NA</v>
      </c>
      <c r="BL101" t="str">
        <f t="shared" si="15"/>
        <v>NA</v>
      </c>
      <c r="BM101" t="str">
        <f t="shared" si="15"/>
        <v>NA</v>
      </c>
      <c r="BN101" t="str">
        <f t="shared" si="15"/>
        <v>NA</v>
      </c>
      <c r="BO101" t="str">
        <f t="shared" si="15"/>
        <v>NA</v>
      </c>
      <c r="BP101" t="str">
        <f t="shared" si="16"/>
        <v>IL</v>
      </c>
      <c r="BQ101" t="str">
        <f t="shared" si="17"/>
        <v>NA</v>
      </c>
      <c r="BR101" t="str">
        <f t="shared" si="17"/>
        <v>NA</v>
      </c>
    </row>
    <row r="102" spans="1:70">
      <c r="A102">
        <v>9</v>
      </c>
      <c r="B102" t="str">
        <f t="shared" si="13"/>
        <v>Summary of All HUD Programs</v>
      </c>
      <c r="C102">
        <v>1</v>
      </c>
      <c r="D102" t="str">
        <f t="shared" si="14"/>
        <v>NA</v>
      </c>
      <c r="E102" t="str">
        <f>"203 Woodford County"</f>
        <v>203 Woodford County</v>
      </c>
      <c r="F102" t="str">
        <f>"17203"</f>
        <v>17203</v>
      </c>
      <c r="G102">
        <v>422</v>
      </c>
      <c r="H102">
        <v>90</v>
      </c>
      <c r="I102">
        <v>374</v>
      </c>
      <c r="J102">
        <v>99</v>
      </c>
      <c r="K102">
        <v>6</v>
      </c>
      <c r="L102">
        <v>17</v>
      </c>
      <c r="M102">
        <v>1.9</v>
      </c>
      <c r="N102">
        <v>703</v>
      </c>
      <c r="O102">
        <v>322</v>
      </c>
      <c r="P102">
        <v>470</v>
      </c>
      <c r="Q102">
        <v>14093</v>
      </c>
      <c r="R102">
        <v>7498</v>
      </c>
      <c r="S102">
        <v>8</v>
      </c>
      <c r="T102">
        <v>23</v>
      </c>
      <c r="U102">
        <v>28</v>
      </c>
      <c r="V102">
        <v>18</v>
      </c>
      <c r="W102">
        <v>23</v>
      </c>
      <c r="X102">
        <v>23</v>
      </c>
      <c r="Y102">
        <v>1</v>
      </c>
      <c r="Z102">
        <v>71</v>
      </c>
      <c r="AA102">
        <v>26</v>
      </c>
      <c r="AB102">
        <v>94</v>
      </c>
      <c r="AC102">
        <v>64</v>
      </c>
      <c r="AD102">
        <v>6</v>
      </c>
      <c r="AE102">
        <v>27</v>
      </c>
      <c r="AF102">
        <v>78</v>
      </c>
      <c r="AG102">
        <v>30</v>
      </c>
      <c r="AH102">
        <v>41</v>
      </c>
      <c r="AI102">
        <v>25</v>
      </c>
      <c r="AJ102">
        <v>20</v>
      </c>
      <c r="AK102">
        <v>5</v>
      </c>
      <c r="AL102">
        <v>37</v>
      </c>
      <c r="AM102">
        <v>15</v>
      </c>
      <c r="AN102">
        <v>43</v>
      </c>
      <c r="AO102">
        <v>9</v>
      </c>
      <c r="AP102">
        <v>7</v>
      </c>
      <c r="AQ102">
        <v>3</v>
      </c>
      <c r="AR102">
        <v>1</v>
      </c>
      <c r="AS102">
        <v>1</v>
      </c>
      <c r="AT102">
        <v>93</v>
      </c>
      <c r="AU102">
        <v>-1</v>
      </c>
      <c r="AV102">
        <v>2</v>
      </c>
      <c r="AW102">
        <v>0</v>
      </c>
      <c r="AX102">
        <v>2</v>
      </c>
      <c r="AY102">
        <v>1</v>
      </c>
      <c r="AZ102">
        <v>10</v>
      </c>
      <c r="BA102">
        <v>63</v>
      </c>
      <c r="BB102">
        <v>80</v>
      </c>
      <c r="BC102">
        <v>102</v>
      </c>
      <c r="BD102">
        <v>49</v>
      </c>
      <c r="BE102">
        <v>34</v>
      </c>
      <c r="BF102">
        <v>16</v>
      </c>
      <c r="BG102">
        <v>15</v>
      </c>
      <c r="BH102">
        <v>10</v>
      </c>
      <c r="BI102">
        <v>4</v>
      </c>
      <c r="BJ102">
        <v>76</v>
      </c>
      <c r="BK102" t="str">
        <f t="shared" si="15"/>
        <v>NA</v>
      </c>
      <c r="BL102" t="str">
        <f t="shared" si="15"/>
        <v>NA</v>
      </c>
      <c r="BM102" t="str">
        <f t="shared" si="15"/>
        <v>NA</v>
      </c>
      <c r="BN102" t="str">
        <f t="shared" si="15"/>
        <v>NA</v>
      </c>
      <c r="BO102" t="str">
        <f t="shared" si="15"/>
        <v>NA</v>
      </c>
      <c r="BP102" t="str">
        <f t="shared" si="16"/>
        <v>IL</v>
      </c>
      <c r="BQ102" t="str">
        <f t="shared" si="17"/>
        <v>NA</v>
      </c>
      <c r="BR102" t="str">
        <f t="shared" si="17"/>
        <v>NA</v>
      </c>
    </row>
    <row r="103" spans="1:70">
      <c r="A103">
        <v>9</v>
      </c>
      <c r="B103" t="str">
        <f t="shared" si="13"/>
        <v>Summary of All HUD Programs</v>
      </c>
      <c r="C103">
        <v>1</v>
      </c>
      <c r="D103" t="str">
        <f t="shared" si="14"/>
        <v>NA</v>
      </c>
      <c r="E103" t="str">
        <f>"XXX MISSING"</f>
        <v>XXX MISSING</v>
      </c>
      <c r="F103" t="str">
        <f>"17XXX"</f>
        <v>17XXX</v>
      </c>
      <c r="G103">
        <v>270</v>
      </c>
      <c r="H103">
        <v>96</v>
      </c>
      <c r="I103">
        <v>271</v>
      </c>
      <c r="J103">
        <v>100</v>
      </c>
      <c r="K103">
        <v>5</v>
      </c>
      <c r="L103">
        <v>5</v>
      </c>
      <c r="M103">
        <v>2.7</v>
      </c>
      <c r="N103">
        <v>723</v>
      </c>
      <c r="O103">
        <v>5</v>
      </c>
      <c r="P103">
        <v>841</v>
      </c>
      <c r="Q103">
        <v>16785</v>
      </c>
      <c r="R103">
        <v>6291</v>
      </c>
      <c r="S103">
        <v>12</v>
      </c>
      <c r="T103">
        <v>23</v>
      </c>
      <c r="U103">
        <v>18</v>
      </c>
      <c r="V103">
        <v>11</v>
      </c>
      <c r="W103">
        <v>36</v>
      </c>
      <c r="X103">
        <v>42</v>
      </c>
      <c r="Y103">
        <v>1</v>
      </c>
      <c r="Z103">
        <v>49</v>
      </c>
      <c r="AA103">
        <v>1</v>
      </c>
      <c r="AB103">
        <v>3</v>
      </c>
      <c r="AC103">
        <v>2</v>
      </c>
      <c r="AD103">
        <v>1</v>
      </c>
      <c r="AE103">
        <v>58</v>
      </c>
      <c r="AF103">
        <v>85</v>
      </c>
      <c r="AG103">
        <v>55</v>
      </c>
      <c r="AH103">
        <v>22</v>
      </c>
      <c r="AI103">
        <v>67</v>
      </c>
      <c r="AJ103">
        <v>13</v>
      </c>
      <c r="AK103">
        <v>4</v>
      </c>
      <c r="AL103">
        <v>67</v>
      </c>
      <c r="AM103">
        <v>19</v>
      </c>
      <c r="AN103">
        <v>10</v>
      </c>
      <c r="AO103">
        <v>1</v>
      </c>
      <c r="AP103">
        <v>87</v>
      </c>
      <c r="AQ103">
        <v>82</v>
      </c>
      <c r="AR103">
        <v>-1</v>
      </c>
      <c r="AS103">
        <v>0</v>
      </c>
      <c r="AT103">
        <v>13</v>
      </c>
      <c r="AU103">
        <v>-1</v>
      </c>
      <c r="AV103">
        <v>4</v>
      </c>
      <c r="AW103">
        <v>0</v>
      </c>
      <c r="AX103">
        <v>5</v>
      </c>
      <c r="AY103">
        <v>1</v>
      </c>
      <c r="AZ103">
        <v>4</v>
      </c>
      <c r="BA103">
        <v>32</v>
      </c>
      <c r="BB103">
        <v>2</v>
      </c>
      <c r="BC103">
        <v>82</v>
      </c>
      <c r="BD103">
        <v>76</v>
      </c>
      <c r="BE103">
        <v>12</v>
      </c>
      <c r="BF103">
        <v>9</v>
      </c>
      <c r="BG103">
        <v>4</v>
      </c>
      <c r="BH103">
        <v>-1</v>
      </c>
      <c r="BI103">
        <v>-1</v>
      </c>
      <c r="BJ103">
        <v>-1</v>
      </c>
      <c r="BK103" t="str">
        <f t="shared" si="15"/>
        <v>NA</v>
      </c>
      <c r="BL103" t="str">
        <f t="shared" si="15"/>
        <v>NA</v>
      </c>
      <c r="BM103" t="str">
        <f t="shared" si="15"/>
        <v>NA</v>
      </c>
      <c r="BN103" t="str">
        <f t="shared" si="15"/>
        <v>NA</v>
      </c>
      <c r="BO103" t="str">
        <f t="shared" si="15"/>
        <v>NA</v>
      </c>
      <c r="BP103" t="str">
        <f t="shared" si="16"/>
        <v>IL</v>
      </c>
      <c r="BQ103" t="str">
        <f t="shared" si="17"/>
        <v>NA</v>
      </c>
      <c r="BR103" t="str">
        <f t="shared" si="17"/>
        <v>NA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hudPicture2016_535443.csv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2017-02-28T15:55:49Z</dcterms:created>
  <dcterms:modified xsi:type="dcterms:W3CDTF">2017-02-28T15:55:49Z</dcterms:modified>
</cp:coreProperties>
</file>