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FCCE9445-3CBA-42C1-9382-EE1E6597A46E}" xr6:coauthVersionLast="40" xr6:coauthVersionMax="40" xr10:uidLastSave="{00000000-0000-0000-0000-000000000000}"/>
  <bookViews>
    <workbookView xWindow="0" yWindow="0" windowWidth="19560" windowHeight="8130" tabRatio="897" firstSheet="20" activeTab="2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E7" i="167"/>
  <c r="D7" i="167"/>
  <c r="C7" i="167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C5" i="206"/>
  <c r="C7" i="20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D17" i="191"/>
  <c r="L39" i="168"/>
  <c r="K32" i="168"/>
  <c r="G5" i="167"/>
  <c r="G17" i="191"/>
  <c r="E17" i="191"/>
  <c r="G7" i="206"/>
  <c r="F7" i="206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C7" i="168" l="1"/>
  <c r="F10" i="168"/>
  <c r="E10" i="168"/>
  <c r="D10" i="168"/>
  <c r="C10" i="168"/>
  <c r="C8" i="168" s="1"/>
  <c r="F38" i="154"/>
  <c r="F42" i="154"/>
  <c r="F41" i="154"/>
  <c r="F40" i="154" l="1"/>
  <c r="G7" i="168"/>
  <c r="G8" i="168" s="1"/>
  <c r="F39" i="154"/>
  <c r="F7" i="168"/>
  <c r="F8" i="168" s="1"/>
  <c r="D7" i="168"/>
  <c r="D8" i="168" s="1"/>
  <c r="F43" i="154" l="1"/>
  <c r="E7" i="168" l="1"/>
  <c r="E8" i="168" s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67" l="1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L11" i="182" l="1"/>
  <c r="L5" i="167" s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L11" i="186"/>
  <c r="K5" i="212" s="1"/>
  <c r="K4" i="212" l="1"/>
  <c r="K6" i="212"/>
  <c r="M5" i="167"/>
  <c r="M7" i="167" s="1"/>
  <c r="J6" i="212"/>
  <c r="N6" i="186"/>
  <c r="N11" i="182"/>
  <c r="P6" i="180"/>
  <c r="O6" i="182"/>
  <c r="O11" i="180"/>
  <c r="M6" i="193"/>
  <c r="M11" i="193" s="1"/>
  <c r="M11" i="186"/>
  <c r="L5" i="212" s="1"/>
  <c r="L4" i="212"/>
  <c r="L7" i="167"/>
  <c r="N5" i="167" l="1"/>
  <c r="N7" i="167" s="1"/>
  <c r="Q6" i="180"/>
  <c r="P6" i="182"/>
  <c r="P11" i="180"/>
  <c r="M4" i="212"/>
  <c r="L6" i="212"/>
  <c r="N6" i="193"/>
  <c r="N11" i="193" s="1"/>
  <c r="N11" i="186"/>
  <c r="M5" i="212" s="1"/>
  <c r="O6" i="186"/>
  <c r="O11" i="182"/>
  <c r="O5" i="167" l="1"/>
  <c r="O7" i="167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P5" i="167" l="1"/>
  <c r="P7" i="167" s="1"/>
  <c r="N6" i="212"/>
  <c r="P6" i="193"/>
  <c r="P11" i="193" s="1"/>
  <c r="P11" i="186"/>
  <c r="O5" i="212" s="1"/>
  <c r="O4" i="212"/>
  <c r="Q6" i="186"/>
  <c r="I7" i="168"/>
  <c r="I8" i="168" l="1"/>
  <c r="O6" i="212"/>
  <c r="P4" i="212"/>
  <c r="Q7" i="167"/>
  <c r="Q6" i="193"/>
  <c r="Q11" i="193" s="1"/>
  <c r="Q11" i="186"/>
  <c r="P5" i="212" s="1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I10" i="168" l="1"/>
  <c r="J7" i="168" l="1"/>
  <c r="J8" i="168" l="1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K8" i="168" l="1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L8" i="168" l="1"/>
  <c r="Q22" i="168" l="1"/>
  <c r="P22" i="168"/>
  <c r="O22" i="168"/>
  <c r="N22" i="168"/>
  <c r="M22" i="168"/>
  <c r="L22" i="168"/>
  <c r="L28" i="168" s="1"/>
  <c r="L9" i="168" s="1"/>
  <c r="L10" i="168" s="1"/>
  <c r="M7" i="168" s="1"/>
  <c r="M8" i="168" l="1"/>
  <c r="M23" i="168" l="1"/>
  <c r="M28" i="168" s="1"/>
  <c r="M9" i="168" s="1"/>
  <c r="M10" i="168" s="1"/>
  <c r="Q23" i="168"/>
  <c r="P23" i="168"/>
  <c r="O23" i="168"/>
  <c r="N23" i="168"/>
  <c r="N7" i="168" l="1"/>
  <c r="N8" i="168" l="1"/>
  <c r="P24" i="168" l="1"/>
  <c r="N24" i="168"/>
  <c r="N28" i="168" s="1"/>
  <c r="N9" i="168" s="1"/>
  <c r="Q24" i="168"/>
  <c r="O24" i="168"/>
  <c r="N10" i="168" l="1"/>
  <c r="O7" i="168" s="1"/>
  <c r="O8" i="168" s="1"/>
  <c r="Q25" i="168" l="1"/>
  <c r="P25" i="168"/>
  <c r="O25" i="168"/>
  <c r="O28" i="168" s="1"/>
  <c r="O9" i="168" s="1"/>
  <c r="O10" i="168" s="1"/>
  <c r="P7" i="168" l="1"/>
  <c r="P8" i="168" l="1"/>
  <c r="P26" i="168" l="1"/>
  <c r="P28" i="168" s="1"/>
  <c r="P9" i="168" s="1"/>
  <c r="Q26" i="168"/>
  <c r="P10" i="168" l="1"/>
  <c r="Q7" i="168" s="1"/>
  <c r="Q8" i="168" l="1"/>
  <c r="Q27" i="168" s="1"/>
  <c r="Q28" i="168" l="1"/>
  <c r="Q9" i="168" s="1"/>
  <c r="Q10" i="168" s="1"/>
  <c r="C11" i="192" l="1"/>
  <c r="E11" i="192"/>
  <c r="G11" i="192"/>
  <c r="F11" i="192"/>
  <c r="D11" i="192"/>
  <c r="J11" i="192" l="1"/>
  <c r="J7" i="192" s="1"/>
  <c r="J7" i="206" s="1"/>
  <c r="K11" i="192"/>
  <c r="K7" i="192" s="1"/>
  <c r="K7" i="206" s="1"/>
  <c r="N11" i="192"/>
  <c r="N7" i="192" s="1"/>
  <c r="N7" i="206" s="1"/>
  <c r="H11" i="192"/>
  <c r="H7" i="192" s="1"/>
  <c r="H7" i="206" s="1"/>
  <c r="M11" i="192" l="1"/>
  <c r="M7" i="192" s="1"/>
  <c r="M7" i="206" s="1"/>
  <c r="I11" i="192"/>
  <c r="I7" i="192" s="1"/>
  <c r="I7" i="206" s="1"/>
  <c r="Q11" i="192"/>
  <c r="Q7" i="192" s="1"/>
  <c r="Q7" i="206" s="1"/>
  <c r="O11" i="192"/>
  <c r="O7" i="192" s="1"/>
  <c r="O7" i="206" s="1"/>
  <c r="P11" i="192"/>
  <c r="P7" i="192" s="1"/>
  <c r="P7" i="206" s="1"/>
  <c r="L11" i="192"/>
  <c r="L7" i="192" s="1"/>
  <c r="L7" i="206" s="1"/>
</calcChain>
</file>

<file path=xl/sharedStrings.xml><?xml version="1.0" encoding="utf-8"?>
<sst xmlns="http://schemas.openxmlformats.org/spreadsheetml/2006/main" count="721" uniqueCount="259">
  <si>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</si>
  <si>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</si>
  <si>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</si>
  <si>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</si>
  <si>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</si>
  <si>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</si>
  <si>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</si>
  <si>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</si>
  <si>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</si>
  <si>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</si>
  <si>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</si>
  <si>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</si>
  <si>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</si>
  <si>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</si>
  <si>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</si>
  <si>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</si>
  <si>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</si>
  <si>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</si>
  <si>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</si>
  <si>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</si>
  <si>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</si>
  <si>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</si>
  <si>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</si>
  <si>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</si>
  <si>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</si>
  <si>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</si>
  <si>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</si>
  <si>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</si>
  <si>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</si>
  <si>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</si>
  <si>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</si>
  <si>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</si>
  <si>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</si>
  <si>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</si>
  <si>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</si>
  <si>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</si>
  <si>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</si>
  <si>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</si>
  <si>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</si>
  <si>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</si>
  <si>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</si>
  <si>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</si>
  <si>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</si>
  <si>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</si>
  <si>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</si>
  <si>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</si>
  <si>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</si>
  <si>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</si>
  <si>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</si>
  <si>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</si>
  <si>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</si>
  <si>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</si>
  <si>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</si>
  <si>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</si>
  <si>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</si>
  <si>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</si>
  <si>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</si>
  <si>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</si>
  <si>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</si>
  <si>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</si>
  <si>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</si>
  <si>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</si>
  <si>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</si>
  <si>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</si>
  <si>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</si>
  <si>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</si>
  <si>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</si>
  <si>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</si>
  <si>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</si>
  <si>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</si>
  <si>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</si>
  <si>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</si>
  <si>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</si>
  <si>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</si>
  <si>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</si>
  <si>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</si>
  <si>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</si>
  <si>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</si>
  <si>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</si>
  <si>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</si>
  <si>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</si>
  <si>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</si>
  <si>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</si>
  <si>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</si>
  <si>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Workings  --&gt;</t>
  </si>
  <si>
    <t>Revenues</t>
  </si>
  <si>
    <t>Operating expenses</t>
  </si>
  <si>
    <t>Corporate tax rate</t>
  </si>
  <si>
    <t>Expected inflation</t>
  </si>
  <si>
    <t>Fixed asset roll forward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</si>
  <si>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</si>
  <si>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</si>
  <si>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</si>
  <si>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</si>
  <si>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</si>
  <si>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</si>
  <si>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</si>
  <si>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</si>
  <si>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</si>
  <si>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</si>
  <si>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</si>
  <si>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</si>
  <si>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</si>
  <si>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</si>
  <si>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</si>
  <si>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</si>
  <si>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</si>
  <si>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</si>
  <si>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</si>
  <si>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</si>
  <si>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</si>
  <si>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</si>
  <si>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</si>
  <si>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</si>
  <si>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</si>
  <si>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</si>
  <si>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</si>
  <si>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</si>
  <si>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</si>
  <si>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</si>
  <si>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</si>
  <si>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</si>
  <si>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</si>
  <si>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</si>
  <si>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</si>
  <si>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</si>
  <si>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</si>
  <si>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</si>
  <si>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</si>
  <si>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</si>
  <si>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</si>
  <si>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</si>
  <si>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</si>
  <si>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</si>
  <si>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</si>
  <si>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</si>
  <si>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</si>
  <si>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</si>
  <si>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</si>
  <si>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</si>
  <si>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</si>
  <si>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</si>
  <si>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</si>
  <si>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</si>
  <si>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</si>
  <si>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</si>
  <si>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</si>
  <si>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</si>
  <si>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</si>
  <si>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</si>
  <si>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</si>
  <si>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</si>
  <si>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</si>
  <si>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</si>
  <si>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</si>
  <si>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</si>
  <si>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</si>
  <si>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</si>
  <si>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</si>
  <si>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</si>
  <si>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</si>
  <si>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</si>
  <si>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</si>
  <si>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</si>
  <si>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</si>
  <si>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Cost of sales Energy &amp; Other</t>
  </si>
  <si>
    <t>Revenue Energy &amp; Other</t>
  </si>
  <si>
    <t>Income Statement items</t>
  </si>
  <si>
    <t>($ in million)</t>
  </si>
  <si>
    <t>Balance Sheet --&gt;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</si>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</sst>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33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4" fillId="0" borderId="0" applyNumberFormat="0" applyFill="0" applyBorder="0" applyAlignment="0" applyProtection="0">
      <alignment vertical="top"/>
    </xf>
  </cellStyleXfs>
  <cellXfs count="12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8" fillId="2" borderId="0" xfId="0" applyFont="1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11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4" fillId="3" borderId="0" xfId="0" applyFont="1" applyFill="1" applyAlignment="1"/>
    <xf numFmtId="2" fontId="14" fillId="3" borderId="0" xfId="0" applyNumberFormat="1" applyFont="1" applyFill="1" applyAlignment="1"/>
    <xf numFmtId="0" fontId="15" fillId="3" borderId="0" xfId="0" applyFont="1" applyFill="1" applyAlignment="1"/>
    <xf numFmtId="0" fontId="12" fillId="3" borderId="0" xfId="0" applyFont="1" applyFill="1" applyAlignment="1"/>
    <xf numFmtId="0" fontId="16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6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1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7" fillId="3" borderId="0" xfId="0" applyFont="1" applyFill="1">
      <alignment vertical="top"/>
    </xf>
    <xf numFmtId="0" fontId="11" fillId="3" borderId="0" xfId="0" applyFont="1" applyFill="1">
      <alignment vertical="top"/>
    </xf>
    <xf numFmtId="9" fontId="11" fillId="3" borderId="0" xfId="0" applyNumberFormat="1" applyFont="1" applyFill="1">
      <alignment vertical="top"/>
    </xf>
    <xf numFmtId="9" fontId="11" fillId="3" borderId="0" xfId="2" applyFont="1" applyFill="1" applyAlignment="1">
      <alignment horizontal="right" vertical="top"/>
    </xf>
    <xf numFmtId="0" fontId="11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1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8" fillId="2" borderId="0" xfId="0" applyFont="1" applyFill="1">
      <alignment vertical="top"/>
    </xf>
    <xf numFmtId="0" fontId="19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20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6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1" fillId="5" borderId="0" xfId="0" applyFont="1" applyFill="1" applyAlignment="1"/>
    <xf numFmtId="0" fontId="22" fillId="2" borderId="0" xfId="0" applyFont="1" applyFill="1" applyAlignment="1"/>
    <xf numFmtId="0" fontId="21" fillId="2" borderId="0" xfId="0" applyFont="1" applyFill="1" applyAlignment="1"/>
    <xf numFmtId="166" fontId="8" fillId="2" borderId="0" xfId="1" applyNumberFormat="1" applyFont="1" applyFill="1" applyAlignment="1"/>
    <xf numFmtId="166" fontId="4" fillId="6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top"/>
    </xf>
    <xf numFmtId="166" fontId="3" fillId="2" borderId="1" xfId="1" applyNumberFormat="1" applyFont="1" applyFill="1" applyBorder="1">
      <alignment vertical="top"/>
    </xf>
    <xf numFmtId="173" fontId="11" fillId="2" borderId="0" xfId="0" applyNumberFormat="1" applyFont="1" applyFill="1">
      <alignment vertical="top"/>
    </xf>
    <xf numFmtId="166" fontId="4" fillId="2" borderId="0" xfId="0" applyNumberFormat="1" applyFont="1" applyFill="1" applyAlignment="1"/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3" fillId="2" borderId="0" xfId="2" applyFont="1" applyFill="1">
      <alignment vertical="top"/>
    </xf>
    <xf numFmtId="0" fontId="25" fillId="2" borderId="0" xfId="0" applyFont="1" applyFill="1">
      <alignment vertical="top"/>
    </xf>
    <xf numFmtId="9" fontId="23" fillId="6" borderId="0" xfId="0" applyNumberFormat="1" applyFont="1" applyFill="1">
      <alignment vertical="top"/>
    </xf>
    <xf numFmtId="2" fontId="14" fillId="3" borderId="0" xfId="0" applyNumberFormat="1" applyFont="1" applyFill="1" applyAlignment="1">
      <alignment horizontal="right"/>
    </xf>
    <xf numFmtId="0" fontId="24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7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6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9" fillId="2" borderId="0" xfId="0" applyFont="1" applyFill="1" applyBorder="1" applyAlignment="1">
      <alignment vertical="top"/>
    </xf>
    <xf numFmtId="0" fontId="29" fillId="2" borderId="0" xfId="0" applyFont="1" applyFill="1" applyBorder="1" applyAlignment="1">
      <alignment horizontal="right" vertical="top" wrapText="1"/>
    </xf>
    <xf numFmtId="175" fontId="29" fillId="2" borderId="0" xfId="0" applyNumberFormat="1" applyFont="1" applyFill="1" applyBorder="1" applyAlignment="1">
      <alignment horizontal="right" vertical="top" wrapText="1"/>
    </xf>
    <xf numFmtId="0" fontId="28" fillId="2" borderId="0" xfId="0" applyFont="1" applyFill="1" applyBorder="1" applyAlignment="1">
      <alignment horizontal="right" vertical="top"/>
    </xf>
    <xf numFmtId="0" fontId="30" fillId="2" borderId="0" xfId="0" applyFont="1" applyFill="1" applyBorder="1" applyAlignment="1">
      <alignment vertical="top"/>
    </xf>
    <xf numFmtId="0" fontId="30" fillId="2" borderId="0" xfId="0" applyFont="1" applyFill="1" applyBorder="1">
      <alignment vertical="top"/>
    </xf>
    <xf numFmtId="0" fontId="28" fillId="2" borderId="0" xfId="0" applyFont="1" applyFill="1" applyBorder="1">
      <alignment vertical="top"/>
    </xf>
    <xf numFmtId="175" fontId="29" fillId="2" borderId="0" xfId="0" applyNumberFormat="1" applyFont="1" applyFill="1" applyBorder="1" applyAlignment="1">
      <alignment vertical="top" wrapText="1"/>
    </xf>
    <xf numFmtId="0" fontId="29" fillId="2" borderId="0" xfId="0" applyFont="1" applyFill="1" applyBorder="1" applyAlignment="1">
      <alignment vertical="top" wrapText="1"/>
    </xf>
    <xf numFmtId="175" fontId="28" fillId="2" borderId="0" xfId="0" applyNumberFormat="1" applyFont="1" applyFill="1" applyBorder="1">
      <alignment vertical="top"/>
    </xf>
    <xf numFmtId="0" fontId="28" fillId="2" borderId="0" xfId="0" applyFont="1" applyFill="1" applyBorder="1" applyAlignment="1"/>
    <xf numFmtId="0" fontId="13" fillId="2" borderId="0" xfId="0" applyFont="1" applyFill="1" applyBorder="1">
      <alignment vertical="top"/>
    </xf>
    <xf numFmtId="167" fontId="30" fillId="2" borderId="0" xfId="2" applyNumberFormat="1" applyFont="1" applyFill="1" applyBorder="1">
      <alignment vertical="top"/>
    </xf>
    <xf numFmtId="0" fontId="31" fillId="2" borderId="0" xfId="0" applyFont="1" applyFill="1" applyBorder="1" applyAlignment="1">
      <alignment vertical="top"/>
    </xf>
    <xf numFmtId="0" fontId="31" fillId="2" borderId="0" xfId="0" applyFont="1" applyFill="1" applyBorder="1" applyAlignment="1">
      <alignment horizontal="left" vertical="top" indent="3"/>
    </xf>
    <xf numFmtId="0" fontId="27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right" vertical="center" wrapText="1"/>
    </xf>
    <xf numFmtId="175" fontId="28" fillId="2" borderId="3" xfId="0" applyNumberFormat="1" applyFont="1" applyFill="1" applyBorder="1" applyAlignment="1">
      <alignment horizontal="right" vertical="center" wrapText="1"/>
    </xf>
    <xf numFmtId="0" fontId="27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 wrapText="1"/>
    </xf>
    <xf numFmtId="0" fontId="27" fillId="2" borderId="3" xfId="0" applyFont="1" applyFill="1" applyBorder="1" applyAlignment="1">
      <alignment horizontal="center"/>
    </xf>
    <xf numFmtId="0" fontId="28" fillId="2" borderId="3" xfId="0" applyFont="1" applyFill="1" applyBorder="1">
      <alignment vertical="top"/>
    </xf>
    <xf numFmtId="0" fontId="13" fillId="4" borderId="1" xfId="0" applyFont="1" applyFill="1" applyBorder="1" applyAlignment="1">
      <alignment vertical="top"/>
    </xf>
    <xf numFmtId="0" fontId="13" fillId="4" borderId="1" xfId="0" applyFont="1" applyFill="1" applyBorder="1">
      <alignment vertical="top"/>
    </xf>
    <xf numFmtId="175" fontId="32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117</v>
      </c>
      <c r="C9" s="56"/>
    </row>
    <row r="10" spans="2:3" ht="50.25" x14ac:dyDescent="0.2">
      <c r="B10" s="11" t="s">
        <v>118</v>
      </c>
      <c r="C10" s="5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203</v>
      </c>
      <c r="C4" s="66" t="s">
        <v>117</v>
      </c>
      <c r="E4" s="4"/>
      <c r="F4" s="4"/>
    </row>
    <row r="5" spans="1:6" x14ac:dyDescent="0.2">
      <c r="B5" s="8" t="s">
        <v>112</v>
      </c>
      <c r="C5" s="54" t="s">
        <v>113</v>
      </c>
    </row>
    <row r="6" spans="1:6" x14ac:dyDescent="0.2">
      <c r="B6" s="8" t="s">
        <v>114</v>
      </c>
      <c r="C6" s="54" t="s">
        <v>115</v>
      </c>
    </row>
    <row r="7" spans="1:6" x14ac:dyDescent="0.2">
      <c r="B7" s="8" t="s">
        <v>243</v>
      </c>
      <c r="C7" s="55">
        <v>6.9699999999999996E-3</v>
      </c>
    </row>
    <row r="8" spans="1:6" x14ac:dyDescent="0.2">
      <c r="B8" s="8" t="s">
        <v>116</v>
      </c>
      <c r="C8" s="22">
        <v>0.05</v>
      </c>
    </row>
    <row r="9" spans="1:6" x14ac:dyDescent="0.2">
      <c r="B9" s="8" t="s">
        <v>257</v>
      </c>
      <c r="C9" s="8">
        <v>2.15</v>
      </c>
    </row>
    <row r="10" spans="1:6" x14ac:dyDescent="0.2">
      <c r="B10" s="8" t="s">
        <v>258</v>
      </c>
      <c r="C10" s="8">
        <v>639.83000000000004</v>
      </c>
    </row>
    <row r="11" spans="1:6" x14ac:dyDescent="0.2">
      <c r="B11" s="18" t="s">
        <v>244</v>
      </c>
      <c r="C11" s="21">
        <v>4.3240000000000001E-2</v>
      </c>
    </row>
    <row r="12" spans="1:6" x14ac:dyDescent="0.2">
      <c r="B12" s="8" t="s">
        <v>87</v>
      </c>
      <c r="C12" s="22">
        <v>0.21</v>
      </c>
    </row>
    <row r="13" spans="1:6" x14ac:dyDescent="0.2">
      <c r="B13" s="8" t="s">
        <v>88</v>
      </c>
      <c r="C13" s="22">
        <v>0.02</v>
      </c>
    </row>
    <row r="26" spans="5:5" ht="12.75" x14ac:dyDescent="0.2">
      <c r="E26" s="9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91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90</v>
      </c>
      <c r="F3" s="6" t="s">
        <v>206</v>
      </c>
      <c r="G3" s="6" t="s">
        <v>205</v>
      </c>
    </row>
    <row r="4" spans="2:13" x14ac:dyDescent="0.2">
      <c r="B4" s="7" t="s">
        <v>76</v>
      </c>
      <c r="C4" s="32">
        <v>3740973</v>
      </c>
      <c r="D4" s="32">
        <v>6350766</v>
      </c>
      <c r="E4" s="32">
        <v>9641300</v>
      </c>
      <c r="F4" s="32">
        <v>18514983</v>
      </c>
      <c r="G4" s="32">
        <v>20821000</v>
      </c>
      <c r="H4" s="93"/>
      <c r="J4" s="91"/>
      <c r="K4" s="91"/>
      <c r="L4" s="91"/>
      <c r="M4" s="91"/>
    </row>
    <row r="5" spans="2:13" x14ac:dyDescent="0.2">
      <c r="B5" s="8" t="s">
        <v>3</v>
      </c>
      <c r="C5" s="33">
        <v>14477</v>
      </c>
      <c r="D5" s="33">
        <v>181394</v>
      </c>
      <c r="E5" s="33">
        <v>1116266</v>
      </c>
      <c r="F5" s="33">
        <v>1555244</v>
      </c>
      <c r="G5" s="33">
        <v>1531000</v>
      </c>
    </row>
    <row r="6" spans="2:13" x14ac:dyDescent="0.2">
      <c r="B6" s="8" t="s">
        <v>2</v>
      </c>
      <c r="C6" s="33">
        <v>290575</v>
      </c>
      <c r="D6" s="33">
        <v>467972</v>
      </c>
      <c r="E6" s="33">
        <v>1001185</v>
      </c>
      <c r="F6" s="33">
        <v>1391041</v>
      </c>
      <c r="G6" s="33">
        <v>2226000</v>
      </c>
    </row>
    <row r="7" spans="2:13" x14ac:dyDescent="0.2">
      <c r="B7" s="9" t="s">
        <v>0</v>
      </c>
      <c r="C7" s="35">
        <f>SUM(C4:C6)</f>
        <v>4046025</v>
      </c>
      <c r="D7" s="35">
        <f>SUM(D4:D6)</f>
        <v>7000132</v>
      </c>
      <c r="E7" s="35">
        <f>SUM(E4:E6)</f>
        <v>11758751</v>
      </c>
      <c r="F7" s="35">
        <f>SUM(F4:F6)</f>
        <v>21461268</v>
      </c>
      <c r="G7" s="35">
        <f>SUM(G4:G6)</f>
        <v>24578000</v>
      </c>
    </row>
    <row r="8" spans="2:13" x14ac:dyDescent="0.2">
      <c r="B8" s="8" t="s">
        <v>42</v>
      </c>
      <c r="C8" s="33">
        <v>-2823302</v>
      </c>
      <c r="D8" s="33">
        <v>-4750081</v>
      </c>
      <c r="E8" s="33">
        <v>-7432704</v>
      </c>
      <c r="F8" s="33">
        <v>-14173997</v>
      </c>
      <c r="G8" s="33">
        <v>-16398000</v>
      </c>
    </row>
    <row r="9" spans="2:13" x14ac:dyDescent="0.2">
      <c r="B9" s="8" t="s">
        <v>40</v>
      </c>
      <c r="C9" s="33">
        <v>-12287</v>
      </c>
      <c r="D9" s="33">
        <v>-178332</v>
      </c>
      <c r="E9" s="33">
        <v>-874538</v>
      </c>
      <c r="F9" s="33">
        <v>-1364896</v>
      </c>
      <c r="G9" s="33">
        <v>-1341000</v>
      </c>
      <c r="I9" s="91"/>
      <c r="J9" s="91"/>
    </row>
    <row r="10" spans="2:13" x14ac:dyDescent="0.2">
      <c r="B10" s="8" t="s">
        <v>41</v>
      </c>
      <c r="C10" s="33">
        <v>-286933</v>
      </c>
      <c r="D10" s="33">
        <v>-472462</v>
      </c>
      <c r="E10" s="33">
        <v>-1229022</v>
      </c>
      <c r="F10" s="33">
        <v>-1880354</v>
      </c>
      <c r="G10" s="33">
        <v>-2770000</v>
      </c>
      <c r="I10" s="91"/>
      <c r="J10" s="91"/>
    </row>
    <row r="11" spans="2:13" x14ac:dyDescent="0.2">
      <c r="B11" s="9" t="s">
        <v>1</v>
      </c>
      <c r="C11" s="35">
        <f>SUM(C7:C10)</f>
        <v>923503</v>
      </c>
      <c r="D11" s="35">
        <f>SUM(D7:D10)</f>
        <v>1599257</v>
      </c>
      <c r="E11" s="35">
        <f>SUM(E7:E10)</f>
        <v>2222487</v>
      </c>
      <c r="F11" s="35">
        <f>SUM(F7:F10)</f>
        <v>4042021</v>
      </c>
      <c r="G11" s="35">
        <f>SUM(G7:G10)</f>
        <v>4069000</v>
      </c>
    </row>
    <row r="12" spans="2:13" x14ac:dyDescent="0.2">
      <c r="B12" s="8" t="s">
        <v>4</v>
      </c>
      <c r="C12" s="33">
        <v>-717900</v>
      </c>
      <c r="D12" s="33">
        <v>-834408</v>
      </c>
      <c r="E12" s="33">
        <v>-1378073</v>
      </c>
      <c r="F12" s="33">
        <v>-1460370</v>
      </c>
      <c r="G12" s="33">
        <v>-1343000</v>
      </c>
    </row>
    <row r="13" spans="2:13" x14ac:dyDescent="0.2">
      <c r="B13" s="8" t="s">
        <v>33</v>
      </c>
      <c r="C13" s="33">
        <v>-922232</v>
      </c>
      <c r="D13" s="33">
        <v>-1432189</v>
      </c>
      <c r="E13" s="33">
        <v>-2476500</v>
      </c>
      <c r="F13" s="33">
        <v>-2834491</v>
      </c>
      <c r="G13" s="33">
        <v>-2646000</v>
      </c>
    </row>
    <row r="14" spans="2:13" x14ac:dyDescent="0.2">
      <c r="B14" s="8" t="s">
        <v>94</v>
      </c>
      <c r="C14" s="33"/>
      <c r="D14" s="33"/>
      <c r="E14" s="33"/>
      <c r="F14" s="33">
        <v>-135233</v>
      </c>
      <c r="G14" s="33">
        <v>-149000</v>
      </c>
    </row>
    <row r="15" spans="2:13" x14ac:dyDescent="0.2">
      <c r="B15" s="9" t="s">
        <v>43</v>
      </c>
      <c r="C15" s="35">
        <f>SUM(C11:C14)</f>
        <v>-716629</v>
      </c>
      <c r="D15" s="35">
        <f>SUM(D11:D14)</f>
        <v>-667340</v>
      </c>
      <c r="E15" s="35">
        <f>SUM(E11:E14)</f>
        <v>-1632086</v>
      </c>
      <c r="F15" s="35">
        <f>SUM(F11:F14)</f>
        <v>-388073</v>
      </c>
      <c r="G15" s="35">
        <f>SUM(G11:G14)</f>
        <v>-69000</v>
      </c>
    </row>
    <row r="16" spans="2:13" x14ac:dyDescent="0.2">
      <c r="B16" s="8" t="s">
        <v>34</v>
      </c>
      <c r="C16" s="33">
        <v>1508</v>
      </c>
      <c r="D16" s="33">
        <v>8530</v>
      </c>
      <c r="E16" s="33">
        <v>19686</v>
      </c>
      <c r="F16" s="33">
        <v>24533</v>
      </c>
      <c r="G16" s="33">
        <v>44000</v>
      </c>
    </row>
    <row r="17" spans="2:7" x14ac:dyDescent="0.2">
      <c r="B17" s="8" t="s">
        <v>5</v>
      </c>
      <c r="C17" s="33">
        <v>-118851</v>
      </c>
      <c r="D17" s="33">
        <v>-198810</v>
      </c>
      <c r="E17" s="33">
        <v>-471259</v>
      </c>
      <c r="F17" s="33">
        <v>-663071</v>
      </c>
      <c r="G17" s="33">
        <v>-685000</v>
      </c>
    </row>
    <row r="18" spans="2:7" x14ac:dyDescent="0.2">
      <c r="B18" s="8" t="s">
        <v>35</v>
      </c>
      <c r="C18" s="33">
        <v>-41652</v>
      </c>
      <c r="D18" s="33">
        <v>111272</v>
      </c>
      <c r="E18" s="33">
        <v>-125373</v>
      </c>
      <c r="F18" s="33">
        <v>21866</v>
      </c>
      <c r="G18" s="33">
        <v>45000</v>
      </c>
    </row>
    <row r="19" spans="2:7" x14ac:dyDescent="0.2">
      <c r="B19" s="9" t="s">
        <v>44</v>
      </c>
      <c r="C19" s="35">
        <f>SUM(C15:C18)</f>
        <v>-875624</v>
      </c>
      <c r="D19" s="35">
        <f>SUM(D15:D18)</f>
        <v>-746348</v>
      </c>
      <c r="E19" s="35">
        <f>SUM(E15:E18)</f>
        <v>-2209032</v>
      </c>
      <c r="F19" s="35">
        <f>SUM(F15:F18)</f>
        <v>-1004745</v>
      </c>
      <c r="G19" s="35">
        <f>SUM(G15:G18)</f>
        <v>-665000</v>
      </c>
    </row>
    <row r="20" spans="2:7" x14ac:dyDescent="0.2">
      <c r="B20" s="8" t="s">
        <v>6</v>
      </c>
      <c r="C20" s="33">
        <v>-13039</v>
      </c>
      <c r="D20" s="33">
        <v>-26698</v>
      </c>
      <c r="E20" s="33">
        <v>-31546</v>
      </c>
      <c r="F20" s="33">
        <v>-57837</v>
      </c>
      <c r="G20" s="33">
        <v>-110000</v>
      </c>
    </row>
    <row r="21" spans="2:7" x14ac:dyDescent="0.2">
      <c r="B21" s="9" t="s">
        <v>56</v>
      </c>
      <c r="C21" s="35">
        <f>SUM(C19:C20)</f>
        <v>-888663</v>
      </c>
      <c r="D21" s="35">
        <f>SUM(D19:D20)</f>
        <v>-773046</v>
      </c>
      <c r="E21" s="35">
        <f>SUM(E19:E20)</f>
        <v>-2240578</v>
      </c>
      <c r="F21" s="35">
        <f>SUM(F19:F20)</f>
        <v>-1062582</v>
      </c>
      <c r="G21" s="35">
        <f>SUM(G19:G20)</f>
        <v>-775000</v>
      </c>
    </row>
    <row r="22" spans="2:7" s="3" customFormat="1" x14ac:dyDescent="0.2">
      <c r="B22" s="8" t="s">
        <v>57</v>
      </c>
      <c r="C22" s="33">
        <v>0</v>
      </c>
      <c r="D22" s="33">
        <v>98132</v>
      </c>
      <c r="E22" s="33">
        <v>279178</v>
      </c>
      <c r="F22" s="33">
        <v>86491</v>
      </c>
      <c r="G22" s="33">
        <v>-87000</v>
      </c>
    </row>
    <row r="23" spans="2:7" s="3" customFormat="1" ht="13.5" thickBot="1" x14ac:dyDescent="0.25">
      <c r="B23" s="10" t="s">
        <v>36</v>
      </c>
      <c r="C23" s="37">
        <f>SUM(C21:C22)</f>
        <v>-888663</v>
      </c>
      <c r="D23" s="37">
        <f>SUM(D21:D22)</f>
        <v>-674914</v>
      </c>
      <c r="E23" s="37">
        <f>SUM(E21:E22)</f>
        <v>-1961400</v>
      </c>
      <c r="F23" s="37">
        <f>SUM(F21:F22)</f>
        <v>-976091</v>
      </c>
      <c r="G23" s="37">
        <f>SUM(G21:G22)</f>
        <v>-862000</v>
      </c>
    </row>
    <row r="25" spans="2:7" x14ac:dyDescent="0.2">
      <c r="B25" s="31" t="s">
        <v>95</v>
      </c>
      <c r="C25" s="30"/>
      <c r="D25" s="30"/>
      <c r="E25" s="30"/>
      <c r="F25" s="30"/>
      <c r="G25" s="30"/>
    </row>
    <row r="26" spans="2:7" x14ac:dyDescent="0.2">
      <c r="B26" s="30" t="s">
        <v>193</v>
      </c>
      <c r="C26" s="38"/>
      <c r="D26" s="38">
        <f t="shared" ref="D26:D28" si="0">D4/C4-1</f>
        <v>0.69762412078355007</v>
      </c>
      <c r="E26" s="38">
        <f t="shared" ref="E26:G28" si="1">E4/D4-1</f>
        <v>0.51813182850698647</v>
      </c>
      <c r="F26" s="38">
        <f t="shared" si="1"/>
        <v>0.92038241730886905</v>
      </c>
      <c r="G26" s="38">
        <f t="shared" si="1"/>
        <v>0.12454869658805512</v>
      </c>
    </row>
    <row r="27" spans="2:7" x14ac:dyDescent="0.2">
      <c r="B27" s="30" t="s">
        <v>194</v>
      </c>
      <c r="C27" s="38"/>
      <c r="D27" s="38">
        <f t="shared" si="0"/>
        <v>11.529805899012226</v>
      </c>
      <c r="E27" s="38">
        <f t="shared" si="1"/>
        <v>5.1538198617374338</v>
      </c>
      <c r="F27" s="38">
        <f t="shared" si="1"/>
        <v>0.39325572936916475</v>
      </c>
      <c r="G27" s="38">
        <f>G5/F5-1</f>
        <v>-1.5588550735447293E-2</v>
      </c>
    </row>
    <row r="28" spans="2:7" x14ac:dyDescent="0.2">
      <c r="B28" s="30" t="s">
        <v>195</v>
      </c>
      <c r="C28" s="38"/>
      <c r="D28" s="38">
        <f t="shared" si="0"/>
        <v>0.61050331239783184</v>
      </c>
      <c r="E28" s="38">
        <f t="shared" si="1"/>
        <v>1.1394121870539262</v>
      </c>
      <c r="F28" s="38">
        <f t="shared" si="1"/>
        <v>0.38939456743758649</v>
      </c>
      <c r="G28" s="38">
        <f t="shared" si="1"/>
        <v>0.60024039550236119</v>
      </c>
    </row>
    <row r="29" spans="2:7" x14ac:dyDescent="0.2">
      <c r="B29" s="30" t="s">
        <v>58</v>
      </c>
      <c r="C29" s="38">
        <f t="shared" ref="C29:F29" si="2">(C4+C8)/C4</f>
        <v>0.24530275946926108</v>
      </c>
      <c r="D29" s="38">
        <f t="shared" si="2"/>
        <v>0.2520459736667986</v>
      </c>
      <c r="E29" s="38">
        <f t="shared" si="2"/>
        <v>0.2290765768101812</v>
      </c>
      <c r="F29" s="38">
        <f t="shared" si="2"/>
        <v>0.23445800625363794</v>
      </c>
      <c r="G29" s="38">
        <f>(G4+G8)/G4</f>
        <v>0.21242975841698286</v>
      </c>
    </row>
    <row r="30" spans="2:7" x14ac:dyDescent="0.2">
      <c r="B30" s="30" t="s">
        <v>59</v>
      </c>
      <c r="C30" s="38">
        <f t="shared" ref="C30:F30" si="3">(C5+C9)/C5</f>
        <v>0.15127443531118326</v>
      </c>
      <c r="D30" s="38">
        <f t="shared" si="3"/>
        <v>1.688038193104513E-2</v>
      </c>
      <c r="E30" s="38">
        <f t="shared" si="3"/>
        <v>0.21655053544585251</v>
      </c>
      <c r="F30" s="38">
        <f t="shared" si="3"/>
        <v>0.12239108461437562</v>
      </c>
      <c r="G30" s="38">
        <f t="shared" ref="G30:G31" si="4">(G5+G9)/G5</f>
        <v>0.12410189418680601</v>
      </c>
    </row>
    <row r="31" spans="2:7" x14ac:dyDescent="0.2">
      <c r="B31" s="30" t="s">
        <v>60</v>
      </c>
      <c r="C31" s="38">
        <f t="shared" ref="C31:F31" si="5">(C6+C10)/C6</f>
        <v>1.2533769250623763E-2</v>
      </c>
      <c r="D31" s="38">
        <f t="shared" si="5"/>
        <v>-9.5945911293838088E-3</v>
      </c>
      <c r="E31" s="38">
        <f>(E6+E10)/E6</f>
        <v>-0.22756733271073779</v>
      </c>
      <c r="F31" s="38">
        <f t="shared" si="5"/>
        <v>-0.35176030037935618</v>
      </c>
      <c r="G31" s="38">
        <f t="shared" si="4"/>
        <v>-0.24438454627133874</v>
      </c>
    </row>
    <row r="32" spans="2:7" x14ac:dyDescent="0.2">
      <c r="B32" s="30" t="s">
        <v>61</v>
      </c>
      <c r="C32" s="38">
        <f>(SUM(C4:C6)+SUM(C8:C10))/SUM(C4:C6)</f>
        <v>0.22824945471172323</v>
      </c>
      <c r="D32" s="38">
        <f>(SUM(D4:D6)+SUM(D8:D10))/SUM(D4:D6)</f>
        <v>0.22846097759299397</v>
      </c>
      <c r="E32" s="38">
        <f>(SUM(E4:E6)+SUM(E8:E10))/SUM(E4:E6)</f>
        <v>0.18900706376042831</v>
      </c>
      <c r="F32" s="38">
        <f>(SUM(F4:F6)+SUM(F8:F10))/SUM(F4:F6)</f>
        <v>0.18834026954977684</v>
      </c>
      <c r="G32" s="38">
        <f>(SUM(G4:G6)+SUM(G8:G10))/SUM(G4:G6)</f>
        <v>0.1655545609895028</v>
      </c>
    </row>
    <row r="33" spans="2:7" x14ac:dyDescent="0.2">
      <c r="B33" s="30" t="s">
        <v>55</v>
      </c>
      <c r="C33" s="38">
        <f>C15/C7</f>
        <v>-0.17711927138364197</v>
      </c>
      <c r="D33" s="38">
        <f>D15/D7</f>
        <v>-9.533248801594027E-2</v>
      </c>
      <c r="E33" s="38">
        <f>E15/E7</f>
        <v>-0.13879756446921956</v>
      </c>
      <c r="F33" s="38">
        <f>F15/F7</f>
        <v>-1.8082482358451512E-2</v>
      </c>
      <c r="G33" s="38">
        <f>G15/G7</f>
        <v>-2.8073887216209618E-3</v>
      </c>
    </row>
    <row r="34" spans="2:7" x14ac:dyDescent="0.2">
      <c r="B34" s="30" t="s">
        <v>62</v>
      </c>
      <c r="C34" s="38">
        <f>C23/C7</f>
        <v>-0.21963853411681836</v>
      </c>
      <c r="D34" s="38">
        <f>D23/D7</f>
        <v>-9.6414467612896446E-2</v>
      </c>
      <c r="E34" s="38">
        <f>E23/E7</f>
        <v>-0.16680343005817538</v>
      </c>
      <c r="F34" s="38">
        <f>F23/F7</f>
        <v>-4.5481515817238756E-2</v>
      </c>
      <c r="G34" s="38">
        <f>G23/G7</f>
        <v>-3.5072015623728539E-2</v>
      </c>
    </row>
    <row r="35" spans="2:7" x14ac:dyDescent="0.2">
      <c r="B35" s="30" t="s">
        <v>53</v>
      </c>
      <c r="C35" s="38">
        <f>C23/'Balance Sheet Input'!C18</f>
        <v>-0.11014746145205113</v>
      </c>
      <c r="D35" s="38">
        <f>D23/'Balance Sheet Input'!D18</f>
        <v>-2.9779021214012873E-2</v>
      </c>
      <c r="E35" s="38">
        <f>E23/'Balance Sheet Input'!E18</f>
        <v>-6.8447898704647764E-2</v>
      </c>
      <c r="F35" s="38">
        <f>F23/'Balance Sheet Input'!F18</f>
        <v>-3.2821239710777682E-2</v>
      </c>
      <c r="G35" s="38">
        <f>G23/'Balance Sheet Input'!G18</f>
        <v>-2.5124602873881487E-2</v>
      </c>
    </row>
    <row r="36" spans="2:7" x14ac:dyDescent="0.2">
      <c r="B36" s="30" t="s">
        <v>54</v>
      </c>
      <c r="C36" s="38">
        <f>C23/'Balance Sheet Input'!C32</f>
        <v>-0.82002373341798129</v>
      </c>
      <c r="D36" s="38">
        <f>D23/'Balance Sheet Input'!D32</f>
        <v>-0.1420001342335255</v>
      </c>
      <c r="E36" s="38">
        <f>E23/'Balance Sheet Input'!E32</f>
        <v>-0.46289544000555077</v>
      </c>
      <c r="F36" s="38">
        <f>F23/'Balance Sheet Input'!F32</f>
        <v>-0.19826179613722095</v>
      </c>
      <c r="G36" s="38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93</v>
      </c>
    </row>
    <row r="3" spans="2:8" ht="24" x14ac:dyDescent="0.2">
      <c r="B3" s="5" t="s">
        <v>37</v>
      </c>
      <c r="C3" s="25" t="s">
        <v>47</v>
      </c>
      <c r="D3" s="25" t="s">
        <v>48</v>
      </c>
      <c r="E3" s="25" t="s">
        <v>92</v>
      </c>
      <c r="F3" s="25" t="s">
        <v>208</v>
      </c>
      <c r="G3" s="25" t="s">
        <v>249</v>
      </c>
    </row>
    <row r="4" spans="2:8" x14ac:dyDescent="0.2">
      <c r="B4" s="8" t="s">
        <v>7</v>
      </c>
      <c r="C4" s="39">
        <v>1196908</v>
      </c>
      <c r="D4" s="39">
        <v>3393216</v>
      </c>
      <c r="E4" s="39">
        <v>3367914</v>
      </c>
      <c r="F4" s="39">
        <v>3685618</v>
      </c>
      <c r="G4" s="39">
        <v>6268000</v>
      </c>
      <c r="H4" s="44"/>
    </row>
    <row r="5" spans="2:8" x14ac:dyDescent="0.2">
      <c r="B5" s="8" t="s">
        <v>39</v>
      </c>
      <c r="C5" s="39">
        <v>22628</v>
      </c>
      <c r="D5" s="39">
        <v>105519</v>
      </c>
      <c r="E5" s="39">
        <v>155323</v>
      </c>
      <c r="F5" s="39">
        <v>192551</v>
      </c>
      <c r="G5" s="39">
        <v>246000</v>
      </c>
      <c r="H5" s="44"/>
    </row>
    <row r="6" spans="2:8" x14ac:dyDescent="0.2">
      <c r="B6" s="8" t="s">
        <v>8</v>
      </c>
      <c r="C6" s="39">
        <v>168965</v>
      </c>
      <c r="D6" s="39">
        <v>499142</v>
      </c>
      <c r="E6" s="39">
        <v>515381</v>
      </c>
      <c r="F6" s="39">
        <v>949022</v>
      </c>
      <c r="G6" s="39">
        <v>1324000</v>
      </c>
      <c r="H6" s="44"/>
    </row>
    <row r="7" spans="2:8" x14ac:dyDescent="0.2">
      <c r="B7" s="8" t="s">
        <v>9</v>
      </c>
      <c r="C7" s="39">
        <v>1277838</v>
      </c>
      <c r="D7" s="39">
        <v>2067454</v>
      </c>
      <c r="E7" s="39">
        <v>2263537</v>
      </c>
      <c r="F7" s="39">
        <v>3113446</v>
      </c>
      <c r="G7" s="39">
        <v>3552000</v>
      </c>
      <c r="H7" s="44"/>
    </row>
    <row r="8" spans="2:8" x14ac:dyDescent="0.2">
      <c r="B8" s="8" t="s">
        <v>10</v>
      </c>
      <c r="C8" s="39">
        <v>115667</v>
      </c>
      <c r="D8" s="39">
        <v>194465</v>
      </c>
      <c r="E8" s="39">
        <v>268365</v>
      </c>
      <c r="F8" s="39">
        <v>365671</v>
      </c>
      <c r="G8" s="39">
        <v>713000</v>
      </c>
      <c r="H8" s="44"/>
    </row>
    <row r="9" spans="2:8" x14ac:dyDescent="0.2">
      <c r="B9" s="9" t="s">
        <v>11</v>
      </c>
      <c r="C9" s="40">
        <f>SUM(C4:C8)</f>
        <v>2782006</v>
      </c>
      <c r="D9" s="40">
        <f>SUM(D4:D8)</f>
        <v>6259796</v>
      </c>
      <c r="E9" s="40">
        <f>SUM(E4:E8)</f>
        <v>6570520</v>
      </c>
      <c r="F9" s="40">
        <f>SUM(F4:F8)</f>
        <v>8306308</v>
      </c>
      <c r="G9" s="40">
        <f>SUM(G4:G8)</f>
        <v>12103000</v>
      </c>
      <c r="H9" s="44"/>
    </row>
    <row r="10" spans="2:8" x14ac:dyDescent="0.2">
      <c r="B10" s="8" t="s">
        <v>12</v>
      </c>
      <c r="C10" s="39">
        <v>1791403</v>
      </c>
      <c r="D10" s="39">
        <v>3134080</v>
      </c>
      <c r="E10" s="39">
        <v>4116604</v>
      </c>
      <c r="F10" s="39">
        <v>2089758</v>
      </c>
      <c r="G10" s="39">
        <v>2447000</v>
      </c>
      <c r="H10" s="44"/>
    </row>
    <row r="11" spans="2:8" x14ac:dyDescent="0.2">
      <c r="B11" s="8" t="s">
        <v>13</v>
      </c>
      <c r="C11" s="39">
        <v>0</v>
      </c>
      <c r="D11" s="39">
        <v>5919880</v>
      </c>
      <c r="E11" s="39">
        <v>6347490</v>
      </c>
      <c r="F11" s="39">
        <v>6271396</v>
      </c>
      <c r="G11" s="39">
        <v>6138000</v>
      </c>
      <c r="H11" s="44"/>
    </row>
    <row r="12" spans="2:8" x14ac:dyDescent="0.2">
      <c r="B12" s="8" t="s">
        <v>14</v>
      </c>
      <c r="C12" s="39">
        <v>3403334</v>
      </c>
      <c r="D12" s="39">
        <v>5982957</v>
      </c>
      <c r="E12" s="39">
        <v>10027522</v>
      </c>
      <c r="F12" s="39">
        <v>11330077</v>
      </c>
      <c r="G12" s="39">
        <v>10396000</v>
      </c>
      <c r="H12" s="44"/>
    </row>
    <row r="13" spans="2:8" x14ac:dyDescent="0.2">
      <c r="B13" s="8" t="s">
        <v>209</v>
      </c>
      <c r="C13" s="39">
        <v>0</v>
      </c>
      <c r="D13" s="39">
        <v>0</v>
      </c>
      <c r="E13" s="39">
        <v>0</v>
      </c>
      <c r="F13" s="39">
        <v>0</v>
      </c>
      <c r="G13" s="39">
        <v>1218000</v>
      </c>
      <c r="H13" s="44"/>
    </row>
    <row r="14" spans="2:8" x14ac:dyDescent="0.2">
      <c r="B14" s="8" t="s">
        <v>15</v>
      </c>
      <c r="C14" s="39">
        <v>12816</v>
      </c>
      <c r="D14" s="39">
        <v>376145</v>
      </c>
      <c r="E14" s="39">
        <v>361502</v>
      </c>
      <c r="F14" s="39">
        <v>282492</v>
      </c>
      <c r="G14" s="39">
        <v>339000</v>
      </c>
      <c r="H14" s="44"/>
    </row>
    <row r="15" spans="2:8" x14ac:dyDescent="0.2">
      <c r="B15" s="8" t="s">
        <v>16</v>
      </c>
      <c r="C15" s="39">
        <v>0</v>
      </c>
      <c r="D15" s="39">
        <v>506302</v>
      </c>
      <c r="E15" s="39">
        <f>456652+60237</f>
        <v>516889</v>
      </c>
      <c r="F15" s="39">
        <v>489707</v>
      </c>
      <c r="G15" s="39">
        <v>591000</v>
      </c>
      <c r="H15" s="44"/>
    </row>
    <row r="16" spans="2:8" x14ac:dyDescent="0.2">
      <c r="B16" s="8" t="s">
        <v>17</v>
      </c>
      <c r="C16" s="39">
        <v>31522</v>
      </c>
      <c r="D16" s="39">
        <v>268165</v>
      </c>
      <c r="E16" s="39">
        <v>441722</v>
      </c>
      <c r="F16" s="39">
        <v>398219</v>
      </c>
      <c r="G16" s="39">
        <v>269000</v>
      </c>
      <c r="H16" s="44"/>
    </row>
    <row r="17" spans="2:8" x14ac:dyDescent="0.2">
      <c r="B17" s="8" t="s">
        <v>18</v>
      </c>
      <c r="C17" s="39">
        <v>46858</v>
      </c>
      <c r="D17" s="39">
        <v>216751</v>
      </c>
      <c r="E17" s="39">
        <v>273123</v>
      </c>
      <c r="F17" s="39">
        <v>571657</v>
      </c>
      <c r="G17" s="39">
        <v>808000</v>
      </c>
      <c r="H17" s="44"/>
    </row>
    <row r="18" spans="2:8" ht="12.75" thickBot="1" x14ac:dyDescent="0.25">
      <c r="B18" s="10" t="s">
        <v>19</v>
      </c>
      <c r="C18" s="41">
        <f>SUM(C9:C17)</f>
        <v>8067939</v>
      </c>
      <c r="D18" s="41">
        <f>SUM(D9:D17)</f>
        <v>22664076</v>
      </c>
      <c r="E18" s="41">
        <f>SUM(E9:E17)</f>
        <v>28655372</v>
      </c>
      <c r="F18" s="41">
        <f>SUM(F9:F17)</f>
        <v>29739614</v>
      </c>
      <c r="G18" s="41">
        <f>SUM(G9:G17)</f>
        <v>34309000</v>
      </c>
      <c r="H18" s="44"/>
    </row>
    <row r="19" spans="2:8" x14ac:dyDescent="0.2">
      <c r="B19" s="8" t="s">
        <v>20</v>
      </c>
      <c r="C19" s="39">
        <v>916148</v>
      </c>
      <c r="D19" s="39">
        <v>1860341</v>
      </c>
      <c r="E19" s="39">
        <v>2390250</v>
      </c>
      <c r="F19" s="39">
        <v>3404451</v>
      </c>
      <c r="G19" s="39">
        <v>3771000</v>
      </c>
      <c r="H19" s="44"/>
    </row>
    <row r="20" spans="2:8" x14ac:dyDescent="0.2">
      <c r="B20" s="8" t="s">
        <v>38</v>
      </c>
      <c r="C20" s="39">
        <v>422798</v>
      </c>
      <c r="D20" s="39">
        <v>1210028</v>
      </c>
      <c r="E20" s="39">
        <v>1731366</v>
      </c>
      <c r="F20" s="39">
        <v>2094253</v>
      </c>
      <c r="G20" s="39">
        <v>2905000</v>
      </c>
      <c r="H20" s="44"/>
    </row>
    <row r="21" spans="2:8" x14ac:dyDescent="0.2">
      <c r="B21" s="8" t="s">
        <v>21</v>
      </c>
      <c r="C21" s="39">
        <v>423961</v>
      </c>
      <c r="D21" s="39">
        <v>763126</v>
      </c>
      <c r="E21" s="39">
        <v>1015253</v>
      </c>
      <c r="F21" s="39">
        <v>630292</v>
      </c>
      <c r="G21" s="39">
        <v>1163000</v>
      </c>
      <c r="H21" s="44"/>
    </row>
    <row r="22" spans="2:8" x14ac:dyDescent="0.2">
      <c r="B22" s="8" t="s">
        <v>22</v>
      </c>
      <c r="C22" s="39">
        <v>136831</v>
      </c>
      <c r="D22" s="39">
        <v>179504</v>
      </c>
      <c r="E22" s="39">
        <v>787333</v>
      </c>
      <c r="F22" s="39">
        <v>502840</v>
      </c>
      <c r="G22" s="39">
        <v>317000</v>
      </c>
      <c r="H22" s="44"/>
    </row>
    <row r="23" spans="2:8" x14ac:dyDescent="0.2">
      <c r="B23" s="8" t="s">
        <v>23</v>
      </c>
      <c r="C23" s="39">
        <v>283370</v>
      </c>
      <c r="D23" s="39">
        <v>663859</v>
      </c>
      <c r="E23" s="39">
        <v>853919</v>
      </c>
      <c r="F23" s="39">
        <v>792601</v>
      </c>
      <c r="G23" s="39">
        <v>726000</v>
      </c>
      <c r="H23" s="44"/>
    </row>
    <row r="24" spans="2:8" x14ac:dyDescent="0.2">
      <c r="B24" s="8" t="s">
        <v>24</v>
      </c>
      <c r="C24" s="39">
        <v>627927</v>
      </c>
      <c r="D24" s="39">
        <v>984211</v>
      </c>
      <c r="E24" s="39">
        <v>796549</v>
      </c>
      <c r="F24" s="39">
        <v>2567699</v>
      </c>
      <c r="G24" s="39">
        <v>1785000</v>
      </c>
      <c r="H24" s="44"/>
    </row>
    <row r="25" spans="2:8" x14ac:dyDescent="0.2">
      <c r="B25" s="8" t="s">
        <v>25</v>
      </c>
      <c r="C25" s="39"/>
      <c r="D25" s="39"/>
      <c r="E25" s="33"/>
      <c r="F25" s="39"/>
      <c r="G25" s="33"/>
      <c r="H25" s="44"/>
    </row>
    <row r="26" spans="2:8" x14ac:dyDescent="0.2">
      <c r="B26" s="8" t="s">
        <v>26</v>
      </c>
      <c r="C26" s="39">
        <v>0</v>
      </c>
      <c r="D26" s="39">
        <v>165936</v>
      </c>
      <c r="E26" s="39">
        <v>100000</v>
      </c>
      <c r="F26" s="39">
        <v>0</v>
      </c>
      <c r="G26" s="39">
        <v>0</v>
      </c>
      <c r="H26" s="44"/>
    </row>
    <row r="27" spans="2:8" x14ac:dyDescent="0.2">
      <c r="B27" s="9" t="s">
        <v>27</v>
      </c>
      <c r="C27" s="40">
        <v>2811035</v>
      </c>
      <c r="D27" s="40">
        <v>5827005</v>
      </c>
      <c r="E27" s="40">
        <f>SUM(E19:E26)</f>
        <v>7674670</v>
      </c>
      <c r="F27" s="40">
        <f>SUM(F19:F26)</f>
        <v>9992136</v>
      </c>
      <c r="G27" s="40">
        <f>SUM(G19:G26)</f>
        <v>10667000</v>
      </c>
      <c r="H27" s="44"/>
    </row>
    <row r="28" spans="2:8" x14ac:dyDescent="0.2">
      <c r="B28" s="8" t="s">
        <v>28</v>
      </c>
      <c r="C28" s="39"/>
      <c r="D28" s="39"/>
      <c r="E28" s="39"/>
      <c r="F28" s="39"/>
      <c r="G28" s="39"/>
      <c r="H28" s="44"/>
    </row>
    <row r="29" spans="2:8" x14ac:dyDescent="0.2">
      <c r="B29" s="8" t="s">
        <v>16</v>
      </c>
      <c r="C29" s="39">
        <v>2021093</v>
      </c>
      <c r="D29" s="39">
        <v>5860049</v>
      </c>
      <c r="E29" s="39">
        <v>9415700</v>
      </c>
      <c r="F29" s="39">
        <v>9403672</v>
      </c>
      <c r="G29" s="39">
        <v>11634000</v>
      </c>
      <c r="H29" s="44"/>
    </row>
    <row r="30" spans="2:8" x14ac:dyDescent="0.2">
      <c r="B30" s="8" t="s">
        <v>64</v>
      </c>
      <c r="C30" s="33">
        <v>2152107</v>
      </c>
      <c r="D30" s="33">
        <v>5438936</v>
      </c>
      <c r="E30" s="33">
        <v>6330414</v>
      </c>
      <c r="F30" s="33">
        <v>4586166</v>
      </c>
      <c r="G30" s="33">
        <v>4541000</v>
      </c>
      <c r="H30" s="44"/>
    </row>
    <row r="31" spans="2:8" x14ac:dyDescent="0.2">
      <c r="B31" s="26" t="s">
        <v>29</v>
      </c>
      <c r="C31" s="42">
        <f>SUM(C27:C30)</f>
        <v>6984235</v>
      </c>
      <c r="D31" s="42">
        <f>SUM(D27:D30)</f>
        <v>17125990</v>
      </c>
      <c r="E31" s="42">
        <f>SUM(E27:E30)</f>
        <v>23420784</v>
      </c>
      <c r="F31" s="42">
        <f>SUM(F27:F30)</f>
        <v>23981974</v>
      </c>
      <c r="G31" s="42">
        <f>SUM(G27:G30)</f>
        <v>26842000</v>
      </c>
      <c r="H31" s="44"/>
    </row>
    <row r="32" spans="2:8" x14ac:dyDescent="0.2">
      <c r="B32" s="26" t="s">
        <v>30</v>
      </c>
      <c r="C32" s="42">
        <v>1083704</v>
      </c>
      <c r="D32" s="42">
        <v>4752911</v>
      </c>
      <c r="E32" s="42">
        <v>4237242</v>
      </c>
      <c r="F32" s="42">
        <v>4923243</v>
      </c>
      <c r="G32" s="42">
        <v>6618000</v>
      </c>
      <c r="H32" s="44"/>
    </row>
    <row r="33" spans="2:8" x14ac:dyDescent="0.2">
      <c r="B33" s="8" t="s">
        <v>31</v>
      </c>
      <c r="C33" s="39">
        <v>0</v>
      </c>
      <c r="D33" s="39">
        <v>785175</v>
      </c>
      <c r="E33" s="39">
        <v>997346</v>
      </c>
      <c r="F33" s="39">
        <v>834397</v>
      </c>
      <c r="G33" s="39">
        <v>849000</v>
      </c>
      <c r="H33" s="44"/>
    </row>
    <row r="34" spans="2:8" ht="12.75" thickBot="1" x14ac:dyDescent="0.25">
      <c r="B34" s="10" t="s">
        <v>32</v>
      </c>
      <c r="C34" s="41">
        <f>C31+C32+C33</f>
        <v>8067939</v>
      </c>
      <c r="D34" s="41">
        <f>D31+D32+D33</f>
        <v>22664076</v>
      </c>
      <c r="E34" s="41">
        <f>E31+E32+E33</f>
        <v>28655372</v>
      </c>
      <c r="F34" s="41">
        <f>F31+F32+F33</f>
        <v>29739614</v>
      </c>
      <c r="G34" s="41">
        <f>G31+G32+G33</f>
        <v>34309000</v>
      </c>
      <c r="H34" s="44"/>
    </row>
    <row r="36" spans="2:8" x14ac:dyDescent="0.2">
      <c r="B36" s="29" t="s">
        <v>95</v>
      </c>
      <c r="C36" s="28"/>
      <c r="D36" s="28"/>
      <c r="E36" s="28"/>
      <c r="F36" s="28"/>
      <c r="G36" s="28"/>
    </row>
    <row r="37" spans="2:8" x14ac:dyDescent="0.2">
      <c r="B37" s="29" t="s">
        <v>196</v>
      </c>
      <c r="C37" s="28"/>
      <c r="D37" s="28"/>
      <c r="E37" s="28"/>
      <c r="F37" s="28"/>
      <c r="G37" s="28"/>
    </row>
    <row r="38" spans="2:8" x14ac:dyDescent="0.2">
      <c r="B38" s="27" t="s">
        <v>198</v>
      </c>
      <c r="C38" s="28">
        <f>(C4+C5)/C27</f>
        <v>0.43383878180100921</v>
      </c>
      <c r="D38" s="28">
        <f>(D4+D5)/D27</f>
        <v>0.60043452854425217</v>
      </c>
      <c r="E38" s="28">
        <f>(E4+E5)/E27</f>
        <v>0.45907341944344188</v>
      </c>
      <c r="F38" s="28">
        <f>(F4+F5)/F27</f>
        <v>0.38812211923456608</v>
      </c>
      <c r="G38" s="28">
        <f>(G4+G5)/G27</f>
        <v>0.6106684166119809</v>
      </c>
    </row>
    <row r="39" spans="2:8" x14ac:dyDescent="0.2">
      <c r="B39" s="27" t="s">
        <v>199</v>
      </c>
      <c r="C39" s="28">
        <f>C9/C27</f>
        <v>0.98967319866170289</v>
      </c>
      <c r="D39" s="28">
        <f>D9/D27</f>
        <v>1.0742733187975642</v>
      </c>
      <c r="E39" s="28">
        <f>E9/E27</f>
        <v>0.8561306219029613</v>
      </c>
      <c r="F39" s="28">
        <f>F9/F27</f>
        <v>0.83128452214821735</v>
      </c>
      <c r="G39" s="28">
        <f>G9/G27</f>
        <v>1.1346207931002157</v>
      </c>
    </row>
    <row r="40" spans="2:8" x14ac:dyDescent="0.2">
      <c r="B40" s="27" t="s">
        <v>49</v>
      </c>
      <c r="C40" s="28">
        <f>C6/'P&amp;L Input'!C7*360</f>
        <v>15.033866572747325</v>
      </c>
      <c r="D40" s="28">
        <f>D6/'P&amp;L Input'!D7*360</f>
        <v>25.66967594325364</v>
      </c>
      <c r="E40" s="28">
        <f>E6/'P&amp;L Input'!E7*360</f>
        <v>15.77864519794662</v>
      </c>
      <c r="F40" s="28">
        <f>F6/'P&amp;L Input'!F7*360</f>
        <v>15.919279326831946</v>
      </c>
      <c r="G40" s="28">
        <f>G6/'P&amp;L Input'!G7*360</f>
        <v>19.392953047440802</v>
      </c>
    </row>
    <row r="41" spans="2:8" x14ac:dyDescent="0.2">
      <c r="B41" s="27" t="s">
        <v>50</v>
      </c>
      <c r="C41" s="28">
        <f>-C7/SUM('P&amp;L Input'!C8:C10)*360</f>
        <v>147.32375944829212</v>
      </c>
      <c r="D41" s="28">
        <f>-D7/SUM('P&amp;L Input'!D8:D10)*360</f>
        <v>137.80793667692734</v>
      </c>
      <c r="E41" s="28">
        <f>-E7/SUM('P&amp;L Input'!E8:E10)*360</f>
        <v>85.449953986173199</v>
      </c>
      <c r="F41" s="28">
        <f>-F7/SUM('P&amp;L Input'!F8:F10)*360</f>
        <v>64.344949009563962</v>
      </c>
      <c r="G41" s="28">
        <f>-G7/SUM('P&amp;L Input'!G8:G10)*360</f>
        <v>62.34921254083573</v>
      </c>
    </row>
    <row r="42" spans="2:8" x14ac:dyDescent="0.2">
      <c r="B42" s="27" t="s">
        <v>51</v>
      </c>
      <c r="C42" s="28">
        <f>-C19/SUM('P&amp;L Input'!C8:C10)*360</f>
        <v>105.62400521117225</v>
      </c>
      <c r="D42" s="28">
        <f>-D19/SUM('P&amp;L Input'!D8:D10)*360</f>
        <v>124.00264031291226</v>
      </c>
      <c r="E42" s="28">
        <f>-E19/SUM('P&amp;L Input'!E8:E10)*360</f>
        <v>90.233449912879919</v>
      </c>
      <c r="F42" s="28">
        <f>-F19/SUM('P&amp;L Input'!F8:F10)*360</f>
        <v>70.359089574882319</v>
      </c>
      <c r="G42" s="28">
        <f>-G19/SUM('P&amp;L Input'!G8:G10)*360</f>
        <v>66.193378516748751</v>
      </c>
    </row>
    <row r="43" spans="2:8" x14ac:dyDescent="0.2">
      <c r="B43" s="27" t="s">
        <v>52</v>
      </c>
      <c r="C43" s="28">
        <f>C40+C41-C42</f>
        <v>56.73362080986719</v>
      </c>
      <c r="D43" s="28">
        <f>D40+D41-D42</f>
        <v>39.474972307268729</v>
      </c>
      <c r="E43" s="28">
        <f>E40+E41-E42</f>
        <v>10.995149271239896</v>
      </c>
      <c r="F43" s="28">
        <f>F40+F41-F42</f>
        <v>9.9051387615135837</v>
      </c>
      <c r="G43" s="28">
        <f>G40+G41-G42</f>
        <v>15.548787071527784</v>
      </c>
    </row>
    <row r="44" spans="2:8" x14ac:dyDescent="0.2">
      <c r="B44" s="29" t="s">
        <v>200</v>
      </c>
      <c r="C44" s="28"/>
      <c r="D44" s="28"/>
      <c r="E44" s="28"/>
      <c r="F44" s="28"/>
      <c r="G44" s="28"/>
    </row>
    <row r="45" spans="2:8" x14ac:dyDescent="0.2">
      <c r="B45" s="27" t="s">
        <v>197</v>
      </c>
      <c r="C45" s="28">
        <f>C31/C18</f>
        <v>0.86567771521326575</v>
      </c>
      <c r="D45" s="28">
        <f t="shared" ref="D45:G45" si="0">D31/D18</f>
        <v>0.75564474810268023</v>
      </c>
      <c r="E45" s="28">
        <f t="shared" si="0"/>
        <v>0.81732611951434442</v>
      </c>
      <c r="F45" s="28">
        <f t="shared" si="0"/>
        <v>0.80639829420785358</v>
      </c>
      <c r="G45" s="28">
        <f t="shared" si="0"/>
        <v>0.78236031362033287</v>
      </c>
    </row>
    <row r="46" spans="2:8" x14ac:dyDescent="0.2">
      <c r="B46" s="27" t="s">
        <v>201</v>
      </c>
      <c r="C46" s="89" t="s">
        <v>202</v>
      </c>
      <c r="D46" s="89" t="s">
        <v>202</v>
      </c>
      <c r="E46" s="89" t="s">
        <v>202</v>
      </c>
      <c r="F46" s="89" t="s">
        <v>202</v>
      </c>
      <c r="G46" s="89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167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103</v>
      </c>
    </row>
    <row r="2" spans="1:17" ht="15.75" x14ac:dyDescent="0.2">
      <c r="A2" s="1"/>
      <c r="B2" s="2"/>
    </row>
    <row r="3" spans="1:17" x14ac:dyDescent="0.2">
      <c r="C3" s="125" t="s">
        <v>105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>
        <v>0</v>
      </c>
      <c r="D5" s="33">
        <v>0</v>
      </c>
      <c r="E5" s="33">
        <v>1764</v>
      </c>
      <c r="F5" s="33">
        <v>146055</v>
      </c>
      <c r="G5" s="33">
        <v>300815</v>
      </c>
      <c r="H5" s="34">
        <f t="shared" ref="H5" si="0">G5*(1+H15)</f>
        <v>481304</v>
      </c>
      <c r="I5" s="34">
        <f t="shared" ref="I5" si="1">H5*(1+I15)</f>
        <v>529434.4</v>
      </c>
      <c r="J5" s="34">
        <f t="shared" ref="J5:Q5" si="2">I5*(1+J15)</f>
        <v>582377.84000000008</v>
      </c>
      <c r="K5" s="34">
        <f t="shared" si="2"/>
        <v>628968.06720000017</v>
      </c>
      <c r="L5" s="34">
        <f t="shared" si="2"/>
        <v>679285.51257600018</v>
      </c>
      <c r="M5" s="34">
        <f t="shared" si="2"/>
        <v>706456.93307904026</v>
      </c>
      <c r="N5" s="34">
        <f t="shared" si="2"/>
        <v>734715.21040220186</v>
      </c>
      <c r="O5" s="34">
        <f t="shared" si="2"/>
        <v>764103.81881829002</v>
      </c>
      <c r="P5" s="34">
        <f t="shared" si="2"/>
        <v>794667.9715710216</v>
      </c>
      <c r="Q5" s="34">
        <f t="shared" si="2"/>
        <v>826454.6904338625</v>
      </c>
    </row>
    <row r="6" spans="1:17" x14ac:dyDescent="0.2">
      <c r="B6" s="8" t="s">
        <v>104</v>
      </c>
      <c r="C6" s="33">
        <v>50580</v>
      </c>
      <c r="D6" s="33">
        <v>76230</v>
      </c>
      <c r="E6" s="33">
        <v>101312</v>
      </c>
      <c r="F6" s="33">
        <v>98865</v>
      </c>
      <c r="G6" s="33">
        <v>66385</v>
      </c>
      <c r="H6" s="34">
        <f>G6*(1+H16)</f>
        <v>69040.400000000009</v>
      </c>
      <c r="I6" s="34">
        <f>H6*(1+I16)</f>
        <v>71802.016000000018</v>
      </c>
      <c r="J6" s="34">
        <f>I6*(1+J16)</f>
        <v>74674.096640000018</v>
      </c>
      <c r="K6" s="34">
        <f t="shared" ref="K6:Q6" si="3">J6*(1+K16)</f>
        <v>77661.06050560002</v>
      </c>
      <c r="L6" s="34">
        <f t="shared" si="3"/>
        <v>80767.502925824025</v>
      </c>
      <c r="M6" s="34">
        <f t="shared" si="3"/>
        <v>83998.203042856985</v>
      </c>
      <c r="N6" s="34">
        <f t="shared" si="3"/>
        <v>87358.13116457127</v>
      </c>
      <c r="O6" s="34">
        <f t="shared" si="3"/>
        <v>90852.456411154126</v>
      </c>
      <c r="P6" s="34">
        <f t="shared" si="3"/>
        <v>94486.5546676003</v>
      </c>
      <c r="Q6" s="34">
        <f t="shared" si="3"/>
        <v>98266.016854304311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4">
        <f>E5</f>
        <v>1764</v>
      </c>
      <c r="I7" s="34">
        <f>H7*(1+I17)</f>
        <v>146055</v>
      </c>
      <c r="J7" s="34">
        <f>I7*(1+J17)</f>
        <v>300815</v>
      </c>
      <c r="K7" s="34">
        <f t="shared" ref="K7:Q7" si="4">J7*(1+K17)</f>
        <v>481304</v>
      </c>
      <c r="L7" s="34">
        <f t="shared" si="4"/>
        <v>529434.4</v>
      </c>
      <c r="M7" s="34">
        <f t="shared" si="4"/>
        <v>582377.84000000008</v>
      </c>
      <c r="N7" s="34">
        <f t="shared" si="4"/>
        <v>628968.06720000017</v>
      </c>
      <c r="O7" s="34">
        <f t="shared" si="4"/>
        <v>679285.51257600018</v>
      </c>
      <c r="P7" s="34">
        <f t="shared" si="4"/>
        <v>706456.93307904026</v>
      </c>
      <c r="Q7" s="34">
        <f t="shared" si="4"/>
        <v>734715.21040220186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4">
        <v>0</v>
      </c>
      <c r="I8" s="34">
        <v>0</v>
      </c>
      <c r="J8" s="34">
        <v>500</v>
      </c>
      <c r="K8" s="34">
        <f t="shared" ref="K8:Q8" si="5">J8*(1+K18)</f>
        <v>1000</v>
      </c>
      <c r="L8" s="34">
        <f t="shared" si="5"/>
        <v>1500</v>
      </c>
      <c r="M8" s="34">
        <f t="shared" si="5"/>
        <v>1650.0000000000002</v>
      </c>
      <c r="N8" s="34">
        <f t="shared" si="5"/>
        <v>1815.0000000000005</v>
      </c>
      <c r="O8" s="34">
        <f t="shared" si="5"/>
        <v>1960.2000000000007</v>
      </c>
      <c r="P8" s="34">
        <f t="shared" si="5"/>
        <v>2117.016000000001</v>
      </c>
      <c r="Q8" s="34">
        <f t="shared" si="5"/>
        <v>2201.696640000001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4">
        <v>0</v>
      </c>
      <c r="I9" s="34">
        <v>250</v>
      </c>
      <c r="J9" s="34">
        <f t="shared" ref="J9:Q9" si="6">I9*(1+J19)</f>
        <v>20699.404761904763</v>
      </c>
      <c r="K9" s="34">
        <f t="shared" si="6"/>
        <v>42632.511337868491</v>
      </c>
      <c r="L9" s="34">
        <f t="shared" si="6"/>
        <v>68212.018140589586</v>
      </c>
      <c r="M9" s="34">
        <f t="shared" si="6"/>
        <v>75033.21995464855</v>
      </c>
      <c r="N9" s="34">
        <f t="shared" si="6"/>
        <v>82536.541950113417</v>
      </c>
      <c r="O9" s="34">
        <f t="shared" si="6"/>
        <v>89139.465306122496</v>
      </c>
      <c r="P9" s="34">
        <f t="shared" si="6"/>
        <v>96270.622530612309</v>
      </c>
      <c r="Q9" s="34">
        <f t="shared" si="6"/>
        <v>100121.4474318368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4">
        <v>0</v>
      </c>
      <c r="I10" s="34">
        <v>250</v>
      </c>
      <c r="J10" s="34">
        <f t="shared" ref="J10:Q10" si="7">I10*(1+J20)</f>
        <v>20699.404761904763</v>
      </c>
      <c r="K10" s="34">
        <f t="shared" si="7"/>
        <v>42632.511337868491</v>
      </c>
      <c r="L10" s="34">
        <f t="shared" si="7"/>
        <v>68212.018140589586</v>
      </c>
      <c r="M10" s="34">
        <f t="shared" si="7"/>
        <v>75033.21995464855</v>
      </c>
      <c r="N10" s="34">
        <f t="shared" si="7"/>
        <v>82536.541950113417</v>
      </c>
      <c r="O10" s="34">
        <f t="shared" si="7"/>
        <v>89139.465306122496</v>
      </c>
      <c r="P10" s="34">
        <f t="shared" si="7"/>
        <v>96270.622530612309</v>
      </c>
      <c r="Q10" s="34">
        <f t="shared" si="7"/>
        <v>100121.4474318368</v>
      </c>
    </row>
    <row r="11" spans="1:17" ht="12.75" thickBot="1" x14ac:dyDescent="0.25">
      <c r="B11" s="69" t="s">
        <v>66</v>
      </c>
      <c r="C11" s="75">
        <f>SUM(C5:C10)</f>
        <v>50580</v>
      </c>
      <c r="D11" s="75">
        <f>SUM(D5:D10)</f>
        <v>76230</v>
      </c>
      <c r="E11" s="75">
        <f>SUM(E5:E10)</f>
        <v>103076</v>
      </c>
      <c r="F11" s="75">
        <f>SUM(F5:F10)</f>
        <v>244920</v>
      </c>
      <c r="G11" s="75">
        <f>SUM(G5:G10)</f>
        <v>367200</v>
      </c>
      <c r="H11" s="75">
        <f t="shared" ref="H11:Q11" si="8">SUM(H5:H10)</f>
        <v>552108.4</v>
      </c>
      <c r="I11" s="75">
        <f t="shared" si="8"/>
        <v>747791.41600000008</v>
      </c>
      <c r="J11" s="75">
        <f t="shared" si="8"/>
        <v>999765.74616380956</v>
      </c>
      <c r="K11" s="75">
        <f t="shared" si="8"/>
        <v>1274198.1503813369</v>
      </c>
      <c r="L11" s="75">
        <f>SUM(L5:L10)</f>
        <v>1427411.4517830033</v>
      </c>
      <c r="M11" s="75">
        <f t="shared" si="8"/>
        <v>1524549.4160311944</v>
      </c>
      <c r="N11" s="75">
        <f t="shared" si="8"/>
        <v>1617929.492667</v>
      </c>
      <c r="O11" s="75">
        <f t="shared" si="8"/>
        <v>1714480.9184176894</v>
      </c>
      <c r="P11" s="75">
        <f t="shared" si="8"/>
        <v>1790269.7203788871</v>
      </c>
      <c r="Q11" s="75">
        <f t="shared" si="8"/>
        <v>1861880.5091940423</v>
      </c>
    </row>
    <row r="12" spans="1:17" ht="3" customHeight="1" x14ac:dyDescent="0.2"/>
    <row r="13" spans="1:17" x14ac:dyDescent="0.2">
      <c r="B13" s="46" t="s">
        <v>111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ht="3" customHeight="1" x14ac:dyDescent="0.2"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x14ac:dyDescent="0.2">
      <c r="B15" s="47" t="s">
        <v>98</v>
      </c>
      <c r="C15" s="50" t="s">
        <v>63</v>
      </c>
      <c r="D15" s="50" t="s">
        <v>63</v>
      </c>
      <c r="E15" s="50" t="s">
        <v>63</v>
      </c>
      <c r="F15" s="38">
        <f t="shared" ref="F15:G16" si="9">F5/E5-1</f>
        <v>81.797619047619051</v>
      </c>
      <c r="G15" s="38">
        <f t="shared" si="9"/>
        <v>1.0596008353017701</v>
      </c>
      <c r="H15" s="49">
        <v>0.6</v>
      </c>
      <c r="I15" s="49">
        <f>$C$25</f>
        <v>0.1</v>
      </c>
      <c r="J15" s="49">
        <f>$C$25</f>
        <v>0.1</v>
      </c>
      <c r="K15" s="49">
        <f>$C$26</f>
        <v>0.08</v>
      </c>
      <c r="L15" s="49">
        <f>$C$26</f>
        <v>0.08</v>
      </c>
      <c r="M15" s="49">
        <f>$C$27</f>
        <v>0.04</v>
      </c>
      <c r="N15" s="49">
        <f t="shared" ref="N15:Q16" si="10">$C$27</f>
        <v>0.04</v>
      </c>
      <c r="O15" s="49">
        <f t="shared" si="10"/>
        <v>0.04</v>
      </c>
      <c r="P15" s="49">
        <f t="shared" si="10"/>
        <v>0.04</v>
      </c>
      <c r="Q15" s="49">
        <f t="shared" si="10"/>
        <v>0.04</v>
      </c>
    </row>
    <row r="16" spans="1:17" x14ac:dyDescent="0.2">
      <c r="B16" s="47" t="s">
        <v>104</v>
      </c>
      <c r="C16" s="50" t="s">
        <v>63</v>
      </c>
      <c r="D16" s="38">
        <f>D6/C6-1</f>
        <v>0.50711743772241991</v>
      </c>
      <c r="E16" s="38">
        <f>E6/D6-1</f>
        <v>0.32903056539420183</v>
      </c>
      <c r="F16" s="38">
        <f t="shared" si="9"/>
        <v>-2.4153111181301368E-2</v>
      </c>
      <c r="G16" s="38">
        <f t="shared" si="9"/>
        <v>-0.32852880190158296</v>
      </c>
      <c r="H16" s="52">
        <f t="shared" ref="H16:M16" si="11">$C$27</f>
        <v>0.04</v>
      </c>
      <c r="I16" s="52">
        <f t="shared" si="11"/>
        <v>0.04</v>
      </c>
      <c r="J16" s="52">
        <f t="shared" si="11"/>
        <v>0.04</v>
      </c>
      <c r="K16" s="52">
        <f t="shared" si="11"/>
        <v>0.04</v>
      </c>
      <c r="L16" s="52">
        <f t="shared" si="11"/>
        <v>0.04</v>
      </c>
      <c r="M16" s="52">
        <f t="shared" si="11"/>
        <v>0.04</v>
      </c>
      <c r="N16" s="52">
        <f t="shared" si="10"/>
        <v>0.04</v>
      </c>
      <c r="O16" s="52">
        <f t="shared" si="10"/>
        <v>0.04</v>
      </c>
      <c r="P16" s="52">
        <f t="shared" si="10"/>
        <v>0.04</v>
      </c>
      <c r="Q16" s="52">
        <f t="shared" si="10"/>
        <v>0.04</v>
      </c>
    </row>
    <row r="17" spans="2:17" x14ac:dyDescent="0.2">
      <c r="B17" s="47" t="s">
        <v>99</v>
      </c>
      <c r="C17" s="50" t="s">
        <v>63</v>
      </c>
      <c r="D17" s="50" t="s">
        <v>63</v>
      </c>
      <c r="E17" s="50" t="s">
        <v>63</v>
      </c>
      <c r="F17" s="50" t="s">
        <v>63</v>
      </c>
      <c r="G17" s="50" t="s">
        <v>63</v>
      </c>
      <c r="H17" s="49" t="s">
        <v>63</v>
      </c>
      <c r="I17" s="52">
        <f>F15</f>
        <v>81.797619047619051</v>
      </c>
      <c r="J17" s="52">
        <f t="shared" ref="J17:Q17" si="12">G15</f>
        <v>1.0596008353017701</v>
      </c>
      <c r="K17" s="52">
        <f t="shared" si="12"/>
        <v>0.6</v>
      </c>
      <c r="L17" s="52">
        <f t="shared" si="12"/>
        <v>0.1</v>
      </c>
      <c r="M17" s="52">
        <f t="shared" si="12"/>
        <v>0.1</v>
      </c>
      <c r="N17" s="52">
        <f t="shared" si="12"/>
        <v>0.08</v>
      </c>
      <c r="O17" s="52">
        <f t="shared" si="12"/>
        <v>0.08</v>
      </c>
      <c r="P17" s="52">
        <f t="shared" si="12"/>
        <v>0.04</v>
      </c>
      <c r="Q17" s="52">
        <f t="shared" si="12"/>
        <v>0.04</v>
      </c>
    </row>
    <row r="18" spans="2:17" x14ac:dyDescent="0.2">
      <c r="B18" s="47" t="s">
        <v>101</v>
      </c>
      <c r="C18" s="50" t="s">
        <v>63</v>
      </c>
      <c r="D18" s="50" t="s">
        <v>63</v>
      </c>
      <c r="E18" s="50" t="s">
        <v>63</v>
      </c>
      <c r="F18" s="50" t="s">
        <v>63</v>
      </c>
      <c r="G18" s="50" t="s">
        <v>63</v>
      </c>
      <c r="H18" s="49" t="s">
        <v>63</v>
      </c>
      <c r="I18" s="49" t="s">
        <v>63</v>
      </c>
      <c r="J18" s="49" t="s">
        <v>63</v>
      </c>
      <c r="K18" s="52">
        <v>1</v>
      </c>
      <c r="L18" s="52">
        <v>0.5</v>
      </c>
      <c r="M18" s="52">
        <f t="shared" ref="M18:N20" si="13">$C$25</f>
        <v>0.1</v>
      </c>
      <c r="N18" s="52">
        <f t="shared" si="13"/>
        <v>0.1</v>
      </c>
      <c r="O18" s="52">
        <f t="shared" ref="O18:P20" si="14">$C$26</f>
        <v>0.08</v>
      </c>
      <c r="P18" s="52">
        <f t="shared" si="14"/>
        <v>0.08</v>
      </c>
      <c r="Q18" s="52">
        <f t="shared" ref="Q18:Q20" si="15">$C$27</f>
        <v>0.04</v>
      </c>
    </row>
    <row r="19" spans="2:17" x14ac:dyDescent="0.2">
      <c r="B19" s="47" t="s">
        <v>100</v>
      </c>
      <c r="C19" s="50" t="s">
        <v>63</v>
      </c>
      <c r="D19" s="50" t="s">
        <v>63</v>
      </c>
      <c r="E19" s="50" t="s">
        <v>63</v>
      </c>
      <c r="F19" s="50" t="s">
        <v>63</v>
      </c>
      <c r="G19" s="50" t="s">
        <v>63</v>
      </c>
      <c r="H19" s="50" t="s">
        <v>63</v>
      </c>
      <c r="I19" s="50" t="s">
        <v>63</v>
      </c>
      <c r="J19" s="52">
        <f t="shared" ref="J19:L20" si="16">F$15</f>
        <v>81.797619047619051</v>
      </c>
      <c r="K19" s="52">
        <f t="shared" si="16"/>
        <v>1.0596008353017701</v>
      </c>
      <c r="L19" s="52">
        <f t="shared" si="16"/>
        <v>0.6</v>
      </c>
      <c r="M19" s="52">
        <f t="shared" si="13"/>
        <v>0.1</v>
      </c>
      <c r="N19" s="52">
        <f t="shared" si="13"/>
        <v>0.1</v>
      </c>
      <c r="O19" s="52">
        <f t="shared" si="14"/>
        <v>0.08</v>
      </c>
      <c r="P19" s="52">
        <f t="shared" si="14"/>
        <v>0.08</v>
      </c>
      <c r="Q19" s="52">
        <f t="shared" si="15"/>
        <v>0.04</v>
      </c>
    </row>
    <row r="20" spans="2:17" x14ac:dyDescent="0.2">
      <c r="B20" s="47" t="s">
        <v>97</v>
      </c>
      <c r="C20" s="50" t="s">
        <v>63</v>
      </c>
      <c r="D20" s="50" t="s">
        <v>63</v>
      </c>
      <c r="E20" s="50" t="s">
        <v>63</v>
      </c>
      <c r="F20" s="50" t="s">
        <v>63</v>
      </c>
      <c r="G20" s="50" t="s">
        <v>63</v>
      </c>
      <c r="H20" s="50" t="s">
        <v>63</v>
      </c>
      <c r="I20" s="50" t="s">
        <v>63</v>
      </c>
      <c r="J20" s="52">
        <f t="shared" si="16"/>
        <v>81.797619047619051</v>
      </c>
      <c r="K20" s="52">
        <f t="shared" si="16"/>
        <v>1.0596008353017701</v>
      </c>
      <c r="L20" s="52">
        <f t="shared" si="16"/>
        <v>0.6</v>
      </c>
      <c r="M20" s="52">
        <f t="shared" si="13"/>
        <v>0.1</v>
      </c>
      <c r="N20" s="52">
        <f t="shared" si="13"/>
        <v>0.1</v>
      </c>
      <c r="O20" s="52">
        <f t="shared" si="14"/>
        <v>0.08</v>
      </c>
      <c r="P20" s="52">
        <f t="shared" si="14"/>
        <v>0.08</v>
      </c>
      <c r="Q20" s="52">
        <f t="shared" si="15"/>
        <v>0.04</v>
      </c>
    </row>
    <row r="21" spans="2:17" x14ac:dyDescent="0.2">
      <c r="B21" s="47"/>
      <c r="C21" s="50"/>
      <c r="D21" s="50"/>
      <c r="E21" s="50"/>
      <c r="F21" s="47"/>
      <c r="G21" s="47"/>
      <c r="H21" s="50"/>
      <c r="I21" s="48"/>
      <c r="J21" s="48"/>
      <c r="K21" s="48"/>
      <c r="L21" s="48"/>
      <c r="M21" s="48"/>
      <c r="N21" s="48"/>
      <c r="O21" s="48"/>
      <c r="P21" s="48"/>
      <c r="Q21" s="48"/>
    </row>
    <row r="24" spans="2:17" x14ac:dyDescent="0.2">
      <c r="B24" s="8" t="s">
        <v>170</v>
      </c>
    </row>
    <row r="25" spans="2:17" x14ac:dyDescent="0.2">
      <c r="B25" s="8" t="s">
        <v>171</v>
      </c>
      <c r="C25" s="22">
        <v>0.1</v>
      </c>
    </row>
    <row r="26" spans="2:17" x14ac:dyDescent="0.2">
      <c r="B26" s="8" t="s">
        <v>171</v>
      </c>
      <c r="C26" s="22">
        <v>0.08</v>
      </c>
    </row>
    <row r="27" spans="2:17" x14ac:dyDescent="0.2">
      <c r="B27" s="8" t="s">
        <v>172</v>
      </c>
      <c r="C27" s="22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178</v>
      </c>
    </row>
    <row r="2" spans="1:6" ht="15.75" x14ac:dyDescent="0.2">
      <c r="A2" s="1"/>
      <c r="B2" s="2"/>
    </row>
    <row r="3" spans="1:6" x14ac:dyDescent="0.2">
      <c r="B3" s="87" t="s">
        <v>251</v>
      </c>
    </row>
    <row r="5" spans="1:6" x14ac:dyDescent="0.2">
      <c r="F5" s="8" t="s">
        <v>123</v>
      </c>
    </row>
    <row r="6" spans="1:6" x14ac:dyDescent="0.2">
      <c r="B6" s="92" t="s">
        <v>245</v>
      </c>
      <c r="C6" s="25" t="s">
        <v>120</v>
      </c>
      <c r="D6" s="25" t="s">
        <v>154</v>
      </c>
    </row>
    <row r="7" spans="1:6" x14ac:dyDescent="0.2">
      <c r="B7" s="8" t="s">
        <v>143</v>
      </c>
      <c r="C7" s="13">
        <v>9600340</v>
      </c>
      <c r="D7" s="13">
        <f>C7</f>
        <v>9600340</v>
      </c>
    </row>
    <row r="8" spans="1:6" x14ac:dyDescent="0.2">
      <c r="B8" s="8" t="s">
        <v>144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145</v>
      </c>
      <c r="C9" s="13">
        <v>4740000</v>
      </c>
      <c r="D9" s="13">
        <f t="shared" si="0"/>
        <v>4740000</v>
      </c>
    </row>
    <row r="10" spans="1:6" x14ac:dyDescent="0.2">
      <c r="B10" s="8" t="s">
        <v>146</v>
      </c>
      <c r="C10" s="13">
        <v>2460000</v>
      </c>
      <c r="D10" s="13">
        <f t="shared" si="0"/>
        <v>2460000</v>
      </c>
    </row>
    <row r="11" spans="1:6" x14ac:dyDescent="0.2">
      <c r="B11" s="8" t="s">
        <v>147</v>
      </c>
      <c r="C11" s="13">
        <v>10700000</v>
      </c>
      <c r="D11" s="13">
        <f t="shared" si="0"/>
        <v>10700000</v>
      </c>
    </row>
    <row r="12" spans="1:6" x14ac:dyDescent="0.2">
      <c r="B12" s="77" t="s">
        <v>148</v>
      </c>
      <c r="C12" s="83" t="s">
        <v>63</v>
      </c>
      <c r="D12" s="83" t="s">
        <v>63</v>
      </c>
    </row>
    <row r="13" spans="1:6" x14ac:dyDescent="0.2">
      <c r="B13" s="77" t="s">
        <v>149</v>
      </c>
      <c r="C13" s="83" t="s">
        <v>63</v>
      </c>
      <c r="D13" s="83" t="s">
        <v>63</v>
      </c>
    </row>
    <row r="14" spans="1:6" x14ac:dyDescent="0.2">
      <c r="B14" s="77" t="s">
        <v>150</v>
      </c>
      <c r="C14" s="83" t="s">
        <v>63</v>
      </c>
      <c r="D14" s="83" t="s">
        <v>63</v>
      </c>
    </row>
    <row r="15" spans="1:6" x14ac:dyDescent="0.2">
      <c r="B15" s="77" t="s">
        <v>151</v>
      </c>
      <c r="C15" s="83" t="s">
        <v>63</v>
      </c>
      <c r="D15" s="83" t="s">
        <v>63</v>
      </c>
    </row>
    <row r="16" spans="1:6" x14ac:dyDescent="0.2">
      <c r="B16" s="77" t="s">
        <v>152</v>
      </c>
      <c r="C16" s="83" t="s">
        <v>63</v>
      </c>
      <c r="D16" s="83" t="s">
        <v>63</v>
      </c>
    </row>
    <row r="17" spans="2:4" x14ac:dyDescent="0.2">
      <c r="B17" s="77" t="s">
        <v>153</v>
      </c>
      <c r="C17" s="83" t="s">
        <v>63</v>
      </c>
      <c r="D17" s="83" t="s">
        <v>63</v>
      </c>
    </row>
    <row r="18" spans="2:4" x14ac:dyDescent="0.2">
      <c r="B18" s="9" t="s">
        <v>120</v>
      </c>
      <c r="C18" s="85" t="s">
        <v>63</v>
      </c>
      <c r="D18" s="80">
        <f>AVERAGE(D7:D17)</f>
        <v>6821468</v>
      </c>
    </row>
    <row r="19" spans="2:4" x14ac:dyDescent="0.2">
      <c r="C19" s="84"/>
      <c r="D19" s="84"/>
    </row>
    <row r="22" spans="2:4" x14ac:dyDescent="0.2">
      <c r="B22" s="92" t="s">
        <v>247</v>
      </c>
      <c r="C22" s="25"/>
      <c r="D22" s="25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04" bestFit="1" customWidth="1"/>
    <col min="3" max="4" width="10.85546875" style="105" bestFit="1" customWidth="1"/>
    <col min="5" max="5" width="13.42578125" style="105" customWidth="1"/>
    <col min="6" max="6" width="34" style="106" customWidth="1"/>
    <col min="7" max="16384" width="9.140625" style="1"/>
  </cols>
  <sheetData>
    <row r="1" spans="2:6" ht="16.5" x14ac:dyDescent="0.2">
      <c r="B1" s="2" t="s">
        <v>252</v>
      </c>
      <c r="C1" s="1"/>
      <c r="D1" s="1"/>
      <c r="E1" s="1"/>
      <c r="F1" s="98"/>
    </row>
    <row r="2" spans="2:6" ht="16.5" x14ac:dyDescent="0.2">
      <c r="B2" s="99"/>
      <c r="C2" s="1"/>
      <c r="D2" s="1"/>
      <c r="E2" s="1"/>
      <c r="F2" s="98"/>
    </row>
    <row r="3" spans="2:6" x14ac:dyDescent="0.2">
      <c r="B3" s="115" t="s">
        <v>212</v>
      </c>
      <c r="C3" s="116" t="s">
        <v>213</v>
      </c>
      <c r="D3" s="116" t="s">
        <v>214</v>
      </c>
      <c r="E3" s="116" t="s">
        <v>215</v>
      </c>
      <c r="F3" s="117" t="s">
        <v>246</v>
      </c>
    </row>
    <row r="4" spans="2:6" x14ac:dyDescent="0.2">
      <c r="B4" s="100" t="s">
        <v>216</v>
      </c>
      <c r="C4" s="101" t="s">
        <v>217</v>
      </c>
      <c r="D4" s="102">
        <v>39990</v>
      </c>
      <c r="E4" s="102">
        <v>51490</v>
      </c>
      <c r="F4" s="103"/>
    </row>
    <row r="5" spans="2:6" x14ac:dyDescent="0.2">
      <c r="B5" s="100" t="s">
        <v>218</v>
      </c>
      <c r="C5" s="101" t="s">
        <v>219</v>
      </c>
      <c r="D5" s="102">
        <v>48990</v>
      </c>
      <c r="E5" s="102">
        <v>60490</v>
      </c>
      <c r="F5" s="103"/>
    </row>
    <row r="6" spans="2:6" ht="21" customHeight="1" x14ac:dyDescent="0.2">
      <c r="B6" s="100" t="s">
        <v>220</v>
      </c>
      <c r="C6" s="101" t="s">
        <v>219</v>
      </c>
      <c r="D6" s="102">
        <v>56990</v>
      </c>
      <c r="E6" s="102">
        <v>66990</v>
      </c>
      <c r="F6" s="1"/>
    </row>
    <row r="7" spans="2:6" ht="21" customHeight="1" x14ac:dyDescent="0.2">
      <c r="B7" s="122" t="s">
        <v>254</v>
      </c>
      <c r="C7" s="123"/>
      <c r="D7" s="123"/>
      <c r="E7" s="124"/>
      <c r="F7" s="124">
        <f>AVERAGE(D4:E6)</f>
        <v>54156.666666666664</v>
      </c>
    </row>
    <row r="8" spans="2:6" ht="21" customHeight="1" x14ac:dyDescent="0.2">
      <c r="B8" s="100" t="s">
        <v>221</v>
      </c>
      <c r="C8" s="101" t="s">
        <v>222</v>
      </c>
      <c r="D8" s="102">
        <v>79990</v>
      </c>
      <c r="E8" s="102">
        <v>95490</v>
      </c>
      <c r="F8" s="103"/>
    </row>
    <row r="9" spans="2:6" ht="21" customHeight="1" x14ac:dyDescent="0.2">
      <c r="B9" s="100" t="s">
        <v>223</v>
      </c>
      <c r="C9" s="101" t="s">
        <v>224</v>
      </c>
      <c r="D9" s="102">
        <v>99990</v>
      </c>
      <c r="E9" s="102">
        <v>115990</v>
      </c>
      <c r="F9" s="103"/>
    </row>
    <row r="10" spans="2:6" ht="21" customHeight="1" x14ac:dyDescent="0.2">
      <c r="B10" s="100" t="s">
        <v>225</v>
      </c>
      <c r="C10" s="101" t="s">
        <v>226</v>
      </c>
      <c r="D10" s="102">
        <v>84990</v>
      </c>
      <c r="E10" s="102">
        <v>106490</v>
      </c>
      <c r="F10" s="103"/>
    </row>
    <row r="11" spans="2:6" ht="21" customHeight="1" x14ac:dyDescent="0.2">
      <c r="B11" s="100" t="s">
        <v>227</v>
      </c>
      <c r="C11" s="101" t="s">
        <v>228</v>
      </c>
      <c r="D11" s="102">
        <v>104990</v>
      </c>
      <c r="E11" s="102">
        <v>128490</v>
      </c>
      <c r="F11" s="1"/>
    </row>
    <row r="12" spans="2:6" ht="21" customHeight="1" x14ac:dyDescent="0.2">
      <c r="B12" s="122" t="s">
        <v>253</v>
      </c>
      <c r="C12" s="123"/>
      <c r="D12" s="123"/>
      <c r="E12" s="124"/>
      <c r="F12" s="124">
        <f>AVERAGE(D8:E11)</f>
        <v>102052.5</v>
      </c>
    </row>
    <row r="14" spans="2:6" x14ac:dyDescent="0.2">
      <c r="B14" s="118" t="s">
        <v>229</v>
      </c>
      <c r="C14" s="119" t="s">
        <v>214</v>
      </c>
      <c r="D14" s="119" t="s">
        <v>230</v>
      </c>
      <c r="E14" s="120"/>
      <c r="F14" s="121"/>
    </row>
    <row r="15" spans="2:6" x14ac:dyDescent="0.2">
      <c r="B15" s="100" t="s">
        <v>231</v>
      </c>
      <c r="C15" s="107">
        <v>39900</v>
      </c>
      <c r="D15" s="107">
        <v>76900</v>
      </c>
      <c r="E15" s="108"/>
      <c r="F15" s="109">
        <f>AVERAGE(C15:D15)</f>
        <v>58400</v>
      </c>
    </row>
    <row r="16" spans="2:6" ht="18" customHeight="1" x14ac:dyDescent="0.2">
      <c r="B16" s="100" t="s">
        <v>232</v>
      </c>
      <c r="C16" s="107">
        <v>48000</v>
      </c>
      <c r="D16" s="107">
        <v>74000</v>
      </c>
      <c r="E16" s="108"/>
      <c r="F16" s="109">
        <f t="shared" ref="F16:F18" si="0">AVERAGE(C16:D16)</f>
        <v>61000</v>
      </c>
    </row>
    <row r="17" spans="2:7" ht="18" customHeight="1" x14ac:dyDescent="0.2">
      <c r="B17" s="100" t="s">
        <v>233</v>
      </c>
      <c r="C17" s="107">
        <v>200000</v>
      </c>
      <c r="D17" s="107">
        <v>250000</v>
      </c>
      <c r="E17" s="108"/>
      <c r="F17" s="109">
        <f t="shared" si="0"/>
        <v>225000</v>
      </c>
    </row>
    <row r="18" spans="2:7" ht="18" customHeight="1" x14ac:dyDescent="0.2">
      <c r="B18" s="100" t="s">
        <v>241</v>
      </c>
      <c r="C18" s="107">
        <v>150000</v>
      </c>
      <c r="D18" s="107">
        <v>200000</v>
      </c>
      <c r="E18" s="108"/>
      <c r="F18" s="109">
        <f t="shared" si="0"/>
        <v>175000</v>
      </c>
    </row>
    <row r="19" spans="2:7" ht="18" customHeight="1" x14ac:dyDescent="0.2"/>
    <row r="24" spans="2:7" ht="16.5" x14ac:dyDescent="0.2">
      <c r="G24" s="98"/>
    </row>
    <row r="25" spans="2:7" ht="16.5" x14ac:dyDescent="0.2">
      <c r="B25" s="110"/>
      <c r="C25" s="111"/>
      <c r="D25" s="111"/>
      <c r="E25" s="111"/>
      <c r="F25" s="105"/>
      <c r="G25" s="98"/>
    </row>
    <row r="26" spans="2:7" ht="16.5" x14ac:dyDescent="0.2">
      <c r="B26" s="105"/>
      <c r="C26" s="112"/>
      <c r="D26" s="112"/>
      <c r="E26" s="112"/>
      <c r="F26" s="105"/>
      <c r="G26" s="98"/>
    </row>
    <row r="27" spans="2:7" ht="16.5" x14ac:dyDescent="0.2">
      <c r="B27" s="105"/>
      <c r="C27" s="112"/>
      <c r="D27" s="112"/>
      <c r="E27" s="112"/>
      <c r="F27" s="105"/>
      <c r="G27" s="98"/>
    </row>
    <row r="28" spans="2:7" x14ac:dyDescent="0.2">
      <c r="F28" s="105"/>
    </row>
    <row r="29" spans="2:7" x14ac:dyDescent="0.2">
      <c r="B29" s="113"/>
    </row>
    <row r="30" spans="2:7" x14ac:dyDescent="0.2">
      <c r="B30" s="114"/>
    </row>
    <row r="31" spans="2:7" x14ac:dyDescent="0.2">
      <c r="B31" s="10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134</v>
      </c>
      <c r="F1" s="44"/>
      <c r="G1" s="44"/>
      <c r="R1" s="8" t="s">
        <v>72</v>
      </c>
    </row>
    <row r="2" spans="1:18" ht="15.75" x14ac:dyDescent="0.2">
      <c r="A2" s="1"/>
      <c r="B2" s="2"/>
      <c r="C2" s="33"/>
      <c r="D2" s="33"/>
      <c r="E2" s="33"/>
      <c r="F2" s="33"/>
      <c r="G2" s="33"/>
    </row>
    <row r="3" spans="1:18" x14ac:dyDescent="0.2">
      <c r="C3" s="125" t="s">
        <v>138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8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  <c r="R4" s="25" t="s">
        <v>102</v>
      </c>
    </row>
    <row r="5" spans="1:18" ht="13.15" customHeight="1" x14ac:dyDescent="0.2">
      <c r="B5" s="8" t="s">
        <v>98</v>
      </c>
      <c r="C5" s="44"/>
      <c r="D5" s="44"/>
      <c r="E5" s="44">
        <v>88.268788561549911</v>
      </c>
      <c r="F5" s="44">
        <v>8136.4830442748871</v>
      </c>
      <c r="G5" s="44">
        <v>14705.599268864924</v>
      </c>
      <c r="H5" s="45">
        <f>($R5*Deliveries!H5)*H14/1000000</f>
        <v>26065.82029333333</v>
      </c>
      <c r="I5" s="45">
        <f>($R5*Deliveries!I5)*I14/1000000</f>
        <v>28672.402322666669</v>
      </c>
      <c r="J5" s="45">
        <f>($R5*Deliveries!J5)*J14/1000000</f>
        <v>31539.64255493334</v>
      </c>
      <c r="K5" s="45">
        <f>($R5*Deliveries!K5)*K14/1000000</f>
        <v>34062.813959328007</v>
      </c>
      <c r="L5" s="45">
        <f>($R5*Deliveries!L5)*L14/1000000</f>
        <v>36787.839076074248</v>
      </c>
      <c r="M5" s="45">
        <f>($R5*Deliveries!M5)*M14/1000000</f>
        <v>38259.352639117227</v>
      </c>
      <c r="N5" s="45">
        <f>($R5*Deliveries!N5)*N14/1000000</f>
        <v>39789.72674468191</v>
      </c>
      <c r="O5" s="45">
        <f>($R5*Deliveries!O5)*O14/1000000</f>
        <v>41381.315814469192</v>
      </c>
      <c r="P5" s="45">
        <f>($R5*Deliveries!P5)*P14/1000000</f>
        <v>43036.568447047961</v>
      </c>
      <c r="Q5" s="45">
        <f>($R5*Deliveries!Q5)*Q14/1000000</f>
        <v>44758.031184929881</v>
      </c>
      <c r="R5" s="43">
        <f>AVERAGE('Average Prices'!D4:E6)</f>
        <v>54156.666666666664</v>
      </c>
    </row>
    <row r="6" spans="1:18" x14ac:dyDescent="0.2">
      <c r="B6" s="8" t="s">
        <v>104</v>
      </c>
      <c r="C6" s="44">
        <v>3740.973</v>
      </c>
      <c r="D6" s="44">
        <v>6350.7659999999996</v>
      </c>
      <c r="E6" s="44">
        <v>9553.0312114384506</v>
      </c>
      <c r="F6" s="44">
        <v>10378.49995572511</v>
      </c>
      <c r="G6" s="44">
        <v>6115.4007311350751</v>
      </c>
      <c r="H6" s="45">
        <f>($R6*Deliveries!H6)*H15/1000000</f>
        <v>7045.7454210000005</v>
      </c>
      <c r="I6" s="45">
        <f>($R6*Deliveries!I6)*I15/1000000</f>
        <v>7327.575237840002</v>
      </c>
      <c r="J6" s="45">
        <f>($R6*Deliveries!J6)*J15/1000000</f>
        <v>7620.6782473536014</v>
      </c>
      <c r="K6" s="45">
        <f>($R6*Deliveries!K6)*K15/1000000</f>
        <v>7925.5053772477468</v>
      </c>
      <c r="L6" s="45">
        <f>($R6*Deliveries!L6)*L15/1000000</f>
        <v>8242.5255923376553</v>
      </c>
      <c r="M6" s="45">
        <f>($R6*Deliveries!M6)*M15/1000000</f>
        <v>8572.2266160311628</v>
      </c>
      <c r="N6" s="45">
        <f>($R6*Deliveries!N6)*N15/1000000</f>
        <v>8915.1156806724084</v>
      </c>
      <c r="O6" s="45">
        <f>($R6*Deliveries!O6)*O15/1000000</f>
        <v>9271.720307899308</v>
      </c>
      <c r="P6" s="45">
        <f>($R6*Deliveries!P6)*P15/1000000</f>
        <v>9642.5891202152779</v>
      </c>
      <c r="Q6" s="45">
        <f>($R6*Deliveries!Q6)*Q15/1000000</f>
        <v>10028.292685023891</v>
      </c>
      <c r="R6" s="43">
        <f>AVERAGE('Average Prices'!D8:E11)</f>
        <v>102052.5</v>
      </c>
    </row>
    <row r="7" spans="1:18" x14ac:dyDescent="0.2">
      <c r="B7" s="8" t="s">
        <v>99</v>
      </c>
      <c r="C7" s="44">
        <f>($R7*Deliveries!C7)/1000000</f>
        <v>0</v>
      </c>
      <c r="D7" s="44">
        <f>($R7*Deliveries!D7)/1000000</f>
        <v>0</v>
      </c>
      <c r="E7" s="44">
        <f>($R7*Deliveries!E7)/1000000</f>
        <v>0</v>
      </c>
      <c r="F7" s="44">
        <f>($R7*Deliveries!F7)/1000000</f>
        <v>0</v>
      </c>
      <c r="G7" s="44">
        <f>($R7*Deliveries!G7)/1000000</f>
        <v>0</v>
      </c>
      <c r="H7" s="45">
        <f>($R7*Deliveries!H7)*H16/1000000</f>
        <v>107.604</v>
      </c>
      <c r="I7" s="45">
        <f>($R7*Deliveries!I7)*I16/1000000</f>
        <v>8909.3549999999996</v>
      </c>
      <c r="J7" s="45">
        <f>($R7*Deliveries!J7)*J16/1000000</f>
        <v>18349.715</v>
      </c>
      <c r="K7" s="45">
        <f>($R7*Deliveries!K7)*K16/1000000</f>
        <v>29359.544000000002</v>
      </c>
      <c r="L7" s="45">
        <f>($R7*Deliveries!L7)*L16/1000000</f>
        <v>32295.4984</v>
      </c>
      <c r="M7" s="45">
        <f>($R7*Deliveries!M7)*M16/1000000</f>
        <v>35525.048240000011</v>
      </c>
      <c r="N7" s="45">
        <f>($R7*Deliveries!N7)*N16/1000000</f>
        <v>38367.052099200009</v>
      </c>
      <c r="O7" s="45">
        <f>($R7*Deliveries!O7)*O16/1000000</f>
        <v>41436.41626713601</v>
      </c>
      <c r="P7" s="45">
        <f>($R7*Deliveries!P7)*P16/1000000</f>
        <v>43093.872917821456</v>
      </c>
      <c r="Q7" s="45">
        <f>($R7*Deliveries!Q7)*Q16/1000000</f>
        <v>44817.627834534316</v>
      </c>
      <c r="R7" s="43">
        <f>AVERAGE('Average Prices'!C16:D16)</f>
        <v>61000</v>
      </c>
    </row>
    <row r="8" spans="1:18" x14ac:dyDescent="0.2">
      <c r="B8" s="8" t="s">
        <v>101</v>
      </c>
      <c r="C8" s="44">
        <f>($R8*Deliveries!C8)/1000000</f>
        <v>0</v>
      </c>
      <c r="D8" s="44">
        <f>($R8*Deliveries!D8)/1000000</f>
        <v>0</v>
      </c>
      <c r="E8" s="44">
        <f>($R8*Deliveries!E8)/1000000</f>
        <v>0</v>
      </c>
      <c r="F8" s="44">
        <f>($R8*Deliveries!F8)/1000000</f>
        <v>0</v>
      </c>
      <c r="G8" s="44">
        <f>($R8*Deliveries!G8)/1000000</f>
        <v>0</v>
      </c>
      <c r="H8" s="45">
        <f>($R8*Deliveries!H8)*H17/1000000</f>
        <v>0</v>
      </c>
      <c r="I8" s="45">
        <f>($R8*Deliveries!I8)*I17/1000000</f>
        <v>0</v>
      </c>
      <c r="J8" s="45">
        <f>($R8*Deliveries!J8)*J17/1000000</f>
        <v>112.5</v>
      </c>
      <c r="K8" s="45">
        <f>($R8*Deliveries!K8)*K17/1000000</f>
        <v>225</v>
      </c>
      <c r="L8" s="45">
        <f>($R8*Deliveries!L8)*L17/1000000</f>
        <v>337.5</v>
      </c>
      <c r="M8" s="45">
        <f>($R8*Deliveries!M8)*M17/1000000</f>
        <v>371.25000000000006</v>
      </c>
      <c r="N8" s="45">
        <f>($R8*Deliveries!N8)*N17/1000000</f>
        <v>408.37500000000011</v>
      </c>
      <c r="O8" s="45">
        <f>($R8*Deliveries!O8)*O17/1000000</f>
        <v>441.04500000000019</v>
      </c>
      <c r="P8" s="45">
        <f>($R8*Deliveries!P8)*P17/1000000</f>
        <v>476.32860000000022</v>
      </c>
      <c r="Q8" s="45">
        <f>($R8*Deliveries!Q8)*Q17/1000000</f>
        <v>495.38174400000025</v>
      </c>
      <c r="R8" s="43">
        <f>AVERAGE('Average Prices'!C17:D17)</f>
        <v>225000</v>
      </c>
    </row>
    <row r="9" spans="1:18" x14ac:dyDescent="0.2">
      <c r="B9" s="8" t="s">
        <v>100</v>
      </c>
      <c r="C9" s="44">
        <f>($R9*Deliveries!C9)/1000000</f>
        <v>0</v>
      </c>
      <c r="D9" s="44">
        <f>($R9*Deliveries!D9)/1000000</f>
        <v>0</v>
      </c>
      <c r="E9" s="44">
        <f>($R9*Deliveries!E9)/1000000</f>
        <v>0</v>
      </c>
      <c r="F9" s="44">
        <f>($R9*Deliveries!F9)/1000000</f>
        <v>0</v>
      </c>
      <c r="G9" s="44">
        <f>($R9*Deliveries!G9)/1000000</f>
        <v>0</v>
      </c>
      <c r="H9" s="45">
        <f>($R9*Deliveries!H9)*H18/1000000</f>
        <v>0</v>
      </c>
      <c r="I9" s="45">
        <f>($R9*Deliveries!I9)*I18/1000000</f>
        <v>14.6</v>
      </c>
      <c r="J9" s="45">
        <f>($R9*Deliveries!J9)*J18/1000000</f>
        <v>1208.8452380952383</v>
      </c>
      <c r="K9" s="45">
        <f>($R9*Deliveries!K9)*K18/1000000</f>
        <v>2489.73866213152</v>
      </c>
      <c r="L9" s="45">
        <f>($R9*Deliveries!L9)*L18/1000000</f>
        <v>3983.5818594104317</v>
      </c>
      <c r="M9" s="45">
        <f>($R9*Deliveries!M9)*M18/1000000</f>
        <v>4381.9400453514754</v>
      </c>
      <c r="N9" s="45">
        <f>($R9*Deliveries!N9)*N18/1000000</f>
        <v>4820.134049886623</v>
      </c>
      <c r="O9" s="45">
        <f>($R9*Deliveries!O9)*O18/1000000</f>
        <v>5205.7447738775536</v>
      </c>
      <c r="P9" s="45">
        <f>($R9*Deliveries!P9)*P18/1000000</f>
        <v>5622.2043557877587</v>
      </c>
      <c r="Q9" s="45">
        <f>($R9*Deliveries!Q9)*Q18/1000000</f>
        <v>5847.0925300192694</v>
      </c>
      <c r="R9" s="43">
        <f>AVERAGE('Average Prices'!C15:D15)</f>
        <v>58400</v>
      </c>
    </row>
    <row r="10" spans="1:18" x14ac:dyDescent="0.2">
      <c r="B10" s="8" t="s">
        <v>97</v>
      </c>
      <c r="C10" s="44">
        <f>($R10*Deliveries!C10)/1000000</f>
        <v>0</v>
      </c>
      <c r="D10" s="44">
        <f>($R10*Deliveries!D10)/1000000</f>
        <v>0</v>
      </c>
      <c r="E10" s="44">
        <f>($R10*Deliveries!E10)/1000000</f>
        <v>0</v>
      </c>
      <c r="F10" s="44">
        <f>($R10*Deliveries!F10)/1000000</f>
        <v>0</v>
      </c>
      <c r="G10" s="44">
        <f>($R10*Deliveries!G10)/1000000</f>
        <v>0</v>
      </c>
      <c r="H10" s="45">
        <f>($R10*Deliveries!H10)*H19/1000000</f>
        <v>0</v>
      </c>
      <c r="I10" s="45">
        <f>($R10*Deliveries!I10)*I19/1000000</f>
        <v>43.75</v>
      </c>
      <c r="J10" s="45">
        <f>($R10*Deliveries!J10)*J19/1000000</f>
        <v>3622.3958333333335</v>
      </c>
      <c r="K10" s="45">
        <f>($R10*Deliveries!K10)*K19/1000000</f>
        <v>7460.6894841269859</v>
      </c>
      <c r="L10" s="45">
        <f>($R10*Deliveries!L10)*L19/1000000</f>
        <v>11937.103174603179</v>
      </c>
      <c r="M10" s="45">
        <f>($R10*Deliveries!M10)*M19/1000000</f>
        <v>13130.813492063495</v>
      </c>
      <c r="N10" s="45">
        <f>($R10*Deliveries!N10)*N19/1000000</f>
        <v>14443.894841269848</v>
      </c>
      <c r="O10" s="45">
        <f>($R10*Deliveries!O10)*O19/1000000</f>
        <v>15599.406428571436</v>
      </c>
      <c r="P10" s="45">
        <f>($R10*Deliveries!P10)*P19/1000000</f>
        <v>16847.358942857154</v>
      </c>
      <c r="Q10" s="45">
        <f>($R10*Deliveries!Q10)*Q19/1000000</f>
        <v>17521.253300571443</v>
      </c>
      <c r="R10" s="43">
        <f>AVERAGE('Average Prices'!C18:D18)</f>
        <v>175000</v>
      </c>
    </row>
    <row r="11" spans="1:18" ht="12.75" thickBot="1" x14ac:dyDescent="0.25">
      <c r="B11" s="69" t="s">
        <v>66</v>
      </c>
      <c r="C11" s="75">
        <f>SUM(C5:C10)</f>
        <v>3740.973</v>
      </c>
      <c r="D11" s="75">
        <f t="shared" ref="D11:L11" si="0">SUM(D5:D10)</f>
        <v>6350.7659999999996</v>
      </c>
      <c r="E11" s="75">
        <f t="shared" si="0"/>
        <v>9641.3000000000011</v>
      </c>
      <c r="F11" s="75">
        <f>'P&amp;L Input'!F4/1000</f>
        <v>18514.983</v>
      </c>
      <c r="G11" s="75">
        <f>'P&amp;L Input'!G4/1000</f>
        <v>20821</v>
      </c>
      <c r="H11" s="75">
        <f t="shared" si="0"/>
        <v>33219.169714333329</v>
      </c>
      <c r="I11" s="75">
        <f t="shared" si="0"/>
        <v>44967.682560506662</v>
      </c>
      <c r="J11" s="75">
        <f t="shared" si="0"/>
        <v>62453.77687371552</v>
      </c>
      <c r="K11" s="75">
        <f t="shared" si="0"/>
        <v>81523.291482834262</v>
      </c>
      <c r="L11" s="75">
        <f t="shared" si="0"/>
        <v>93584.048102425513</v>
      </c>
      <c r="M11" s="75">
        <f>SUM(M5:M10)</f>
        <v>100240.63103256337</v>
      </c>
      <c r="N11" s="75">
        <f>SUM(N5:N10)</f>
        <v>106744.2984157108</v>
      </c>
      <c r="O11" s="75">
        <f>SUM(O5:O10)</f>
        <v>113335.6485919535</v>
      </c>
      <c r="P11" s="75">
        <f>SUM(P5:P10)</f>
        <v>118718.9223837296</v>
      </c>
      <c r="Q11" s="75">
        <f>SUM(Q5:Q10)</f>
        <v>123467.67927907882</v>
      </c>
      <c r="R11" s="51"/>
    </row>
    <row r="12" spans="1:18" ht="3" customHeight="1" x14ac:dyDescent="0.2"/>
    <row r="13" spans="1:18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23"/>
    </row>
    <row r="14" spans="1:18" x14ac:dyDescent="0.2">
      <c r="B14" s="47" t="s">
        <v>98</v>
      </c>
      <c r="C14" s="50"/>
      <c r="D14" s="50"/>
      <c r="E14" s="50"/>
      <c r="F14" s="50"/>
      <c r="G14" s="47"/>
      <c r="H14" s="49">
        <f>CHOOSE(Drivers!$C$3,'Revenue automotive'!H22,'Revenue automotive'!H30,'Revenue automotive'!H38)</f>
        <v>1</v>
      </c>
      <c r="I14" s="49">
        <f>CHOOSE(Drivers!$C$3,'Revenue automotive'!I22,'Revenue automotive'!I30,'Revenue automotive'!I38)</f>
        <v>1</v>
      </c>
      <c r="J14" s="49">
        <f>CHOOSE(Drivers!$C$3,'Revenue automotive'!J22,'Revenue automotive'!J30,'Revenue automotive'!J38)</f>
        <v>1</v>
      </c>
      <c r="K14" s="49">
        <f>CHOOSE(Drivers!$C$3,'Revenue automotive'!K22,'Revenue automotive'!K30,'Revenue automotive'!K38)</f>
        <v>1</v>
      </c>
      <c r="L14" s="49">
        <f>CHOOSE(Drivers!$C$3,'Revenue automotive'!L22,'Revenue automotive'!L30,'Revenue automotive'!L38)</f>
        <v>1</v>
      </c>
      <c r="M14" s="49">
        <f>CHOOSE(Drivers!$C$3,'Revenue automotive'!M22,'Revenue automotive'!M30,'Revenue automotive'!M38)</f>
        <v>1</v>
      </c>
      <c r="N14" s="49">
        <f>CHOOSE(Drivers!$C$3,'Revenue automotive'!N22,'Revenue automotive'!N30,'Revenue automotive'!N38)</f>
        <v>1</v>
      </c>
      <c r="O14" s="49">
        <f>CHOOSE(Drivers!$C$3,'Revenue automotive'!O22,'Revenue automotive'!O30,'Revenue automotive'!O38)</f>
        <v>1</v>
      </c>
      <c r="P14" s="49">
        <f>CHOOSE(Drivers!$C$3,'Revenue automotive'!P22,'Revenue automotive'!P30,'Revenue automotive'!P38)</f>
        <v>1</v>
      </c>
      <c r="Q14" s="49">
        <f>CHOOSE(Drivers!$C$3,'Revenue automotive'!Q22,'Revenue automotive'!Q30,'Revenue automotive'!Q38)</f>
        <v>1</v>
      </c>
      <c r="R14" s="23"/>
    </row>
    <row r="15" spans="1:18" x14ac:dyDescent="0.2">
      <c r="B15" s="47" t="s">
        <v>104</v>
      </c>
      <c r="C15" s="50"/>
      <c r="D15" s="38"/>
      <c r="E15" s="38"/>
      <c r="F15" s="38"/>
      <c r="G15" s="47"/>
      <c r="H15" s="49">
        <f>CHOOSE(Drivers!$C$3,'Revenue automotive'!H23,'Revenue automotive'!H31,'Revenue automotive'!H39)</f>
        <v>1</v>
      </c>
      <c r="I15" s="49">
        <f>CHOOSE(Drivers!$C$3,'Revenue automotive'!I23,'Revenue automotive'!I31,'Revenue automotive'!I39)</f>
        <v>1</v>
      </c>
      <c r="J15" s="49">
        <f>CHOOSE(Drivers!$C$3,'Revenue automotive'!J23,'Revenue automotive'!J31,'Revenue automotive'!J39)</f>
        <v>1</v>
      </c>
      <c r="K15" s="49">
        <f>CHOOSE(Drivers!$C$3,'Revenue automotive'!K23,'Revenue automotive'!K31,'Revenue automotive'!K39)</f>
        <v>1</v>
      </c>
      <c r="L15" s="49">
        <f>CHOOSE(Drivers!$C$3,'Revenue automotive'!L23,'Revenue automotive'!L31,'Revenue automotive'!L39)</f>
        <v>1</v>
      </c>
      <c r="M15" s="49">
        <f>CHOOSE(Drivers!$C$3,'Revenue automotive'!M23,'Revenue automotive'!M31,'Revenue automotive'!M39)</f>
        <v>1</v>
      </c>
      <c r="N15" s="49">
        <f>CHOOSE(Drivers!$C$3,'Revenue automotive'!N23,'Revenue automotive'!N31,'Revenue automotive'!N39)</f>
        <v>1</v>
      </c>
      <c r="O15" s="49">
        <f>CHOOSE(Drivers!$C$3,'Revenue automotive'!O23,'Revenue automotive'!O31,'Revenue automotive'!O39)</f>
        <v>1</v>
      </c>
      <c r="P15" s="49">
        <f>CHOOSE(Drivers!$C$3,'Revenue automotive'!P23,'Revenue automotive'!P31,'Revenue automotive'!P39)</f>
        <v>1</v>
      </c>
      <c r="Q15" s="49">
        <f>CHOOSE(Drivers!$C$3,'Revenue automotive'!Q23,'Revenue automotive'!Q31,'Revenue automotive'!Q39)</f>
        <v>1</v>
      </c>
      <c r="R15" s="23"/>
    </row>
    <row r="16" spans="1:18" x14ac:dyDescent="0.2">
      <c r="B16" s="47" t="s">
        <v>99</v>
      </c>
      <c r="C16" s="50"/>
      <c r="D16" s="50"/>
      <c r="E16" s="50"/>
      <c r="F16" s="50"/>
      <c r="G16" s="47"/>
      <c r="H16" s="49">
        <f>CHOOSE(Drivers!$C$3,'Revenue automotive'!H24,'Revenue automotive'!H32,'Revenue automotive'!H40)</f>
        <v>1</v>
      </c>
      <c r="I16" s="49">
        <f>CHOOSE(Drivers!$C$3,'Revenue automotive'!I24,'Revenue automotive'!I32,'Revenue automotive'!I40)</f>
        <v>1</v>
      </c>
      <c r="J16" s="49">
        <f>CHOOSE(Drivers!$C$3,'Revenue automotive'!J24,'Revenue automotive'!J32,'Revenue automotive'!J40)</f>
        <v>1</v>
      </c>
      <c r="K16" s="49">
        <f>CHOOSE(Drivers!$C$3,'Revenue automotive'!K24,'Revenue automotive'!K32,'Revenue automotive'!K40)</f>
        <v>1</v>
      </c>
      <c r="L16" s="49">
        <f>CHOOSE(Drivers!$C$3,'Revenue automotive'!L24,'Revenue automotive'!L32,'Revenue automotive'!L40)</f>
        <v>1</v>
      </c>
      <c r="M16" s="49">
        <f>CHOOSE(Drivers!$C$3,'Revenue automotive'!M24,'Revenue automotive'!M32,'Revenue automotive'!M40)</f>
        <v>1</v>
      </c>
      <c r="N16" s="49">
        <f>CHOOSE(Drivers!$C$3,'Revenue automotive'!N24,'Revenue automotive'!N32,'Revenue automotive'!N40)</f>
        <v>1</v>
      </c>
      <c r="O16" s="49">
        <f>CHOOSE(Drivers!$C$3,'Revenue automotive'!O24,'Revenue automotive'!O32,'Revenue automotive'!O40)</f>
        <v>1</v>
      </c>
      <c r="P16" s="49">
        <f>CHOOSE(Drivers!$C$3,'Revenue automotive'!P24,'Revenue automotive'!P32,'Revenue automotive'!P40)</f>
        <v>1</v>
      </c>
      <c r="Q16" s="49">
        <f>CHOOSE(Drivers!$C$3,'Revenue automotive'!Q24,'Revenue automotive'!Q32,'Revenue automotive'!Q40)</f>
        <v>1</v>
      </c>
      <c r="R16" s="23"/>
    </row>
    <row r="17" spans="2:18" x14ac:dyDescent="0.2">
      <c r="B17" s="47" t="s">
        <v>101</v>
      </c>
      <c r="C17" s="50"/>
      <c r="D17" s="50"/>
      <c r="E17" s="50"/>
      <c r="F17" s="50"/>
      <c r="G17" s="47"/>
      <c r="H17" s="49">
        <f>CHOOSE(Drivers!$C$3,'Revenue automotive'!H25,'Revenue automotive'!H33,'Revenue automotive'!H41)</f>
        <v>1</v>
      </c>
      <c r="I17" s="49">
        <f>CHOOSE(Drivers!$C$3,'Revenue automotive'!I25,'Revenue automotive'!I33,'Revenue automotive'!I41)</f>
        <v>1</v>
      </c>
      <c r="J17" s="49">
        <f>CHOOSE(Drivers!$C$3,'Revenue automotive'!J25,'Revenue automotive'!J33,'Revenue automotive'!J41)</f>
        <v>1</v>
      </c>
      <c r="K17" s="49">
        <f>CHOOSE(Drivers!$C$3,'Revenue automotive'!K25,'Revenue automotive'!K33,'Revenue automotive'!K41)</f>
        <v>1</v>
      </c>
      <c r="L17" s="49">
        <f>CHOOSE(Drivers!$C$3,'Revenue automotive'!L25,'Revenue automotive'!L33,'Revenue automotive'!L41)</f>
        <v>1</v>
      </c>
      <c r="M17" s="49">
        <f>CHOOSE(Drivers!$C$3,'Revenue automotive'!M25,'Revenue automotive'!M33,'Revenue automotive'!M41)</f>
        <v>1</v>
      </c>
      <c r="N17" s="49">
        <f>CHOOSE(Drivers!$C$3,'Revenue automotive'!N25,'Revenue automotive'!N33,'Revenue automotive'!N41)</f>
        <v>1</v>
      </c>
      <c r="O17" s="49">
        <f>CHOOSE(Drivers!$C$3,'Revenue automotive'!O25,'Revenue automotive'!O33,'Revenue automotive'!O41)</f>
        <v>1</v>
      </c>
      <c r="P17" s="49">
        <f>CHOOSE(Drivers!$C$3,'Revenue automotive'!P25,'Revenue automotive'!P33,'Revenue automotive'!P41)</f>
        <v>1</v>
      </c>
      <c r="Q17" s="49">
        <f>CHOOSE(Drivers!$C$3,'Revenue automotive'!Q25,'Revenue automotive'!Q33,'Revenue automotive'!Q41)</f>
        <v>1</v>
      </c>
      <c r="R17" s="81"/>
    </row>
    <row r="18" spans="2:18" x14ac:dyDescent="0.2">
      <c r="B18" s="47" t="s">
        <v>100</v>
      </c>
      <c r="C18" s="50"/>
      <c r="D18" s="50"/>
      <c r="E18" s="50"/>
      <c r="F18" s="50"/>
      <c r="G18" s="47"/>
      <c r="H18" s="49">
        <f>CHOOSE(Drivers!$C$3,'Revenue automotive'!H26,'Revenue automotive'!H34,'Revenue automotive'!H42)</f>
        <v>1</v>
      </c>
      <c r="I18" s="49">
        <f>CHOOSE(Drivers!$C$3,'Revenue automotive'!I26,'Revenue automotive'!I34,'Revenue automotive'!I42)</f>
        <v>1</v>
      </c>
      <c r="J18" s="49">
        <f>CHOOSE(Drivers!$C$3,'Revenue automotive'!J26,'Revenue automotive'!J34,'Revenue automotive'!J42)</f>
        <v>1</v>
      </c>
      <c r="K18" s="49">
        <f>CHOOSE(Drivers!$C$3,'Revenue automotive'!K26,'Revenue automotive'!K34,'Revenue automotive'!K42)</f>
        <v>1</v>
      </c>
      <c r="L18" s="49">
        <f>CHOOSE(Drivers!$C$3,'Revenue automotive'!L26,'Revenue automotive'!L34,'Revenue automotive'!L42)</f>
        <v>1</v>
      </c>
      <c r="M18" s="49">
        <f>CHOOSE(Drivers!$C$3,'Revenue automotive'!M26,'Revenue automotive'!M34,'Revenue automotive'!M42)</f>
        <v>1</v>
      </c>
      <c r="N18" s="49">
        <f>CHOOSE(Drivers!$C$3,'Revenue automotive'!N26,'Revenue automotive'!N34,'Revenue automotive'!N42)</f>
        <v>1</v>
      </c>
      <c r="O18" s="49">
        <f>CHOOSE(Drivers!$C$3,'Revenue automotive'!O26,'Revenue automotive'!O34,'Revenue automotive'!O42)</f>
        <v>1</v>
      </c>
      <c r="P18" s="49">
        <f>CHOOSE(Drivers!$C$3,'Revenue automotive'!P26,'Revenue automotive'!P34,'Revenue automotive'!P42)</f>
        <v>1</v>
      </c>
      <c r="Q18" s="49">
        <f>CHOOSE(Drivers!$C$3,'Revenue automotive'!Q26,'Revenue automotive'!Q34,'Revenue automotive'!Q42)</f>
        <v>1</v>
      </c>
      <c r="R18" s="23"/>
    </row>
    <row r="19" spans="2:18" x14ac:dyDescent="0.2">
      <c r="B19" s="47" t="s">
        <v>97</v>
      </c>
      <c r="C19" s="50"/>
      <c r="D19" s="50"/>
      <c r="E19" s="50"/>
      <c r="F19" s="50"/>
      <c r="G19" s="47"/>
      <c r="H19" s="49">
        <f>CHOOSE(Drivers!$C$3,'Revenue automotive'!H27,'Revenue automotive'!H35,'Revenue automotive'!H43)</f>
        <v>1</v>
      </c>
      <c r="I19" s="49">
        <f>CHOOSE(Drivers!$C$3,'Revenue automotive'!I27,'Revenue automotive'!I35,'Revenue automotive'!I43)</f>
        <v>1</v>
      </c>
      <c r="J19" s="49">
        <f>CHOOSE(Drivers!$C$3,'Revenue automotive'!J27,'Revenue automotive'!J35,'Revenue automotive'!J43)</f>
        <v>1</v>
      </c>
      <c r="K19" s="49">
        <f>CHOOSE(Drivers!$C$3,'Revenue automotive'!K27,'Revenue automotive'!K35,'Revenue automotive'!K43)</f>
        <v>1</v>
      </c>
      <c r="L19" s="49">
        <f>CHOOSE(Drivers!$C$3,'Revenue automotive'!L27,'Revenue automotive'!L35,'Revenue automotive'!L43)</f>
        <v>1</v>
      </c>
      <c r="M19" s="49">
        <f>CHOOSE(Drivers!$C$3,'Revenue automotive'!M27,'Revenue automotive'!M35,'Revenue automotive'!M43)</f>
        <v>1</v>
      </c>
      <c r="N19" s="49">
        <f>CHOOSE(Drivers!$C$3,'Revenue automotive'!N27,'Revenue automotive'!N35,'Revenue automotive'!N43)</f>
        <v>1</v>
      </c>
      <c r="O19" s="49">
        <f>CHOOSE(Drivers!$C$3,'Revenue automotive'!O27,'Revenue automotive'!O35,'Revenue automotive'!O43)</f>
        <v>1</v>
      </c>
      <c r="P19" s="49">
        <f>CHOOSE(Drivers!$C$3,'Revenue automotive'!P27,'Revenue automotive'!P35,'Revenue automotive'!P43)</f>
        <v>1</v>
      </c>
      <c r="Q19" s="49">
        <f>CHOOSE(Drivers!$C$3,'Revenue automotive'!Q27,'Revenue automotive'!Q35,'Revenue automotive'!Q43)</f>
        <v>1</v>
      </c>
      <c r="R19" s="23"/>
    </row>
    <row r="20" spans="2:18" x14ac:dyDescent="0.2">
      <c r="B20" s="47"/>
      <c r="C20" s="50"/>
      <c r="D20" s="50"/>
      <c r="E20" s="50"/>
      <c r="F20" s="50"/>
      <c r="G20" s="47"/>
      <c r="H20" s="50"/>
      <c r="I20" s="48"/>
      <c r="J20" s="48"/>
      <c r="K20" s="48"/>
      <c r="L20" s="48"/>
      <c r="M20" s="48"/>
      <c r="N20" s="48"/>
      <c r="O20" s="48"/>
      <c r="P20" s="48"/>
      <c r="Q20" s="48"/>
      <c r="R20" s="23"/>
    </row>
    <row r="21" spans="2:18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23"/>
    </row>
    <row r="22" spans="2:18" x14ac:dyDescent="0.2">
      <c r="B22" s="47" t="s">
        <v>98</v>
      </c>
      <c r="C22" s="50"/>
      <c r="D22" s="50"/>
      <c r="E22" s="50"/>
      <c r="F22" s="50"/>
      <c r="G22" s="47"/>
      <c r="H22" s="49">
        <v>1.02</v>
      </c>
      <c r="I22" s="49">
        <v>1.02</v>
      </c>
      <c r="J22" s="49">
        <v>1.02</v>
      </c>
      <c r="K22" s="49">
        <v>1.02</v>
      </c>
      <c r="L22" s="49">
        <v>1.02</v>
      </c>
      <c r="M22" s="49">
        <v>1.02</v>
      </c>
      <c r="N22" s="49">
        <v>1.02</v>
      </c>
      <c r="O22" s="49">
        <v>1.02</v>
      </c>
      <c r="P22" s="49">
        <v>1.02</v>
      </c>
      <c r="Q22" s="49">
        <v>1.02</v>
      </c>
      <c r="R22" s="23"/>
    </row>
    <row r="23" spans="2:18" x14ac:dyDescent="0.2">
      <c r="B23" s="47" t="s">
        <v>104</v>
      </c>
      <c r="C23" s="50"/>
      <c r="D23" s="38"/>
      <c r="E23" s="38"/>
      <c r="F23" s="38"/>
      <c r="G23" s="47"/>
      <c r="H23" s="49">
        <v>1.02</v>
      </c>
      <c r="I23" s="49">
        <v>1.02</v>
      </c>
      <c r="J23" s="49">
        <v>1.02</v>
      </c>
      <c r="K23" s="49">
        <v>1.02</v>
      </c>
      <c r="L23" s="49">
        <v>1.02</v>
      </c>
      <c r="M23" s="49">
        <v>1.02</v>
      </c>
      <c r="N23" s="49">
        <v>1.02</v>
      </c>
      <c r="O23" s="49">
        <v>1.02</v>
      </c>
      <c r="P23" s="49">
        <v>1.02</v>
      </c>
      <c r="Q23" s="49">
        <v>1.02</v>
      </c>
      <c r="R23" s="23"/>
    </row>
    <row r="24" spans="2:18" x14ac:dyDescent="0.2">
      <c r="B24" s="47" t="s">
        <v>99</v>
      </c>
      <c r="C24" s="50"/>
      <c r="D24" s="50"/>
      <c r="E24" s="50"/>
      <c r="F24" s="50"/>
      <c r="G24" s="47"/>
      <c r="H24" s="49">
        <v>1.02</v>
      </c>
      <c r="I24" s="49">
        <v>1.02</v>
      </c>
      <c r="J24" s="49">
        <v>1.02</v>
      </c>
      <c r="K24" s="49">
        <v>1.02</v>
      </c>
      <c r="L24" s="49">
        <v>1.02</v>
      </c>
      <c r="M24" s="49">
        <v>1.02</v>
      </c>
      <c r="N24" s="49">
        <v>1.02</v>
      </c>
      <c r="O24" s="49">
        <v>1.02</v>
      </c>
      <c r="P24" s="49">
        <v>1.02</v>
      </c>
      <c r="Q24" s="49">
        <v>1.02</v>
      </c>
      <c r="R24" s="23"/>
    </row>
    <row r="25" spans="2:18" x14ac:dyDescent="0.2">
      <c r="B25" s="47" t="s">
        <v>101</v>
      </c>
      <c r="C25" s="50"/>
      <c r="D25" s="50"/>
      <c r="E25" s="50"/>
      <c r="F25" s="50"/>
      <c r="G25" s="47"/>
      <c r="H25" s="49">
        <v>1.02</v>
      </c>
      <c r="I25" s="49">
        <v>1.02</v>
      </c>
      <c r="J25" s="49">
        <v>1.02</v>
      </c>
      <c r="K25" s="49">
        <v>1.02</v>
      </c>
      <c r="L25" s="49">
        <v>1.02</v>
      </c>
      <c r="M25" s="49">
        <v>1.02</v>
      </c>
      <c r="N25" s="49">
        <v>1.02</v>
      </c>
      <c r="O25" s="49">
        <v>1.02</v>
      </c>
      <c r="P25" s="49">
        <v>1.02</v>
      </c>
      <c r="Q25" s="49">
        <v>1.02</v>
      </c>
      <c r="R25" s="23"/>
    </row>
    <row r="26" spans="2:18" x14ac:dyDescent="0.2">
      <c r="B26" s="47" t="s">
        <v>100</v>
      </c>
      <c r="C26" s="50"/>
      <c r="D26" s="50"/>
      <c r="E26" s="50"/>
      <c r="F26" s="50"/>
      <c r="G26" s="47"/>
      <c r="H26" s="49">
        <v>1.02</v>
      </c>
      <c r="I26" s="49">
        <v>1.02</v>
      </c>
      <c r="J26" s="49">
        <v>1.02</v>
      </c>
      <c r="K26" s="49">
        <v>1.02</v>
      </c>
      <c r="L26" s="49">
        <v>1.02</v>
      </c>
      <c r="M26" s="49">
        <v>1.02</v>
      </c>
      <c r="N26" s="49">
        <v>1.02</v>
      </c>
      <c r="O26" s="49">
        <v>1.02</v>
      </c>
      <c r="P26" s="49">
        <v>1.02</v>
      </c>
      <c r="Q26" s="49">
        <v>1.02</v>
      </c>
      <c r="R26" s="23"/>
    </row>
    <row r="27" spans="2:18" x14ac:dyDescent="0.2">
      <c r="B27" s="47" t="s">
        <v>97</v>
      </c>
      <c r="C27" s="50"/>
      <c r="D27" s="50"/>
      <c r="E27" s="50"/>
      <c r="F27" s="50"/>
      <c r="G27" s="47"/>
      <c r="H27" s="49">
        <v>1.02</v>
      </c>
      <c r="I27" s="49">
        <v>1.02</v>
      </c>
      <c r="J27" s="49">
        <v>1.02</v>
      </c>
      <c r="K27" s="49">
        <v>1.02</v>
      </c>
      <c r="L27" s="49">
        <v>1.02</v>
      </c>
      <c r="M27" s="49">
        <v>1.02</v>
      </c>
      <c r="N27" s="49">
        <v>1.02</v>
      </c>
      <c r="O27" s="49">
        <v>1.02</v>
      </c>
      <c r="P27" s="49">
        <v>1.02</v>
      </c>
      <c r="Q27" s="49">
        <v>1.02</v>
      </c>
      <c r="R27" s="23"/>
    </row>
    <row r="28" spans="2:18" x14ac:dyDescent="0.2">
      <c r="B28" s="47"/>
      <c r="C28" s="50"/>
      <c r="D28" s="50"/>
      <c r="E28" s="50"/>
      <c r="F28" s="50"/>
      <c r="G28" s="47"/>
      <c r="H28" s="50"/>
      <c r="I28" s="48"/>
      <c r="J28" s="48"/>
      <c r="K28" s="48"/>
      <c r="L28" s="48"/>
      <c r="M28" s="48"/>
      <c r="N28" s="48"/>
      <c r="O28" s="48"/>
      <c r="P28" s="48"/>
      <c r="Q28" s="48"/>
      <c r="R28" s="23"/>
    </row>
    <row r="29" spans="2:18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23"/>
    </row>
    <row r="30" spans="2:18" x14ac:dyDescent="0.2">
      <c r="B30" s="47" t="s">
        <v>98</v>
      </c>
      <c r="C30" s="50"/>
      <c r="D30" s="50"/>
      <c r="E30" s="50"/>
      <c r="F30" s="50"/>
      <c r="G30" s="47"/>
      <c r="H30" s="49">
        <v>1</v>
      </c>
      <c r="I30" s="49">
        <v>1</v>
      </c>
      <c r="J30" s="49">
        <v>1</v>
      </c>
      <c r="K30" s="49">
        <v>1</v>
      </c>
      <c r="L30" s="49">
        <v>1</v>
      </c>
      <c r="M30" s="49">
        <v>1</v>
      </c>
      <c r="N30" s="49">
        <v>1</v>
      </c>
      <c r="O30" s="49">
        <v>1</v>
      </c>
      <c r="P30" s="49">
        <v>1</v>
      </c>
      <c r="Q30" s="49">
        <v>1</v>
      </c>
      <c r="R30" s="23"/>
    </row>
    <row r="31" spans="2:18" x14ac:dyDescent="0.2">
      <c r="B31" s="47" t="s">
        <v>104</v>
      </c>
      <c r="C31" s="50"/>
      <c r="D31" s="38"/>
      <c r="E31" s="38"/>
      <c r="F31" s="38"/>
      <c r="G31" s="47"/>
      <c r="H31" s="49">
        <v>1</v>
      </c>
      <c r="I31" s="49">
        <v>1</v>
      </c>
      <c r="J31" s="49">
        <v>1</v>
      </c>
      <c r="K31" s="49">
        <v>1</v>
      </c>
      <c r="L31" s="49">
        <v>1</v>
      </c>
      <c r="M31" s="49">
        <v>1</v>
      </c>
      <c r="N31" s="49">
        <v>1</v>
      </c>
      <c r="O31" s="49">
        <v>1</v>
      </c>
      <c r="P31" s="49">
        <v>1</v>
      </c>
      <c r="Q31" s="49">
        <v>1</v>
      </c>
      <c r="R31" s="23"/>
    </row>
    <row r="32" spans="2:18" x14ac:dyDescent="0.2">
      <c r="B32" s="47" t="s">
        <v>99</v>
      </c>
      <c r="C32" s="50"/>
      <c r="D32" s="50"/>
      <c r="E32" s="50"/>
      <c r="F32" s="50"/>
      <c r="G32" s="47"/>
      <c r="H32" s="49">
        <v>1</v>
      </c>
      <c r="I32" s="49">
        <v>1</v>
      </c>
      <c r="J32" s="49">
        <v>1</v>
      </c>
      <c r="K32" s="49">
        <v>1</v>
      </c>
      <c r="L32" s="49">
        <v>1</v>
      </c>
      <c r="M32" s="49">
        <v>1</v>
      </c>
      <c r="N32" s="49">
        <v>1</v>
      </c>
      <c r="O32" s="49">
        <v>1</v>
      </c>
      <c r="P32" s="49">
        <v>1</v>
      </c>
      <c r="Q32" s="49">
        <v>1</v>
      </c>
      <c r="R32" s="23"/>
    </row>
    <row r="33" spans="2:18" x14ac:dyDescent="0.2">
      <c r="B33" s="47" t="s">
        <v>101</v>
      </c>
      <c r="C33" s="50"/>
      <c r="D33" s="50"/>
      <c r="E33" s="50"/>
      <c r="F33" s="50"/>
      <c r="G33" s="47"/>
      <c r="H33" s="49">
        <v>1</v>
      </c>
      <c r="I33" s="49">
        <v>1</v>
      </c>
      <c r="J33" s="49">
        <v>1</v>
      </c>
      <c r="K33" s="49">
        <v>1</v>
      </c>
      <c r="L33" s="49">
        <v>1</v>
      </c>
      <c r="M33" s="49">
        <v>1</v>
      </c>
      <c r="N33" s="49">
        <v>1</v>
      </c>
      <c r="O33" s="49">
        <v>1</v>
      </c>
      <c r="P33" s="49">
        <v>1</v>
      </c>
      <c r="Q33" s="49">
        <v>1</v>
      </c>
      <c r="R33" s="23"/>
    </row>
    <row r="34" spans="2:18" x14ac:dyDescent="0.2">
      <c r="B34" s="47" t="s">
        <v>100</v>
      </c>
      <c r="C34" s="50"/>
      <c r="D34" s="50"/>
      <c r="E34" s="50"/>
      <c r="F34" s="50"/>
      <c r="G34" s="47"/>
      <c r="H34" s="49">
        <v>1</v>
      </c>
      <c r="I34" s="49">
        <v>1</v>
      </c>
      <c r="J34" s="49">
        <v>1</v>
      </c>
      <c r="K34" s="49">
        <v>1</v>
      </c>
      <c r="L34" s="49">
        <v>1</v>
      </c>
      <c r="M34" s="49">
        <v>1</v>
      </c>
      <c r="N34" s="49">
        <v>1</v>
      </c>
      <c r="O34" s="49">
        <v>1</v>
      </c>
      <c r="P34" s="49">
        <v>1</v>
      </c>
      <c r="Q34" s="49">
        <v>1</v>
      </c>
      <c r="R34" s="23"/>
    </row>
    <row r="35" spans="2:18" x14ac:dyDescent="0.2">
      <c r="B35" s="47" t="s">
        <v>97</v>
      </c>
      <c r="C35" s="50"/>
      <c r="D35" s="50"/>
      <c r="E35" s="50"/>
      <c r="F35" s="50"/>
      <c r="G35" s="47"/>
      <c r="H35" s="49">
        <v>1</v>
      </c>
      <c r="I35" s="49">
        <v>1</v>
      </c>
      <c r="J35" s="49">
        <v>1</v>
      </c>
      <c r="K35" s="49">
        <v>1</v>
      </c>
      <c r="L35" s="49">
        <v>1</v>
      </c>
      <c r="M35" s="49">
        <v>1</v>
      </c>
      <c r="N35" s="49">
        <v>1</v>
      </c>
      <c r="O35" s="49">
        <v>1</v>
      </c>
      <c r="P35" s="49">
        <v>1</v>
      </c>
      <c r="Q35" s="49">
        <v>1</v>
      </c>
      <c r="R35" s="23"/>
    </row>
    <row r="36" spans="2:18" x14ac:dyDescent="0.2">
      <c r="B36" s="47"/>
      <c r="C36" s="50"/>
      <c r="D36" s="50"/>
      <c r="E36" s="50"/>
      <c r="F36" s="50"/>
      <c r="G36" s="47"/>
      <c r="H36" s="50"/>
      <c r="I36" s="48"/>
      <c r="J36" s="48"/>
      <c r="K36" s="48"/>
      <c r="L36" s="48"/>
      <c r="M36" s="48"/>
      <c r="N36" s="48"/>
      <c r="O36" s="48"/>
      <c r="P36" s="48"/>
      <c r="Q36" s="48"/>
      <c r="R36" s="23"/>
    </row>
    <row r="37" spans="2:18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3"/>
    </row>
    <row r="38" spans="2:18" x14ac:dyDescent="0.2">
      <c r="B38" s="47" t="s">
        <v>98</v>
      </c>
      <c r="C38" s="50"/>
      <c r="D38" s="50"/>
      <c r="E38" s="50"/>
      <c r="F38" s="50"/>
      <c r="G38" s="47"/>
      <c r="H38" s="49">
        <v>0.98</v>
      </c>
      <c r="I38" s="49">
        <v>0.98</v>
      </c>
      <c r="J38" s="49">
        <v>0.98</v>
      </c>
      <c r="K38" s="49">
        <v>0.98</v>
      </c>
      <c r="L38" s="49">
        <v>0.98</v>
      </c>
      <c r="M38" s="49">
        <v>0.98</v>
      </c>
      <c r="N38" s="49">
        <v>0.98</v>
      </c>
      <c r="O38" s="49">
        <v>0.98</v>
      </c>
      <c r="P38" s="49">
        <v>0.98</v>
      </c>
      <c r="Q38" s="49">
        <v>0.98</v>
      </c>
      <c r="R38" s="23"/>
    </row>
    <row r="39" spans="2:18" x14ac:dyDescent="0.2">
      <c r="B39" s="47" t="s">
        <v>104</v>
      </c>
      <c r="C39" s="50"/>
      <c r="D39" s="38"/>
      <c r="E39" s="38"/>
      <c r="F39" s="38"/>
      <c r="G39" s="47"/>
      <c r="H39" s="49">
        <v>0.98</v>
      </c>
      <c r="I39" s="49">
        <v>0.98</v>
      </c>
      <c r="J39" s="49">
        <v>0.98</v>
      </c>
      <c r="K39" s="49">
        <v>0.98</v>
      </c>
      <c r="L39" s="49">
        <v>0.98</v>
      </c>
      <c r="M39" s="49">
        <v>0.98</v>
      </c>
      <c r="N39" s="49">
        <v>0.98</v>
      </c>
      <c r="O39" s="49">
        <v>0.98</v>
      </c>
      <c r="P39" s="49">
        <v>0.98</v>
      </c>
      <c r="Q39" s="49">
        <v>0.98</v>
      </c>
      <c r="R39" s="23"/>
    </row>
    <row r="40" spans="2:18" x14ac:dyDescent="0.2">
      <c r="B40" s="47" t="s">
        <v>99</v>
      </c>
      <c r="C40" s="50"/>
      <c r="D40" s="50"/>
      <c r="E40" s="50"/>
      <c r="F40" s="50"/>
      <c r="G40" s="47"/>
      <c r="H40" s="49">
        <v>0.98</v>
      </c>
      <c r="I40" s="49">
        <v>0.98</v>
      </c>
      <c r="J40" s="49">
        <v>0.98</v>
      </c>
      <c r="K40" s="49">
        <v>0.98</v>
      </c>
      <c r="L40" s="49">
        <v>0.98</v>
      </c>
      <c r="M40" s="49">
        <v>0.98</v>
      </c>
      <c r="N40" s="49">
        <v>0.98</v>
      </c>
      <c r="O40" s="49">
        <v>0.98</v>
      </c>
      <c r="P40" s="49">
        <v>0.98</v>
      </c>
      <c r="Q40" s="49">
        <v>0.98</v>
      </c>
      <c r="R40" s="23"/>
    </row>
    <row r="41" spans="2:18" x14ac:dyDescent="0.2">
      <c r="B41" s="47" t="s">
        <v>101</v>
      </c>
      <c r="C41" s="50"/>
      <c r="D41" s="50"/>
      <c r="E41" s="50"/>
      <c r="F41" s="50"/>
      <c r="G41" s="47"/>
      <c r="H41" s="49">
        <v>0.98</v>
      </c>
      <c r="I41" s="49">
        <v>0.98</v>
      </c>
      <c r="J41" s="49">
        <v>0.98</v>
      </c>
      <c r="K41" s="49">
        <v>0.98</v>
      </c>
      <c r="L41" s="49">
        <v>0.98</v>
      </c>
      <c r="M41" s="49">
        <v>0.98</v>
      </c>
      <c r="N41" s="49">
        <v>0.98</v>
      </c>
      <c r="O41" s="49">
        <v>0.98</v>
      </c>
      <c r="P41" s="49">
        <v>0.98</v>
      </c>
      <c r="Q41" s="49">
        <v>0.98</v>
      </c>
      <c r="R41" s="23"/>
    </row>
    <row r="42" spans="2:18" x14ac:dyDescent="0.2">
      <c r="B42" s="47" t="s">
        <v>100</v>
      </c>
      <c r="C42" s="50"/>
      <c r="D42" s="50"/>
      <c r="E42" s="50"/>
      <c r="F42" s="50"/>
      <c r="G42" s="47"/>
      <c r="H42" s="49">
        <v>0.98</v>
      </c>
      <c r="I42" s="49">
        <v>0.98</v>
      </c>
      <c r="J42" s="49">
        <v>0.98</v>
      </c>
      <c r="K42" s="49">
        <v>0.98</v>
      </c>
      <c r="L42" s="49">
        <v>0.98</v>
      </c>
      <c r="M42" s="49">
        <v>0.98</v>
      </c>
      <c r="N42" s="49">
        <v>0.98</v>
      </c>
      <c r="O42" s="49">
        <v>0.98</v>
      </c>
      <c r="P42" s="49">
        <v>0.98</v>
      </c>
      <c r="Q42" s="49">
        <v>0.98</v>
      </c>
      <c r="R42" s="23"/>
    </row>
    <row r="43" spans="2:18" x14ac:dyDescent="0.2">
      <c r="B43" s="47" t="s">
        <v>97</v>
      </c>
      <c r="C43" s="50"/>
      <c r="D43" s="50"/>
      <c r="E43" s="50"/>
      <c r="F43" s="50"/>
      <c r="G43" s="47"/>
      <c r="H43" s="49">
        <v>0.98</v>
      </c>
      <c r="I43" s="49">
        <v>0.98</v>
      </c>
      <c r="J43" s="49">
        <v>0.98</v>
      </c>
      <c r="K43" s="49">
        <v>0.98</v>
      </c>
      <c r="L43" s="49">
        <v>0.98</v>
      </c>
      <c r="M43" s="49">
        <v>0.98</v>
      </c>
      <c r="N43" s="49">
        <v>0.98</v>
      </c>
      <c r="O43" s="49">
        <v>0.98</v>
      </c>
      <c r="P43" s="49">
        <v>0.98</v>
      </c>
      <c r="Q43" s="49">
        <v>0.98</v>
      </c>
      <c r="R43" s="23"/>
    </row>
    <row r="44" spans="2:18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  <c r="R44" s="2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127</v>
      </c>
    </row>
    <row r="2" spans="1:9" ht="15.75" x14ac:dyDescent="0.2">
      <c r="A2" s="1"/>
      <c r="B2" s="2"/>
    </row>
    <row r="3" spans="1:9" ht="12.75" x14ac:dyDescent="0.2">
      <c r="A3" s="1"/>
      <c r="B3" s="57" t="s">
        <v>250</v>
      </c>
    </row>
    <row r="5" spans="1:9" ht="24" x14ac:dyDescent="0.2">
      <c r="B5" s="24" t="s">
        <v>96</v>
      </c>
      <c r="C5" s="24" t="s">
        <v>119</v>
      </c>
      <c r="D5" s="25" t="s">
        <v>124</v>
      </c>
      <c r="E5" s="25" t="s">
        <v>125</v>
      </c>
      <c r="F5" s="25" t="s">
        <v>126</v>
      </c>
      <c r="G5" s="54"/>
      <c r="H5" s="25" t="s">
        <v>120</v>
      </c>
    </row>
    <row r="6" spans="1:9" x14ac:dyDescent="0.2">
      <c r="B6" s="8" t="s">
        <v>98</v>
      </c>
      <c r="C6" s="8" t="s">
        <v>128</v>
      </c>
      <c r="D6" s="15">
        <v>0.187</v>
      </c>
      <c r="E6" s="15">
        <f>(((155900-134693)/155900)+((160338-136269)/160338))/2</f>
        <v>0.14307181999290131</v>
      </c>
      <c r="F6" s="15">
        <f>(((108187-93164)/108187)+((110412-95011)/110412))/2</f>
        <v>0.13917403294178585</v>
      </c>
      <c r="G6" s="54"/>
      <c r="H6" s="95">
        <f>C16</f>
        <v>0.2234438823353104</v>
      </c>
      <c r="I6" s="8" t="s">
        <v>240</v>
      </c>
    </row>
    <row r="7" spans="1:9" x14ac:dyDescent="0.2">
      <c r="B7" s="8" t="s">
        <v>104</v>
      </c>
      <c r="C7" s="8" t="s">
        <v>129</v>
      </c>
      <c r="D7" s="59">
        <f>((13620/91682)+(13928/85846))/2</f>
        <v>0.15540049350548607</v>
      </c>
      <c r="E7" s="59">
        <f>((33067/167362)+(29165/172745))/2</f>
        <v>0.18320518912380251</v>
      </c>
      <c r="F7" s="59">
        <v>0.17199999999999999</v>
      </c>
      <c r="G7" s="54"/>
      <c r="H7" s="95">
        <f>C17</f>
        <v>0.2234438823353104</v>
      </c>
      <c r="I7" s="8" t="s">
        <v>240</v>
      </c>
    </row>
    <row r="8" spans="1:9" x14ac:dyDescent="0.2">
      <c r="B8" s="8" t="s">
        <v>99</v>
      </c>
      <c r="C8" s="8" t="s">
        <v>128</v>
      </c>
      <c r="D8" s="15">
        <v>0.187</v>
      </c>
      <c r="E8" s="15">
        <f>(((155900-134693)/155900)+((160338-136269)/160338))/2</f>
        <v>0.14307181999290131</v>
      </c>
      <c r="F8" s="15">
        <f>(((108187-93164)/108187)+((110412-95011)/110412))/2</f>
        <v>0.13917403294178585</v>
      </c>
      <c r="G8" s="54"/>
      <c r="H8" s="58">
        <f t="shared" ref="H8:H11" si="0">AVERAGE(D8:F8)</f>
        <v>0.15641528431156237</v>
      </c>
      <c r="I8" s="8" t="s">
        <v>121</v>
      </c>
    </row>
    <row r="9" spans="1:9" x14ac:dyDescent="0.2">
      <c r="B9" s="8" t="s">
        <v>101</v>
      </c>
      <c r="C9" s="8" t="s">
        <v>130</v>
      </c>
      <c r="D9" s="15">
        <f>(((24214-15670)/24214)+((25786-16328)/25786))/2</f>
        <v>0.35982095031010847</v>
      </c>
      <c r="E9" s="59">
        <v>0.44</v>
      </c>
      <c r="F9" s="15">
        <f>(((3766-1805)/3766)+((3420-1623)/3420))/2</f>
        <v>0.52307511343414292</v>
      </c>
      <c r="G9" s="54"/>
      <c r="H9" s="58">
        <f t="shared" si="0"/>
        <v>0.44096535458141711</v>
      </c>
      <c r="I9" s="8" t="s">
        <v>121</v>
      </c>
    </row>
    <row r="10" spans="1:9" x14ac:dyDescent="0.2">
      <c r="B10" s="8" t="s">
        <v>100</v>
      </c>
      <c r="C10" s="8" t="s">
        <v>128</v>
      </c>
      <c r="D10" s="15">
        <f>D6</f>
        <v>0.187</v>
      </c>
      <c r="E10" s="15">
        <f>E6</f>
        <v>0.14307181999290131</v>
      </c>
      <c r="F10" s="15">
        <f>F6</f>
        <v>0.13917403294178585</v>
      </c>
      <c r="G10" s="54"/>
      <c r="H10" s="58">
        <f t="shared" si="0"/>
        <v>0.15641528431156237</v>
      </c>
      <c r="I10" s="8" t="s">
        <v>121</v>
      </c>
    </row>
    <row r="11" spans="1:9" x14ac:dyDescent="0.2">
      <c r="B11" s="8" t="s">
        <v>97</v>
      </c>
      <c r="C11" s="8" t="s">
        <v>131</v>
      </c>
      <c r="D11" s="15">
        <v>0.23</v>
      </c>
      <c r="E11" s="15">
        <v>0.23</v>
      </c>
      <c r="F11" s="15">
        <f>(((24120-20556)/24120)+((22139-18925)/22139))/2</f>
        <v>0.14646743472213888</v>
      </c>
      <c r="G11" s="54"/>
      <c r="H11" s="58">
        <f t="shared" si="0"/>
        <v>0.2021558115740463</v>
      </c>
      <c r="I11" s="8" t="s">
        <v>121</v>
      </c>
    </row>
    <row r="13" spans="1:9" x14ac:dyDescent="0.2">
      <c r="B13" s="8" t="s">
        <v>122</v>
      </c>
    </row>
    <row r="14" spans="1:9" x14ac:dyDescent="0.2">
      <c r="F14" s="8" t="s">
        <v>123</v>
      </c>
    </row>
    <row r="15" spans="1:9" x14ac:dyDescent="0.2">
      <c r="B15" s="24" t="s">
        <v>96</v>
      </c>
      <c r="C15" s="24" t="s">
        <v>248</v>
      </c>
    </row>
    <row r="16" spans="1:9" x14ac:dyDescent="0.2">
      <c r="B16" s="8" t="s">
        <v>98</v>
      </c>
      <c r="C16" s="66">
        <f>AVERAGE('P&amp;L Input'!F29:G29)</f>
        <v>0.2234438823353104</v>
      </c>
    </row>
    <row r="17" spans="2:3" x14ac:dyDescent="0.2">
      <c r="B17" s="8" t="s">
        <v>104</v>
      </c>
      <c r="C17" s="66">
        <f>AVERAGE('P&amp;L Input'!F29:G29)</f>
        <v>0.2234438823353104</v>
      </c>
    </row>
    <row r="18" spans="2:3" x14ac:dyDescent="0.2">
      <c r="B18" s="8" t="s">
        <v>99</v>
      </c>
      <c r="C18" s="54" t="s">
        <v>63</v>
      </c>
    </row>
    <row r="19" spans="2:3" x14ac:dyDescent="0.2">
      <c r="B19" s="8" t="s">
        <v>101</v>
      </c>
      <c r="C19" s="54" t="s">
        <v>63</v>
      </c>
    </row>
    <row r="20" spans="2:3" x14ac:dyDescent="0.2">
      <c r="B20" s="8" t="s">
        <v>100</v>
      </c>
      <c r="C20" s="54" t="s">
        <v>63</v>
      </c>
    </row>
    <row r="21" spans="2:3" x14ac:dyDescent="0.2">
      <c r="B21" s="8" t="s">
        <v>97</v>
      </c>
      <c r="C21" s="54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25" t="s">
        <v>133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H14*'Revenue automotive'!H5</f>
        <v>5824.2480825969187</v>
      </c>
      <c r="I5" s="45">
        <f>I14*'Revenue automotive'!I5</f>
        <v>6406.672890856612</v>
      </c>
      <c r="J5" s="45">
        <f>J14*'Revenue automotive'!J5</f>
        <v>7047.3401799422736</v>
      </c>
      <c r="K5" s="45">
        <f>K14*'Revenue automotive'!K5</f>
        <v>7611.1273943376555</v>
      </c>
      <c r="L5" s="45">
        <f>L14*'Revenue automotive'!L5</f>
        <v>8220.0175858846687</v>
      </c>
      <c r="M5" s="45">
        <f>M14*'Revenue automotive'!M5</f>
        <v>8548.8182893200574</v>
      </c>
      <c r="N5" s="45">
        <f>N14*'Revenue automotive'!N5</f>
        <v>8890.7710208928584</v>
      </c>
      <c r="O5" s="45">
        <f>O14*'Revenue automotive'!O5</f>
        <v>9246.4018617285728</v>
      </c>
      <c r="P5" s="45">
        <f>P14*'Revenue automotive'!P5</f>
        <v>9616.2579361977168</v>
      </c>
      <c r="Q5" s="45">
        <f>Q14*'Revenue automotive'!Q5</f>
        <v>10000.908253645626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H15*'Revenue automotive'!H6</f>
        <v>1574.3287108144762</v>
      </c>
      <c r="I6" s="45">
        <f>I15*'Revenue automotive'!I6</f>
        <v>1637.3018592470555</v>
      </c>
      <c r="J6" s="45">
        <f>J15*'Revenue automotive'!J6</f>
        <v>1702.7939336169377</v>
      </c>
      <c r="K6" s="45">
        <f>K15*'Revenue automotive'!K6</f>
        <v>1770.9056909616154</v>
      </c>
      <c r="L6" s="45">
        <f>L15*'Revenue automotive'!L6</f>
        <v>1841.7419186000798</v>
      </c>
      <c r="M6" s="45">
        <f>M15*'Revenue automotive'!M6</f>
        <v>1915.4115953440833</v>
      </c>
      <c r="N6" s="45">
        <f>N15*'Revenue automotive'!N6</f>
        <v>1992.0280591578464</v>
      </c>
      <c r="O6" s="45">
        <f>O15*'Revenue automotive'!O6</f>
        <v>2071.7091815241611</v>
      </c>
      <c r="P6" s="45">
        <f>P15*'Revenue automotive'!P6</f>
        <v>2154.577548785127</v>
      </c>
      <c r="Q6" s="45">
        <f>Q15*'Revenue automotive'!Q6</f>
        <v>2240.7606507365322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G16*'Revenue automotive'!G7</f>
        <v>0</v>
      </c>
      <c r="H7" s="45">
        <f>H16*'Revenue automotive'!H7</f>
        <v>16.830910253061358</v>
      </c>
      <c r="I7" s="45">
        <f>I16*'Revenue automotive'!I7</f>
        <v>1393.5592953576397</v>
      </c>
      <c r="J7" s="45">
        <f>J16*'Revenue automotive'!J7</f>
        <v>2870.1758887611409</v>
      </c>
      <c r="K7" s="45">
        <f>K16*'Revenue automotive'!K7</f>
        <v>4592.2814220178252</v>
      </c>
      <c r="L7" s="45">
        <f>L16*'Revenue automotive'!L7</f>
        <v>5051.5095642196075</v>
      </c>
      <c r="M7" s="45">
        <f>M16*'Revenue automotive'!M7</f>
        <v>5556.6605206415707</v>
      </c>
      <c r="N7" s="45">
        <f>N16*'Revenue automotive'!N7</f>
        <v>6001.1933622928955</v>
      </c>
      <c r="O7" s="45">
        <f>O16*'Revenue automotive'!O7</f>
        <v>6481.2888312763271</v>
      </c>
      <c r="P7" s="45">
        <f>P16*'Revenue automotive'!P7</f>
        <v>6740.5403845273813</v>
      </c>
      <c r="Q7" s="45">
        <f>Q16*'Revenue automotive'!Q7</f>
        <v>7010.1619999084769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G17*'Revenue automotive'!G8</f>
        <v>0</v>
      </c>
      <c r="H8" s="45">
        <f>H17*'Revenue automotive'!H8</f>
        <v>0</v>
      </c>
      <c r="I8" s="45">
        <f>I17*'Revenue automotive'!I8</f>
        <v>0</v>
      </c>
      <c r="J8" s="45">
        <f>J17*'Revenue automotive'!J8</f>
        <v>49.608602390409423</v>
      </c>
      <c r="K8" s="45">
        <f>K17*'Revenue automotive'!K8</f>
        <v>99.217204780818847</v>
      </c>
      <c r="L8" s="45">
        <f>L17*'Revenue automotive'!L8</f>
        <v>148.82580717122826</v>
      </c>
      <c r="M8" s="45">
        <f>M17*'Revenue automotive'!M8</f>
        <v>163.70838788835113</v>
      </c>
      <c r="N8" s="45">
        <f>N17*'Revenue automotive'!N8</f>
        <v>180.07922667718626</v>
      </c>
      <c r="O8" s="45">
        <f>O17*'Revenue automotive'!O8</f>
        <v>194.4855648113612</v>
      </c>
      <c r="P8" s="45">
        <f>P17*'Revenue automotive'!P8</f>
        <v>210.0444099962701</v>
      </c>
      <c r="Q8" s="45">
        <f>Q17*'Revenue automotive'!Q8</f>
        <v>218.44618639612091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G18*'Revenue automotive'!G9</f>
        <v>0</v>
      </c>
      <c r="H9" s="45">
        <f>H18*'Revenue automotive'!H9</f>
        <v>0</v>
      </c>
      <c r="I9" s="45">
        <f>I18*'Revenue automotive'!I9</f>
        <v>2.2836631509488106</v>
      </c>
      <c r="J9" s="45">
        <f>J18*'Revenue automotive'!J9</f>
        <v>189.08187160534501</v>
      </c>
      <c r="K9" s="45">
        <f>K18*'Revenue automotive'!K9</f>
        <v>389.43318069879064</v>
      </c>
      <c r="L9" s="45">
        <f>L18*'Revenue automotive'!L9</f>
        <v>623.093089118065</v>
      </c>
      <c r="M9" s="45">
        <f>M18*'Revenue automotive'!M9</f>
        <v>685.40239802987151</v>
      </c>
      <c r="N9" s="45">
        <f>N18*'Revenue automotive'!N9</f>
        <v>753.94263783285874</v>
      </c>
      <c r="O9" s="45">
        <f>O18*'Revenue automotive'!O9</f>
        <v>814.25804885948753</v>
      </c>
      <c r="P9" s="45">
        <f>P18*'Revenue automotive'!P9</f>
        <v>879.39869276824663</v>
      </c>
      <c r="Q9" s="45">
        <f>Q18*'Revenue automotive'!Q9</f>
        <v>914.57464047897656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G19*'Revenue automotive'!G10</f>
        <v>0</v>
      </c>
      <c r="H10" s="45">
        <f>H19*'Revenue automotive'!H10</f>
        <v>0</v>
      </c>
      <c r="I10" s="45">
        <f>I19*'Revenue automotive'!I10</f>
        <v>8.8443167563645257</v>
      </c>
      <c r="J10" s="45">
        <f>J19*'Revenue automotive'!J10</f>
        <v>732.28836952994379</v>
      </c>
      <c r="K10" s="45">
        <f>K19*'Revenue automotive'!K10</f>
        <v>1508.2217375656437</v>
      </c>
      <c r="L10" s="45">
        <f>L19*'Revenue automotive'!L10</f>
        <v>2413.1547801050301</v>
      </c>
      <c r="M10" s="45">
        <f>M19*'Revenue automotive'!M10</f>
        <v>2654.4702581155329</v>
      </c>
      <c r="N10" s="45">
        <f>N19*'Revenue automotive'!N10</f>
        <v>2919.9172839270868</v>
      </c>
      <c r="O10" s="45">
        <f>O19*'Revenue automotive'!O10</f>
        <v>3153.5106666412539</v>
      </c>
      <c r="P10" s="45">
        <f>P19*'Revenue automotive'!P10</f>
        <v>3405.7915199725549</v>
      </c>
      <c r="Q10" s="45">
        <f>Q19*'Revenue automotive'!Q10</f>
        <v>3542.0231807714576</v>
      </c>
    </row>
    <row r="11" spans="1:17" ht="12.75" thickBot="1" x14ac:dyDescent="0.25">
      <c r="B11" s="69" t="s">
        <v>66</v>
      </c>
      <c r="C11" s="75">
        <f>('P&amp;L Input'!C4+'P&amp;L Input'!C8)/1000</f>
        <v>917.67100000000005</v>
      </c>
      <c r="D11" s="75">
        <f>('P&amp;L Input'!D4+'P&amp;L Input'!D8)/1000</f>
        <v>1600.6849999999999</v>
      </c>
      <c r="E11" s="75">
        <f>('P&amp;L Input'!E4+'P&amp;L Input'!E8)/1000</f>
        <v>2208.596</v>
      </c>
      <c r="F11" s="75">
        <f>('P&amp;L Input'!F4+'P&amp;L Input'!F8)/1000</f>
        <v>4340.9859999999999</v>
      </c>
      <c r="G11" s="75">
        <f>('P&amp;L Input'!G4+'P&amp;L Input'!G8)/1000</f>
        <v>4423</v>
      </c>
      <c r="H11" s="75">
        <f t="shared" ref="H11:L11" si="0">SUM(H5:H10)</f>
        <v>7415.4077036644558</v>
      </c>
      <c r="I11" s="75">
        <f t="shared" si="0"/>
        <v>9448.6620253686197</v>
      </c>
      <c r="J11" s="75">
        <f>SUM(J5:J10)</f>
        <v>12591.288845846053</v>
      </c>
      <c r="K11" s="75">
        <f t="shared" si="0"/>
        <v>15971.186630362348</v>
      </c>
      <c r="L11" s="75">
        <f t="shared" si="0"/>
        <v>18298.342745098678</v>
      </c>
      <c r="M11" s="75">
        <f>SUM(M5:M10)</f>
        <v>19524.471449339468</v>
      </c>
      <c r="N11" s="75">
        <f>SUM(N5:N10)</f>
        <v>20737.931590780732</v>
      </c>
      <c r="O11" s="75">
        <f>SUM(O5:O10)</f>
        <v>21961.654154841166</v>
      </c>
      <c r="P11" s="75">
        <f>SUM(P5:P10)</f>
        <v>23006.610492247291</v>
      </c>
      <c r="Q11" s="75">
        <f>SUM(Q5:Q10)</f>
        <v>23926.874911937193</v>
      </c>
    </row>
    <row r="12" spans="1:17" ht="3" customHeight="1" x14ac:dyDescent="0.2"/>
    <row r="13" spans="1:17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98</v>
      </c>
      <c r="C14" s="50"/>
      <c r="D14" s="50"/>
      <c r="E14" s="50"/>
      <c r="F14" s="50"/>
      <c r="G14" s="49">
        <f>CHOOSE(Drivers!$C$3,'GP automotive'!G22,'GP automotive'!G30,'GP automotive'!G38)</f>
        <v>0.2234438823353104</v>
      </c>
      <c r="H14" s="49">
        <f>CHOOSE(Drivers!$C$3,'GP automotive'!H22,'GP automotive'!H30,'GP automotive'!H38)</f>
        <v>0.2234438823353104</v>
      </c>
      <c r="I14" s="49">
        <f>CHOOSE(Drivers!$C$3,'GP automotive'!I22,'GP automotive'!I30,'GP automotive'!I38)</f>
        <v>0.2234438823353104</v>
      </c>
      <c r="J14" s="49">
        <f>CHOOSE(Drivers!$C$3,'GP automotive'!J22,'GP automotive'!J30,'GP automotive'!J38)</f>
        <v>0.2234438823353104</v>
      </c>
      <c r="K14" s="49">
        <f>CHOOSE(Drivers!$C$3,'GP automotive'!K22,'GP automotive'!K30,'GP automotive'!K38)</f>
        <v>0.2234438823353104</v>
      </c>
      <c r="L14" s="49">
        <f>CHOOSE(Drivers!$C$3,'GP automotive'!L22,'GP automotive'!L30,'GP automotive'!L38)</f>
        <v>0.2234438823353104</v>
      </c>
      <c r="M14" s="49">
        <f>CHOOSE(Drivers!$C$3,'GP automotive'!M22,'GP automotive'!M30,'GP automotive'!M38)</f>
        <v>0.2234438823353104</v>
      </c>
      <c r="N14" s="49">
        <f>CHOOSE(Drivers!$C$3,'GP automotive'!N22,'GP automotive'!N30,'GP automotive'!N38)</f>
        <v>0.2234438823353104</v>
      </c>
      <c r="O14" s="49">
        <f>CHOOSE(Drivers!$C$3,'GP automotive'!O22,'GP automotive'!O30,'GP automotive'!O38)</f>
        <v>0.2234438823353104</v>
      </c>
      <c r="P14" s="49">
        <f>CHOOSE(Drivers!$C$3,'GP automotive'!P22,'GP automotive'!P30,'GP automotive'!P38)</f>
        <v>0.2234438823353104</v>
      </c>
      <c r="Q14" s="49">
        <f>CHOOSE(Drivers!$C$3,'GP automotive'!Q22,'GP automotive'!Q30,'GP automotive'!Q38)</f>
        <v>0.2234438823353104</v>
      </c>
    </row>
    <row r="15" spans="1:17" x14ac:dyDescent="0.2">
      <c r="B15" s="47" t="s">
        <v>104</v>
      </c>
      <c r="C15" s="50"/>
      <c r="D15" s="38"/>
      <c r="E15" s="38"/>
      <c r="F15" s="38"/>
      <c r="G15" s="49">
        <f>CHOOSE(Drivers!$C$3,'GP automotive'!G23,'GP automotive'!G31,'GP automotive'!G39)</f>
        <v>0.2234438823353104</v>
      </c>
      <c r="H15" s="49">
        <f>CHOOSE(Drivers!$C$3,'GP automotive'!H23,'GP automotive'!H31,'GP automotive'!H39)</f>
        <v>0.2234438823353104</v>
      </c>
      <c r="I15" s="49">
        <f>CHOOSE(Drivers!$C$3,'GP automotive'!I23,'GP automotive'!I31,'GP automotive'!I39)</f>
        <v>0.2234438823353104</v>
      </c>
      <c r="J15" s="49">
        <f>CHOOSE(Drivers!$C$3,'GP automotive'!J23,'GP automotive'!J31,'GP automotive'!J39)</f>
        <v>0.2234438823353104</v>
      </c>
      <c r="K15" s="49">
        <f>CHOOSE(Drivers!$C$3,'GP automotive'!K23,'GP automotive'!K31,'GP automotive'!K39)</f>
        <v>0.2234438823353104</v>
      </c>
      <c r="L15" s="49">
        <f>CHOOSE(Drivers!$C$3,'GP automotive'!L23,'GP automotive'!L31,'GP automotive'!L39)</f>
        <v>0.2234438823353104</v>
      </c>
      <c r="M15" s="49">
        <f>CHOOSE(Drivers!$C$3,'GP automotive'!M23,'GP automotive'!M31,'GP automotive'!M39)</f>
        <v>0.2234438823353104</v>
      </c>
      <c r="N15" s="49">
        <f>CHOOSE(Drivers!$C$3,'GP automotive'!N23,'GP automotive'!N31,'GP automotive'!N39)</f>
        <v>0.2234438823353104</v>
      </c>
      <c r="O15" s="49">
        <f>CHOOSE(Drivers!$C$3,'GP automotive'!O23,'GP automotive'!O31,'GP automotive'!O39)</f>
        <v>0.2234438823353104</v>
      </c>
      <c r="P15" s="49">
        <f>CHOOSE(Drivers!$C$3,'GP automotive'!P23,'GP automotive'!P31,'GP automotive'!P39)</f>
        <v>0.2234438823353104</v>
      </c>
      <c r="Q15" s="49">
        <f>CHOOSE(Drivers!$C$3,'GP automotive'!Q23,'GP automotive'!Q31,'GP automotive'!Q39)</f>
        <v>0.2234438823353104</v>
      </c>
    </row>
    <row r="16" spans="1:17" x14ac:dyDescent="0.2">
      <c r="B16" s="47" t="s">
        <v>99</v>
      </c>
      <c r="C16" s="50"/>
      <c r="D16" s="50"/>
      <c r="E16" s="50"/>
      <c r="F16" s="50"/>
      <c r="G16" s="49">
        <f>CHOOSE(Drivers!$C$3,'GP automotive'!G24,'GP automotive'!G32,'GP automotive'!G40)</f>
        <v>0.15641528431156237</v>
      </c>
      <c r="H16" s="49">
        <f>CHOOSE(Drivers!$C$3,'GP automotive'!H24,'GP automotive'!H32,'GP automotive'!H40)</f>
        <v>0.15641528431156237</v>
      </c>
      <c r="I16" s="49">
        <f>CHOOSE(Drivers!$C$3,'GP automotive'!I24,'GP automotive'!I32,'GP automotive'!I40)</f>
        <v>0.15641528431156237</v>
      </c>
      <c r="J16" s="49">
        <f>CHOOSE(Drivers!$C$3,'GP automotive'!J24,'GP automotive'!J32,'GP automotive'!J40)</f>
        <v>0.15641528431156237</v>
      </c>
      <c r="K16" s="49">
        <f>CHOOSE(Drivers!$C$3,'GP automotive'!K24,'GP automotive'!K32,'GP automotive'!K40)</f>
        <v>0.15641528431156237</v>
      </c>
      <c r="L16" s="49">
        <f>CHOOSE(Drivers!$C$3,'GP automotive'!L24,'GP automotive'!L32,'GP automotive'!L40)</f>
        <v>0.15641528431156237</v>
      </c>
      <c r="M16" s="49">
        <f>CHOOSE(Drivers!$C$3,'GP automotive'!M24,'GP automotive'!M32,'GP automotive'!M40)</f>
        <v>0.15641528431156237</v>
      </c>
      <c r="N16" s="49">
        <f>CHOOSE(Drivers!$C$3,'GP automotive'!N24,'GP automotive'!N32,'GP automotive'!N40)</f>
        <v>0.15641528431156237</v>
      </c>
      <c r="O16" s="49">
        <f>CHOOSE(Drivers!$C$3,'GP automotive'!O24,'GP automotive'!O32,'GP automotive'!O40)</f>
        <v>0.15641528431156237</v>
      </c>
      <c r="P16" s="49">
        <f>CHOOSE(Drivers!$C$3,'GP automotive'!P24,'GP automotive'!P32,'GP automotive'!P40)</f>
        <v>0.15641528431156237</v>
      </c>
      <c r="Q16" s="49">
        <f>CHOOSE(Drivers!$C$3,'GP automotive'!Q24,'GP automotive'!Q32,'GP automotive'!Q40)</f>
        <v>0.15641528431156237</v>
      </c>
    </row>
    <row r="17" spans="2:17" x14ac:dyDescent="0.2">
      <c r="B17" s="47" t="s">
        <v>101</v>
      </c>
      <c r="C17" s="50"/>
      <c r="D17" s="50"/>
      <c r="E17" s="50"/>
      <c r="F17" s="50"/>
      <c r="G17" s="49">
        <f>CHOOSE(Drivers!$C$3,'GP automotive'!G25,'GP automotive'!G33,'GP automotive'!G41)</f>
        <v>0.44096535458141711</v>
      </c>
      <c r="H17" s="49">
        <f>CHOOSE(Drivers!$C$3,'GP automotive'!H25,'GP automotive'!H33,'GP automotive'!H41)</f>
        <v>0.44096535458141711</v>
      </c>
      <c r="I17" s="49">
        <f>CHOOSE(Drivers!$C$3,'GP automotive'!I25,'GP automotive'!I33,'GP automotive'!I41)</f>
        <v>0.44096535458141711</v>
      </c>
      <c r="J17" s="49">
        <f>CHOOSE(Drivers!$C$3,'GP automotive'!J25,'GP automotive'!J33,'GP automotive'!J41)</f>
        <v>0.44096535458141711</v>
      </c>
      <c r="K17" s="49">
        <f>CHOOSE(Drivers!$C$3,'GP automotive'!K25,'GP automotive'!K33,'GP automotive'!K41)</f>
        <v>0.44096535458141711</v>
      </c>
      <c r="L17" s="49">
        <f>CHOOSE(Drivers!$C$3,'GP automotive'!L25,'GP automotive'!L33,'GP automotive'!L41)</f>
        <v>0.44096535458141711</v>
      </c>
      <c r="M17" s="49">
        <f>CHOOSE(Drivers!$C$3,'GP automotive'!M25,'GP automotive'!M33,'GP automotive'!M41)</f>
        <v>0.44096535458141711</v>
      </c>
      <c r="N17" s="49">
        <f>CHOOSE(Drivers!$C$3,'GP automotive'!N25,'GP automotive'!N33,'GP automotive'!N41)</f>
        <v>0.44096535458141711</v>
      </c>
      <c r="O17" s="49">
        <f>CHOOSE(Drivers!$C$3,'GP automotive'!O25,'GP automotive'!O33,'GP automotive'!O41)</f>
        <v>0.44096535458141711</v>
      </c>
      <c r="P17" s="49">
        <f>CHOOSE(Drivers!$C$3,'GP automotive'!P25,'GP automotive'!P33,'GP automotive'!P41)</f>
        <v>0.44096535458141711</v>
      </c>
      <c r="Q17" s="49">
        <f>CHOOSE(Drivers!$C$3,'GP automotive'!Q25,'GP automotive'!Q33,'GP automotive'!Q41)</f>
        <v>0.44096535458141711</v>
      </c>
    </row>
    <row r="18" spans="2:17" x14ac:dyDescent="0.2">
      <c r="B18" s="47" t="s">
        <v>100</v>
      </c>
      <c r="C18" s="50"/>
      <c r="D18" s="50"/>
      <c r="E18" s="50"/>
      <c r="F18" s="50"/>
      <c r="G18" s="49">
        <f>CHOOSE(Drivers!$C$3,'GP automotive'!G26,'GP automotive'!G34,'GP automotive'!G42)</f>
        <v>0.15641528431156237</v>
      </c>
      <c r="H18" s="49">
        <f>CHOOSE(Drivers!$C$3,'GP automotive'!H26,'GP automotive'!H34,'GP automotive'!H42)</f>
        <v>0.15641528431156237</v>
      </c>
      <c r="I18" s="49">
        <f>CHOOSE(Drivers!$C$3,'GP automotive'!I26,'GP automotive'!I34,'GP automotive'!I42)</f>
        <v>0.15641528431156237</v>
      </c>
      <c r="J18" s="49">
        <f>CHOOSE(Drivers!$C$3,'GP automotive'!J26,'GP automotive'!J34,'GP automotive'!J42)</f>
        <v>0.15641528431156237</v>
      </c>
      <c r="K18" s="49">
        <f>CHOOSE(Drivers!$C$3,'GP automotive'!K26,'GP automotive'!K34,'GP automotive'!K42)</f>
        <v>0.15641528431156237</v>
      </c>
      <c r="L18" s="49">
        <f>CHOOSE(Drivers!$C$3,'GP automotive'!L26,'GP automotive'!L34,'GP automotive'!L42)</f>
        <v>0.15641528431156237</v>
      </c>
      <c r="M18" s="49">
        <f>CHOOSE(Drivers!$C$3,'GP automotive'!M26,'GP automotive'!M34,'GP automotive'!M42)</f>
        <v>0.15641528431156237</v>
      </c>
      <c r="N18" s="49">
        <f>CHOOSE(Drivers!$C$3,'GP automotive'!N26,'GP automotive'!N34,'GP automotive'!N42)</f>
        <v>0.15641528431156237</v>
      </c>
      <c r="O18" s="49">
        <f>CHOOSE(Drivers!$C$3,'GP automotive'!O26,'GP automotive'!O34,'GP automotive'!O42)</f>
        <v>0.15641528431156237</v>
      </c>
      <c r="P18" s="49">
        <f>CHOOSE(Drivers!$C$3,'GP automotive'!P26,'GP automotive'!P34,'GP automotive'!P42)</f>
        <v>0.15641528431156237</v>
      </c>
      <c r="Q18" s="49">
        <f>CHOOSE(Drivers!$C$3,'GP automotive'!Q26,'GP automotive'!Q34,'GP automotive'!Q42)</f>
        <v>0.15641528431156237</v>
      </c>
    </row>
    <row r="19" spans="2:17" x14ac:dyDescent="0.2">
      <c r="B19" s="47" t="s">
        <v>97</v>
      </c>
      <c r="C19" s="50"/>
      <c r="D19" s="50"/>
      <c r="E19" s="50"/>
      <c r="F19" s="50"/>
      <c r="G19" s="49">
        <f>CHOOSE(Drivers!$C$3,'GP automotive'!G27,'GP automotive'!G35,'GP automotive'!G43)</f>
        <v>0.2021558115740463</v>
      </c>
      <c r="H19" s="49">
        <f>CHOOSE(Drivers!$C$3,'GP automotive'!H27,'GP automotive'!H35,'GP automotive'!H43)</f>
        <v>0.2021558115740463</v>
      </c>
      <c r="I19" s="49">
        <f>CHOOSE(Drivers!$C$3,'GP automotive'!I27,'GP automotive'!I35,'GP automotive'!I43)</f>
        <v>0.2021558115740463</v>
      </c>
      <c r="J19" s="49">
        <f>CHOOSE(Drivers!$C$3,'GP automotive'!J27,'GP automotive'!J35,'GP automotive'!J43)</f>
        <v>0.2021558115740463</v>
      </c>
      <c r="K19" s="49">
        <f>CHOOSE(Drivers!$C$3,'GP automotive'!K27,'GP automotive'!K35,'GP automotive'!K43)</f>
        <v>0.2021558115740463</v>
      </c>
      <c r="L19" s="49">
        <f>CHOOSE(Drivers!$C$3,'GP automotive'!L27,'GP automotive'!L35,'GP automotive'!L43)</f>
        <v>0.2021558115740463</v>
      </c>
      <c r="M19" s="49">
        <f>CHOOSE(Drivers!$C$3,'GP automotive'!M27,'GP automotive'!M35,'GP automotive'!M43)</f>
        <v>0.2021558115740463</v>
      </c>
      <c r="N19" s="49">
        <f>CHOOSE(Drivers!$C$3,'GP automotive'!N27,'GP automotive'!N35,'GP automotive'!N43)</f>
        <v>0.2021558115740463</v>
      </c>
      <c r="O19" s="49">
        <f>CHOOSE(Drivers!$C$3,'GP automotive'!O27,'GP automotive'!O35,'GP automotive'!O43)</f>
        <v>0.2021558115740463</v>
      </c>
      <c r="P19" s="49">
        <f>CHOOSE(Drivers!$C$3,'GP automotive'!P27,'GP automotive'!P35,'GP automotive'!P43)</f>
        <v>0.2021558115740463</v>
      </c>
      <c r="Q19" s="49">
        <f>CHOOSE(Drivers!$C$3,'GP automotive'!Q27,'GP automotive'!Q35,'GP automotive'!Q43)</f>
        <v>0.2021558115740463</v>
      </c>
    </row>
    <row r="20" spans="2:17" x14ac:dyDescent="0.2">
      <c r="B20" s="47"/>
      <c r="C20" s="50"/>
      <c r="D20" s="50"/>
      <c r="E20" s="50"/>
      <c r="F20" s="50"/>
      <c r="G20" s="50"/>
      <c r="H20" s="50"/>
      <c r="I20" s="48"/>
      <c r="J20" s="48"/>
      <c r="K20" s="48"/>
      <c r="L20" s="48"/>
      <c r="M20" s="48"/>
      <c r="N20" s="48"/>
      <c r="O20" s="48"/>
      <c r="P20" s="48"/>
      <c r="Q20" s="48"/>
    </row>
    <row r="21" spans="2:17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spans="2:17" x14ac:dyDescent="0.2">
      <c r="B22" s="47" t="s">
        <v>98</v>
      </c>
      <c r="C22" s="50"/>
      <c r="D22" s="50"/>
      <c r="E22" s="50"/>
      <c r="F22" s="50"/>
      <c r="G22" s="49">
        <f>G30+1.5%</f>
        <v>0.23844388233531039</v>
      </c>
      <c r="H22" s="49">
        <f t="shared" ref="H22:Q22" si="1">H30+1.5%</f>
        <v>0.23844388233531039</v>
      </c>
      <c r="I22" s="49">
        <f t="shared" si="1"/>
        <v>0.23844388233531039</v>
      </c>
      <c r="J22" s="49">
        <f t="shared" si="1"/>
        <v>0.23844388233531039</v>
      </c>
      <c r="K22" s="49">
        <f t="shared" si="1"/>
        <v>0.23844388233531039</v>
      </c>
      <c r="L22" s="49">
        <f t="shared" si="1"/>
        <v>0.23844388233531039</v>
      </c>
      <c r="M22" s="49">
        <f t="shared" si="1"/>
        <v>0.23844388233531039</v>
      </c>
      <c r="N22" s="49">
        <f t="shared" si="1"/>
        <v>0.23844388233531039</v>
      </c>
      <c r="O22" s="49">
        <f t="shared" si="1"/>
        <v>0.23844388233531039</v>
      </c>
      <c r="P22" s="49">
        <f t="shared" si="1"/>
        <v>0.23844388233531039</v>
      </c>
      <c r="Q22" s="49">
        <f t="shared" si="1"/>
        <v>0.23844388233531039</v>
      </c>
    </row>
    <row r="23" spans="2:17" x14ac:dyDescent="0.2">
      <c r="B23" s="47" t="s">
        <v>104</v>
      </c>
      <c r="C23" s="50"/>
      <c r="D23" s="38"/>
      <c r="E23" s="38"/>
      <c r="F23" s="38"/>
      <c r="G23" s="49">
        <f t="shared" ref="G23:Q23" si="2">G31+1.5%</f>
        <v>0.23844388233531039</v>
      </c>
      <c r="H23" s="49">
        <f t="shared" si="2"/>
        <v>0.23844388233531039</v>
      </c>
      <c r="I23" s="49">
        <f t="shared" si="2"/>
        <v>0.23844388233531039</v>
      </c>
      <c r="J23" s="49">
        <f t="shared" si="2"/>
        <v>0.23844388233531039</v>
      </c>
      <c r="K23" s="49">
        <f t="shared" si="2"/>
        <v>0.23844388233531039</v>
      </c>
      <c r="L23" s="49">
        <f t="shared" si="2"/>
        <v>0.23844388233531039</v>
      </c>
      <c r="M23" s="49">
        <f t="shared" si="2"/>
        <v>0.23844388233531039</v>
      </c>
      <c r="N23" s="49">
        <f t="shared" si="2"/>
        <v>0.23844388233531039</v>
      </c>
      <c r="O23" s="49">
        <f t="shared" si="2"/>
        <v>0.23844388233531039</v>
      </c>
      <c r="P23" s="49">
        <f t="shared" si="2"/>
        <v>0.23844388233531039</v>
      </c>
      <c r="Q23" s="49">
        <f t="shared" si="2"/>
        <v>0.23844388233531039</v>
      </c>
    </row>
    <row r="24" spans="2:17" x14ac:dyDescent="0.2">
      <c r="B24" s="47" t="s">
        <v>99</v>
      </c>
      <c r="C24" s="50"/>
      <c r="D24" s="50"/>
      <c r="E24" s="50"/>
      <c r="F24" s="50"/>
      <c r="G24" s="49">
        <f t="shared" ref="G24:Q24" si="3">G32+1.5%</f>
        <v>0.17141528431156239</v>
      </c>
      <c r="H24" s="49">
        <f t="shared" si="3"/>
        <v>0.17141528431156239</v>
      </c>
      <c r="I24" s="49">
        <f t="shared" si="3"/>
        <v>0.17141528431156239</v>
      </c>
      <c r="J24" s="49">
        <f t="shared" si="3"/>
        <v>0.17141528431156239</v>
      </c>
      <c r="K24" s="49">
        <f t="shared" si="3"/>
        <v>0.17141528431156239</v>
      </c>
      <c r="L24" s="49">
        <f t="shared" si="3"/>
        <v>0.17141528431156239</v>
      </c>
      <c r="M24" s="49">
        <f t="shared" si="3"/>
        <v>0.17141528431156239</v>
      </c>
      <c r="N24" s="49">
        <f t="shared" si="3"/>
        <v>0.17141528431156239</v>
      </c>
      <c r="O24" s="49">
        <f t="shared" si="3"/>
        <v>0.17141528431156239</v>
      </c>
      <c r="P24" s="49">
        <f t="shared" si="3"/>
        <v>0.17141528431156239</v>
      </c>
      <c r="Q24" s="49">
        <f t="shared" si="3"/>
        <v>0.17141528431156239</v>
      </c>
    </row>
    <row r="25" spans="2:17" x14ac:dyDescent="0.2">
      <c r="B25" s="47" t="s">
        <v>101</v>
      </c>
      <c r="C25" s="50"/>
      <c r="D25" s="50"/>
      <c r="E25" s="50"/>
      <c r="F25" s="50"/>
      <c r="G25" s="49">
        <f t="shared" ref="G25:Q25" si="4">G33+1.5%</f>
        <v>0.45596535458141713</v>
      </c>
      <c r="H25" s="49">
        <f t="shared" si="4"/>
        <v>0.45596535458141713</v>
      </c>
      <c r="I25" s="49">
        <f t="shared" si="4"/>
        <v>0.45596535458141713</v>
      </c>
      <c r="J25" s="49">
        <f t="shared" si="4"/>
        <v>0.45596535458141713</v>
      </c>
      <c r="K25" s="49">
        <f t="shared" si="4"/>
        <v>0.45596535458141713</v>
      </c>
      <c r="L25" s="49">
        <f t="shared" si="4"/>
        <v>0.45596535458141713</v>
      </c>
      <c r="M25" s="49">
        <f t="shared" si="4"/>
        <v>0.45596535458141713</v>
      </c>
      <c r="N25" s="49">
        <f t="shared" si="4"/>
        <v>0.45596535458141713</v>
      </c>
      <c r="O25" s="49">
        <f t="shared" si="4"/>
        <v>0.45596535458141713</v>
      </c>
      <c r="P25" s="49">
        <f t="shared" si="4"/>
        <v>0.45596535458141713</v>
      </c>
      <c r="Q25" s="49">
        <f t="shared" si="4"/>
        <v>0.45596535458141713</v>
      </c>
    </row>
    <row r="26" spans="2:17" x14ac:dyDescent="0.2">
      <c r="B26" s="47" t="s">
        <v>100</v>
      </c>
      <c r="C26" s="50"/>
      <c r="D26" s="50"/>
      <c r="E26" s="50"/>
      <c r="F26" s="50"/>
      <c r="G26" s="49">
        <f t="shared" ref="G26:Q26" si="5">G34+1.5%</f>
        <v>0.17141528431156239</v>
      </c>
      <c r="H26" s="49">
        <f t="shared" si="5"/>
        <v>0.17141528431156239</v>
      </c>
      <c r="I26" s="49">
        <f t="shared" si="5"/>
        <v>0.17141528431156239</v>
      </c>
      <c r="J26" s="49">
        <f t="shared" si="5"/>
        <v>0.17141528431156239</v>
      </c>
      <c r="K26" s="49">
        <f t="shared" si="5"/>
        <v>0.17141528431156239</v>
      </c>
      <c r="L26" s="49">
        <f t="shared" si="5"/>
        <v>0.17141528431156239</v>
      </c>
      <c r="M26" s="49">
        <f t="shared" si="5"/>
        <v>0.17141528431156239</v>
      </c>
      <c r="N26" s="49">
        <f t="shared" si="5"/>
        <v>0.17141528431156239</v>
      </c>
      <c r="O26" s="49">
        <f t="shared" si="5"/>
        <v>0.17141528431156239</v>
      </c>
      <c r="P26" s="49">
        <f t="shared" si="5"/>
        <v>0.17141528431156239</v>
      </c>
      <c r="Q26" s="49">
        <f t="shared" si="5"/>
        <v>0.17141528431156239</v>
      </c>
    </row>
    <row r="27" spans="2:17" x14ac:dyDescent="0.2">
      <c r="B27" s="47" t="s">
        <v>97</v>
      </c>
      <c r="C27" s="50"/>
      <c r="D27" s="50"/>
      <c r="E27" s="50"/>
      <c r="F27" s="50"/>
      <c r="G27" s="49">
        <f t="shared" ref="G27:Q27" si="6">G35+1.5%</f>
        <v>0.21715581157404629</v>
      </c>
      <c r="H27" s="49">
        <f t="shared" si="6"/>
        <v>0.21715581157404629</v>
      </c>
      <c r="I27" s="49">
        <f t="shared" si="6"/>
        <v>0.21715581157404629</v>
      </c>
      <c r="J27" s="49">
        <f t="shared" si="6"/>
        <v>0.21715581157404629</v>
      </c>
      <c r="K27" s="49">
        <f t="shared" si="6"/>
        <v>0.21715581157404629</v>
      </c>
      <c r="L27" s="49">
        <f t="shared" si="6"/>
        <v>0.21715581157404629</v>
      </c>
      <c r="M27" s="49">
        <f t="shared" si="6"/>
        <v>0.21715581157404629</v>
      </c>
      <c r="N27" s="49">
        <f t="shared" si="6"/>
        <v>0.21715581157404629</v>
      </c>
      <c r="O27" s="49">
        <f t="shared" si="6"/>
        <v>0.21715581157404629</v>
      </c>
      <c r="P27" s="49">
        <f t="shared" si="6"/>
        <v>0.21715581157404629</v>
      </c>
      <c r="Q27" s="49">
        <f t="shared" si="6"/>
        <v>0.21715581157404629</v>
      </c>
    </row>
    <row r="28" spans="2:17" x14ac:dyDescent="0.2">
      <c r="B28" s="47"/>
      <c r="C28" s="50"/>
      <c r="D28" s="50"/>
      <c r="E28" s="50"/>
      <c r="F28" s="50"/>
      <c r="G28" s="50"/>
      <c r="H28" s="50"/>
      <c r="I28" s="48"/>
      <c r="J28" s="48"/>
      <c r="K28" s="48"/>
      <c r="L28" s="48"/>
      <c r="M28" s="48"/>
      <c r="N28" s="48"/>
      <c r="O28" s="48"/>
      <c r="P28" s="48"/>
      <c r="Q28" s="48"/>
    </row>
    <row r="29" spans="2:17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2:17" x14ac:dyDescent="0.2">
      <c r="B30" s="47" t="s">
        <v>98</v>
      </c>
      <c r="C30" s="50"/>
      <c r="D30" s="50"/>
      <c r="E30" s="50"/>
      <c r="F30" s="50"/>
      <c r="G30" s="49">
        <f>'GP% automotive'!$H6</f>
        <v>0.2234438823353104</v>
      </c>
      <c r="H30" s="49">
        <f>'GP% automotive'!$H6</f>
        <v>0.2234438823353104</v>
      </c>
      <c r="I30" s="49">
        <f>'GP% automotive'!$H6</f>
        <v>0.2234438823353104</v>
      </c>
      <c r="J30" s="49">
        <f>'GP% automotive'!$H6</f>
        <v>0.2234438823353104</v>
      </c>
      <c r="K30" s="49">
        <f>'GP% automotive'!$H6</f>
        <v>0.2234438823353104</v>
      </c>
      <c r="L30" s="49">
        <f>'GP% automotive'!$H6</f>
        <v>0.2234438823353104</v>
      </c>
      <c r="M30" s="49">
        <f>'GP% automotive'!$H6</f>
        <v>0.2234438823353104</v>
      </c>
      <c r="N30" s="49">
        <f>'GP% automotive'!$H6</f>
        <v>0.2234438823353104</v>
      </c>
      <c r="O30" s="49">
        <f>'GP% automotive'!$H6</f>
        <v>0.2234438823353104</v>
      </c>
      <c r="P30" s="49">
        <f>'GP% automotive'!$H6</f>
        <v>0.2234438823353104</v>
      </c>
      <c r="Q30" s="49">
        <f>'GP% automotive'!$H6</f>
        <v>0.2234438823353104</v>
      </c>
    </row>
    <row r="31" spans="2:17" x14ac:dyDescent="0.2">
      <c r="B31" s="47" t="s">
        <v>104</v>
      </c>
      <c r="C31" s="50"/>
      <c r="D31" s="38"/>
      <c r="E31" s="38"/>
      <c r="F31" s="38"/>
      <c r="G31" s="49">
        <f>'GP% automotive'!$H7</f>
        <v>0.2234438823353104</v>
      </c>
      <c r="H31" s="49">
        <f>'GP% automotive'!$H7</f>
        <v>0.2234438823353104</v>
      </c>
      <c r="I31" s="49">
        <f>'GP% automotive'!$H7</f>
        <v>0.2234438823353104</v>
      </c>
      <c r="J31" s="49">
        <f>'GP% automotive'!$H7</f>
        <v>0.2234438823353104</v>
      </c>
      <c r="K31" s="49">
        <f>'GP% automotive'!$H7</f>
        <v>0.2234438823353104</v>
      </c>
      <c r="L31" s="49">
        <f>'GP% automotive'!$H7</f>
        <v>0.2234438823353104</v>
      </c>
      <c r="M31" s="49">
        <f>'GP% automotive'!$H7</f>
        <v>0.2234438823353104</v>
      </c>
      <c r="N31" s="49">
        <f>'GP% automotive'!$H7</f>
        <v>0.2234438823353104</v>
      </c>
      <c r="O31" s="49">
        <f>'GP% automotive'!$H7</f>
        <v>0.2234438823353104</v>
      </c>
      <c r="P31" s="49">
        <f>'GP% automotive'!$H7</f>
        <v>0.2234438823353104</v>
      </c>
      <c r="Q31" s="49">
        <f>'GP% automotive'!$H7</f>
        <v>0.2234438823353104</v>
      </c>
    </row>
    <row r="32" spans="2:17" x14ac:dyDescent="0.2">
      <c r="B32" s="47" t="s">
        <v>99</v>
      </c>
      <c r="C32" s="50"/>
      <c r="D32" s="50"/>
      <c r="E32" s="50"/>
      <c r="F32" s="50"/>
      <c r="G32" s="49">
        <f>'GP% automotive'!$H8</f>
        <v>0.15641528431156237</v>
      </c>
      <c r="H32" s="49">
        <f>'GP% automotive'!$H8</f>
        <v>0.15641528431156237</v>
      </c>
      <c r="I32" s="49">
        <f>'GP% automotive'!$H8</f>
        <v>0.15641528431156237</v>
      </c>
      <c r="J32" s="49">
        <f>'GP% automotive'!$H8</f>
        <v>0.15641528431156237</v>
      </c>
      <c r="K32" s="49">
        <f>'GP% automotive'!$H8</f>
        <v>0.15641528431156237</v>
      </c>
      <c r="L32" s="49">
        <f>'GP% automotive'!$H8</f>
        <v>0.15641528431156237</v>
      </c>
      <c r="M32" s="49">
        <f>'GP% automotive'!$H8</f>
        <v>0.15641528431156237</v>
      </c>
      <c r="N32" s="49">
        <f>'GP% automotive'!$H8</f>
        <v>0.15641528431156237</v>
      </c>
      <c r="O32" s="49">
        <f>'GP% automotive'!$H8</f>
        <v>0.15641528431156237</v>
      </c>
      <c r="P32" s="49">
        <f>'GP% automotive'!$H8</f>
        <v>0.15641528431156237</v>
      </c>
      <c r="Q32" s="49">
        <f>'GP% automotive'!$H8</f>
        <v>0.15641528431156237</v>
      </c>
    </row>
    <row r="33" spans="2:17" x14ac:dyDescent="0.2">
      <c r="B33" s="47" t="s">
        <v>101</v>
      </c>
      <c r="C33" s="50"/>
      <c r="D33" s="50"/>
      <c r="E33" s="50"/>
      <c r="F33" s="50"/>
      <c r="G33" s="49">
        <f>'GP% automotive'!$H9</f>
        <v>0.44096535458141711</v>
      </c>
      <c r="H33" s="49">
        <f>'GP% automotive'!$H9</f>
        <v>0.44096535458141711</v>
      </c>
      <c r="I33" s="49">
        <f>'GP% automotive'!$H9</f>
        <v>0.44096535458141711</v>
      </c>
      <c r="J33" s="49">
        <f>'GP% automotive'!$H9</f>
        <v>0.44096535458141711</v>
      </c>
      <c r="K33" s="49">
        <f>'GP% automotive'!$H9</f>
        <v>0.44096535458141711</v>
      </c>
      <c r="L33" s="49">
        <f>'GP% automotive'!$H9</f>
        <v>0.44096535458141711</v>
      </c>
      <c r="M33" s="49">
        <f>'GP% automotive'!$H9</f>
        <v>0.44096535458141711</v>
      </c>
      <c r="N33" s="49">
        <f>'GP% automotive'!$H9</f>
        <v>0.44096535458141711</v>
      </c>
      <c r="O33" s="49">
        <f>'GP% automotive'!$H9</f>
        <v>0.44096535458141711</v>
      </c>
      <c r="P33" s="49">
        <f>'GP% automotive'!$H9</f>
        <v>0.44096535458141711</v>
      </c>
      <c r="Q33" s="49">
        <f>'GP% automotive'!$H9</f>
        <v>0.44096535458141711</v>
      </c>
    </row>
    <row r="34" spans="2:17" x14ac:dyDescent="0.2">
      <c r="B34" s="47" t="s">
        <v>100</v>
      </c>
      <c r="C34" s="50"/>
      <c r="D34" s="50"/>
      <c r="E34" s="50"/>
      <c r="F34" s="50"/>
      <c r="G34" s="49">
        <f>'GP% automotive'!$H10</f>
        <v>0.15641528431156237</v>
      </c>
      <c r="H34" s="49">
        <f>'GP% automotive'!$H10</f>
        <v>0.15641528431156237</v>
      </c>
      <c r="I34" s="49">
        <f>'GP% automotive'!$H10</f>
        <v>0.15641528431156237</v>
      </c>
      <c r="J34" s="49">
        <f>'GP% automotive'!$H10</f>
        <v>0.15641528431156237</v>
      </c>
      <c r="K34" s="49">
        <f>'GP% automotive'!$H10</f>
        <v>0.15641528431156237</v>
      </c>
      <c r="L34" s="49">
        <f>'GP% automotive'!$H10</f>
        <v>0.15641528431156237</v>
      </c>
      <c r="M34" s="49">
        <f>'GP% automotive'!$H10</f>
        <v>0.15641528431156237</v>
      </c>
      <c r="N34" s="49">
        <f>'GP% automotive'!$H10</f>
        <v>0.15641528431156237</v>
      </c>
      <c r="O34" s="49">
        <f>'GP% automotive'!$H10</f>
        <v>0.15641528431156237</v>
      </c>
      <c r="P34" s="49">
        <f>'GP% automotive'!$H10</f>
        <v>0.15641528431156237</v>
      </c>
      <c r="Q34" s="49">
        <f>'GP% automotive'!$H10</f>
        <v>0.15641528431156237</v>
      </c>
    </row>
    <row r="35" spans="2:17" x14ac:dyDescent="0.2">
      <c r="B35" s="47" t="s">
        <v>97</v>
      </c>
      <c r="C35" s="50"/>
      <c r="D35" s="50"/>
      <c r="E35" s="50"/>
      <c r="F35" s="50"/>
      <c r="G35" s="49">
        <f>'GP% automotive'!$H11</f>
        <v>0.2021558115740463</v>
      </c>
      <c r="H35" s="49">
        <f>'GP% automotive'!$H11</f>
        <v>0.2021558115740463</v>
      </c>
      <c r="I35" s="49">
        <f>'GP% automotive'!$H11</f>
        <v>0.2021558115740463</v>
      </c>
      <c r="J35" s="49">
        <f>'GP% automotive'!$H11</f>
        <v>0.2021558115740463</v>
      </c>
      <c r="K35" s="49">
        <f>'GP% automotive'!$H11</f>
        <v>0.2021558115740463</v>
      </c>
      <c r="L35" s="49">
        <f>'GP% automotive'!$H11</f>
        <v>0.2021558115740463</v>
      </c>
      <c r="M35" s="49">
        <f>'GP% automotive'!$H11</f>
        <v>0.2021558115740463</v>
      </c>
      <c r="N35" s="49">
        <f>'GP% automotive'!$H11</f>
        <v>0.2021558115740463</v>
      </c>
      <c r="O35" s="49">
        <f>'GP% automotive'!$H11</f>
        <v>0.2021558115740463</v>
      </c>
      <c r="P35" s="49">
        <f>'GP% automotive'!$H11</f>
        <v>0.2021558115740463</v>
      </c>
      <c r="Q35" s="49">
        <f>'GP% automotive'!$H11</f>
        <v>0.2021558115740463</v>
      </c>
    </row>
    <row r="36" spans="2:17" x14ac:dyDescent="0.2">
      <c r="B36" s="47"/>
      <c r="C36" s="50"/>
      <c r="D36" s="50"/>
      <c r="E36" s="50"/>
      <c r="F36" s="50"/>
      <c r="G36" s="50"/>
      <c r="H36" s="50"/>
      <c r="I36" s="48"/>
      <c r="J36" s="48"/>
      <c r="K36" s="48"/>
      <c r="L36" s="48"/>
      <c r="M36" s="48"/>
      <c r="N36" s="48"/>
      <c r="O36" s="48"/>
      <c r="P36" s="48"/>
      <c r="Q36" s="48"/>
    </row>
    <row r="37" spans="2:17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2:17" x14ac:dyDescent="0.2">
      <c r="B38" s="47" t="s">
        <v>98</v>
      </c>
      <c r="C38" s="50"/>
      <c r="D38" s="50"/>
      <c r="E38" s="50"/>
      <c r="F38" s="50"/>
      <c r="G38" s="49">
        <f>G30-1.5%</f>
        <v>0.20844388233531042</v>
      </c>
      <c r="H38" s="49">
        <f t="shared" ref="H38:Q38" si="7">H30-1.5%</f>
        <v>0.20844388233531042</v>
      </c>
      <c r="I38" s="49">
        <f t="shared" si="7"/>
        <v>0.20844388233531042</v>
      </c>
      <c r="J38" s="49">
        <f t="shared" si="7"/>
        <v>0.20844388233531042</v>
      </c>
      <c r="K38" s="49">
        <f t="shared" si="7"/>
        <v>0.20844388233531042</v>
      </c>
      <c r="L38" s="49">
        <f t="shared" si="7"/>
        <v>0.20844388233531042</v>
      </c>
      <c r="M38" s="49">
        <f t="shared" si="7"/>
        <v>0.20844388233531042</v>
      </c>
      <c r="N38" s="49">
        <f t="shared" si="7"/>
        <v>0.20844388233531042</v>
      </c>
      <c r="O38" s="49">
        <f t="shared" si="7"/>
        <v>0.20844388233531042</v>
      </c>
      <c r="P38" s="49">
        <f t="shared" si="7"/>
        <v>0.20844388233531042</v>
      </c>
      <c r="Q38" s="49">
        <f t="shared" si="7"/>
        <v>0.20844388233531042</v>
      </c>
    </row>
    <row r="39" spans="2:17" x14ac:dyDescent="0.2">
      <c r="B39" s="47" t="s">
        <v>104</v>
      </c>
      <c r="C39" s="50"/>
      <c r="D39" s="38"/>
      <c r="E39" s="38"/>
      <c r="F39" s="38"/>
      <c r="G39" s="49">
        <f t="shared" ref="G39:Q39" si="8">G31-1.5%</f>
        <v>0.20844388233531042</v>
      </c>
      <c r="H39" s="49">
        <f t="shared" si="8"/>
        <v>0.20844388233531042</v>
      </c>
      <c r="I39" s="49">
        <f t="shared" si="8"/>
        <v>0.20844388233531042</v>
      </c>
      <c r="J39" s="49">
        <f t="shared" si="8"/>
        <v>0.20844388233531042</v>
      </c>
      <c r="K39" s="49">
        <f t="shared" si="8"/>
        <v>0.20844388233531042</v>
      </c>
      <c r="L39" s="49">
        <f t="shared" si="8"/>
        <v>0.20844388233531042</v>
      </c>
      <c r="M39" s="49">
        <f t="shared" si="8"/>
        <v>0.20844388233531042</v>
      </c>
      <c r="N39" s="49">
        <f t="shared" si="8"/>
        <v>0.20844388233531042</v>
      </c>
      <c r="O39" s="49">
        <f t="shared" si="8"/>
        <v>0.20844388233531042</v>
      </c>
      <c r="P39" s="49">
        <f t="shared" si="8"/>
        <v>0.20844388233531042</v>
      </c>
      <c r="Q39" s="49">
        <f t="shared" si="8"/>
        <v>0.20844388233531042</v>
      </c>
    </row>
    <row r="40" spans="2:17" x14ac:dyDescent="0.2">
      <c r="B40" s="47" t="s">
        <v>99</v>
      </c>
      <c r="C40" s="50"/>
      <c r="D40" s="50"/>
      <c r="E40" s="50"/>
      <c r="F40" s="50"/>
      <c r="G40" s="49">
        <f t="shared" ref="G40:Q40" si="9">G32-1.5%</f>
        <v>0.14141528431156236</v>
      </c>
      <c r="H40" s="49">
        <f t="shared" si="9"/>
        <v>0.14141528431156236</v>
      </c>
      <c r="I40" s="49">
        <f t="shared" si="9"/>
        <v>0.14141528431156236</v>
      </c>
      <c r="J40" s="49">
        <f t="shared" si="9"/>
        <v>0.14141528431156236</v>
      </c>
      <c r="K40" s="49">
        <f t="shared" si="9"/>
        <v>0.14141528431156236</v>
      </c>
      <c r="L40" s="49">
        <f t="shared" si="9"/>
        <v>0.14141528431156236</v>
      </c>
      <c r="M40" s="49">
        <f t="shared" si="9"/>
        <v>0.14141528431156236</v>
      </c>
      <c r="N40" s="49">
        <f t="shared" si="9"/>
        <v>0.14141528431156236</v>
      </c>
      <c r="O40" s="49">
        <f t="shared" si="9"/>
        <v>0.14141528431156236</v>
      </c>
      <c r="P40" s="49">
        <f t="shared" si="9"/>
        <v>0.14141528431156236</v>
      </c>
      <c r="Q40" s="49">
        <f t="shared" si="9"/>
        <v>0.14141528431156236</v>
      </c>
    </row>
    <row r="41" spans="2:17" x14ac:dyDescent="0.2">
      <c r="B41" s="47" t="s">
        <v>101</v>
      </c>
      <c r="C41" s="50"/>
      <c r="D41" s="50"/>
      <c r="E41" s="50"/>
      <c r="F41" s="50"/>
      <c r="G41" s="49">
        <f t="shared" ref="G41:Q41" si="10">G33-1.5%</f>
        <v>0.4259653545814171</v>
      </c>
      <c r="H41" s="49">
        <f t="shared" si="10"/>
        <v>0.4259653545814171</v>
      </c>
      <c r="I41" s="49">
        <f t="shared" si="10"/>
        <v>0.4259653545814171</v>
      </c>
      <c r="J41" s="49">
        <f t="shared" si="10"/>
        <v>0.4259653545814171</v>
      </c>
      <c r="K41" s="49">
        <f t="shared" si="10"/>
        <v>0.4259653545814171</v>
      </c>
      <c r="L41" s="49">
        <f t="shared" si="10"/>
        <v>0.4259653545814171</v>
      </c>
      <c r="M41" s="49">
        <f t="shared" si="10"/>
        <v>0.4259653545814171</v>
      </c>
      <c r="N41" s="49">
        <f t="shared" si="10"/>
        <v>0.4259653545814171</v>
      </c>
      <c r="O41" s="49">
        <f t="shared" si="10"/>
        <v>0.4259653545814171</v>
      </c>
      <c r="P41" s="49">
        <f t="shared" si="10"/>
        <v>0.4259653545814171</v>
      </c>
      <c r="Q41" s="49">
        <f t="shared" si="10"/>
        <v>0.4259653545814171</v>
      </c>
    </row>
    <row r="42" spans="2:17" x14ac:dyDescent="0.2">
      <c r="B42" s="47" t="s">
        <v>100</v>
      </c>
      <c r="C42" s="50"/>
      <c r="D42" s="50"/>
      <c r="E42" s="50"/>
      <c r="F42" s="50"/>
      <c r="G42" s="49">
        <f t="shared" ref="G42:Q42" si="11">G34-1.5%</f>
        <v>0.14141528431156236</v>
      </c>
      <c r="H42" s="49">
        <f t="shared" si="11"/>
        <v>0.14141528431156236</v>
      </c>
      <c r="I42" s="49">
        <f t="shared" si="11"/>
        <v>0.14141528431156236</v>
      </c>
      <c r="J42" s="49">
        <f t="shared" si="11"/>
        <v>0.14141528431156236</v>
      </c>
      <c r="K42" s="49">
        <f t="shared" si="11"/>
        <v>0.14141528431156236</v>
      </c>
      <c r="L42" s="49">
        <f t="shared" si="11"/>
        <v>0.14141528431156236</v>
      </c>
      <c r="M42" s="49">
        <f t="shared" si="11"/>
        <v>0.14141528431156236</v>
      </c>
      <c r="N42" s="49">
        <f t="shared" si="11"/>
        <v>0.14141528431156236</v>
      </c>
      <c r="O42" s="49">
        <f t="shared" si="11"/>
        <v>0.14141528431156236</v>
      </c>
      <c r="P42" s="49">
        <f t="shared" si="11"/>
        <v>0.14141528431156236</v>
      </c>
      <c r="Q42" s="49">
        <f t="shared" si="11"/>
        <v>0.14141528431156236</v>
      </c>
    </row>
    <row r="43" spans="2:17" x14ac:dyDescent="0.2">
      <c r="B43" s="47" t="s">
        <v>97</v>
      </c>
      <c r="C43" s="50"/>
      <c r="D43" s="50"/>
      <c r="E43" s="50"/>
      <c r="F43" s="50"/>
      <c r="G43" s="49">
        <f t="shared" ref="G43:Q43" si="12">G35-1.5%</f>
        <v>0.18715581157404632</v>
      </c>
      <c r="H43" s="49">
        <f t="shared" si="12"/>
        <v>0.18715581157404632</v>
      </c>
      <c r="I43" s="49">
        <f t="shared" si="12"/>
        <v>0.18715581157404632</v>
      </c>
      <c r="J43" s="49">
        <f t="shared" si="12"/>
        <v>0.18715581157404632</v>
      </c>
      <c r="K43" s="49">
        <f t="shared" si="12"/>
        <v>0.18715581157404632</v>
      </c>
      <c r="L43" s="49">
        <f t="shared" si="12"/>
        <v>0.18715581157404632</v>
      </c>
      <c r="M43" s="49">
        <f t="shared" si="12"/>
        <v>0.18715581157404632</v>
      </c>
      <c r="N43" s="49">
        <f t="shared" si="12"/>
        <v>0.18715581157404632</v>
      </c>
      <c r="O43" s="49">
        <f t="shared" si="12"/>
        <v>0.18715581157404632</v>
      </c>
      <c r="P43" s="49">
        <f t="shared" si="12"/>
        <v>0.18715581157404632</v>
      </c>
      <c r="Q43" s="49">
        <f t="shared" si="12"/>
        <v>0.18715581157404632</v>
      </c>
    </row>
    <row r="44" spans="2:17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141</v>
      </c>
    </row>
    <row r="2" spans="1:17" ht="15.75" x14ac:dyDescent="0.2">
      <c r="A2" s="1"/>
      <c r="B2" s="2"/>
    </row>
    <row r="3" spans="1:17" x14ac:dyDescent="0.2">
      <c r="C3" s="125" t="s">
        <v>204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-('Revenue automotive'!H5-'GP automotive'!H5)</f>
        <v>-20241.572210736413</v>
      </c>
      <c r="I5" s="45">
        <f>-('Revenue automotive'!I5-'GP automotive'!I5)</f>
        <v>-22265.729431810058</v>
      </c>
      <c r="J5" s="45">
        <f>-('Revenue automotive'!J5-'GP automotive'!J5)</f>
        <v>-24492.302374991064</v>
      </c>
      <c r="K5" s="45">
        <f>-('Revenue automotive'!K5-'GP automotive'!K5)</f>
        <v>-26451.686564990352</v>
      </c>
      <c r="L5" s="45">
        <f>-('Revenue automotive'!L5-'GP automotive'!L5)</f>
        <v>-28567.821490189577</v>
      </c>
      <c r="M5" s="45">
        <f>-('Revenue automotive'!M5-'GP automotive'!M5)</f>
        <v>-29710.53434979717</v>
      </c>
      <c r="N5" s="45">
        <f>-('Revenue automotive'!N5-'GP automotive'!N5)</f>
        <v>-30898.955723789051</v>
      </c>
      <c r="O5" s="45">
        <f>-('Revenue automotive'!O5-'GP automotive'!O5)</f>
        <v>-32134.913952740619</v>
      </c>
      <c r="P5" s="45">
        <f>-('Revenue automotive'!P5-'GP automotive'!P5)</f>
        <v>-33420.310510850242</v>
      </c>
      <c r="Q5" s="45">
        <f>-('Revenue automotive'!Q5-'GP automotive'!Q5)</f>
        <v>-34757.122931284255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-('Revenue automotive'!H6-'GP automotive'!H6)</f>
        <v>-5471.4167101855246</v>
      </c>
      <c r="I6" s="45">
        <f>-('Revenue automotive'!I6-'GP automotive'!I6)</f>
        <v>-5690.2733785929468</v>
      </c>
      <c r="J6" s="45">
        <f>-('Revenue automotive'!J6-'GP automotive'!J6)</f>
        <v>-5917.8843137366639</v>
      </c>
      <c r="K6" s="45">
        <f>-('Revenue automotive'!K6-'GP automotive'!K6)</f>
        <v>-6154.5996862861311</v>
      </c>
      <c r="L6" s="45">
        <f>-('Revenue automotive'!L6-'GP automotive'!L6)</f>
        <v>-6400.7836737375756</v>
      </c>
      <c r="M6" s="45">
        <f>-('Revenue automotive'!M6-'GP automotive'!M6)</f>
        <v>-6656.8150206870796</v>
      </c>
      <c r="N6" s="45">
        <f>-('Revenue automotive'!N6-'GP automotive'!N6)</f>
        <v>-6923.0876215145618</v>
      </c>
      <c r="O6" s="45">
        <f>-('Revenue automotive'!O6-'GP automotive'!O6)</f>
        <v>-7200.0111263751469</v>
      </c>
      <c r="P6" s="45">
        <f>-('Revenue automotive'!P6-'GP automotive'!P6)</f>
        <v>-7488.011571430151</v>
      </c>
      <c r="Q6" s="45">
        <f>-('Revenue automotive'!Q6-'GP automotive'!Q6)</f>
        <v>-7787.5320342873583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-('Revenue automotive'!G7-'GP automotive'!G7)</f>
        <v>0</v>
      </c>
      <c r="H7" s="45">
        <f>-('Revenue automotive'!H7-'GP automotive'!H7)</f>
        <v>-90.773089746938638</v>
      </c>
      <c r="I7" s="45">
        <f>-('Revenue automotive'!I7-'GP automotive'!I7)</f>
        <v>-7515.7957046423599</v>
      </c>
      <c r="J7" s="45">
        <f>-('Revenue automotive'!J7-'GP automotive'!J7)</f>
        <v>-15479.539111238859</v>
      </c>
      <c r="K7" s="45">
        <f>-('Revenue automotive'!K7-'GP automotive'!K7)</f>
        <v>-24767.262577982176</v>
      </c>
      <c r="L7" s="45">
        <f>-('Revenue automotive'!L7-'GP automotive'!L7)</f>
        <v>-27243.988835780394</v>
      </c>
      <c r="M7" s="45">
        <f>-('Revenue automotive'!M7-'GP automotive'!M7)</f>
        <v>-29968.387719358441</v>
      </c>
      <c r="N7" s="45">
        <f>-('Revenue automotive'!N7-'GP automotive'!N7)</f>
        <v>-32365.858736907114</v>
      </c>
      <c r="O7" s="45">
        <f>-('Revenue automotive'!O7-'GP automotive'!O7)</f>
        <v>-34955.127435859686</v>
      </c>
      <c r="P7" s="45">
        <f>-('Revenue automotive'!P7-'GP automotive'!P7)</f>
        <v>-36353.332533294073</v>
      </c>
      <c r="Q7" s="45">
        <f>-('Revenue automotive'!Q7-'GP automotive'!Q7)</f>
        <v>-37807.465834625837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-('Revenue automotive'!G8-'GP automotive'!G8)</f>
        <v>0</v>
      </c>
      <c r="H8" s="45">
        <f>-('Revenue automotive'!H8-'GP automotive'!H8)</f>
        <v>0</v>
      </c>
      <c r="I8" s="45">
        <f>-('Revenue automotive'!I8-'GP automotive'!I8)</f>
        <v>0</v>
      </c>
      <c r="J8" s="45">
        <f>-('Revenue automotive'!J8-'GP automotive'!J8)</f>
        <v>-62.891397609590577</v>
      </c>
      <c r="K8" s="45">
        <f>-('Revenue automotive'!K8-'GP automotive'!K8)</f>
        <v>-125.78279521918115</v>
      </c>
      <c r="L8" s="45">
        <f>-('Revenue automotive'!L8-'GP automotive'!L8)</f>
        <v>-188.67419282877174</v>
      </c>
      <c r="M8" s="45">
        <f>-('Revenue automotive'!M8-'GP automotive'!M8)</f>
        <v>-207.54161211164893</v>
      </c>
      <c r="N8" s="45">
        <f>-('Revenue automotive'!N8-'GP automotive'!N8)</f>
        <v>-228.29577332281386</v>
      </c>
      <c r="O8" s="45">
        <f>-('Revenue automotive'!O8-'GP automotive'!O8)</f>
        <v>-246.55943518863899</v>
      </c>
      <c r="P8" s="45">
        <f>-('Revenue automotive'!P8-'GP automotive'!P8)</f>
        <v>-266.28419000373015</v>
      </c>
      <c r="Q8" s="45">
        <f>-('Revenue automotive'!Q8-'GP automotive'!Q8)</f>
        <v>-276.93555760387937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-('Revenue automotive'!G9-'GP automotive'!G9)</f>
        <v>0</v>
      </c>
      <c r="H9" s="45">
        <f>-('Revenue automotive'!H9-'GP automotive'!H9)</f>
        <v>0</v>
      </c>
      <c r="I9" s="45">
        <f>-('Revenue automotive'!I9-'GP automotive'!I9)</f>
        <v>-12.31633684905119</v>
      </c>
      <c r="J9" s="45">
        <f>-('Revenue automotive'!J9-'GP automotive'!J9)</f>
        <v>-1019.7633664898933</v>
      </c>
      <c r="K9" s="45">
        <f>-('Revenue automotive'!K9-'GP automotive'!K9)</f>
        <v>-2100.3054814327293</v>
      </c>
      <c r="L9" s="45">
        <f>-('Revenue automotive'!L9-'GP automotive'!L9)</f>
        <v>-3360.4887702923666</v>
      </c>
      <c r="M9" s="45">
        <f>-('Revenue automotive'!M9-'GP automotive'!M9)</f>
        <v>-3696.5376473216038</v>
      </c>
      <c r="N9" s="45">
        <f>-('Revenue automotive'!N9-'GP automotive'!N9)</f>
        <v>-4066.191412053764</v>
      </c>
      <c r="O9" s="45">
        <f>-('Revenue automotive'!O9-'GP automotive'!O9)</f>
        <v>-4391.486725018066</v>
      </c>
      <c r="P9" s="45">
        <f>-('Revenue automotive'!P9-'GP automotive'!P9)</f>
        <v>-4742.8056630195124</v>
      </c>
      <c r="Q9" s="45">
        <f>-('Revenue automotive'!Q9-'GP automotive'!Q9)</f>
        <v>-4932.5178895402933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-('Revenue automotive'!G10-'GP automotive'!G10)</f>
        <v>0</v>
      </c>
      <c r="H10" s="45">
        <f>-('Revenue automotive'!H10-'GP automotive'!H10)</f>
        <v>0</v>
      </c>
      <c r="I10" s="45">
        <f>-('Revenue automotive'!I10-'GP automotive'!I10)</f>
        <v>-34.905683243635472</v>
      </c>
      <c r="J10" s="45">
        <f>-('Revenue automotive'!J10-'GP automotive'!J10)</f>
        <v>-2890.1074638033897</v>
      </c>
      <c r="K10" s="45">
        <f>-('Revenue automotive'!K10-'GP automotive'!K10)</f>
        <v>-5952.4677465613422</v>
      </c>
      <c r="L10" s="45">
        <f>-('Revenue automotive'!L10-'GP automotive'!L10)</f>
        <v>-9523.9483944981475</v>
      </c>
      <c r="M10" s="45">
        <f>-('Revenue automotive'!M10-'GP automotive'!M10)</f>
        <v>-10476.343233947962</v>
      </c>
      <c r="N10" s="45">
        <f>-('Revenue automotive'!N10-'GP automotive'!N10)</f>
        <v>-11523.977557342761</v>
      </c>
      <c r="O10" s="45">
        <f>-('Revenue automotive'!O10-'GP automotive'!O10)</f>
        <v>-12445.895761930182</v>
      </c>
      <c r="P10" s="45">
        <f>-('Revenue automotive'!P10-'GP automotive'!P10)</f>
        <v>-13441.5674228846</v>
      </c>
      <c r="Q10" s="45">
        <f>-('Revenue automotive'!Q10-'GP automotive'!Q10)</f>
        <v>-13979.230119799986</v>
      </c>
    </row>
    <row r="11" spans="1:17" ht="12.75" thickBot="1" x14ac:dyDescent="0.25">
      <c r="B11" s="69" t="s">
        <v>66</v>
      </c>
      <c r="C11" s="75">
        <f>'P&amp;L Input'!C8/1000</f>
        <v>-2823.3020000000001</v>
      </c>
      <c r="D11" s="75">
        <f>'P&amp;L Input'!D8/1000</f>
        <v>-4750.0810000000001</v>
      </c>
      <c r="E11" s="75">
        <f>'P&amp;L Input'!E8/1000</f>
        <v>-7432.7039999999997</v>
      </c>
      <c r="F11" s="75">
        <f>'P&amp;L Input'!F8/1000</f>
        <v>-14173.996999999999</v>
      </c>
      <c r="G11" s="75">
        <f>-('Revenue automotive'!G11-'GP automotive'!G11)</f>
        <v>-16398</v>
      </c>
      <c r="H11" s="75">
        <f t="shared" ref="H11:L11" si="0">SUM(H5:H10)</f>
        <v>-25803.762010668874</v>
      </c>
      <c r="I11" s="75">
        <f t="shared" si="0"/>
        <v>-35519.02053513805</v>
      </c>
      <c r="J11" s="75">
        <f t="shared" si="0"/>
        <v>-49862.488027869469</v>
      </c>
      <c r="K11" s="75">
        <f t="shared" si="0"/>
        <v>-65552.104852471908</v>
      </c>
      <c r="L11" s="75">
        <f t="shared" si="0"/>
        <v>-75285.705357326835</v>
      </c>
      <c r="M11" s="75">
        <f>SUM(M5:M10)</f>
        <v>-80716.159583223896</v>
      </c>
      <c r="N11" s="75">
        <f>SUM(N5:N10)</f>
        <v>-86006.366824930068</v>
      </c>
      <c r="O11" s="75">
        <f>SUM(O5:O10)</f>
        <v>-91373.994437112342</v>
      </c>
      <c r="P11" s="75">
        <f>SUM(P5:P10)</f>
        <v>-95712.311891482299</v>
      </c>
      <c r="Q11" s="75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188</v>
      </c>
    </row>
    <row r="2" spans="1:16" ht="15.75" x14ac:dyDescent="0.2">
      <c r="A2" s="1"/>
      <c r="B2" s="2"/>
    </row>
    <row r="3" spans="1:16" ht="24" x14ac:dyDescent="0.2">
      <c r="A3" s="1"/>
      <c r="B3" s="24" t="s">
        <v>96</v>
      </c>
      <c r="C3" s="6" t="s">
        <v>46</v>
      </c>
      <c r="D3" s="6" t="s">
        <v>90</v>
      </c>
      <c r="E3" s="6" t="s">
        <v>206</v>
      </c>
      <c r="F3" s="6" t="s">
        <v>205</v>
      </c>
      <c r="G3" s="53" t="s">
        <v>107</v>
      </c>
      <c r="H3" s="53" t="s">
        <v>108</v>
      </c>
      <c r="I3" s="53" t="s">
        <v>109</v>
      </c>
      <c r="J3" s="53" t="s">
        <v>110</v>
      </c>
      <c r="K3" s="53" t="s">
        <v>173</v>
      </c>
      <c r="L3" s="53" t="s">
        <v>174</v>
      </c>
      <c r="M3" s="53" t="s">
        <v>175</v>
      </c>
      <c r="N3" s="53" t="s">
        <v>176</v>
      </c>
      <c r="O3" s="53" t="s">
        <v>177</v>
      </c>
      <c r="P3" s="53" t="s">
        <v>210</v>
      </c>
    </row>
    <row r="4" spans="1:16" x14ac:dyDescent="0.2">
      <c r="B4" s="8" t="s">
        <v>189</v>
      </c>
      <c r="C4" s="44">
        <f>'Revenue automotive'!C11</f>
        <v>3740.973</v>
      </c>
      <c r="D4" s="44">
        <f>'Revenue automotive'!D11</f>
        <v>6350.7659999999996</v>
      </c>
      <c r="E4" s="44">
        <f>'Revenue automotive'!E11</f>
        <v>9641.3000000000011</v>
      </c>
      <c r="F4" s="78">
        <f>'Revenue automotive'!F11</f>
        <v>18514.983</v>
      </c>
      <c r="G4" s="45">
        <f>'Revenue automotive'!H11</f>
        <v>33219.169714333329</v>
      </c>
      <c r="H4" s="45">
        <f>'Revenue automotive'!I11</f>
        <v>44967.682560506662</v>
      </c>
      <c r="I4" s="45">
        <f>'Revenue automotive'!J11</f>
        <v>62453.77687371552</v>
      </c>
      <c r="J4" s="45">
        <f>'Revenue automotive'!K11</f>
        <v>81523.291482834262</v>
      </c>
      <c r="K4" s="45">
        <f>'Revenue automotive'!L11</f>
        <v>93584.048102425513</v>
      </c>
      <c r="L4" s="45">
        <f>'Revenue automotive'!M11</f>
        <v>100240.63103256337</v>
      </c>
      <c r="M4" s="45">
        <f>'Revenue automotive'!N11</f>
        <v>106744.2984157108</v>
      </c>
      <c r="N4" s="45">
        <f>'Revenue automotive'!O11</f>
        <v>113335.6485919535</v>
      </c>
      <c r="O4" s="45">
        <f>'Revenue automotive'!P11</f>
        <v>118718.9223837296</v>
      </c>
      <c r="P4" s="45">
        <f>'Revenue automotive'!Q11</f>
        <v>123467.67927907882</v>
      </c>
    </row>
    <row r="5" spans="1:16" x14ac:dyDescent="0.2">
      <c r="B5" s="8" t="s">
        <v>190</v>
      </c>
      <c r="C5" s="44">
        <f>'GP automotive'!C11</f>
        <v>917.67100000000005</v>
      </c>
      <c r="D5" s="44">
        <f>'GP automotive'!D11</f>
        <v>1600.6849999999999</v>
      </c>
      <c r="E5" s="44">
        <f>'GP automotive'!E11</f>
        <v>2208.596</v>
      </c>
      <c r="F5" s="78">
        <f>'GP automotive'!F11</f>
        <v>4340.9859999999999</v>
      </c>
      <c r="G5" s="45">
        <f>'GP automotive'!H11</f>
        <v>7415.4077036644558</v>
      </c>
      <c r="H5" s="45">
        <f>'GP automotive'!I11</f>
        <v>9448.6620253686197</v>
      </c>
      <c r="I5" s="45">
        <f>'GP automotive'!J11</f>
        <v>12591.288845846053</v>
      </c>
      <c r="J5" s="45">
        <f>'GP automotive'!K11</f>
        <v>15971.186630362348</v>
      </c>
      <c r="K5" s="45">
        <f>'GP automotive'!L11</f>
        <v>18298.342745098678</v>
      </c>
      <c r="L5" s="45">
        <f>'GP automotive'!M11</f>
        <v>19524.471449339468</v>
      </c>
      <c r="M5" s="45">
        <f>'GP automotive'!N11</f>
        <v>20737.931590780732</v>
      </c>
      <c r="N5" s="45">
        <f>'GP automotive'!O11</f>
        <v>21961.654154841166</v>
      </c>
      <c r="O5" s="45">
        <f>'GP automotive'!P11</f>
        <v>23006.610492247291</v>
      </c>
      <c r="P5" s="45">
        <f>'GP automotive'!Q11</f>
        <v>23926.874911937193</v>
      </c>
    </row>
    <row r="6" spans="1:16" x14ac:dyDescent="0.2">
      <c r="B6" s="8" t="s">
        <v>139</v>
      </c>
      <c r="C6" s="86">
        <f>C5/C4</f>
        <v>0.24530275946926108</v>
      </c>
      <c r="D6" s="86">
        <f>D5/D4</f>
        <v>0.25204597366679865</v>
      </c>
      <c r="E6" s="86">
        <f>E5/E4</f>
        <v>0.22907657681018118</v>
      </c>
      <c r="F6" s="86">
        <f>F5/F4</f>
        <v>0.23445800625363791</v>
      </c>
      <c r="G6" s="88">
        <f t="shared" ref="G6:P6" si="0">G5/G4</f>
        <v>0.2232267623613986</v>
      </c>
      <c r="H6" s="88">
        <f t="shared" si="0"/>
        <v>0.21012116896739985</v>
      </c>
      <c r="I6" s="88">
        <f t="shared" si="0"/>
        <v>0.20160972604276972</v>
      </c>
      <c r="J6" s="88">
        <f t="shared" si="0"/>
        <v>0.19590949212011735</v>
      </c>
      <c r="K6" s="88">
        <f t="shared" si="0"/>
        <v>0.1955284379777158</v>
      </c>
      <c r="L6" s="88">
        <f t="shared" si="0"/>
        <v>0.19477602293821258</v>
      </c>
      <c r="M6" s="88">
        <f t="shared" si="0"/>
        <v>0.19427671452781303</v>
      </c>
      <c r="N6" s="88">
        <f t="shared" si="0"/>
        <v>0.19377534277772138</v>
      </c>
      <c r="O6" s="88">
        <f t="shared" si="0"/>
        <v>0.1937905940376051</v>
      </c>
      <c r="P6" s="88">
        <f t="shared" si="0"/>
        <v>0.19379059403760512</v>
      </c>
    </row>
    <row r="7" spans="1:16" x14ac:dyDescent="0.2">
      <c r="J7" s="22"/>
      <c r="K7" s="22"/>
      <c r="L7" s="22"/>
      <c r="M7" s="22"/>
      <c r="N7" s="22"/>
      <c r="O7" s="22"/>
      <c r="P7" s="22"/>
    </row>
    <row r="8" spans="1:16" x14ac:dyDescent="0.2">
      <c r="J8" s="22"/>
      <c r="K8" s="22"/>
      <c r="L8" s="22"/>
      <c r="M8" s="22"/>
      <c r="N8" s="22"/>
      <c r="O8" s="22"/>
      <c r="P8" s="22"/>
    </row>
    <row r="9" spans="1:16" x14ac:dyDescent="0.2">
      <c r="J9" s="22"/>
      <c r="K9" s="22"/>
      <c r="L9" s="22"/>
      <c r="M9" s="22"/>
      <c r="N9" s="22"/>
      <c r="O9" s="22"/>
      <c r="P9" s="22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166</v>
      </c>
    </row>
    <row r="2" spans="1:17" ht="15.75" x14ac:dyDescent="0.2">
      <c r="A2" s="1"/>
      <c r="B2" s="2"/>
    </row>
    <row r="3" spans="1:17" x14ac:dyDescent="0.2">
      <c r="C3" s="125" t="s">
        <v>191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44">
        <f>'P&amp;L Input'!C5/1000</f>
        <v>14.477</v>
      </c>
      <c r="D5" s="44">
        <f>'P&amp;L Input'!D5/1000</f>
        <v>181.39400000000001</v>
      </c>
      <c r="E5" s="44">
        <f>'P&amp;L Input'!E5/1000</f>
        <v>1116.2660000000001</v>
      </c>
      <c r="F5" s="44">
        <f>'P&amp;L Input'!F5/1000</f>
        <v>1555.2439999999999</v>
      </c>
      <c r="G5" s="44">
        <f>'P&amp;L Input'!G5/1000</f>
        <v>1531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44">
        <f>'P&amp;L Input'!C6/1000</f>
        <v>290.57499999999999</v>
      </c>
      <c r="D6" s="44">
        <f>'P&amp;L Input'!D6/1000</f>
        <v>467.97199999999998</v>
      </c>
      <c r="E6" s="44">
        <f>'P&amp;L Input'!E6/1000</f>
        <v>1001.1849999999999</v>
      </c>
      <c r="F6" s="44">
        <f>'P&amp;L Input'!F6/1000</f>
        <v>1391.0409999999999</v>
      </c>
      <c r="G6" s="44">
        <f>'P&amp;L Input'!G6/1000</f>
        <v>2226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x14ac:dyDescent="0.2">
      <c r="B7" s="9" t="s">
        <v>135</v>
      </c>
      <c r="C7" s="60">
        <f t="shared" ref="C7:G7" si="0">SUM(C5:C6)</f>
        <v>305.05199999999996</v>
      </c>
      <c r="D7" s="60">
        <f t="shared" si="0"/>
        <v>649.36599999999999</v>
      </c>
      <c r="E7" s="60">
        <f t="shared" si="0"/>
        <v>2117.451</v>
      </c>
      <c r="F7" s="60">
        <f t="shared" si="0"/>
        <v>2946.2849999999999</v>
      </c>
      <c r="G7" s="60">
        <f t="shared" si="0"/>
        <v>3757</v>
      </c>
      <c r="H7" s="61">
        <f t="shared" ref="H7:Q7" si="1">G7*(1+H10)</f>
        <v>4433.26</v>
      </c>
      <c r="I7" s="61">
        <f t="shared" si="1"/>
        <v>4965.2512000000006</v>
      </c>
      <c r="J7" s="61">
        <f t="shared" si="1"/>
        <v>5362.4712960000006</v>
      </c>
      <c r="K7" s="61">
        <f t="shared" si="1"/>
        <v>5684.2195737600014</v>
      </c>
      <c r="L7" s="61">
        <f t="shared" si="1"/>
        <v>6025.2727481856018</v>
      </c>
      <c r="M7" s="61">
        <f t="shared" si="1"/>
        <v>6386.7891130767384</v>
      </c>
      <c r="N7" s="61">
        <f t="shared" si="1"/>
        <v>6769.9964598613433</v>
      </c>
      <c r="O7" s="61">
        <f t="shared" si="1"/>
        <v>7176.1962474530246</v>
      </c>
      <c r="P7" s="61">
        <f t="shared" si="1"/>
        <v>7606.7680223002062</v>
      </c>
      <c r="Q7" s="61">
        <f t="shared" si="1"/>
        <v>8063.1741036382191</v>
      </c>
    </row>
    <row r="8" spans="1:17" ht="3" customHeight="1" x14ac:dyDescent="0.2"/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135</v>
      </c>
      <c r="C10" s="50"/>
      <c r="D10" s="50"/>
      <c r="E10" s="50"/>
      <c r="F10" s="50"/>
      <c r="G10" s="47"/>
      <c r="H10" s="49">
        <f>CHOOSE(Drivers!$C$3,'Revenue Energy &amp; Other'!H14,'Revenue Energy &amp; Other'!H17,'Revenue Energy &amp; Other'!H20)</f>
        <v>0.18</v>
      </c>
      <c r="I10" s="49">
        <f>CHOOSE(Drivers!$C$3,'Revenue Energy &amp; Other'!I14,'Revenue Energy &amp; Other'!I17,'Revenue Energy &amp; Other'!I20)</f>
        <v>0.12</v>
      </c>
      <c r="J10" s="49">
        <f>CHOOSE(Drivers!$C$3,'Revenue Energy &amp; Other'!J14,'Revenue Energy &amp; Other'!J17,'Revenue Energy &amp; Other'!J20)</f>
        <v>0.08</v>
      </c>
      <c r="K10" s="49">
        <f>CHOOSE(Drivers!$C$3,'Revenue Energy &amp; Other'!K14,'Revenue Energy &amp; Other'!K17,'Revenue Energy &amp; Other'!K20)</f>
        <v>0.06</v>
      </c>
      <c r="L10" s="49">
        <f>CHOOSE(Drivers!$C$3,'Revenue Energy &amp; Other'!L14,'Revenue Energy &amp; Other'!L17,'Revenue Energy &amp; Other'!L20)</f>
        <v>0.06</v>
      </c>
      <c r="M10" s="49">
        <f>CHOOSE(Drivers!$C$3,'Revenue Energy &amp; Other'!M14,'Revenue Energy &amp; Other'!M17,'Revenue Energy &amp; Other'!M20)</f>
        <v>0.06</v>
      </c>
      <c r="N10" s="49">
        <f>CHOOSE(Drivers!$C$3,'Revenue Energy &amp; Other'!N14,'Revenue Energy &amp; Other'!N17,'Revenue Energy &amp; Other'!N20)</f>
        <v>0.06</v>
      </c>
      <c r="O10" s="49">
        <f>CHOOSE(Drivers!$C$3,'Revenue Energy &amp; Other'!O14,'Revenue Energy &amp; Other'!O17,'Revenue Energy &amp; Other'!O20)</f>
        <v>0.06</v>
      </c>
      <c r="P10" s="49">
        <f>CHOOSE(Drivers!$C$3,'Revenue Energy &amp; Other'!P14,'Revenue Energy &amp; Other'!P17,'Revenue Energy &amp; Other'!P20)</f>
        <v>0.06</v>
      </c>
      <c r="Q10" s="49">
        <f>CHOOSE(Drivers!$C$3,'Revenue Energy &amp; Other'!Q14,'Revenue Energy &amp; Other'!Q17,'Revenue Energy &amp; Other'!Q20)</f>
        <v>0.06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136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135</v>
      </c>
      <c r="C14" s="50"/>
      <c r="D14" s="38"/>
      <c r="E14" s="38"/>
      <c r="F14" s="38"/>
      <c r="G14" s="47"/>
      <c r="H14" s="38">
        <f>H17+Drivers!$C$13</f>
        <v>0.19999999999999998</v>
      </c>
      <c r="I14" s="38">
        <f>I17+Drivers!$C$13</f>
        <v>0.13999999999999999</v>
      </c>
      <c r="J14" s="38">
        <f>J17+Drivers!$C$13</f>
        <v>0.1</v>
      </c>
      <c r="K14" s="38">
        <f>K17+Drivers!$C$13</f>
        <v>0.08</v>
      </c>
      <c r="L14" s="38">
        <f>L17+Drivers!$C$13</f>
        <v>0.08</v>
      </c>
      <c r="M14" s="38">
        <f>M17+Drivers!$C$13</f>
        <v>0.08</v>
      </c>
      <c r="N14" s="38">
        <f>N17+Drivers!$C$13</f>
        <v>0.08</v>
      </c>
      <c r="O14" s="38">
        <f>O17+Drivers!$C$13</f>
        <v>0.08</v>
      </c>
      <c r="P14" s="38">
        <f>P17+Drivers!$C$13</f>
        <v>0.08</v>
      </c>
      <c r="Q14" s="38">
        <f>Q17+Drivers!$C$13</f>
        <v>0.08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2:17" x14ac:dyDescent="0.2">
      <c r="B17" s="47" t="s">
        <v>135</v>
      </c>
      <c r="C17" s="50"/>
      <c r="D17" s="38">
        <f>D7/C7-1</f>
        <v>1.1287059255471199</v>
      </c>
      <c r="E17" s="38">
        <f t="shared" ref="E17:F17" si="2">E7/D7-1</f>
        <v>2.26079745474817</v>
      </c>
      <c r="F17" s="38">
        <f t="shared" si="2"/>
        <v>0.39143007323428014</v>
      </c>
      <c r="G17" s="38">
        <f>G7/F7-1</f>
        <v>0.27516516562382809</v>
      </c>
      <c r="H17" s="49">
        <v>0.18</v>
      </c>
      <c r="I17" s="49">
        <v>0.12</v>
      </c>
      <c r="J17" s="49">
        <v>0.08</v>
      </c>
      <c r="K17" s="49">
        <v>0.06</v>
      </c>
      <c r="L17" s="49">
        <v>0.06</v>
      </c>
      <c r="M17" s="49">
        <v>0.06</v>
      </c>
      <c r="N17" s="49">
        <v>0.06</v>
      </c>
      <c r="O17" s="49">
        <v>0.06</v>
      </c>
      <c r="P17" s="49">
        <v>0.06</v>
      </c>
      <c r="Q17" s="49">
        <v>0.06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135</v>
      </c>
      <c r="C20" s="50"/>
      <c r="D20" s="38"/>
      <c r="E20" s="38"/>
      <c r="F20" s="38"/>
      <c r="G20" s="47"/>
      <c r="H20" s="38">
        <f>H17-Drivers!$C$13</f>
        <v>0.16</v>
      </c>
      <c r="I20" s="38">
        <f>I17-Drivers!$C$13</f>
        <v>9.9999999999999992E-2</v>
      </c>
      <c r="J20" s="38">
        <f>J17-Drivers!$C$13</f>
        <v>0.06</v>
      </c>
      <c r="K20" s="38">
        <f>K17-Drivers!$C$13</f>
        <v>3.9999999999999994E-2</v>
      </c>
      <c r="L20" s="38">
        <f>L17-Drivers!$C$13</f>
        <v>3.9999999999999994E-2</v>
      </c>
      <c r="M20" s="38">
        <f>M17-Drivers!$C$13</f>
        <v>3.9999999999999994E-2</v>
      </c>
      <c r="N20" s="38">
        <f>N17-Drivers!$C$13</f>
        <v>3.9999999999999994E-2</v>
      </c>
      <c r="O20" s="38">
        <f>O17-Drivers!$C$13</f>
        <v>3.9999999999999994E-2</v>
      </c>
      <c r="P20" s="38">
        <f>P17-Drivers!$C$13</f>
        <v>3.9999999999999994E-2</v>
      </c>
      <c r="Q20" s="38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137</v>
      </c>
    </row>
    <row r="2" spans="1:17" ht="15.75" x14ac:dyDescent="0.2">
      <c r="A2" s="1"/>
      <c r="B2" s="2"/>
    </row>
    <row r="3" spans="1:17" x14ac:dyDescent="0.2">
      <c r="C3" s="125" t="s">
        <v>140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174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33">
        <f>('P&amp;L Input'!G5+'P&amp;L Input'!G9)/1000</f>
        <v>190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44">
        <f>('P&amp;L Input'!G6+'P&amp;L Input'!G10)/1000</f>
        <v>-544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5.8319999999999999</v>
      </c>
      <c r="D7" s="75">
        <f t="shared" ref="D7:G7" si="0">SUM(D5:D6)</f>
        <v>-1.4280000000000004</v>
      </c>
      <c r="E7" s="75">
        <f t="shared" si="0"/>
        <v>13.89100000000002</v>
      </c>
      <c r="F7" s="75">
        <f t="shared" si="0"/>
        <v>-298.96499999999997</v>
      </c>
      <c r="G7" s="75">
        <f t="shared" si="0"/>
        <v>-354</v>
      </c>
      <c r="H7" s="75">
        <f>H11*'Revenue Energy &amp; Other'!H7</f>
        <v>0</v>
      </c>
      <c r="I7" s="75">
        <f>I11*'Revenue Energy &amp; Other'!I7</f>
        <v>0</v>
      </c>
      <c r="J7" s="75">
        <f>J11*'Revenue Energy &amp; Other'!J7</f>
        <v>0</v>
      </c>
      <c r="K7" s="75">
        <f>K11*'Revenue Energy &amp; Other'!K7</f>
        <v>0</v>
      </c>
      <c r="L7" s="75">
        <f>L11*'Revenue Energy &amp; Other'!L7</f>
        <v>0</v>
      </c>
      <c r="M7" s="75">
        <f>M11*'Revenue Energy &amp; Other'!M7</f>
        <v>0</v>
      </c>
      <c r="N7" s="75">
        <f>N11*'Revenue Energy &amp; Other'!N7</f>
        <v>0</v>
      </c>
      <c r="O7" s="75">
        <f>O11*'Revenue Energy &amp; Other'!O7</f>
        <v>0</v>
      </c>
      <c r="P7" s="75">
        <f>P11*'Revenue Energy &amp; Other'!P7</f>
        <v>0</v>
      </c>
      <c r="Q7" s="75">
        <f>Q11*'Revenue Energy &amp; Other'!Q7</f>
        <v>0</v>
      </c>
    </row>
    <row r="9" spans="1:17" ht="3" customHeight="1" x14ac:dyDescent="0.2"/>
    <row r="10" spans="1:17" x14ac:dyDescent="0.2">
      <c r="B10" s="46" t="s">
        <v>71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spans="1:17" x14ac:dyDescent="0.2">
      <c r="B11" s="47" t="s">
        <v>135</v>
      </c>
      <c r="C11" s="63">
        <f>C7/'Revenue Energy &amp; Other'!C7</f>
        <v>1.9118052004248459E-2</v>
      </c>
      <c r="D11" s="63">
        <f>D7/'Revenue Energy &amp; Other'!D7</f>
        <v>-2.1990680140321489E-3</v>
      </c>
      <c r="E11" s="63">
        <f>E7/'Revenue Energy &amp; Other'!E7</f>
        <v>6.5602462583549837E-3</v>
      </c>
      <c r="F11" s="63">
        <f>F7/'Revenue Energy &amp; Other'!F7</f>
        <v>-0.10147185353759056</v>
      </c>
      <c r="G11" s="63">
        <f>G7/'Revenue Energy &amp; Other'!G7</f>
        <v>-9.4224114985360666E-2</v>
      </c>
      <c r="H11" s="49">
        <f>CHOOSE(Drivers!$C$3,'GP Energy &amp; Other'!H14,'GP Energy &amp; Other'!H17,'GP Energy &amp; Other'!H21)</f>
        <v>0</v>
      </c>
      <c r="I11" s="49">
        <f>CHOOSE(Drivers!$C$3,'GP Energy &amp; Other'!I14,'GP Energy &amp; Other'!I17,'GP Energy &amp; Other'!I21)</f>
        <v>0</v>
      </c>
      <c r="J11" s="49">
        <f>CHOOSE(Drivers!$C$3,'GP Energy &amp; Other'!J14,'GP Energy &amp; Other'!J17,'GP Energy &amp; Other'!J21)</f>
        <v>0</v>
      </c>
      <c r="K11" s="49">
        <f>CHOOSE(Drivers!$C$3,'GP Energy &amp; Other'!K14,'GP Energy &amp; Other'!K17,'GP Energy &amp; Other'!K21)</f>
        <v>0</v>
      </c>
      <c r="L11" s="49">
        <f>CHOOSE(Drivers!$C$3,'GP Energy &amp; Other'!L14,'GP Energy &amp; Other'!L17,'GP Energy &amp; Other'!L21)</f>
        <v>0</v>
      </c>
      <c r="M11" s="49">
        <f>CHOOSE(Drivers!$C$3,'GP Energy &amp; Other'!M14,'GP Energy &amp; Other'!M17,'GP Energy &amp; Other'!M21)</f>
        <v>0</v>
      </c>
      <c r="N11" s="49">
        <f>CHOOSE(Drivers!$C$3,'GP Energy &amp; Other'!N14,'GP Energy &amp; Other'!N17,'GP Energy &amp; Other'!N21)</f>
        <v>0</v>
      </c>
      <c r="O11" s="49">
        <f>CHOOSE(Drivers!$C$3,'GP Energy &amp; Other'!O14,'GP Energy &amp; Other'!O17,'GP Energy &amp; Other'!O21)</f>
        <v>0</v>
      </c>
      <c r="P11" s="49">
        <f>CHOOSE(Drivers!$C$3,'GP Energy &amp; Other'!P14,'GP Energy &amp; Other'!P17,'GP Energy &amp; Other'!P21)</f>
        <v>0</v>
      </c>
      <c r="Q11" s="49">
        <f>CHOOSE(Drivers!$C$3,'GP Energy &amp; Other'!Q14,'GP Energy &amp; Other'!Q17,'GP Energy &amp; Other'!Q21)</f>
        <v>0</v>
      </c>
    </row>
    <row r="12" spans="1:17" x14ac:dyDescent="0.2">
      <c r="B12" s="47"/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62" t="s">
        <v>139</v>
      </c>
      <c r="C13" s="50"/>
      <c r="D13" s="50"/>
      <c r="E13" s="50"/>
      <c r="F13" s="50"/>
      <c r="G13" s="47"/>
      <c r="H13" s="50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6" t="s">
        <v>67</v>
      </c>
      <c r="C14" s="47"/>
      <c r="D14" s="47"/>
      <c r="E14" s="47"/>
      <c r="F14" s="47"/>
      <c r="G14" s="47"/>
      <c r="H14" s="38">
        <f>H17+Drivers!$C$13</f>
        <v>0.02</v>
      </c>
      <c r="I14" s="38">
        <f>I17+Drivers!$C$13</f>
        <v>0.02</v>
      </c>
      <c r="J14" s="38">
        <f>J17+Drivers!$C$13</f>
        <v>0.02</v>
      </c>
      <c r="K14" s="38">
        <f>K17+Drivers!$C$13</f>
        <v>0.02</v>
      </c>
      <c r="L14" s="38">
        <f>L17+Drivers!$C$13</f>
        <v>0.02</v>
      </c>
      <c r="M14" s="38">
        <f>M17+Drivers!$C$13</f>
        <v>0.02</v>
      </c>
      <c r="N14" s="38">
        <f>N17+Drivers!$C$13</f>
        <v>0.02</v>
      </c>
      <c r="O14" s="38">
        <f>O17+Drivers!$C$13</f>
        <v>0.02</v>
      </c>
      <c r="P14" s="38">
        <f>P17+Drivers!$C$13</f>
        <v>0.02</v>
      </c>
      <c r="Q14" s="38">
        <f>Q17+Drivers!$C$13</f>
        <v>0.02</v>
      </c>
    </row>
    <row r="15" spans="1:17" x14ac:dyDescent="0.2">
      <c r="B15" s="47" t="s">
        <v>135</v>
      </c>
      <c r="C15" s="50"/>
      <c r="D15" s="38"/>
      <c r="E15" s="38"/>
      <c r="F15" s="38"/>
      <c r="G15" s="47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x14ac:dyDescent="0.2">
      <c r="B16" s="47"/>
      <c r="C16" s="50"/>
      <c r="D16" s="50"/>
      <c r="E16" s="50"/>
      <c r="F16" s="50"/>
      <c r="G16" s="47"/>
      <c r="H16" s="50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6" t="s">
        <v>68</v>
      </c>
      <c r="C17" s="47"/>
      <c r="D17" s="47"/>
      <c r="E17" s="47"/>
      <c r="F17" s="47"/>
      <c r="G17" s="47"/>
      <c r="H17" s="48">
        <v>0</v>
      </c>
      <c r="I17" s="48">
        <f>$H$17</f>
        <v>0</v>
      </c>
      <c r="J17" s="48">
        <f t="shared" ref="J17:Q17" si="1">$H$17</f>
        <v>0</v>
      </c>
      <c r="K17" s="48">
        <f t="shared" si="1"/>
        <v>0</v>
      </c>
      <c r="L17" s="48">
        <f t="shared" si="1"/>
        <v>0</v>
      </c>
      <c r="M17" s="48">
        <f t="shared" si="1"/>
        <v>0</v>
      </c>
      <c r="N17" s="48">
        <f t="shared" si="1"/>
        <v>0</v>
      </c>
      <c r="O17" s="48">
        <f t="shared" si="1"/>
        <v>0</v>
      </c>
      <c r="P17" s="48">
        <f t="shared" si="1"/>
        <v>0</v>
      </c>
      <c r="Q17" s="48">
        <f t="shared" si="1"/>
        <v>0</v>
      </c>
    </row>
    <row r="18" spans="2:17" x14ac:dyDescent="0.2">
      <c r="B18" s="47" t="s">
        <v>135</v>
      </c>
      <c r="C18" s="50"/>
      <c r="D18" s="38"/>
      <c r="E18" s="38"/>
      <c r="F18" s="38"/>
      <c r="G18" s="47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2:17" x14ac:dyDescent="0.2">
      <c r="B19" s="47"/>
      <c r="C19" s="50"/>
      <c r="D19" s="50"/>
      <c r="E19" s="50"/>
      <c r="F19" s="50"/>
      <c r="G19" s="47"/>
      <c r="H19" s="50"/>
      <c r="I19" s="48"/>
      <c r="J19" s="48"/>
      <c r="K19" s="48"/>
      <c r="L19" s="48"/>
      <c r="M19" s="48"/>
      <c r="N19" s="48"/>
      <c r="O19" s="48"/>
      <c r="P19" s="48"/>
      <c r="Q19" s="48"/>
    </row>
    <row r="20" spans="2:17" x14ac:dyDescent="0.2">
      <c r="B20" s="46" t="s">
        <v>69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spans="2:17" x14ac:dyDescent="0.2">
      <c r="B21" s="47" t="s">
        <v>135</v>
      </c>
      <c r="C21" s="50"/>
      <c r="D21" s="38"/>
      <c r="E21" s="38"/>
      <c r="F21" s="38"/>
      <c r="G21" s="47"/>
      <c r="H21" s="38">
        <f>H18-Drivers!$C$13</f>
        <v>-0.02</v>
      </c>
      <c r="I21" s="38">
        <f>I18-Drivers!$C$13</f>
        <v>-0.02</v>
      </c>
      <c r="J21" s="38">
        <f>J18-Drivers!$C$13</f>
        <v>-0.02</v>
      </c>
      <c r="K21" s="38">
        <f>K18-Drivers!$C$13</f>
        <v>-0.02</v>
      </c>
      <c r="L21" s="38">
        <f>L18-Drivers!$C$13</f>
        <v>-0.02</v>
      </c>
      <c r="M21" s="38">
        <f>M18-Drivers!$C$13</f>
        <v>-0.02</v>
      </c>
      <c r="N21" s="38">
        <f>N18-Drivers!$C$13</f>
        <v>-0.02</v>
      </c>
      <c r="O21" s="38">
        <f>O18-Drivers!$C$13</f>
        <v>-0.02</v>
      </c>
      <c r="P21" s="38">
        <f>P18-Drivers!$C$13</f>
        <v>-0.02</v>
      </c>
      <c r="Q21" s="38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165</v>
      </c>
    </row>
    <row r="2" spans="1:17" ht="15.75" x14ac:dyDescent="0.2">
      <c r="A2" s="1"/>
      <c r="B2" s="2"/>
    </row>
    <row r="3" spans="1:17" x14ac:dyDescent="0.2">
      <c r="C3" s="125" t="s">
        <v>192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33">
        <f>-('Revenue Energy &amp; Other'!G5-'GP Energy &amp; Other'!G5)</f>
        <v>-1341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44">
        <f>-('Revenue Energy &amp; Other'!G6-'GP Energy &amp; Other'!G6)</f>
        <v>-2770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-299.21999999999997</v>
      </c>
      <c r="D7" s="75">
        <f t="shared" ref="D7:G7" si="0">SUM(D5:D6)</f>
        <v>-650.79399999999998</v>
      </c>
      <c r="E7" s="75">
        <f t="shared" si="0"/>
        <v>-2103.56</v>
      </c>
      <c r="F7" s="75">
        <f t="shared" si="0"/>
        <v>-3245.25</v>
      </c>
      <c r="G7" s="75">
        <f t="shared" si="0"/>
        <v>-4111</v>
      </c>
      <c r="H7" s="75">
        <f>-('Revenue Energy &amp; Other'!H7-'GP Energy &amp; Other'!H7)</f>
        <v>-4433.26</v>
      </c>
      <c r="I7" s="75">
        <f>-('Revenue Energy &amp; Other'!I7-'GP Energy &amp; Other'!I7)</f>
        <v>-4965.2512000000006</v>
      </c>
      <c r="J7" s="75">
        <f>-('Revenue Energy &amp; Other'!J7-'GP Energy &amp; Other'!J7)</f>
        <v>-5362.4712960000006</v>
      </c>
      <c r="K7" s="75">
        <f>-('Revenue Energy &amp; Other'!K7-'GP Energy &amp; Other'!K7)</f>
        <v>-5684.2195737600014</v>
      </c>
      <c r="L7" s="75">
        <f>-('Revenue Energy &amp; Other'!L7-'GP Energy &amp; Other'!L7)</f>
        <v>-6025.2727481856018</v>
      </c>
      <c r="M7" s="75">
        <f>-('Revenue Energy &amp; Other'!M7-'GP Energy &amp; Other'!M7)</f>
        <v>-6386.7891130767384</v>
      </c>
      <c r="N7" s="75">
        <f>-('Revenue Energy &amp; Other'!N7-'GP Energy &amp; Other'!N7)</f>
        <v>-6769.9964598613433</v>
      </c>
      <c r="O7" s="75">
        <f>-('Revenue Energy &amp; Other'!O7-'GP Energy &amp; Other'!O7)</f>
        <v>-7176.1962474530246</v>
      </c>
      <c r="P7" s="75">
        <f>-('Revenue Energy &amp; Other'!P7-'GP Energy &amp; Other'!P7)</f>
        <v>-7606.7680223002062</v>
      </c>
      <c r="Q7" s="75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163</v>
      </c>
    </row>
    <row r="2" spans="1:6" ht="15.75" x14ac:dyDescent="0.2">
      <c r="A2" s="1"/>
      <c r="B2" s="2"/>
    </row>
    <row r="3" spans="1:6" ht="12.75" x14ac:dyDescent="0.2">
      <c r="A3" s="1"/>
      <c r="B3" s="57" t="s">
        <v>242</v>
      </c>
    </row>
    <row r="5" spans="1:6" x14ac:dyDescent="0.2">
      <c r="F5" s="8" t="s">
        <v>123</v>
      </c>
    </row>
    <row r="6" spans="1:6" x14ac:dyDescent="0.2">
      <c r="B6" s="24" t="s">
        <v>203</v>
      </c>
      <c r="C6" s="25" t="s">
        <v>120</v>
      </c>
      <c r="D6" s="25" t="s">
        <v>154</v>
      </c>
    </row>
    <row r="7" spans="1:6" x14ac:dyDescent="0.2">
      <c r="B7" s="8" t="s">
        <v>143</v>
      </c>
      <c r="C7" s="64">
        <v>0.152</v>
      </c>
      <c r="D7" s="66">
        <f>C7</f>
        <v>0.152</v>
      </c>
    </row>
    <row r="8" spans="1:6" x14ac:dyDescent="0.2">
      <c r="B8" s="8" t="s">
        <v>144</v>
      </c>
      <c r="C8" s="66">
        <v>0.13234765875561258</v>
      </c>
      <c r="D8" s="66">
        <f>C8</f>
        <v>0.13234765875561258</v>
      </c>
    </row>
    <row r="9" spans="1:6" x14ac:dyDescent="0.2">
      <c r="B9" s="8" t="s">
        <v>145</v>
      </c>
      <c r="C9" s="66">
        <v>9.3051845415807813E-2</v>
      </c>
      <c r="D9" s="66">
        <f>C9</f>
        <v>9.3051845415807813E-2</v>
      </c>
    </row>
    <row r="10" spans="1:6" x14ac:dyDescent="0.2">
      <c r="B10" s="8" t="s">
        <v>146</v>
      </c>
      <c r="C10" s="66">
        <v>9.9485177024934007E-2</v>
      </c>
      <c r="D10" s="66">
        <f>C10</f>
        <v>9.9485177024934007E-2</v>
      </c>
    </row>
    <row r="11" spans="1:6" x14ac:dyDescent="0.2">
      <c r="B11" s="8" t="s">
        <v>147</v>
      </c>
      <c r="C11" s="22">
        <v>0.11</v>
      </c>
      <c r="D11" s="66">
        <f>C11</f>
        <v>0.11</v>
      </c>
    </row>
    <row r="12" spans="1:6" x14ac:dyDescent="0.2">
      <c r="B12" s="77" t="s">
        <v>148</v>
      </c>
      <c r="C12" s="67">
        <v>0.37065334104237219</v>
      </c>
      <c r="D12" s="67"/>
    </row>
    <row r="13" spans="1:6" x14ac:dyDescent="0.2">
      <c r="B13" s="8" t="s">
        <v>149</v>
      </c>
      <c r="C13" s="22">
        <v>0.30660065131342956</v>
      </c>
      <c r="D13" s="66">
        <f>C13</f>
        <v>0.30660065131342956</v>
      </c>
    </row>
    <row r="14" spans="1:6" x14ac:dyDescent="0.2">
      <c r="B14" s="77" t="s">
        <v>150</v>
      </c>
      <c r="C14" s="67">
        <v>0.27674450401753298</v>
      </c>
      <c r="D14" s="67"/>
    </row>
    <row r="15" spans="1:6" x14ac:dyDescent="0.2">
      <c r="B15" s="8" t="s">
        <v>151</v>
      </c>
      <c r="C15" s="66">
        <v>0.15</v>
      </c>
      <c r="D15" s="66">
        <f>C15</f>
        <v>0.15</v>
      </c>
    </row>
    <row r="16" spans="1:6" x14ac:dyDescent="0.2">
      <c r="B16" s="8" t="s">
        <v>152</v>
      </c>
      <c r="C16" s="66">
        <v>0.15</v>
      </c>
      <c r="D16" s="66">
        <f>C16</f>
        <v>0.15</v>
      </c>
    </row>
    <row r="17" spans="2:4" x14ac:dyDescent="0.2">
      <c r="B17" s="77" t="s">
        <v>153</v>
      </c>
      <c r="C17" s="67">
        <v>3.6857379767827526E-2</v>
      </c>
      <c r="D17" s="67">
        <f>C17</f>
        <v>3.6857379767827526E-2</v>
      </c>
    </row>
    <row r="18" spans="2:4" x14ac:dyDescent="0.2">
      <c r="B18" s="9" t="s">
        <v>120</v>
      </c>
      <c r="C18" s="68">
        <f>AVERAGE(C7:C17)</f>
        <v>0.17070368703068331</v>
      </c>
      <c r="D18" s="68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74</v>
      </c>
    </row>
    <row r="3" spans="1:17" x14ac:dyDescent="0.2">
      <c r="C3" s="125" t="s">
        <v>156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7" t="s">
        <v>85</v>
      </c>
      <c r="C5" s="13">
        <f>'Revenue Energy &amp; Other'!C7+'Revenue automotive'!C11</f>
        <v>4046.0250000000001</v>
      </c>
      <c r="D5" s="13">
        <f>'Revenue Energy &amp; Other'!D7+'Revenue automotive'!D11</f>
        <v>7000.1319999999996</v>
      </c>
      <c r="E5" s="13">
        <f>'Revenue Energy &amp; Other'!E7+'Revenue automotive'!E11</f>
        <v>11758.751</v>
      </c>
      <c r="F5" s="13">
        <f>'Revenue Energy &amp; Other'!F7+'Revenue automotive'!F11</f>
        <v>21461.268</v>
      </c>
      <c r="G5" s="33">
        <f>'Revenue Energy &amp; Other'!G7+'Revenue automotive'!G11</f>
        <v>24578</v>
      </c>
      <c r="H5" s="34">
        <f>'Revenue Energy &amp; Other'!H7+'Revenue automotive'!H11</f>
        <v>37652.429714333332</v>
      </c>
      <c r="I5" s="34">
        <f>'Revenue Energy &amp; Other'!I7+'Revenue automotive'!I11</f>
        <v>49932.933760506661</v>
      </c>
      <c r="J5" s="34">
        <f>'Revenue Energy &amp; Other'!J7+'Revenue automotive'!J11</f>
        <v>67816.248169715516</v>
      </c>
      <c r="K5" s="34">
        <f>'Revenue Energy &amp; Other'!K7+'Revenue automotive'!K11</f>
        <v>87207.51105659426</v>
      </c>
      <c r="L5" s="34">
        <f>'Revenue Energy &amp; Other'!L7+'Revenue automotive'!L11</f>
        <v>99609.320850611111</v>
      </c>
      <c r="M5" s="34">
        <f>'Revenue Energy &amp; Other'!M7+'Revenue automotive'!M11</f>
        <v>106627.42014564011</v>
      </c>
      <c r="N5" s="34">
        <f>'Revenue Energy &amp; Other'!N7+'Revenue automotive'!N11</f>
        <v>113514.29487557214</v>
      </c>
      <c r="O5" s="34">
        <f>'Revenue Energy &amp; Other'!O7+'Revenue automotive'!O11</f>
        <v>120511.84483940653</v>
      </c>
      <c r="P5" s="34">
        <f>'Revenue Energy &amp; Other'!P7+'Revenue automotive'!P11</f>
        <v>126325.69040602981</v>
      </c>
      <c r="Q5" s="34">
        <f>'Revenue Energy &amp; Other'!Q7+'Revenue automotive'!Q11</f>
        <v>131530.85338271703</v>
      </c>
    </row>
    <row r="6" spans="1:17" x14ac:dyDescent="0.2">
      <c r="B6" s="8" t="s">
        <v>75</v>
      </c>
      <c r="C6" s="15">
        <f>C7/C5</f>
        <v>-0.40536872609536523</v>
      </c>
      <c r="D6" s="15">
        <f>D7/D5</f>
        <v>-0.32379346560893429</v>
      </c>
      <c r="E6" s="15">
        <f>E7/E5</f>
        <v>-0.32780462822964784</v>
      </c>
      <c r="F6" s="15">
        <f>F7/F5</f>
        <v>-0.20642275190822834</v>
      </c>
      <c r="G6" s="15">
        <f>G7/G5</f>
        <v>-0.16836194971112378</v>
      </c>
      <c r="H6" s="65">
        <f>H10</f>
        <v>-0.13670474580862349</v>
      </c>
      <c r="I6" s="65">
        <f t="shared" ref="I6:Q6" si="0">I10</f>
        <v>-0.13670474580862349</v>
      </c>
      <c r="J6" s="65">
        <f t="shared" si="0"/>
        <v>-0.13670474580862349</v>
      </c>
      <c r="K6" s="65">
        <f t="shared" si="0"/>
        <v>-0.13670474580862349</v>
      </c>
      <c r="L6" s="65">
        <f t="shared" si="0"/>
        <v>-0.13670474580862349</v>
      </c>
      <c r="M6" s="65">
        <f t="shared" si="0"/>
        <v>-0.13670474580862349</v>
      </c>
      <c r="N6" s="65">
        <f t="shared" si="0"/>
        <v>-0.13670474580862349</v>
      </c>
      <c r="O6" s="65">
        <f t="shared" si="0"/>
        <v>-0.13670474580862349</v>
      </c>
      <c r="P6" s="65">
        <f t="shared" si="0"/>
        <v>-0.13670474580862349</v>
      </c>
      <c r="Q6" s="65">
        <f t="shared" si="0"/>
        <v>-0.13670474580862349</v>
      </c>
    </row>
    <row r="7" spans="1:17" x14ac:dyDescent="0.2">
      <c r="B7" s="60" t="s">
        <v>74</v>
      </c>
      <c r="C7" s="60">
        <f>('P&amp;L Input'!C12+'P&amp;L Input'!C13+'P&amp;L Input'!C14)/1000</f>
        <v>-1640.1320000000001</v>
      </c>
      <c r="D7" s="60">
        <f>('P&amp;L Input'!D12+'P&amp;L Input'!D13+'P&amp;L Input'!D14)/1000</f>
        <v>-2266.5970000000002</v>
      </c>
      <c r="E7" s="60">
        <f>('P&amp;L Input'!E12+'P&amp;L Input'!E13+'P&amp;L Input'!E14)/1000</f>
        <v>-3854.5729999999999</v>
      </c>
      <c r="F7" s="60">
        <f>('P&amp;L Input'!F12+'P&amp;L Input'!F13+'P&amp;L Input'!F14)/1000</f>
        <v>-4430.0940000000001</v>
      </c>
      <c r="G7" s="60">
        <f>('P&amp;L Input'!G12+'P&amp;L Input'!G13+'P&amp;L Input'!G14)/1000</f>
        <v>-4138</v>
      </c>
      <c r="H7" s="36">
        <f>H5*H6</f>
        <v>-5147.2658331749999</v>
      </c>
      <c r="I7" s="36">
        <f t="shared" ref="I7:Q7" si="1">I5*I6</f>
        <v>-6826.0690172088971</v>
      </c>
      <c r="J7" s="36">
        <f t="shared" si="1"/>
        <v>-9270.802967735488</v>
      </c>
      <c r="K7" s="36">
        <f t="shared" si="1"/>
        <v>-11921.680631594441</v>
      </c>
      <c r="L7" s="36">
        <f t="shared" si="1"/>
        <v>-13617.066887052411</v>
      </c>
      <c r="M7" s="36">
        <f t="shared" si="1"/>
        <v>-14576.47436723903</v>
      </c>
      <c r="N7" s="36">
        <f t="shared" si="1"/>
        <v>-15517.942826610222</v>
      </c>
      <c r="O7" s="36">
        <f t="shared" si="1"/>
        <v>-16474.541115699343</v>
      </c>
      <c r="P7" s="36">
        <f t="shared" si="1"/>
        <v>-17269.321396055173</v>
      </c>
      <c r="Q7" s="36">
        <f t="shared" si="1"/>
        <v>-17980.891877675658</v>
      </c>
    </row>
    <row r="8" spans="1:17" x14ac:dyDescent="0.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155</v>
      </c>
      <c r="C10" s="63"/>
      <c r="D10" s="63"/>
      <c r="E10" s="63"/>
      <c r="F10" s="63"/>
      <c r="G10" s="47"/>
      <c r="H10" s="49">
        <f>CHOOSE(Drivers!$C$3,Opex!H14,Opex!H17,Opex!H20)</f>
        <v>-0.13670474580862349</v>
      </c>
      <c r="I10" s="49">
        <f>CHOOSE(Drivers!$C$3,Opex!I14,Opex!I17,Opex!I20)</f>
        <v>-0.13670474580862349</v>
      </c>
      <c r="J10" s="49">
        <f>CHOOSE(Drivers!$C$3,Opex!J14,Opex!J17,Opex!J20)</f>
        <v>-0.13670474580862349</v>
      </c>
      <c r="K10" s="49">
        <f>CHOOSE(Drivers!$C$3,Opex!K14,Opex!K17,Opex!K20)</f>
        <v>-0.13670474580862349</v>
      </c>
      <c r="L10" s="49">
        <f>CHOOSE(Drivers!$C$3,Opex!L14,Opex!L17,Opex!L20)</f>
        <v>-0.13670474580862349</v>
      </c>
      <c r="M10" s="49">
        <f>CHOOSE(Drivers!$C$3,Opex!M14,Opex!M17,Opex!M20)</f>
        <v>-0.13670474580862349</v>
      </c>
      <c r="N10" s="49">
        <f>CHOOSE(Drivers!$C$3,Opex!N14,Opex!N17,Opex!N20)</f>
        <v>-0.13670474580862349</v>
      </c>
      <c r="O10" s="49">
        <f>CHOOSE(Drivers!$C$3,Opex!O14,Opex!O17,Opex!O20)</f>
        <v>-0.13670474580862349</v>
      </c>
      <c r="P10" s="49">
        <f>CHOOSE(Drivers!$C$3,Opex!P14,Opex!P17,Opex!P20)</f>
        <v>-0.13670474580862349</v>
      </c>
      <c r="Q10" s="49">
        <f>CHOOSE(Drivers!$C$3,Opex!Q14,Opex!Q17,Opex!Q20)</f>
        <v>-0.13670474580862349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142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7" t="s">
        <v>155</v>
      </c>
      <c r="C14" s="50"/>
      <c r="D14" s="38"/>
      <c r="E14" s="38"/>
      <c r="F14" s="38"/>
      <c r="G14" s="47"/>
      <c r="H14" s="49">
        <f>H17+2%</f>
        <v>-0.11670474580862349</v>
      </c>
      <c r="I14" s="49">
        <f t="shared" ref="I14:Q14" si="2">I17+2%</f>
        <v>-0.11670474580862349</v>
      </c>
      <c r="J14" s="49">
        <f t="shared" si="2"/>
        <v>-0.11670474580862349</v>
      </c>
      <c r="K14" s="49">
        <f t="shared" si="2"/>
        <v>-0.11670474580862349</v>
      </c>
      <c r="L14" s="49">
        <f t="shared" si="2"/>
        <v>-0.11670474580862349</v>
      </c>
      <c r="M14" s="49">
        <f t="shared" si="2"/>
        <v>-0.11670474580862349</v>
      </c>
      <c r="N14" s="49">
        <f t="shared" si="2"/>
        <v>-0.11670474580862349</v>
      </c>
      <c r="O14" s="49">
        <f t="shared" si="2"/>
        <v>-0.11670474580862349</v>
      </c>
      <c r="P14" s="49">
        <f t="shared" si="2"/>
        <v>-0.11670474580862349</v>
      </c>
      <c r="Q14" s="49">
        <f t="shared" si="2"/>
        <v>-0.11670474580862349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7" t="s">
        <v>155</v>
      </c>
      <c r="C17" s="50"/>
      <c r="D17" s="38"/>
      <c r="E17" s="38"/>
      <c r="F17" s="38"/>
      <c r="G17" s="47"/>
      <c r="H17" s="49">
        <f>-'Opex comparables'!$D$18</f>
        <v>-0.13670474580862349</v>
      </c>
      <c r="I17" s="49">
        <f>-'Opex comparables'!$D$18</f>
        <v>-0.13670474580862349</v>
      </c>
      <c r="J17" s="49">
        <f>-'Opex comparables'!$D$18</f>
        <v>-0.13670474580862349</v>
      </c>
      <c r="K17" s="49">
        <f>-'Opex comparables'!$D$18</f>
        <v>-0.13670474580862349</v>
      </c>
      <c r="L17" s="49">
        <f>-'Opex comparables'!$D$18</f>
        <v>-0.13670474580862349</v>
      </c>
      <c r="M17" s="49">
        <f>-'Opex comparables'!$D$18</f>
        <v>-0.13670474580862349</v>
      </c>
      <c r="N17" s="49">
        <f>-'Opex comparables'!$D$18</f>
        <v>-0.13670474580862349</v>
      </c>
      <c r="O17" s="49">
        <f>-'Opex comparables'!$D$18</f>
        <v>-0.13670474580862349</v>
      </c>
      <c r="P17" s="49">
        <f>-'Opex comparables'!$D$18</f>
        <v>-0.13670474580862349</v>
      </c>
      <c r="Q17" s="49">
        <f>-'Opex comparables'!$D$18</f>
        <v>-0.13670474580862349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155</v>
      </c>
      <c r="C20" s="50"/>
      <c r="D20" s="38"/>
      <c r="E20" s="38"/>
      <c r="F20" s="38"/>
      <c r="G20" s="47"/>
      <c r="H20" s="49">
        <f>H17-2%</f>
        <v>-0.15670474580862348</v>
      </c>
      <c r="I20" s="49">
        <f t="shared" ref="I20:Q20" si="3">I17-2%</f>
        <v>-0.15670474580862348</v>
      </c>
      <c r="J20" s="49">
        <f t="shared" si="3"/>
        <v>-0.15670474580862348</v>
      </c>
      <c r="K20" s="49">
        <f t="shared" si="3"/>
        <v>-0.15670474580862348</v>
      </c>
      <c r="L20" s="49">
        <f t="shared" si="3"/>
        <v>-0.15670474580862348</v>
      </c>
      <c r="M20" s="49">
        <f t="shared" si="3"/>
        <v>-0.15670474580862348</v>
      </c>
      <c r="N20" s="49">
        <f t="shared" si="3"/>
        <v>-0.15670474580862348</v>
      </c>
      <c r="O20" s="49">
        <f t="shared" si="3"/>
        <v>-0.15670474580862348</v>
      </c>
      <c r="P20" s="49">
        <f t="shared" si="3"/>
        <v>-0.15670474580862348</v>
      </c>
      <c r="Q20" s="49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7" customWidth="1"/>
    <col min="2" max="2" width="29.28515625" style="17" bestFit="1" customWidth="1"/>
    <col min="3" max="3" width="12.85546875" style="17" bestFit="1" customWidth="1"/>
    <col min="4" max="4" width="10.5703125" style="17" customWidth="1"/>
    <col min="5" max="5" width="10.140625" style="17" customWidth="1"/>
    <col min="6" max="6" width="10" style="17" customWidth="1"/>
    <col min="7" max="12" width="10.28515625" style="17" customWidth="1"/>
    <col min="13" max="13" width="10.42578125" style="17" customWidth="1"/>
    <col min="14" max="14" width="11" style="17" customWidth="1"/>
    <col min="15" max="15" width="10.5703125" style="17" customWidth="1"/>
    <col min="16" max="16" width="10.140625" style="17" customWidth="1"/>
    <col min="17" max="17" width="10.7109375" style="17" customWidth="1"/>
    <col min="18" max="16384" width="9.140625" style="17"/>
  </cols>
  <sheetData>
    <row r="1" spans="1:17" ht="15.75" x14ac:dyDescent="0.25">
      <c r="B1" s="16" t="s">
        <v>89</v>
      </c>
    </row>
    <row r="3" spans="1:17" x14ac:dyDescent="0.2">
      <c r="B3" s="71" t="str">
        <f>"Selected case:"&amp;CHOOSE(C3," as a % of PPE"," as a % of revenue")</f>
        <v>Selected case: as a % of PPE</v>
      </c>
      <c r="C3" s="70">
        <v>1</v>
      </c>
    </row>
    <row r="4" spans="1:17" ht="5.45" customHeight="1" x14ac:dyDescent="0.2">
      <c r="B4" s="71"/>
      <c r="C4" s="72"/>
    </row>
    <row r="5" spans="1:17" x14ac:dyDescent="0.2">
      <c r="C5" s="125" t="s">
        <v>157</v>
      </c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ht="26.45" customHeight="1" x14ac:dyDescent="0.2">
      <c r="A6" s="17" t="s">
        <v>72</v>
      </c>
      <c r="B6" s="5" t="s">
        <v>168</v>
      </c>
      <c r="C6" s="6" t="s">
        <v>158</v>
      </c>
      <c r="D6" s="6" t="s">
        <v>159</v>
      </c>
      <c r="E6" s="6" t="s">
        <v>160</v>
      </c>
      <c r="F6" s="6" t="s">
        <v>207</v>
      </c>
      <c r="G6" s="6" t="s">
        <v>236</v>
      </c>
      <c r="H6" s="53" t="s">
        <v>179</v>
      </c>
      <c r="I6" s="53" t="s">
        <v>180</v>
      </c>
      <c r="J6" s="53" t="s">
        <v>181</v>
      </c>
      <c r="K6" s="53" t="s">
        <v>182</v>
      </c>
      <c r="L6" s="53" t="s">
        <v>183</v>
      </c>
      <c r="M6" s="53" t="s">
        <v>184</v>
      </c>
      <c r="N6" s="53" t="s">
        <v>185</v>
      </c>
      <c r="O6" s="53" t="s">
        <v>186</v>
      </c>
      <c r="P6" s="53" t="s">
        <v>187</v>
      </c>
      <c r="Q6" s="53" t="s">
        <v>211</v>
      </c>
    </row>
    <row r="7" spans="1:17" x14ac:dyDescent="0.2">
      <c r="B7" s="18" t="s">
        <v>77</v>
      </c>
      <c r="C7" s="97">
        <f>738494/1000</f>
        <v>738.49400000000003</v>
      </c>
      <c r="D7" s="73">
        <f t="shared" ref="D7:Q7" si="0">C10</f>
        <v>3403.3339999999998</v>
      </c>
      <c r="E7" s="73">
        <f t="shared" si="0"/>
        <v>5982.9570000000003</v>
      </c>
      <c r="F7" s="73">
        <f t="shared" si="0"/>
        <v>10027.522000000001</v>
      </c>
      <c r="G7" s="79">
        <f t="shared" si="0"/>
        <v>11330.076999999999</v>
      </c>
      <c r="H7" s="74">
        <f t="shared" si="0"/>
        <v>10396</v>
      </c>
      <c r="I7" s="74">
        <f t="shared" si="0"/>
        <v>11620.915202632239</v>
      </c>
      <c r="J7" s="74">
        <f t="shared" si="0"/>
        <v>12861.035525162086</v>
      </c>
      <c r="K7" s="74">
        <f t="shared" si="0"/>
        <v>14090.026596765269</v>
      </c>
      <c r="L7" s="74">
        <f t="shared" si="0"/>
        <v>15275.449738626023</v>
      </c>
      <c r="M7" s="74">
        <f t="shared" si="0"/>
        <v>16378.069655985839</v>
      </c>
      <c r="N7" s="74">
        <f t="shared" si="0"/>
        <v>17351.159069413741</v>
      </c>
      <c r="O7" s="74">
        <f t="shared" si="0"/>
        <v>18139.816374405727</v>
      </c>
      <c r="P7" s="74">
        <f t="shared" si="0"/>
        <v>18680.315997120495</v>
      </c>
      <c r="Q7" s="74">
        <f t="shared" si="0"/>
        <v>18899.515082888276</v>
      </c>
    </row>
    <row r="8" spans="1:17" x14ac:dyDescent="0.2">
      <c r="B8" s="18" t="s">
        <v>78</v>
      </c>
      <c r="C8" s="79">
        <f>C10-C7-C9</f>
        <v>3087.8399999999997</v>
      </c>
      <c r="D8" s="79">
        <f>D10-D7-D9</f>
        <v>3526.6230000000005</v>
      </c>
      <c r="E8" s="79">
        <f>E10-E7-E9</f>
        <v>5680.5650000000005</v>
      </c>
      <c r="F8" s="79">
        <f>F10-F7-F9</f>
        <v>3203.5549999999985</v>
      </c>
      <c r="G8" s="79">
        <f>G10-G7-G9</f>
        <v>1219.9230000000007</v>
      </c>
      <c r="H8" s="74">
        <f>CHOOSE($C$3,H32*H7,H33*Opex!H5)</f>
        <v>2516.1280029247109</v>
      </c>
      <c r="I8" s="74">
        <f>CHOOSE($C$3,I32*I7,I33*Opex!I5)</f>
        <v>2812.5923586914651</v>
      </c>
      <c r="J8" s="74">
        <f>CHOOSE($C$3,J32*J7,J33*Opex!J5)</f>
        <v>3112.7367864053331</v>
      </c>
      <c r="K8" s="74">
        <f>CHOOSE($C$3,K32*K7,K33*Opex!K5)</f>
        <v>3410.1876185143383</v>
      </c>
      <c r="L8" s="74">
        <f>CHOOSE($C$3,L32*L7,L33*Opex!L5)</f>
        <v>3697.0937711259999</v>
      </c>
      <c r="M8" s="74">
        <f>CHOOSE($C$3,M32*M7,M33*Opex!M5)</f>
        <v>3963.9591857712062</v>
      </c>
      <c r="N8" s="74">
        <f>CHOOSE($C$3,N32*N7,N33*Opex!N5)</f>
        <v>4199.4745303725458</v>
      </c>
      <c r="O8" s="74">
        <f>CHOOSE($C$3,O32*O7,O33*Opex!O5)</f>
        <v>4390.352053439251</v>
      </c>
      <c r="P8" s="74">
        <f>CHOOSE($C$3,P32*P7,P33*Opex!P5)</f>
        <v>4521.1683516580724</v>
      </c>
      <c r="Q8" s="74">
        <f>CHOOSE($C$3,Q32*Q7,Q33*Opex!Q5)</f>
        <v>4574.2207716191933</v>
      </c>
    </row>
    <row r="9" spans="1:17" x14ac:dyDescent="0.2">
      <c r="B9" s="17" t="s">
        <v>79</v>
      </c>
      <c r="C9" s="82">
        <v>-423</v>
      </c>
      <c r="D9" s="82">
        <v>-947</v>
      </c>
      <c r="E9" s="82">
        <v>-1636</v>
      </c>
      <c r="F9" s="82">
        <v>-1901</v>
      </c>
      <c r="G9" s="82">
        <v>-2154</v>
      </c>
      <c r="H9" s="34">
        <f t="shared" ref="H9:Q9" si="1">H28</f>
        <v>-1291.212800292471</v>
      </c>
      <c r="I9" s="34">
        <f t="shared" si="1"/>
        <v>-1572.4720361616176</v>
      </c>
      <c r="J9" s="34">
        <f t="shared" si="1"/>
        <v>-1883.7457148021508</v>
      </c>
      <c r="K9" s="34">
        <f t="shared" si="1"/>
        <v>-2224.7644766535846</v>
      </c>
      <c r="L9" s="34">
        <f t="shared" si="1"/>
        <v>-2594.4738537661847</v>
      </c>
      <c r="M9" s="34">
        <f t="shared" si="1"/>
        <v>-2990.8697723433052</v>
      </c>
      <c r="N9" s="34">
        <f t="shared" si="1"/>
        <v>-3410.8172253805596</v>
      </c>
      <c r="O9" s="34">
        <f t="shared" si="1"/>
        <v>-3849.8524307244847</v>
      </c>
      <c r="P9" s="34">
        <f t="shared" si="1"/>
        <v>-4301.9692658902923</v>
      </c>
      <c r="Q9" s="34">
        <f t="shared" si="1"/>
        <v>-4759.3913430522116</v>
      </c>
    </row>
    <row r="10" spans="1:17" s="20" customFormat="1" ht="15" thickBot="1" x14ac:dyDescent="0.25">
      <c r="B10" s="69" t="s">
        <v>80</v>
      </c>
      <c r="C10" s="75">
        <f>'Balance Sheet Input'!C12/1000</f>
        <v>3403.3339999999998</v>
      </c>
      <c r="D10" s="75">
        <f>'Balance Sheet Input'!D12/1000</f>
        <v>5982.9570000000003</v>
      </c>
      <c r="E10" s="75">
        <f>'Balance Sheet Input'!E12/1000</f>
        <v>10027.522000000001</v>
      </c>
      <c r="F10" s="75">
        <f>'Balance Sheet Input'!F12/1000</f>
        <v>11330.076999999999</v>
      </c>
      <c r="G10" s="75">
        <f>'Balance Sheet Input'!G12/1000</f>
        <v>10396</v>
      </c>
      <c r="H10" s="75">
        <f t="shared" ref="H10:Q10" si="2">SUM(H7:H9)</f>
        <v>11620.915202632239</v>
      </c>
      <c r="I10" s="75">
        <f t="shared" si="2"/>
        <v>12861.035525162086</v>
      </c>
      <c r="J10" s="75">
        <f t="shared" si="2"/>
        <v>14090.026596765269</v>
      </c>
      <c r="K10" s="75">
        <f t="shared" si="2"/>
        <v>15275.449738626023</v>
      </c>
      <c r="L10" s="75">
        <f t="shared" si="2"/>
        <v>16378.069655985839</v>
      </c>
      <c r="M10" s="75">
        <f t="shared" si="2"/>
        <v>17351.159069413741</v>
      </c>
      <c r="N10" s="75">
        <f t="shared" si="2"/>
        <v>18139.816374405727</v>
      </c>
      <c r="O10" s="75">
        <f t="shared" si="2"/>
        <v>18680.315997120495</v>
      </c>
      <c r="P10" s="75">
        <f t="shared" si="2"/>
        <v>18899.515082888276</v>
      </c>
      <c r="Q10" s="75">
        <f t="shared" si="2"/>
        <v>18714.344511455256</v>
      </c>
    </row>
    <row r="11" spans="1:17" ht="14.25" customHeight="1" x14ac:dyDescent="0.2"/>
    <row r="12" spans="1:17" x14ac:dyDescent="0.2">
      <c r="B12" s="18" t="s">
        <v>83</v>
      </c>
      <c r="C12" s="19">
        <v>10</v>
      </c>
    </row>
    <row r="13" spans="1:17" x14ac:dyDescent="0.2">
      <c r="B13" s="18" t="s">
        <v>82</v>
      </c>
      <c r="C13" s="19">
        <v>10</v>
      </c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5" spans="1:17" x14ac:dyDescent="0.2">
      <c r="C15" s="125" t="s">
        <v>255</v>
      </c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</row>
    <row r="16" spans="1:17" ht="25.5" customHeight="1" x14ac:dyDescent="0.2">
      <c r="B16" s="5" t="s">
        <v>168</v>
      </c>
      <c r="C16" s="6" t="s">
        <v>158</v>
      </c>
      <c r="D16" s="6" t="s">
        <v>159</v>
      </c>
      <c r="E16" s="6" t="s">
        <v>160</v>
      </c>
      <c r="F16" s="6" t="s">
        <v>207</v>
      </c>
      <c r="G16" s="6" t="s">
        <v>236</v>
      </c>
      <c r="H16" s="53" t="s">
        <v>179</v>
      </c>
      <c r="I16" s="53" t="s">
        <v>180</v>
      </c>
      <c r="J16" s="53" t="s">
        <v>181</v>
      </c>
      <c r="K16" s="53" t="s">
        <v>182</v>
      </c>
      <c r="L16" s="53" t="s">
        <v>183</v>
      </c>
      <c r="M16" s="53" t="s">
        <v>184</v>
      </c>
      <c r="N16" s="53" t="s">
        <v>185</v>
      </c>
      <c r="O16" s="53" t="s">
        <v>186</v>
      </c>
      <c r="P16" s="53" t="s">
        <v>187</v>
      </c>
      <c r="Q16" s="53" t="s">
        <v>211</v>
      </c>
    </row>
    <row r="17" spans="2:17" x14ac:dyDescent="0.2">
      <c r="H17" s="82">
        <f>-$H$7/$C$13</f>
        <v>-1039.5999999999999</v>
      </c>
      <c r="I17" s="82">
        <f t="shared" ref="I17:Q17" si="3">-$H$7/$C$13</f>
        <v>-1039.5999999999999</v>
      </c>
      <c r="J17" s="82">
        <f t="shared" si="3"/>
        <v>-1039.5999999999999</v>
      </c>
      <c r="K17" s="82">
        <f t="shared" si="3"/>
        <v>-1039.5999999999999</v>
      </c>
      <c r="L17" s="82">
        <f t="shared" si="3"/>
        <v>-1039.5999999999999</v>
      </c>
      <c r="M17" s="82">
        <f t="shared" si="3"/>
        <v>-1039.5999999999999</v>
      </c>
      <c r="N17" s="82">
        <f t="shared" si="3"/>
        <v>-1039.5999999999999</v>
      </c>
      <c r="O17" s="82">
        <f t="shared" si="3"/>
        <v>-1039.5999999999999</v>
      </c>
      <c r="P17" s="82">
        <f t="shared" si="3"/>
        <v>-1039.5999999999999</v>
      </c>
      <c r="Q17" s="82">
        <f t="shared" si="3"/>
        <v>-1039.5999999999999</v>
      </c>
    </row>
    <row r="18" spans="2:17" x14ac:dyDescent="0.2">
      <c r="H18" s="82">
        <f>-$H$8/$C$13</f>
        <v>-251.61280029247109</v>
      </c>
      <c r="I18" s="82">
        <f t="shared" ref="I18:Q18" si="4">-$H$8/$C$13</f>
        <v>-251.61280029247109</v>
      </c>
      <c r="J18" s="82">
        <f t="shared" si="4"/>
        <v>-251.61280029247109</v>
      </c>
      <c r="K18" s="82">
        <f t="shared" si="4"/>
        <v>-251.61280029247109</v>
      </c>
      <c r="L18" s="82">
        <f t="shared" si="4"/>
        <v>-251.61280029247109</v>
      </c>
      <c r="M18" s="82">
        <f t="shared" si="4"/>
        <v>-251.61280029247109</v>
      </c>
      <c r="N18" s="82">
        <f t="shared" si="4"/>
        <v>-251.61280029247109</v>
      </c>
      <c r="O18" s="82">
        <f t="shared" si="4"/>
        <v>-251.61280029247109</v>
      </c>
      <c r="P18" s="82">
        <f t="shared" si="4"/>
        <v>-251.61280029247109</v>
      </c>
      <c r="Q18" s="82">
        <f t="shared" si="4"/>
        <v>-251.61280029247109</v>
      </c>
    </row>
    <row r="19" spans="2:17" x14ac:dyDescent="0.2">
      <c r="H19" s="82"/>
      <c r="I19" s="82">
        <f>-$I$8/$C$12</f>
        <v>-281.25923586914649</v>
      </c>
      <c r="J19" s="82">
        <f t="shared" ref="J19:Q19" si="5">-$I$8/$C$12</f>
        <v>-281.25923586914649</v>
      </c>
      <c r="K19" s="82">
        <f t="shared" si="5"/>
        <v>-281.25923586914649</v>
      </c>
      <c r="L19" s="82">
        <f t="shared" si="5"/>
        <v>-281.25923586914649</v>
      </c>
      <c r="M19" s="82">
        <f t="shared" si="5"/>
        <v>-281.25923586914649</v>
      </c>
      <c r="N19" s="82">
        <f t="shared" si="5"/>
        <v>-281.25923586914649</v>
      </c>
      <c r="O19" s="82">
        <f t="shared" si="5"/>
        <v>-281.25923586914649</v>
      </c>
      <c r="P19" s="82">
        <f t="shared" si="5"/>
        <v>-281.25923586914649</v>
      </c>
      <c r="Q19" s="82">
        <f t="shared" si="5"/>
        <v>-281.25923586914649</v>
      </c>
    </row>
    <row r="20" spans="2:17" x14ac:dyDescent="0.2">
      <c r="H20" s="82"/>
      <c r="I20" s="82"/>
      <c r="J20" s="82">
        <f>-$J$8/$C$13</f>
        <v>-311.27367864053332</v>
      </c>
      <c r="K20" s="82">
        <f t="shared" ref="K20:Q20" si="6">-$J$8/$C$13</f>
        <v>-311.27367864053332</v>
      </c>
      <c r="L20" s="82">
        <f t="shared" si="6"/>
        <v>-311.27367864053332</v>
      </c>
      <c r="M20" s="82">
        <f t="shared" si="6"/>
        <v>-311.27367864053332</v>
      </c>
      <c r="N20" s="82">
        <f t="shared" si="6"/>
        <v>-311.27367864053332</v>
      </c>
      <c r="O20" s="82">
        <f t="shared" si="6"/>
        <v>-311.27367864053332</v>
      </c>
      <c r="P20" s="82">
        <f t="shared" si="6"/>
        <v>-311.27367864053332</v>
      </c>
      <c r="Q20" s="82">
        <f t="shared" si="6"/>
        <v>-311.27367864053332</v>
      </c>
    </row>
    <row r="21" spans="2:17" x14ac:dyDescent="0.2">
      <c r="H21" s="82"/>
      <c r="I21" s="82"/>
      <c r="J21" s="82"/>
      <c r="K21" s="82">
        <f>-$K$8/$C$12</f>
        <v>-341.01876185143385</v>
      </c>
      <c r="L21" s="82">
        <f t="shared" ref="L21:Q21" si="7">-$K$8/$C$12</f>
        <v>-341.01876185143385</v>
      </c>
      <c r="M21" s="82">
        <f t="shared" si="7"/>
        <v>-341.01876185143385</v>
      </c>
      <c r="N21" s="82">
        <f t="shared" si="7"/>
        <v>-341.01876185143385</v>
      </c>
      <c r="O21" s="82">
        <f t="shared" si="7"/>
        <v>-341.01876185143385</v>
      </c>
      <c r="P21" s="82">
        <f t="shared" si="7"/>
        <v>-341.01876185143385</v>
      </c>
      <c r="Q21" s="82">
        <f t="shared" si="7"/>
        <v>-341.01876185143385</v>
      </c>
    </row>
    <row r="22" spans="2:17" x14ac:dyDescent="0.2">
      <c r="H22" s="82"/>
      <c r="I22" s="82"/>
      <c r="J22" s="82"/>
      <c r="K22" s="82"/>
      <c r="L22" s="82">
        <f>-$L$8/$C$12</f>
        <v>-369.70937711260001</v>
      </c>
      <c r="M22" s="82">
        <f t="shared" ref="M22:Q22" si="8">-$L$8/$C$12</f>
        <v>-369.70937711260001</v>
      </c>
      <c r="N22" s="82">
        <f t="shared" si="8"/>
        <v>-369.70937711260001</v>
      </c>
      <c r="O22" s="82">
        <f t="shared" si="8"/>
        <v>-369.70937711260001</v>
      </c>
      <c r="P22" s="82">
        <f t="shared" si="8"/>
        <v>-369.70937711260001</v>
      </c>
      <c r="Q22" s="82">
        <f t="shared" si="8"/>
        <v>-369.70937711260001</v>
      </c>
    </row>
    <row r="23" spans="2:17" x14ac:dyDescent="0.2">
      <c r="H23" s="82"/>
      <c r="I23" s="82"/>
      <c r="J23" s="82"/>
      <c r="K23" s="82"/>
      <c r="L23" s="82"/>
      <c r="M23" s="82">
        <f>-$M$8/$C$12</f>
        <v>-396.3959185771206</v>
      </c>
      <c r="N23" s="82">
        <f t="shared" ref="N23:Q23" si="9">-$M$8/$C$12</f>
        <v>-396.3959185771206</v>
      </c>
      <c r="O23" s="82">
        <f t="shared" si="9"/>
        <v>-396.3959185771206</v>
      </c>
      <c r="P23" s="82">
        <f t="shared" si="9"/>
        <v>-396.3959185771206</v>
      </c>
      <c r="Q23" s="82">
        <f t="shared" si="9"/>
        <v>-396.3959185771206</v>
      </c>
    </row>
    <row r="24" spans="2:17" x14ac:dyDescent="0.2">
      <c r="H24" s="82"/>
      <c r="I24" s="82"/>
      <c r="J24" s="82"/>
      <c r="K24" s="82"/>
      <c r="L24" s="82"/>
      <c r="M24" s="82"/>
      <c r="N24" s="82">
        <f>-$N$8/$C$12</f>
        <v>-419.9474530372546</v>
      </c>
      <c r="O24" s="82">
        <f t="shared" ref="O24:Q24" si="10">-$N$8/$C$12</f>
        <v>-419.9474530372546</v>
      </c>
      <c r="P24" s="82">
        <f t="shared" si="10"/>
        <v>-419.9474530372546</v>
      </c>
      <c r="Q24" s="82">
        <f t="shared" si="10"/>
        <v>-419.9474530372546</v>
      </c>
    </row>
    <row r="25" spans="2:17" x14ac:dyDescent="0.2">
      <c r="H25" s="82"/>
      <c r="I25" s="82"/>
      <c r="J25" s="82"/>
      <c r="K25" s="82"/>
      <c r="L25" s="82"/>
      <c r="M25" s="82"/>
      <c r="N25" s="82"/>
      <c r="O25" s="82">
        <f>-$O$8/$C$12</f>
        <v>-439.0352053439251</v>
      </c>
      <c r="P25" s="82">
        <f t="shared" ref="P25:Q25" si="11">-$O$8/$C$12</f>
        <v>-439.0352053439251</v>
      </c>
      <c r="Q25" s="82">
        <f t="shared" si="11"/>
        <v>-439.0352053439251</v>
      </c>
    </row>
    <row r="26" spans="2:17" x14ac:dyDescent="0.2">
      <c r="H26" s="82"/>
      <c r="I26" s="82"/>
      <c r="J26" s="82"/>
      <c r="K26" s="82"/>
      <c r="L26" s="82"/>
      <c r="M26" s="82"/>
      <c r="N26" s="82"/>
      <c r="O26" s="82"/>
      <c r="P26" s="82">
        <f>-$P$8/$C$12</f>
        <v>-452.11683516580723</v>
      </c>
      <c r="Q26" s="82">
        <f>-$P$8/$C$12</f>
        <v>-452.11683516580723</v>
      </c>
    </row>
    <row r="27" spans="2:17" x14ac:dyDescent="0.2">
      <c r="H27" s="82"/>
      <c r="I27" s="82"/>
      <c r="J27" s="82"/>
      <c r="K27" s="82"/>
      <c r="L27" s="82"/>
      <c r="M27" s="82"/>
      <c r="N27" s="82"/>
      <c r="O27" s="82"/>
      <c r="P27" s="82"/>
      <c r="Q27" s="82">
        <f>-$Q$8/$C$12</f>
        <v>-457.42207716191933</v>
      </c>
    </row>
    <row r="28" spans="2:17" ht="13.5" thickBot="1" x14ac:dyDescent="0.25">
      <c r="B28" s="69" t="s">
        <v>256</v>
      </c>
      <c r="C28" s="75">
        <f t="shared" ref="C28:P28" si="12">SUM(C17:C27)</f>
        <v>0</v>
      </c>
      <c r="D28" s="75">
        <f t="shared" si="12"/>
        <v>0</v>
      </c>
      <c r="E28" s="75">
        <f t="shared" si="12"/>
        <v>0</v>
      </c>
      <c r="F28" s="75">
        <f t="shared" si="12"/>
        <v>0</v>
      </c>
      <c r="G28" s="75">
        <f t="shared" si="12"/>
        <v>0</v>
      </c>
      <c r="H28" s="75">
        <f t="shared" si="12"/>
        <v>-1291.212800292471</v>
      </c>
      <c r="I28" s="75">
        <f t="shared" si="12"/>
        <v>-1572.4720361616176</v>
      </c>
      <c r="J28" s="75">
        <f t="shared" si="12"/>
        <v>-1883.7457148021508</v>
      </c>
      <c r="K28" s="75">
        <f t="shared" si="12"/>
        <v>-2224.7644766535846</v>
      </c>
      <c r="L28" s="75">
        <f t="shared" si="12"/>
        <v>-2594.4738537661847</v>
      </c>
      <c r="M28" s="75">
        <f t="shared" si="12"/>
        <v>-2990.8697723433052</v>
      </c>
      <c r="N28" s="75">
        <f t="shared" si="12"/>
        <v>-3410.8172253805596</v>
      </c>
      <c r="O28" s="75">
        <f t="shared" si="12"/>
        <v>-3849.8524307244847</v>
      </c>
      <c r="P28" s="75">
        <f t="shared" si="12"/>
        <v>-4301.9692658902923</v>
      </c>
      <c r="Q28" s="75">
        <f>SUM(Q17:Q27)</f>
        <v>-4759.3913430522116</v>
      </c>
    </row>
    <row r="31" spans="2:17" s="8" customFormat="1" ht="12" x14ac:dyDescent="0.2">
      <c r="B31" s="46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2:17" s="8" customFormat="1" ht="12" x14ac:dyDescent="0.2">
      <c r="B32" s="47" t="s">
        <v>81</v>
      </c>
      <c r="C32" s="63"/>
      <c r="D32" s="63"/>
      <c r="E32" s="63"/>
      <c r="F32" s="63"/>
      <c r="G32" s="47"/>
      <c r="H32" s="49">
        <f>CHOOSE(Drivers!$C$3,H36,H39,H42)</f>
        <v>0.24202847277074943</v>
      </c>
      <c r="I32" s="49">
        <f>CHOOSE(Drivers!$C$3,I36,I39,I42)</f>
        <v>0.24202847277074943</v>
      </c>
      <c r="J32" s="49">
        <f>CHOOSE(Drivers!$C$3,J36,J39,J42)</f>
        <v>0.24202847277074943</v>
      </c>
      <c r="K32" s="49">
        <f>CHOOSE(Drivers!$C$3,K36,K39,K42)</f>
        <v>0.24202847277074943</v>
      </c>
      <c r="L32" s="49">
        <f>CHOOSE(Drivers!$C$3,L36,L39,L42)</f>
        <v>0.24202847277074943</v>
      </c>
      <c r="M32" s="49">
        <f>CHOOSE(Drivers!$C$3,M36,M39,M42)</f>
        <v>0.24202847277074943</v>
      </c>
      <c r="N32" s="49">
        <f>CHOOSE(Drivers!$C$3,N36,N39,N42)</f>
        <v>0.24202847277074943</v>
      </c>
      <c r="O32" s="49">
        <f>CHOOSE(Drivers!$C$3,O36,O39,O42)</f>
        <v>0.24202847277074943</v>
      </c>
      <c r="P32" s="49">
        <f>CHOOSE(Drivers!$C$3,P36,P39,P42)</f>
        <v>0.24202847277074943</v>
      </c>
      <c r="Q32" s="49">
        <f>CHOOSE(Drivers!$C$3,Q36,Q39,Q42)</f>
        <v>0.24202847277074943</v>
      </c>
    </row>
    <row r="33" spans="2:17" s="8" customFormat="1" ht="12" x14ac:dyDescent="0.2">
      <c r="B33" s="47" t="s">
        <v>234</v>
      </c>
      <c r="C33" s="50"/>
      <c r="D33" s="50"/>
      <c r="E33" s="50"/>
      <c r="F33" s="50"/>
      <c r="G33" s="47"/>
      <c r="H33" s="49">
        <f>CHOOSE(Drivers!$C$3,H37,H40,H43)</f>
        <v>6.4053330662578414E-2</v>
      </c>
      <c r="I33" s="49">
        <f>CHOOSE(Drivers!$C$3,I37,I40,I43)</f>
        <v>6.4053330662578414E-2</v>
      </c>
      <c r="J33" s="49">
        <f>CHOOSE(Drivers!$C$3,J37,J40,J43)</f>
        <v>6.4053330662578414E-2</v>
      </c>
      <c r="K33" s="49">
        <f>CHOOSE(Drivers!$C$3,K37,K40,K43)</f>
        <v>6.4053330662578414E-2</v>
      </c>
      <c r="L33" s="49">
        <f>CHOOSE(Drivers!$C$3,L37,L40,L43)</f>
        <v>6.4053330662578414E-2</v>
      </c>
      <c r="M33" s="49">
        <f>CHOOSE(Drivers!$C$3,M37,M40,M43)</f>
        <v>6.4053330662578414E-2</v>
      </c>
      <c r="N33" s="49">
        <f>CHOOSE(Drivers!$C$3,N37,N40,N43)</f>
        <v>6.4053330662578414E-2</v>
      </c>
      <c r="O33" s="49">
        <f>CHOOSE(Drivers!$C$3,O37,O40,O43)</f>
        <v>6.4053330662578414E-2</v>
      </c>
      <c r="P33" s="49">
        <f>CHOOSE(Drivers!$C$3,P37,P40,P43)</f>
        <v>6.4053330662578414E-2</v>
      </c>
      <c r="Q33" s="49">
        <f>CHOOSE(Drivers!$C$3,Q37,Q40,Q43)</f>
        <v>6.4053330662578414E-2</v>
      </c>
    </row>
    <row r="34" spans="2:17" s="8" customFormat="1" ht="12" x14ac:dyDescent="0.2">
      <c r="B34" s="62" t="s">
        <v>235</v>
      </c>
      <c r="C34" s="50"/>
      <c r="D34" s="50"/>
      <c r="E34" s="50"/>
      <c r="F34" s="50"/>
      <c r="G34" s="47"/>
      <c r="H34" s="50"/>
      <c r="I34" s="48"/>
      <c r="J34" s="48"/>
      <c r="K34" s="48"/>
      <c r="L34" s="48"/>
      <c r="M34" s="48"/>
      <c r="N34" s="48"/>
      <c r="O34" s="48"/>
      <c r="P34" s="48"/>
      <c r="Q34" s="48"/>
    </row>
    <row r="35" spans="2:17" s="8" customFormat="1" ht="12" x14ac:dyDescent="0.2">
      <c r="B35" s="46" t="s">
        <v>67</v>
      </c>
      <c r="C35" s="47"/>
      <c r="D35" s="47"/>
      <c r="E35" s="47"/>
      <c r="F35" s="47"/>
      <c r="G35" s="47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2:17" s="8" customFormat="1" ht="12" x14ac:dyDescent="0.2">
      <c r="B36" s="47" t="s">
        <v>81</v>
      </c>
      <c r="C36" s="50"/>
      <c r="D36" s="50"/>
      <c r="E36" s="50"/>
      <c r="F36" s="50"/>
      <c r="G36" s="47"/>
      <c r="H36" s="49">
        <f>H39-5%</f>
        <v>0.19202847277074941</v>
      </c>
      <c r="I36" s="49">
        <f t="shared" ref="I36:P36" si="13">I39-5%</f>
        <v>0.19202847277074941</v>
      </c>
      <c r="J36" s="49">
        <f t="shared" si="13"/>
        <v>0.19202847277074941</v>
      </c>
      <c r="K36" s="49">
        <f t="shared" si="13"/>
        <v>0.19202847277074941</v>
      </c>
      <c r="L36" s="49">
        <f t="shared" si="13"/>
        <v>0.19202847277074941</v>
      </c>
      <c r="M36" s="49">
        <f t="shared" si="13"/>
        <v>0.19202847277074941</v>
      </c>
      <c r="N36" s="49">
        <f t="shared" si="13"/>
        <v>0.19202847277074941</v>
      </c>
      <c r="O36" s="49">
        <f t="shared" si="13"/>
        <v>0.19202847277074941</v>
      </c>
      <c r="P36" s="49">
        <f t="shared" si="13"/>
        <v>0.19202847277074941</v>
      </c>
      <c r="Q36" s="49">
        <f t="shared" ref="Q36" si="14">Q39+5%</f>
        <v>0.29202847277074945</v>
      </c>
    </row>
    <row r="37" spans="2:17" s="8" customFormat="1" ht="12" x14ac:dyDescent="0.2">
      <c r="B37" s="47" t="str">
        <f>B33</f>
        <v>Capex as a % of revenue</v>
      </c>
      <c r="C37" s="50"/>
      <c r="D37" s="38"/>
      <c r="E37" s="38"/>
      <c r="F37" s="38"/>
      <c r="G37" s="47"/>
      <c r="H37" s="49">
        <f>H40-3%</f>
        <v>3.4053330662578415E-2</v>
      </c>
      <c r="I37" s="49">
        <f t="shared" ref="I37:P37" si="15">I40-3%</f>
        <v>3.4053330662578415E-2</v>
      </c>
      <c r="J37" s="49">
        <f t="shared" si="15"/>
        <v>3.4053330662578415E-2</v>
      </c>
      <c r="K37" s="49">
        <f t="shared" si="15"/>
        <v>3.4053330662578415E-2</v>
      </c>
      <c r="L37" s="49">
        <f t="shared" si="15"/>
        <v>3.4053330662578415E-2</v>
      </c>
      <c r="M37" s="49">
        <f t="shared" si="15"/>
        <v>3.4053330662578415E-2</v>
      </c>
      <c r="N37" s="49">
        <f t="shared" si="15"/>
        <v>3.4053330662578415E-2</v>
      </c>
      <c r="O37" s="49">
        <f t="shared" si="15"/>
        <v>3.4053330662578415E-2</v>
      </c>
      <c r="P37" s="49">
        <f t="shared" si="15"/>
        <v>3.4053330662578415E-2</v>
      </c>
      <c r="Q37" s="49">
        <f t="shared" ref="Q37" si="16">Q40+3%</f>
        <v>9.4053330662578413E-2</v>
      </c>
    </row>
    <row r="38" spans="2:17" s="8" customFormat="1" ht="12" x14ac:dyDescent="0.2">
      <c r="B38" s="46" t="s">
        <v>68</v>
      </c>
      <c r="C38" s="47"/>
      <c r="D38" s="47"/>
      <c r="E38" s="47"/>
      <c r="F38" s="47"/>
      <c r="G38" s="47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2:17" s="8" customFormat="1" ht="12" x14ac:dyDescent="0.2">
      <c r="B39" s="47" t="s">
        <v>81</v>
      </c>
      <c r="C39" s="50"/>
      <c r="D39" s="50"/>
      <c r="E39" s="50"/>
      <c r="F39" s="50"/>
      <c r="G39" s="47"/>
      <c r="H39" s="52">
        <f>-'PP&amp;E Comparables'!D16</f>
        <v>0.24202847277074943</v>
      </c>
      <c r="I39" s="49">
        <f t="shared" ref="I39:K39" si="17">H39</f>
        <v>0.24202847277074943</v>
      </c>
      <c r="J39" s="49">
        <f t="shared" si="17"/>
        <v>0.24202847277074943</v>
      </c>
      <c r="K39" s="49">
        <f t="shared" si="17"/>
        <v>0.24202847277074943</v>
      </c>
      <c r="L39" s="49">
        <f>K39</f>
        <v>0.24202847277074943</v>
      </c>
      <c r="M39" s="49">
        <f t="shared" ref="M39:Q39" si="18">L39</f>
        <v>0.24202847277074943</v>
      </c>
      <c r="N39" s="49">
        <f t="shared" si="18"/>
        <v>0.24202847277074943</v>
      </c>
      <c r="O39" s="49">
        <f t="shared" si="18"/>
        <v>0.24202847277074943</v>
      </c>
      <c r="P39" s="49">
        <f t="shared" si="18"/>
        <v>0.24202847277074943</v>
      </c>
      <c r="Q39" s="49">
        <f t="shared" si="18"/>
        <v>0.24202847277074943</v>
      </c>
    </row>
    <row r="40" spans="2:17" s="8" customFormat="1" ht="12" x14ac:dyDescent="0.2">
      <c r="B40" s="47" t="str">
        <f>B33</f>
        <v>Capex as a % of revenue</v>
      </c>
      <c r="C40" s="50"/>
      <c r="D40" s="38"/>
      <c r="E40" s="38"/>
      <c r="F40" s="38"/>
      <c r="G40" s="47"/>
      <c r="H40" s="49">
        <f>-'PP&amp;E Comparables'!G16</f>
        <v>6.4053330662578414E-2</v>
      </c>
      <c r="I40" s="49">
        <f>H40</f>
        <v>6.4053330662578414E-2</v>
      </c>
      <c r="J40" s="49">
        <f>I40</f>
        <v>6.4053330662578414E-2</v>
      </c>
      <c r="K40" s="49">
        <f>J40</f>
        <v>6.4053330662578414E-2</v>
      </c>
      <c r="L40" s="49">
        <f>K40</f>
        <v>6.4053330662578414E-2</v>
      </c>
      <c r="M40" s="49">
        <f>L40</f>
        <v>6.4053330662578414E-2</v>
      </c>
      <c r="N40" s="49">
        <f>M40</f>
        <v>6.4053330662578414E-2</v>
      </c>
      <c r="O40" s="49">
        <f>N40</f>
        <v>6.4053330662578414E-2</v>
      </c>
      <c r="P40" s="49">
        <f>O40</f>
        <v>6.4053330662578414E-2</v>
      </c>
      <c r="Q40" s="49">
        <f>P40</f>
        <v>6.4053330662578414E-2</v>
      </c>
    </row>
    <row r="41" spans="2:17" s="8" customFormat="1" ht="12" x14ac:dyDescent="0.2">
      <c r="B41" s="46" t="s">
        <v>69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2:17" x14ac:dyDescent="0.2">
      <c r="B42" s="47" t="s">
        <v>81</v>
      </c>
      <c r="C42" s="50"/>
      <c r="D42" s="38"/>
      <c r="E42" s="38"/>
      <c r="F42" s="38"/>
      <c r="G42" s="47"/>
      <c r="H42" s="49">
        <f>H39+5%</f>
        <v>0.29202847277074945</v>
      </c>
      <c r="I42" s="49">
        <f t="shared" ref="I42:P42" si="19">I39+5%</f>
        <v>0.29202847277074945</v>
      </c>
      <c r="J42" s="49">
        <f t="shared" si="19"/>
        <v>0.29202847277074945</v>
      </c>
      <c r="K42" s="49">
        <f t="shared" si="19"/>
        <v>0.29202847277074945</v>
      </c>
      <c r="L42" s="49">
        <f t="shared" si="19"/>
        <v>0.29202847277074945</v>
      </c>
      <c r="M42" s="49">
        <f t="shared" si="19"/>
        <v>0.29202847277074945</v>
      </c>
      <c r="N42" s="49">
        <f t="shared" si="19"/>
        <v>0.29202847277074945</v>
      </c>
      <c r="O42" s="49">
        <f t="shared" si="19"/>
        <v>0.29202847277074945</v>
      </c>
      <c r="P42" s="49">
        <f t="shared" si="19"/>
        <v>0.29202847277074945</v>
      </c>
      <c r="Q42" s="49">
        <f t="shared" ref="Q42" si="20">Q39-5%</f>
        <v>0.19202847277074941</v>
      </c>
    </row>
    <row r="43" spans="2:17" s="8" customFormat="1" ht="12" x14ac:dyDescent="0.2">
      <c r="B43" s="47" t="str">
        <f>B33</f>
        <v>Capex as a % of revenue</v>
      </c>
      <c r="C43" s="50"/>
      <c r="D43" s="38"/>
      <c r="E43" s="38"/>
      <c r="F43" s="38"/>
      <c r="G43" s="47"/>
      <c r="H43" s="49">
        <f>H40+3%</f>
        <v>9.4053330662578413E-2</v>
      </c>
      <c r="I43" s="49">
        <f t="shared" ref="I43:P43" si="21">I40+3%</f>
        <v>9.4053330662578413E-2</v>
      </c>
      <c r="J43" s="49">
        <f t="shared" si="21"/>
        <v>9.4053330662578413E-2</v>
      </c>
      <c r="K43" s="49">
        <f t="shared" si="21"/>
        <v>9.4053330662578413E-2</v>
      </c>
      <c r="L43" s="49">
        <f t="shared" si="21"/>
        <v>9.4053330662578413E-2</v>
      </c>
      <c r="M43" s="49">
        <f t="shared" si="21"/>
        <v>9.4053330662578413E-2</v>
      </c>
      <c r="N43" s="49">
        <f t="shared" si="21"/>
        <v>9.4053330662578413E-2</v>
      </c>
      <c r="O43" s="49">
        <f t="shared" si="21"/>
        <v>9.4053330662578413E-2</v>
      </c>
      <c r="P43" s="49">
        <f t="shared" si="21"/>
        <v>9.4053330662578413E-2</v>
      </c>
      <c r="Q43" s="49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164</v>
      </c>
    </row>
    <row r="2" spans="1:7" ht="15.75" x14ac:dyDescent="0.2">
      <c r="A2" s="1"/>
      <c r="B2" s="2"/>
    </row>
    <row r="3" spans="1:7" ht="12.75" x14ac:dyDescent="0.2">
      <c r="A3" s="1"/>
      <c r="B3" s="57" t="s">
        <v>242</v>
      </c>
    </row>
    <row r="5" spans="1:7" x14ac:dyDescent="0.2">
      <c r="C5" s="125" t="s">
        <v>237</v>
      </c>
      <c r="D5" s="125"/>
      <c r="F5" s="125" t="s">
        <v>238</v>
      </c>
      <c r="G5" s="125"/>
    </row>
    <row r="6" spans="1:7" x14ac:dyDescent="0.2">
      <c r="B6" s="24" t="s">
        <v>203</v>
      </c>
      <c r="C6" s="25" t="s">
        <v>120</v>
      </c>
      <c r="D6" s="25" t="s">
        <v>154</v>
      </c>
      <c r="F6" s="25" t="s">
        <v>120</v>
      </c>
      <c r="G6" s="25" t="s">
        <v>154</v>
      </c>
    </row>
    <row r="7" spans="1:7" x14ac:dyDescent="0.2">
      <c r="B7" s="8" t="s">
        <v>143</v>
      </c>
      <c r="C7" s="64">
        <v>-0.1959225806451613</v>
      </c>
      <c r="D7" s="66">
        <f t="shared" ref="D7:D15" si="0">C7</f>
        <v>-0.1959225806451613</v>
      </c>
      <c r="F7" s="64">
        <v>-5.5320358212435423E-2</v>
      </c>
      <c r="G7" s="22">
        <f t="shared" ref="G7:G13" si="1">F7</f>
        <v>-5.5320358212435423E-2</v>
      </c>
    </row>
    <row r="8" spans="1:7" x14ac:dyDescent="0.2">
      <c r="B8" s="8" t="s">
        <v>144</v>
      </c>
      <c r="C8" s="66">
        <v>-0.21112278180109459</v>
      </c>
      <c r="D8" s="66">
        <f t="shared" si="0"/>
        <v>-0.21112278180109459</v>
      </c>
      <c r="F8" s="66">
        <v>-4.8992944194996793E-2</v>
      </c>
      <c r="G8" s="22">
        <f t="shared" si="1"/>
        <v>-4.8992944194996793E-2</v>
      </c>
    </row>
    <row r="9" spans="1:7" x14ac:dyDescent="0.2">
      <c r="B9" s="8" t="s">
        <v>145</v>
      </c>
      <c r="C9" s="66">
        <v>-0.2930998322147651</v>
      </c>
      <c r="D9" s="66">
        <f t="shared" si="0"/>
        <v>-0.2930998322147651</v>
      </c>
      <c r="F9" s="66">
        <v>-7.7504690951777935E-2</v>
      </c>
      <c r="G9" s="66">
        <f t="shared" si="1"/>
        <v>-7.7504690951777935E-2</v>
      </c>
    </row>
    <row r="10" spans="1:7" x14ac:dyDescent="0.2">
      <c r="B10" s="8" t="s">
        <v>146</v>
      </c>
      <c r="C10" s="66">
        <v>-0.29601301156094773</v>
      </c>
      <c r="D10" s="66">
        <f t="shared" si="0"/>
        <v>-0.29601301156094773</v>
      </c>
      <c r="F10" s="66">
        <v>-7.3449532078270541E-2</v>
      </c>
      <c r="G10" s="22">
        <f t="shared" si="1"/>
        <v>-7.3449532078270541E-2</v>
      </c>
    </row>
    <row r="11" spans="1:7" x14ac:dyDescent="0.2">
      <c r="B11" s="8" t="s">
        <v>239</v>
      </c>
      <c r="C11" s="66">
        <v>-0.19381848531351803</v>
      </c>
      <c r="D11" s="66">
        <f t="shared" si="0"/>
        <v>-0.19381848531351803</v>
      </c>
      <c r="F11" s="66">
        <v>-4.1674143969434717E-2</v>
      </c>
      <c r="G11" s="22">
        <f t="shared" si="1"/>
        <v>-4.1674143969434717E-2</v>
      </c>
    </row>
    <row r="12" spans="1:7" x14ac:dyDescent="0.2">
      <c r="B12" s="8" t="s">
        <v>147</v>
      </c>
      <c r="C12" s="66">
        <v>-0.2151106542508163</v>
      </c>
      <c r="D12" s="66">
        <f t="shared" si="0"/>
        <v>-0.2151106542508163</v>
      </c>
      <c r="F12" s="66">
        <v>-5.6326989455017573E-2</v>
      </c>
      <c r="G12" s="22">
        <f t="shared" si="1"/>
        <v>-5.6326989455017573E-2</v>
      </c>
    </row>
    <row r="13" spans="1:7" x14ac:dyDescent="0.2">
      <c r="B13" s="8" t="s">
        <v>148</v>
      </c>
      <c r="C13" s="66">
        <v>-0.24491682070240295</v>
      </c>
      <c r="D13" s="66">
        <f t="shared" si="0"/>
        <v>-0.24491682070240295</v>
      </c>
      <c r="F13" s="66">
        <v>-6.5664491616420254E-2</v>
      </c>
      <c r="G13" s="22">
        <f t="shared" si="1"/>
        <v>-6.5664491616420254E-2</v>
      </c>
    </row>
    <row r="14" spans="1:7" x14ac:dyDescent="0.2">
      <c r="B14" s="8" t="s">
        <v>150</v>
      </c>
      <c r="C14" s="66">
        <v>-0.32922296223444636</v>
      </c>
      <c r="D14" s="66">
        <f t="shared" si="0"/>
        <v>-0.32922296223444636</v>
      </c>
      <c r="F14" s="66">
        <v>-9.3493494822274106E-2</v>
      </c>
      <c r="G14" s="22">
        <f>F14</f>
        <v>-9.3493494822274106E-2</v>
      </c>
    </row>
    <row r="15" spans="1:7" x14ac:dyDescent="0.2">
      <c r="B15" s="8" t="s">
        <v>153</v>
      </c>
      <c r="C15" s="66">
        <v>-0.19902912621359223</v>
      </c>
      <c r="D15" s="66">
        <f t="shared" si="0"/>
        <v>-0.19902912621359223</v>
      </c>
      <c r="F15" s="66">
        <v>-2.3797678275290217E-2</v>
      </c>
      <c r="G15" s="96"/>
    </row>
    <row r="16" spans="1:7" x14ac:dyDescent="0.2">
      <c r="B16" s="9" t="s">
        <v>120</v>
      </c>
      <c r="C16" s="76">
        <f>AVERAGE(C7:C15)</f>
        <v>-0.24202847277074943</v>
      </c>
      <c r="D16" s="76">
        <f>AVERAGE(D7:D15)</f>
        <v>-0.24202847277074943</v>
      </c>
      <c r="F16" s="76">
        <f>AVERAGE(F7:F15)</f>
        <v>-5.9580480397324172E-2</v>
      </c>
      <c r="G16" s="76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