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051AEB1C-A516-40D2-940F-C8D528B24639}" xr6:coauthVersionLast="40" xr6:coauthVersionMax="40" xr10:uidLastSave="{00000000-0000-0000-0000-000000000000}"/>
  <bookViews>
    <workbookView xWindow="0" yWindow="0" windowWidth="19560" windowHeight="8130" tabRatio="897" firstSheet="5" activeTab="9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</sheets>
  <calcPr calcId="181029"/>
</workbook>
</file>

<file path=xl/calcChain.xml><?xml version="1.0" encoding="utf-8"?>
<calcChain xmlns="http://schemas.openxmlformats.org/spreadsheetml/2006/main">
  <c r="M18" i="180" l="1"/>
  <c r="N18" i="180"/>
  <c r="O18" i="180"/>
  <c r="P18" i="180"/>
  <c r="Q18" i="180"/>
  <c r="G45" i="154"/>
  <c r="F45" i="154"/>
  <c r="E45" i="154"/>
  <c r="D45" i="154"/>
  <c r="C45" i="154"/>
  <c r="G42" i="154"/>
  <c r="G41" i="154"/>
  <c r="G40" i="154"/>
  <c r="D9" i="207" l="1"/>
  <c r="D10" i="207"/>
  <c r="D11" i="207"/>
  <c r="D7" i="207"/>
  <c r="D8" i="207"/>
  <c r="K17" i="180" l="1"/>
  <c r="C42" i="154" l="1"/>
  <c r="G29" i="155" l="1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F19" i="155" l="1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D18" i="207" l="1"/>
  <c r="K8" i="180"/>
  <c r="Q20" i="180"/>
  <c r="Q19" i="180"/>
  <c r="Q16" i="180"/>
  <c r="Q15" i="180"/>
  <c r="L8" i="180" l="1"/>
  <c r="M8" i="180" s="1"/>
  <c r="N8" i="180" s="1"/>
  <c r="O8" i="180" s="1"/>
  <c r="P8" i="180" l="1"/>
  <c r="Q8" i="180" s="1"/>
  <c r="J5" i="180" l="1"/>
  <c r="K5" i="180" s="1"/>
  <c r="L5" i="180" s="1"/>
  <c r="M5" i="180" l="1"/>
  <c r="N5" i="180" s="1"/>
  <c r="G11" i="180"/>
  <c r="O5" i="180" l="1"/>
  <c r="P5" i="180" l="1"/>
  <c r="Q5" i="180" l="1"/>
  <c r="G27" i="154" l="1"/>
  <c r="G38" i="154" s="1"/>
  <c r="G9" i="154"/>
  <c r="G18" i="154" s="1"/>
  <c r="G32" i="155"/>
  <c r="G7" i="155"/>
  <c r="G11" i="155" s="1"/>
  <c r="G15" i="155" l="1"/>
  <c r="G33" i="155" s="1"/>
  <c r="G31" i="154"/>
  <c r="G34" i="154" s="1"/>
  <c r="G39" i="154"/>
  <c r="G19" i="155" l="1"/>
  <c r="G21" i="155" s="1"/>
  <c r="G23" i="155" s="1"/>
  <c r="G34" i="155" s="1"/>
  <c r="G43" i="154"/>
  <c r="G36" i="155" l="1"/>
  <c r="G35" i="155"/>
  <c r="F38" i="154" l="1"/>
  <c r="F42" i="154"/>
  <c r="F41" i="154"/>
  <c r="F40" i="154" l="1"/>
  <c r="F39" i="154"/>
  <c r="F43" i="154" l="1"/>
  <c r="D42" i="154" l="1"/>
  <c r="E41" i="154"/>
  <c r="D41" i="154"/>
  <c r="C41" i="154"/>
  <c r="E39" i="154"/>
  <c r="D39" i="154"/>
  <c r="C39" i="154"/>
  <c r="D40" i="154" l="1"/>
  <c r="C40" i="154"/>
  <c r="E40" i="154"/>
  <c r="D43" i="154" l="1"/>
  <c r="C43" i="154"/>
  <c r="E43" i="154"/>
  <c r="J10" i="180" l="1"/>
  <c r="K10" i="180" s="1"/>
  <c r="L10" i="180" s="1"/>
  <c r="M10" i="180" s="1"/>
  <c r="J9" i="180"/>
  <c r="K9" i="180" s="1"/>
  <c r="L9" i="180" s="1"/>
  <c r="M9" i="180" s="1"/>
  <c r="N10" i="180" l="1"/>
  <c r="N9" i="180"/>
  <c r="J7" i="180"/>
  <c r="K7" i="180" s="1"/>
  <c r="L7" i="180" s="1"/>
  <c r="I6" i="180"/>
  <c r="H11" i="180"/>
  <c r="D23" i="207" l="1"/>
  <c r="M7" i="180"/>
  <c r="O9" i="180"/>
  <c r="N7" i="180"/>
  <c r="O10" i="180"/>
  <c r="I11" i="180"/>
  <c r="J6" i="180"/>
  <c r="J11" i="180" s="1"/>
  <c r="P9" i="180" l="1"/>
  <c r="K6" i="180"/>
  <c r="K11" i="180" s="1"/>
  <c r="P10" i="180"/>
  <c r="O7" i="180"/>
  <c r="Q10" i="180" l="1"/>
  <c r="Q9" i="180"/>
  <c r="L6" i="180"/>
  <c r="P7" i="180"/>
  <c r="M6" i="180" l="1"/>
  <c r="L11" i="180"/>
  <c r="D24" i="207" s="1"/>
  <c r="Q7" i="180"/>
  <c r="N6" i="180" l="1"/>
  <c r="M11" i="180"/>
  <c r="O6" i="180"/>
  <c r="N11" i="180"/>
  <c r="P6" i="180" l="1"/>
  <c r="O11" i="180"/>
  <c r="Q6" i="180" l="1"/>
  <c r="P11" i="180"/>
  <c r="Q11" i="180" l="1"/>
  <c r="D25" i="207" s="1"/>
</calcChain>
</file>

<file path=xl/sharedStrings.xml><?xml version="1.0" encoding="utf-8"?>
<sst xmlns="http://schemas.openxmlformats.org/spreadsheetml/2006/main" count="215" uniqueCount="150">
  <si>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</si>
  <si>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</si>
  <si>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</si>
  <si>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</si>
  <si>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</si>
  <si>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</si>
  <si>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</si>
  <si>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</si>
  <si>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</si>
  <si>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</si>
  <si>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</si>
  <si>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</si>
  <si>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</si>
  <si>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</si>
  <si>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</si>
  <si>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</si>
  <si>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</si>
  <si>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</si>
  <si>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</si>
  <si>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</si>
  <si>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</si>
  <si>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</si>
  <si>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</si>
  <si>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</si>
  <si>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</si>
  <si>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</si>
  <si>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</si>
  <si>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</si>
  <si>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</si>
  <si>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</si>
  <si>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</si>
  <si>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</si>
  <si>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</si>
  <si>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</si>
  <si>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</si>
  <si>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</si>
  <si>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</si>
  <si>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</si>
  <si>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</si>
  <si>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</si>
  <si>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</si>
  <si>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</si>
  <si>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</si>
  <si>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</si>
  <si>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</si>
  <si>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</si>
  <si>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</si>
  <si>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</si>
  <si>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</si>
  <si>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</si>
  <si>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</si>
  <si>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</si>
  <si>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</si>
  <si>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</si>
  <si>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</si>
  <si>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</si>
  <si>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</si>
  <si>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</si>
  <si>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</si>
  <si>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</si>
  <si>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</si>
  <si>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</si>
  <si>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</si>
  <si>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</si>
  <si>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</si>
  <si>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</si>
  <si>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Total</t>
  </si>
  <si>
    <t>Drivers</t>
  </si>
  <si>
    <t>Selected case</t>
  </si>
  <si>
    <t xml:space="preserve"> </t>
  </si>
  <si>
    <t>Automotive revenues</t>
  </si>
  <si>
    <t>Workings  --&gt;</t>
  </si>
  <si>
    <t>Corporate tax rate</t>
  </si>
  <si>
    <t>Expected inflation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</si>
  <si>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</si>
  <si>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</si>
  <si>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</si>
  <si>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</si>
  <si>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</si>
  <si>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</si>
  <si>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</si>
  <si>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Tesla Semi</t>
  </si>
  <si>
    <t>Tesla Model 3</t>
  </si>
  <si>
    <t>Tesla Model Y</t>
  </si>
  <si>
    <t>Tesla Pickup</t>
  </si>
  <si>
    <t>Tesla Roadster 2</t>
  </si>
  <si>
    <t>Deliveries</t>
  </si>
  <si>
    <t>Tesla Model S and X</t>
  </si>
  <si>
    <t>Tesla Deliveries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</si>
  <si>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</si>
  <si>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</si>
  <si>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</si>
  <si>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</si>
  <si>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</si>
  <si>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</si>
  <si>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</si>
  <si>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</si>
  <si>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</si>
  <si>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</si>
  <si>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</si>
  <si>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</si>
  <si>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Average</t>
  </si>
  <si>
    <t xml:space="preserve">  </t>
  </si>
  <si>
    <t>Automotive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</si>
  <si>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</si>
  <si>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</si>
  <si>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</si>
  <si>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</si>
  <si>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</si>
  <si>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</si>
  <si>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</si>
  <si>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</si>
  <si>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</si>
  <si>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</si>
  <si>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</si>
  <si>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</si>
  <si>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Income Statement items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</si>
  <si>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</si>
  <si>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</si>
  <si>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</si>
  <si>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</si>
  <si>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</si>
  <si>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</si>
  <si>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</si>
  <si>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</si>
  <si>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</si>
  <si>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</si>
  <si>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</si>
  <si>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</si>
  <si>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</si>
  <si>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</si>
  <si>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</si>
  <si>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</si>
  <si>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</si>
  <si>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</si>
  <si>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</si>
  <si>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</si>
  <si>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2019
Act</t>
  </si>
  <si>
    <t>2018
Act</t>
  </si>
  <si>
    <t>31 Dec 
2018</t>
  </si>
  <si>
    <t>Operating lease right-of-use assets</t>
  </si>
  <si>
    <t>2029
Fcst</t>
  </si>
  <si>
    <t>10-year treasury yield (Sep 18 2020)</t>
  </si>
  <si>
    <t>Bond Yield (Sep 18 2020)</t>
  </si>
  <si>
    <t>Vehicle Sales 2015-2019 - average</t>
  </si>
  <si>
    <t>Tesla Expected Deliveries</t>
  </si>
  <si>
    <t>31 Dec 
2019</t>
  </si>
  <si>
    <t>Comparables 2015-2019</t>
  </si>
  <si>
    <t>Company beta (Dec 15 2020)</t>
  </si>
  <si>
    <t>Tesla share price (Dec 15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</si>
</sst>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6" formatCode="_(* #,##0_);_(* \(#,##0\);_(* &quot;-&quot;??_);_(@_)"/>
    <numFmt numFmtId="167" formatCode="0.0%"/>
    <numFmt numFmtId="173" formatCode="_(* #,##0_);_(* \(#,##0\);_(* &quot;-&quot;?_);@_)"/>
  </numFmts>
  <fonts count="18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16" fillId="0" borderId="0" applyNumberFormat="0" applyFill="0" applyBorder="0" applyAlignment="0" applyProtection="0">
      <alignment vertical="top"/>
    </xf>
  </cellStyleXfs>
  <cellXfs count="61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7" fillId="4" borderId="0" xfId="0" applyFont="1" applyFill="1">
      <alignment vertical="top"/>
    </xf>
    <xf numFmtId="166" fontId="4" fillId="2" borderId="0" xfId="1" applyNumberFormat="1" applyFont="1" applyFill="1">
      <alignment vertical="top"/>
    </xf>
    <xf numFmtId="0" fontId="8" fillId="2" borderId="0" xfId="0" applyFont="1" applyFill="1" applyAlignment="1"/>
    <xf numFmtId="10" fontId="8" fillId="2" borderId="0" xfId="0" applyNumberFormat="1" applyFont="1" applyFill="1" applyAlignment="1"/>
    <xf numFmtId="9" fontId="4" fillId="2" borderId="0" xfId="0" applyNumberFormat="1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right" wrapText="1"/>
    </xf>
    <xf numFmtId="0" fontId="3" fillId="2" borderId="0" xfId="0" applyFont="1" applyFill="1" applyBorder="1">
      <alignment vertical="top"/>
    </xf>
    <xf numFmtId="0" fontId="11" fillId="3" borderId="0" xfId="0" applyFont="1" applyFill="1" applyAlignment="1"/>
    <xf numFmtId="2" fontId="11" fillId="3" borderId="0" xfId="0" applyNumberFormat="1" applyFont="1" applyFill="1" applyAlignment="1"/>
    <xf numFmtId="0" fontId="12" fillId="3" borderId="0" xfId="0" applyFont="1" applyFill="1" applyAlignment="1"/>
    <xf numFmtId="0" fontId="10" fillId="3" borderId="0" xfId="0" applyFont="1" applyFill="1" applyAlignment="1"/>
    <xf numFmtId="0" fontId="13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5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9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0" applyNumberFormat="1" applyFont="1" applyFill="1">
      <alignment vertical="top"/>
    </xf>
    <xf numFmtId="0" fontId="14" fillId="3" borderId="0" xfId="0" applyFont="1" applyFill="1">
      <alignment vertical="top"/>
    </xf>
    <xf numFmtId="0" fontId="9" fillId="3" borderId="0" xfId="0" applyFont="1" applyFill="1">
      <alignment vertical="top"/>
    </xf>
    <xf numFmtId="9" fontId="9" fillId="3" borderId="0" xfId="0" applyNumberFormat="1" applyFont="1" applyFill="1">
      <alignment vertical="top"/>
    </xf>
    <xf numFmtId="9" fontId="9" fillId="3" borderId="0" xfId="2" applyFont="1" applyFill="1" applyAlignment="1">
      <alignment horizontal="right" vertical="top"/>
    </xf>
    <xf numFmtId="0" fontId="9" fillId="3" borderId="0" xfId="0" applyFont="1" applyFill="1" applyAlignment="1">
      <alignment horizontal="right" vertical="top"/>
    </xf>
    <xf numFmtId="9" fontId="9" fillId="3" borderId="0" xfId="0" applyNumberFormat="1" applyFont="1" applyFill="1" applyAlignment="1">
      <alignment horizontal="right" vertical="top"/>
    </xf>
    <xf numFmtId="0" fontId="3" fillId="5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15" fillId="2" borderId="0" xfId="0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0" fontId="3" fillId="2" borderId="4" xfId="0" applyFont="1" applyFill="1" applyBorder="1" applyAlignment="1"/>
    <xf numFmtId="166" fontId="3" fillId="2" borderId="4" xfId="0" applyNumberFormat="1" applyFont="1" applyFill="1" applyBorder="1" applyAlignment="1"/>
    <xf numFmtId="0" fontId="4" fillId="3" borderId="0" xfId="0" applyFont="1" applyFill="1">
      <alignment vertical="top"/>
    </xf>
    <xf numFmtId="166" fontId="3" fillId="2" borderId="1" xfId="1" applyNumberFormat="1" applyFont="1" applyFill="1" applyBorder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0" fontId="17" fillId="2" borderId="0" xfId="0" applyFont="1" applyFill="1">
      <alignment vertical="top"/>
    </xf>
    <xf numFmtId="2" fontId="11" fillId="3" borderId="0" xfId="0" applyNumberFormat="1" applyFont="1" applyFill="1" applyAlignment="1">
      <alignment horizontal="right"/>
    </xf>
    <xf numFmtId="0" fontId="16" fillId="0" borderId="0" xfId="3">
      <alignment vertical="top"/>
    </xf>
    <xf numFmtId="173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7" fontId="1" fillId="0" borderId="0" xfId="2" applyNumberFormat="1">
      <alignment vertical="top"/>
    </xf>
    <xf numFmtId="0" fontId="7" fillId="4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99</v>
      </c>
      <c r="C9" s="45"/>
    </row>
    <row r="10" spans="2:3" ht="50.25" x14ac:dyDescent="0.2">
      <c r="B10" s="11" t="s">
        <v>100</v>
      </c>
      <c r="C10" s="4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67</v>
      </c>
    </row>
    <row r="3" spans="1:6" ht="12.75" x14ac:dyDescent="0.2">
      <c r="B3" s="8" t="s">
        <v>68</v>
      </c>
      <c r="C3" s="12">
        <v>2</v>
      </c>
      <c r="E3" s="4"/>
      <c r="F3" s="4"/>
    </row>
    <row r="4" spans="1:6" ht="12.75" x14ac:dyDescent="0.2">
      <c r="B4" s="8" t="s">
        <v>136</v>
      </c>
      <c r="C4" s="46" t="s">
        <v>99</v>
      </c>
      <c r="E4" s="4"/>
      <c r="F4" s="4"/>
    </row>
    <row r="5" spans="1:6" x14ac:dyDescent="0.2">
      <c r="B5" s="8" t="s">
        <v>94</v>
      </c>
      <c r="C5" s="43" t="s">
        <v>95</v>
      </c>
    </row>
    <row r="6" spans="1:6" x14ac:dyDescent="0.2">
      <c r="B6" s="8" t="s">
        <v>96</v>
      </c>
      <c r="C6" s="43" t="s">
        <v>97</v>
      </c>
    </row>
    <row r="7" spans="1:6" x14ac:dyDescent="0.2">
      <c r="B7" s="8" t="s">
        <v>142</v>
      </c>
      <c r="C7" s="44">
        <v>6.9699999999999996E-3</v>
      </c>
    </row>
    <row r="8" spans="1:6" x14ac:dyDescent="0.2">
      <c r="B8" s="8" t="s">
        <v>98</v>
      </c>
      <c r="C8" s="16">
        <v>0.05</v>
      </c>
    </row>
    <row r="9" spans="1:6" x14ac:dyDescent="0.2">
      <c r="B9" s="8" t="s">
        <v>148</v>
      </c>
      <c r="C9" s="8">
        <v>2.15</v>
      </c>
    </row>
    <row r="10" spans="1:6" x14ac:dyDescent="0.2">
      <c r="B10" s="8" t="s">
        <v>149</v>
      </c>
      <c r="C10" s="8">
        <v>639.83000000000004</v>
      </c>
    </row>
    <row r="11" spans="1:6" x14ac:dyDescent="0.2">
      <c r="B11" s="14" t="s">
        <v>143</v>
      </c>
      <c r="C11" s="15">
        <v>4.3240000000000001E-2</v>
      </c>
    </row>
    <row r="12" spans="1:6" x14ac:dyDescent="0.2">
      <c r="B12" s="8" t="s">
        <v>72</v>
      </c>
      <c r="C12" s="16">
        <v>0.21</v>
      </c>
    </row>
    <row r="13" spans="1:6" x14ac:dyDescent="0.2">
      <c r="B13" s="8" t="s">
        <v>73</v>
      </c>
      <c r="C13" s="16">
        <v>0.02</v>
      </c>
    </row>
    <row r="26" spans="5:5" ht="12.75" x14ac:dyDescent="0.2">
      <c r="E26" s="56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75</v>
      </c>
    </row>
    <row r="3" spans="2:13" ht="24" x14ac:dyDescent="0.2">
      <c r="B3" s="5" t="s">
        <v>37</v>
      </c>
      <c r="C3" s="6" t="s">
        <v>45</v>
      </c>
      <c r="D3" s="6" t="s">
        <v>46</v>
      </c>
      <c r="E3" s="6" t="s">
        <v>74</v>
      </c>
      <c r="F3" s="6" t="s">
        <v>138</v>
      </c>
      <c r="G3" s="6" t="s">
        <v>137</v>
      </c>
    </row>
    <row r="4" spans="2:13" x14ac:dyDescent="0.2">
      <c r="B4" s="7" t="s">
        <v>70</v>
      </c>
      <c r="C4" s="25">
        <v>3740973</v>
      </c>
      <c r="D4" s="25">
        <v>6350766</v>
      </c>
      <c r="E4" s="25">
        <v>9641300</v>
      </c>
      <c r="F4" s="25">
        <v>18514983</v>
      </c>
      <c r="G4" s="25">
        <v>20821000</v>
      </c>
      <c r="H4" s="59"/>
      <c r="J4" s="57"/>
      <c r="K4" s="57"/>
      <c r="L4" s="57"/>
      <c r="M4" s="57"/>
    </row>
    <row r="5" spans="2:13" x14ac:dyDescent="0.2">
      <c r="B5" s="8" t="s">
        <v>3</v>
      </c>
      <c r="C5" s="26">
        <v>14477</v>
      </c>
      <c r="D5" s="26">
        <v>181394</v>
      </c>
      <c r="E5" s="26">
        <v>1116266</v>
      </c>
      <c r="F5" s="26">
        <v>1555244</v>
      </c>
      <c r="G5" s="26">
        <v>1531000</v>
      </c>
    </row>
    <row r="6" spans="2:13" x14ac:dyDescent="0.2">
      <c r="B6" s="8" t="s">
        <v>2</v>
      </c>
      <c r="C6" s="26">
        <v>290575</v>
      </c>
      <c r="D6" s="26">
        <v>467972</v>
      </c>
      <c r="E6" s="26">
        <v>1001185</v>
      </c>
      <c r="F6" s="26">
        <v>1391041</v>
      </c>
      <c r="G6" s="26">
        <v>2226000</v>
      </c>
    </row>
    <row r="7" spans="2:13" x14ac:dyDescent="0.2">
      <c r="B7" s="9" t="s">
        <v>0</v>
      </c>
      <c r="C7" s="28">
        <f>SUM(C4:C6)</f>
        <v>4046025</v>
      </c>
      <c r="D7" s="28">
        <f>SUM(D4:D6)</f>
        <v>7000132</v>
      </c>
      <c r="E7" s="28">
        <f>SUM(E4:E6)</f>
        <v>11758751</v>
      </c>
      <c r="F7" s="28">
        <f>SUM(F4:F6)</f>
        <v>21461268</v>
      </c>
      <c r="G7" s="28">
        <f>SUM(G4:G6)</f>
        <v>24578000</v>
      </c>
    </row>
    <row r="8" spans="2:13" x14ac:dyDescent="0.2">
      <c r="B8" s="8" t="s">
        <v>42</v>
      </c>
      <c r="C8" s="26">
        <v>-2823302</v>
      </c>
      <c r="D8" s="26">
        <v>-4750081</v>
      </c>
      <c r="E8" s="26">
        <v>-7432704</v>
      </c>
      <c r="F8" s="26">
        <v>-14173997</v>
      </c>
      <c r="G8" s="26">
        <v>-16398000</v>
      </c>
    </row>
    <row r="9" spans="2:13" x14ac:dyDescent="0.2">
      <c r="B9" s="8" t="s">
        <v>40</v>
      </c>
      <c r="C9" s="26">
        <v>-12287</v>
      </c>
      <c r="D9" s="26">
        <v>-178332</v>
      </c>
      <c r="E9" s="26">
        <v>-874538</v>
      </c>
      <c r="F9" s="26">
        <v>-1364896</v>
      </c>
      <c r="G9" s="26">
        <v>-1341000</v>
      </c>
      <c r="I9" s="57"/>
      <c r="J9" s="57"/>
    </row>
    <row r="10" spans="2:13" x14ac:dyDescent="0.2">
      <c r="B10" s="8" t="s">
        <v>41</v>
      </c>
      <c r="C10" s="26">
        <v>-286933</v>
      </c>
      <c r="D10" s="26">
        <v>-472462</v>
      </c>
      <c r="E10" s="26">
        <v>-1229022</v>
      </c>
      <c r="F10" s="26">
        <v>-1880354</v>
      </c>
      <c r="G10" s="26">
        <v>-2770000</v>
      </c>
      <c r="I10" s="57"/>
      <c r="J10" s="57"/>
    </row>
    <row r="11" spans="2:13" x14ac:dyDescent="0.2">
      <c r="B11" s="9" t="s">
        <v>1</v>
      </c>
      <c r="C11" s="28">
        <f>SUM(C7:C10)</f>
        <v>923503</v>
      </c>
      <c r="D11" s="28">
        <f>SUM(D7:D10)</f>
        <v>1599257</v>
      </c>
      <c r="E11" s="28">
        <f>SUM(E7:E10)</f>
        <v>2222487</v>
      </c>
      <c r="F11" s="28">
        <f>SUM(F7:F10)</f>
        <v>4042021</v>
      </c>
      <c r="G11" s="28">
        <f>SUM(G7:G10)</f>
        <v>4069000</v>
      </c>
    </row>
    <row r="12" spans="2:13" x14ac:dyDescent="0.2">
      <c r="B12" s="8" t="s">
        <v>4</v>
      </c>
      <c r="C12" s="26">
        <v>-717900</v>
      </c>
      <c r="D12" s="26">
        <v>-834408</v>
      </c>
      <c r="E12" s="26">
        <v>-1378073</v>
      </c>
      <c r="F12" s="26">
        <v>-1460370</v>
      </c>
      <c r="G12" s="26">
        <v>-1343000</v>
      </c>
    </row>
    <row r="13" spans="2:13" x14ac:dyDescent="0.2">
      <c r="B13" s="8" t="s">
        <v>33</v>
      </c>
      <c r="C13" s="26">
        <v>-922232</v>
      </c>
      <c r="D13" s="26">
        <v>-1432189</v>
      </c>
      <c r="E13" s="26">
        <v>-2476500</v>
      </c>
      <c r="F13" s="26">
        <v>-2834491</v>
      </c>
      <c r="G13" s="26">
        <v>-2646000</v>
      </c>
    </row>
    <row r="14" spans="2:13" x14ac:dyDescent="0.2">
      <c r="B14" s="8" t="s">
        <v>78</v>
      </c>
      <c r="C14" s="26"/>
      <c r="D14" s="26"/>
      <c r="E14" s="26"/>
      <c r="F14" s="26">
        <v>-135233</v>
      </c>
      <c r="G14" s="26">
        <v>-149000</v>
      </c>
    </row>
    <row r="15" spans="2:13" x14ac:dyDescent="0.2">
      <c r="B15" s="9" t="s">
        <v>43</v>
      </c>
      <c r="C15" s="28">
        <f>SUM(C11:C14)</f>
        <v>-716629</v>
      </c>
      <c r="D15" s="28">
        <f>SUM(D11:D14)</f>
        <v>-667340</v>
      </c>
      <c r="E15" s="28">
        <f>SUM(E11:E14)</f>
        <v>-1632086</v>
      </c>
      <c r="F15" s="28">
        <f>SUM(F11:F14)</f>
        <v>-388073</v>
      </c>
      <c r="G15" s="28">
        <f>SUM(G11:G14)</f>
        <v>-69000</v>
      </c>
    </row>
    <row r="16" spans="2:13" x14ac:dyDescent="0.2">
      <c r="B16" s="8" t="s">
        <v>34</v>
      </c>
      <c r="C16" s="26">
        <v>1508</v>
      </c>
      <c r="D16" s="26">
        <v>8530</v>
      </c>
      <c r="E16" s="26">
        <v>19686</v>
      </c>
      <c r="F16" s="26">
        <v>24533</v>
      </c>
      <c r="G16" s="26">
        <v>44000</v>
      </c>
    </row>
    <row r="17" spans="2:7" x14ac:dyDescent="0.2">
      <c r="B17" s="8" t="s">
        <v>5</v>
      </c>
      <c r="C17" s="26">
        <v>-118851</v>
      </c>
      <c r="D17" s="26">
        <v>-198810</v>
      </c>
      <c r="E17" s="26">
        <v>-471259</v>
      </c>
      <c r="F17" s="26">
        <v>-663071</v>
      </c>
      <c r="G17" s="26">
        <v>-685000</v>
      </c>
    </row>
    <row r="18" spans="2:7" x14ac:dyDescent="0.2">
      <c r="B18" s="8" t="s">
        <v>35</v>
      </c>
      <c r="C18" s="26">
        <v>-41652</v>
      </c>
      <c r="D18" s="26">
        <v>111272</v>
      </c>
      <c r="E18" s="26">
        <v>-125373</v>
      </c>
      <c r="F18" s="26">
        <v>21866</v>
      </c>
      <c r="G18" s="26">
        <v>45000</v>
      </c>
    </row>
    <row r="19" spans="2:7" x14ac:dyDescent="0.2">
      <c r="B19" s="9" t="s">
        <v>44</v>
      </c>
      <c r="C19" s="28">
        <f>SUM(C15:C18)</f>
        <v>-875624</v>
      </c>
      <c r="D19" s="28">
        <f>SUM(D15:D18)</f>
        <v>-746348</v>
      </c>
      <c r="E19" s="28">
        <f>SUM(E15:E18)</f>
        <v>-2209032</v>
      </c>
      <c r="F19" s="28">
        <f>SUM(F15:F18)</f>
        <v>-1004745</v>
      </c>
      <c r="G19" s="28">
        <f>SUM(G15:G18)</f>
        <v>-665000</v>
      </c>
    </row>
    <row r="20" spans="2:7" x14ac:dyDescent="0.2">
      <c r="B20" s="8" t="s">
        <v>6</v>
      </c>
      <c r="C20" s="26">
        <v>-13039</v>
      </c>
      <c r="D20" s="26">
        <v>-26698</v>
      </c>
      <c r="E20" s="26">
        <v>-31546</v>
      </c>
      <c r="F20" s="26">
        <v>-57837</v>
      </c>
      <c r="G20" s="26">
        <v>-110000</v>
      </c>
    </row>
    <row r="21" spans="2:7" x14ac:dyDescent="0.2">
      <c r="B21" s="9" t="s">
        <v>56</v>
      </c>
      <c r="C21" s="28">
        <f>SUM(C19:C20)</f>
        <v>-888663</v>
      </c>
      <c r="D21" s="28">
        <f>SUM(D19:D20)</f>
        <v>-773046</v>
      </c>
      <c r="E21" s="28">
        <f>SUM(E19:E20)</f>
        <v>-2240578</v>
      </c>
      <c r="F21" s="28">
        <f>SUM(F19:F20)</f>
        <v>-1062582</v>
      </c>
      <c r="G21" s="28">
        <f>SUM(G19:G20)</f>
        <v>-775000</v>
      </c>
    </row>
    <row r="22" spans="2:7" s="3" customFormat="1" x14ac:dyDescent="0.2">
      <c r="B22" s="8" t="s">
        <v>57</v>
      </c>
      <c r="C22" s="26">
        <v>0</v>
      </c>
      <c r="D22" s="26">
        <v>98132</v>
      </c>
      <c r="E22" s="26">
        <v>279178</v>
      </c>
      <c r="F22" s="26">
        <v>86491</v>
      </c>
      <c r="G22" s="26">
        <v>-87000</v>
      </c>
    </row>
    <row r="23" spans="2:7" s="3" customFormat="1" ht="13.5" thickBot="1" x14ac:dyDescent="0.25">
      <c r="B23" s="10" t="s">
        <v>36</v>
      </c>
      <c r="C23" s="29">
        <f>SUM(C21:C22)</f>
        <v>-888663</v>
      </c>
      <c r="D23" s="29">
        <f>SUM(D21:D22)</f>
        <v>-674914</v>
      </c>
      <c r="E23" s="29">
        <f>SUM(E21:E22)</f>
        <v>-1961400</v>
      </c>
      <c r="F23" s="29">
        <f>SUM(F21:F22)</f>
        <v>-976091</v>
      </c>
      <c r="G23" s="29">
        <f>SUM(G21:G22)</f>
        <v>-862000</v>
      </c>
    </row>
    <row r="25" spans="2:7" x14ac:dyDescent="0.2">
      <c r="B25" s="24" t="s">
        <v>79</v>
      </c>
      <c r="C25" s="23"/>
      <c r="D25" s="23"/>
      <c r="E25" s="23"/>
      <c r="F25" s="23"/>
      <c r="G25" s="23"/>
    </row>
    <row r="26" spans="2:7" x14ac:dyDescent="0.2">
      <c r="B26" s="23" t="s">
        <v>126</v>
      </c>
      <c r="C26" s="30"/>
      <c r="D26" s="30">
        <f t="shared" ref="D26:D28" si="0">D4/C4-1</f>
        <v>0.69762412078355007</v>
      </c>
      <c r="E26" s="30">
        <f t="shared" ref="E26:G28" si="1">E4/D4-1</f>
        <v>0.51813182850698647</v>
      </c>
      <c r="F26" s="30">
        <f t="shared" si="1"/>
        <v>0.92038241730886905</v>
      </c>
      <c r="G26" s="30">
        <f t="shared" si="1"/>
        <v>0.12454869658805512</v>
      </c>
    </row>
    <row r="27" spans="2:7" x14ac:dyDescent="0.2">
      <c r="B27" s="23" t="s">
        <v>127</v>
      </c>
      <c r="C27" s="30"/>
      <c r="D27" s="30">
        <f t="shared" si="0"/>
        <v>11.529805899012226</v>
      </c>
      <c r="E27" s="30">
        <f t="shared" si="1"/>
        <v>5.1538198617374338</v>
      </c>
      <c r="F27" s="30">
        <f t="shared" si="1"/>
        <v>0.39325572936916475</v>
      </c>
      <c r="G27" s="30">
        <f>G5/F5-1</f>
        <v>-1.5588550735447293E-2</v>
      </c>
    </row>
    <row r="28" spans="2:7" x14ac:dyDescent="0.2">
      <c r="B28" s="23" t="s">
        <v>128</v>
      </c>
      <c r="C28" s="30"/>
      <c r="D28" s="30">
        <f t="shared" si="0"/>
        <v>0.61050331239783184</v>
      </c>
      <c r="E28" s="30">
        <f t="shared" si="1"/>
        <v>1.1394121870539262</v>
      </c>
      <c r="F28" s="30">
        <f t="shared" si="1"/>
        <v>0.38939456743758649</v>
      </c>
      <c r="G28" s="30">
        <f t="shared" si="1"/>
        <v>0.60024039550236119</v>
      </c>
    </row>
    <row r="29" spans="2:7" x14ac:dyDescent="0.2">
      <c r="B29" s="23" t="s">
        <v>58</v>
      </c>
      <c r="C29" s="30">
        <f t="shared" ref="C29:F29" si="2">(C4+C8)/C4</f>
        <v>0.24530275946926108</v>
      </c>
      <c r="D29" s="30">
        <f t="shared" si="2"/>
        <v>0.2520459736667986</v>
      </c>
      <c r="E29" s="30">
        <f t="shared" si="2"/>
        <v>0.2290765768101812</v>
      </c>
      <c r="F29" s="30">
        <f t="shared" si="2"/>
        <v>0.23445800625363794</v>
      </c>
      <c r="G29" s="30">
        <f>(G4+G8)/G4</f>
        <v>0.21242975841698286</v>
      </c>
    </row>
    <row r="30" spans="2:7" x14ac:dyDescent="0.2">
      <c r="B30" s="23" t="s">
        <v>59</v>
      </c>
      <c r="C30" s="30">
        <f t="shared" ref="C30:F30" si="3">(C5+C9)/C5</f>
        <v>0.15127443531118326</v>
      </c>
      <c r="D30" s="30">
        <f t="shared" si="3"/>
        <v>1.688038193104513E-2</v>
      </c>
      <c r="E30" s="30">
        <f t="shared" si="3"/>
        <v>0.21655053544585251</v>
      </c>
      <c r="F30" s="30">
        <f t="shared" si="3"/>
        <v>0.12239108461437562</v>
      </c>
      <c r="G30" s="30">
        <f t="shared" ref="G30:G31" si="4">(G5+G9)/G5</f>
        <v>0.12410189418680601</v>
      </c>
    </row>
    <row r="31" spans="2:7" x14ac:dyDescent="0.2">
      <c r="B31" s="23" t="s">
        <v>60</v>
      </c>
      <c r="C31" s="30">
        <f t="shared" ref="C31:F31" si="5">(C6+C10)/C6</f>
        <v>1.2533769250623763E-2</v>
      </c>
      <c r="D31" s="30">
        <f t="shared" si="5"/>
        <v>-9.5945911293838088E-3</v>
      </c>
      <c r="E31" s="30">
        <f>(E6+E10)/E6</f>
        <v>-0.22756733271073779</v>
      </c>
      <c r="F31" s="30">
        <f t="shared" si="5"/>
        <v>-0.35176030037935618</v>
      </c>
      <c r="G31" s="30">
        <f t="shared" si="4"/>
        <v>-0.24438454627133874</v>
      </c>
    </row>
    <row r="32" spans="2:7" x14ac:dyDescent="0.2">
      <c r="B32" s="23" t="s">
        <v>61</v>
      </c>
      <c r="C32" s="30">
        <f>(SUM(C4:C6)+SUM(C8:C10))/SUM(C4:C6)</f>
        <v>0.22824945471172323</v>
      </c>
      <c r="D32" s="30">
        <f>(SUM(D4:D6)+SUM(D8:D10))/SUM(D4:D6)</f>
        <v>0.22846097759299397</v>
      </c>
      <c r="E32" s="30">
        <f>(SUM(E4:E6)+SUM(E8:E10))/SUM(E4:E6)</f>
        <v>0.18900706376042831</v>
      </c>
      <c r="F32" s="30">
        <f>(SUM(F4:F6)+SUM(F8:F10))/SUM(F4:F6)</f>
        <v>0.18834026954977684</v>
      </c>
      <c r="G32" s="30">
        <f>(SUM(G4:G6)+SUM(G8:G10))/SUM(G4:G6)</f>
        <v>0.1655545609895028</v>
      </c>
    </row>
    <row r="33" spans="2:7" x14ac:dyDescent="0.2">
      <c r="B33" s="23" t="s">
        <v>55</v>
      </c>
      <c r="C33" s="30">
        <f>C15/C7</f>
        <v>-0.17711927138364197</v>
      </c>
      <c r="D33" s="30">
        <f>D15/D7</f>
        <v>-9.533248801594027E-2</v>
      </c>
      <c r="E33" s="30">
        <f>E15/E7</f>
        <v>-0.13879756446921956</v>
      </c>
      <c r="F33" s="30">
        <f>F15/F7</f>
        <v>-1.8082482358451512E-2</v>
      </c>
      <c r="G33" s="30">
        <f>G15/G7</f>
        <v>-2.8073887216209618E-3</v>
      </c>
    </row>
    <row r="34" spans="2:7" x14ac:dyDescent="0.2">
      <c r="B34" s="23" t="s">
        <v>62</v>
      </c>
      <c r="C34" s="30">
        <f>C23/C7</f>
        <v>-0.21963853411681836</v>
      </c>
      <c r="D34" s="30">
        <f>D23/D7</f>
        <v>-9.6414467612896446E-2</v>
      </c>
      <c r="E34" s="30">
        <f>E23/E7</f>
        <v>-0.16680343005817538</v>
      </c>
      <c r="F34" s="30">
        <f>F23/F7</f>
        <v>-4.5481515817238756E-2</v>
      </c>
      <c r="G34" s="30">
        <f>G23/G7</f>
        <v>-3.5072015623728539E-2</v>
      </c>
    </row>
    <row r="35" spans="2:7" x14ac:dyDescent="0.2">
      <c r="B35" s="23" t="s">
        <v>53</v>
      </c>
      <c r="C35" s="30">
        <f>C23/'Balance Sheet Input'!C18</f>
        <v>-0.11014746145205113</v>
      </c>
      <c r="D35" s="30">
        <f>D23/'Balance Sheet Input'!D18</f>
        <v>-2.9779021214012873E-2</v>
      </c>
      <c r="E35" s="30">
        <f>E23/'Balance Sheet Input'!E18</f>
        <v>-6.8447898704647764E-2</v>
      </c>
      <c r="F35" s="30">
        <f>F23/'Balance Sheet Input'!F18</f>
        <v>-3.2821239710777682E-2</v>
      </c>
      <c r="G35" s="30">
        <f>G23/'Balance Sheet Input'!G18</f>
        <v>-2.5124602873881487E-2</v>
      </c>
    </row>
    <row r="36" spans="2:7" x14ac:dyDescent="0.2">
      <c r="B36" s="23" t="s">
        <v>54</v>
      </c>
      <c r="C36" s="30">
        <f>C23/'Balance Sheet Input'!C32</f>
        <v>-0.82002373341798129</v>
      </c>
      <c r="D36" s="30">
        <f>D23/'Balance Sheet Input'!D32</f>
        <v>-0.1420001342335255</v>
      </c>
      <c r="E36" s="30">
        <f>E23/'Balance Sheet Input'!E32</f>
        <v>-0.46289544000555077</v>
      </c>
      <c r="F36" s="30">
        <f>F23/'Balance Sheet Input'!F32</f>
        <v>-0.19826179613722095</v>
      </c>
      <c r="G36" s="30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77</v>
      </c>
    </row>
    <row r="3" spans="2:8" ht="24" x14ac:dyDescent="0.2">
      <c r="B3" s="5" t="s">
        <v>37</v>
      </c>
      <c r="C3" s="18" t="s">
        <v>47</v>
      </c>
      <c r="D3" s="18" t="s">
        <v>48</v>
      </c>
      <c r="E3" s="18" t="s">
        <v>76</v>
      </c>
      <c r="F3" s="18" t="s">
        <v>139</v>
      </c>
      <c r="G3" s="18" t="s">
        <v>146</v>
      </c>
    </row>
    <row r="4" spans="2:8" x14ac:dyDescent="0.2">
      <c r="B4" s="8" t="s">
        <v>7</v>
      </c>
      <c r="C4" s="31">
        <v>1196908</v>
      </c>
      <c r="D4" s="31">
        <v>3393216</v>
      </c>
      <c r="E4" s="31">
        <v>3367914</v>
      </c>
      <c r="F4" s="31">
        <v>3685618</v>
      </c>
      <c r="G4" s="31">
        <v>6268000</v>
      </c>
      <c r="H4" s="35"/>
    </row>
    <row r="5" spans="2:8" x14ac:dyDescent="0.2">
      <c r="B5" s="8" t="s">
        <v>39</v>
      </c>
      <c r="C5" s="31">
        <v>22628</v>
      </c>
      <c r="D5" s="31">
        <v>105519</v>
      </c>
      <c r="E5" s="31">
        <v>155323</v>
      </c>
      <c r="F5" s="31">
        <v>192551</v>
      </c>
      <c r="G5" s="31">
        <v>246000</v>
      </c>
      <c r="H5" s="35"/>
    </row>
    <row r="6" spans="2:8" x14ac:dyDescent="0.2">
      <c r="B6" s="8" t="s">
        <v>8</v>
      </c>
      <c r="C6" s="31">
        <v>168965</v>
      </c>
      <c r="D6" s="31">
        <v>499142</v>
      </c>
      <c r="E6" s="31">
        <v>515381</v>
      </c>
      <c r="F6" s="31">
        <v>949022</v>
      </c>
      <c r="G6" s="31">
        <v>1324000</v>
      </c>
      <c r="H6" s="35"/>
    </row>
    <row r="7" spans="2:8" x14ac:dyDescent="0.2">
      <c r="B7" s="8" t="s">
        <v>9</v>
      </c>
      <c r="C7" s="31">
        <v>1277838</v>
      </c>
      <c r="D7" s="31">
        <v>2067454</v>
      </c>
      <c r="E7" s="31">
        <v>2263537</v>
      </c>
      <c r="F7" s="31">
        <v>3113446</v>
      </c>
      <c r="G7" s="31">
        <v>3552000</v>
      </c>
      <c r="H7" s="35"/>
    </row>
    <row r="8" spans="2:8" x14ac:dyDescent="0.2">
      <c r="B8" s="8" t="s">
        <v>10</v>
      </c>
      <c r="C8" s="31">
        <v>115667</v>
      </c>
      <c r="D8" s="31">
        <v>194465</v>
      </c>
      <c r="E8" s="31">
        <v>268365</v>
      </c>
      <c r="F8" s="31">
        <v>365671</v>
      </c>
      <c r="G8" s="31">
        <v>713000</v>
      </c>
      <c r="H8" s="35"/>
    </row>
    <row r="9" spans="2:8" x14ac:dyDescent="0.2">
      <c r="B9" s="9" t="s">
        <v>11</v>
      </c>
      <c r="C9" s="32">
        <f>SUM(C4:C8)</f>
        <v>2782006</v>
      </c>
      <c r="D9" s="32">
        <f>SUM(D4:D8)</f>
        <v>6259796</v>
      </c>
      <c r="E9" s="32">
        <f>SUM(E4:E8)</f>
        <v>6570520</v>
      </c>
      <c r="F9" s="32">
        <f>SUM(F4:F8)</f>
        <v>8306308</v>
      </c>
      <c r="G9" s="32">
        <f>SUM(G4:G8)</f>
        <v>12103000</v>
      </c>
      <c r="H9" s="35"/>
    </row>
    <row r="10" spans="2:8" x14ac:dyDescent="0.2">
      <c r="B10" s="8" t="s">
        <v>12</v>
      </c>
      <c r="C10" s="31">
        <v>1791403</v>
      </c>
      <c r="D10" s="31">
        <v>3134080</v>
      </c>
      <c r="E10" s="31">
        <v>4116604</v>
      </c>
      <c r="F10" s="31">
        <v>2089758</v>
      </c>
      <c r="G10" s="31">
        <v>2447000</v>
      </c>
      <c r="H10" s="35"/>
    </row>
    <row r="11" spans="2:8" x14ac:dyDescent="0.2">
      <c r="B11" s="8" t="s">
        <v>13</v>
      </c>
      <c r="C11" s="31">
        <v>0</v>
      </c>
      <c r="D11" s="31">
        <v>5919880</v>
      </c>
      <c r="E11" s="31">
        <v>6347490</v>
      </c>
      <c r="F11" s="31">
        <v>6271396</v>
      </c>
      <c r="G11" s="31">
        <v>6138000</v>
      </c>
      <c r="H11" s="35"/>
    </row>
    <row r="12" spans="2:8" x14ac:dyDescent="0.2">
      <c r="B12" s="8" t="s">
        <v>14</v>
      </c>
      <c r="C12" s="31">
        <v>3403334</v>
      </c>
      <c r="D12" s="31">
        <v>5982957</v>
      </c>
      <c r="E12" s="31">
        <v>10027522</v>
      </c>
      <c r="F12" s="31">
        <v>11330077</v>
      </c>
      <c r="G12" s="31">
        <v>10396000</v>
      </c>
      <c r="H12" s="35"/>
    </row>
    <row r="13" spans="2:8" x14ac:dyDescent="0.2">
      <c r="B13" s="8" t="s">
        <v>140</v>
      </c>
      <c r="C13" s="31">
        <v>0</v>
      </c>
      <c r="D13" s="31">
        <v>0</v>
      </c>
      <c r="E13" s="31">
        <v>0</v>
      </c>
      <c r="F13" s="31">
        <v>0</v>
      </c>
      <c r="G13" s="31">
        <v>1218000</v>
      </c>
      <c r="H13" s="35"/>
    </row>
    <row r="14" spans="2:8" x14ac:dyDescent="0.2">
      <c r="B14" s="8" t="s">
        <v>15</v>
      </c>
      <c r="C14" s="31">
        <v>12816</v>
      </c>
      <c r="D14" s="31">
        <v>376145</v>
      </c>
      <c r="E14" s="31">
        <v>361502</v>
      </c>
      <c r="F14" s="31">
        <v>282492</v>
      </c>
      <c r="G14" s="31">
        <v>339000</v>
      </c>
      <c r="H14" s="35"/>
    </row>
    <row r="15" spans="2:8" x14ac:dyDescent="0.2">
      <c r="B15" s="8" t="s">
        <v>16</v>
      </c>
      <c r="C15" s="31">
        <v>0</v>
      </c>
      <c r="D15" s="31">
        <v>506302</v>
      </c>
      <c r="E15" s="31">
        <f>456652+60237</f>
        <v>516889</v>
      </c>
      <c r="F15" s="31">
        <v>489707</v>
      </c>
      <c r="G15" s="31">
        <v>591000</v>
      </c>
      <c r="H15" s="35"/>
    </row>
    <row r="16" spans="2:8" x14ac:dyDescent="0.2">
      <c r="B16" s="8" t="s">
        <v>17</v>
      </c>
      <c r="C16" s="31">
        <v>31522</v>
      </c>
      <c r="D16" s="31">
        <v>268165</v>
      </c>
      <c r="E16" s="31">
        <v>441722</v>
      </c>
      <c r="F16" s="31">
        <v>398219</v>
      </c>
      <c r="G16" s="31">
        <v>269000</v>
      </c>
      <c r="H16" s="35"/>
    </row>
    <row r="17" spans="2:8" x14ac:dyDescent="0.2">
      <c r="B17" s="8" t="s">
        <v>18</v>
      </c>
      <c r="C17" s="31">
        <v>46858</v>
      </c>
      <c r="D17" s="31">
        <v>216751</v>
      </c>
      <c r="E17" s="31">
        <v>273123</v>
      </c>
      <c r="F17" s="31">
        <v>571657</v>
      </c>
      <c r="G17" s="31">
        <v>808000</v>
      </c>
      <c r="H17" s="35"/>
    </row>
    <row r="18" spans="2:8" ht="12.75" thickBot="1" x14ac:dyDescent="0.25">
      <c r="B18" s="10" t="s">
        <v>19</v>
      </c>
      <c r="C18" s="33">
        <f>SUM(C9:C17)</f>
        <v>8067939</v>
      </c>
      <c r="D18" s="33">
        <f>SUM(D9:D17)</f>
        <v>22664076</v>
      </c>
      <c r="E18" s="33">
        <f>SUM(E9:E17)</f>
        <v>28655372</v>
      </c>
      <c r="F18" s="33">
        <f>SUM(F9:F17)</f>
        <v>29739614</v>
      </c>
      <c r="G18" s="33">
        <f>SUM(G9:G17)</f>
        <v>34309000</v>
      </c>
      <c r="H18" s="35"/>
    </row>
    <row r="19" spans="2:8" x14ac:dyDescent="0.2">
      <c r="B19" s="8" t="s">
        <v>20</v>
      </c>
      <c r="C19" s="31">
        <v>916148</v>
      </c>
      <c r="D19" s="31">
        <v>1860341</v>
      </c>
      <c r="E19" s="31">
        <v>2390250</v>
      </c>
      <c r="F19" s="31">
        <v>3404451</v>
      </c>
      <c r="G19" s="31">
        <v>3771000</v>
      </c>
      <c r="H19" s="35"/>
    </row>
    <row r="20" spans="2:8" x14ac:dyDescent="0.2">
      <c r="B20" s="8" t="s">
        <v>38</v>
      </c>
      <c r="C20" s="31">
        <v>422798</v>
      </c>
      <c r="D20" s="31">
        <v>1210028</v>
      </c>
      <c r="E20" s="31">
        <v>1731366</v>
      </c>
      <c r="F20" s="31">
        <v>2094253</v>
      </c>
      <c r="G20" s="31">
        <v>2905000</v>
      </c>
      <c r="H20" s="35"/>
    </row>
    <row r="21" spans="2:8" x14ac:dyDescent="0.2">
      <c r="B21" s="8" t="s">
        <v>21</v>
      </c>
      <c r="C21" s="31">
        <v>423961</v>
      </c>
      <c r="D21" s="31">
        <v>763126</v>
      </c>
      <c r="E21" s="31">
        <v>1015253</v>
      </c>
      <c r="F21" s="31">
        <v>630292</v>
      </c>
      <c r="G21" s="31">
        <v>1163000</v>
      </c>
      <c r="H21" s="35"/>
    </row>
    <row r="22" spans="2:8" x14ac:dyDescent="0.2">
      <c r="B22" s="8" t="s">
        <v>22</v>
      </c>
      <c r="C22" s="31">
        <v>136831</v>
      </c>
      <c r="D22" s="31">
        <v>179504</v>
      </c>
      <c r="E22" s="31">
        <v>787333</v>
      </c>
      <c r="F22" s="31">
        <v>502840</v>
      </c>
      <c r="G22" s="31">
        <v>317000</v>
      </c>
      <c r="H22" s="35"/>
    </row>
    <row r="23" spans="2:8" x14ac:dyDescent="0.2">
      <c r="B23" s="8" t="s">
        <v>23</v>
      </c>
      <c r="C23" s="31">
        <v>283370</v>
      </c>
      <c r="D23" s="31">
        <v>663859</v>
      </c>
      <c r="E23" s="31">
        <v>853919</v>
      </c>
      <c r="F23" s="31">
        <v>792601</v>
      </c>
      <c r="G23" s="31">
        <v>726000</v>
      </c>
      <c r="H23" s="35"/>
    </row>
    <row r="24" spans="2:8" x14ac:dyDescent="0.2">
      <c r="B24" s="8" t="s">
        <v>24</v>
      </c>
      <c r="C24" s="31">
        <v>627927</v>
      </c>
      <c r="D24" s="31">
        <v>984211</v>
      </c>
      <c r="E24" s="31">
        <v>796549</v>
      </c>
      <c r="F24" s="31">
        <v>2567699</v>
      </c>
      <c r="G24" s="31">
        <v>1785000</v>
      </c>
      <c r="H24" s="35"/>
    </row>
    <row r="25" spans="2:8" x14ac:dyDescent="0.2">
      <c r="B25" s="8" t="s">
        <v>25</v>
      </c>
      <c r="C25" s="31"/>
      <c r="D25" s="31"/>
      <c r="E25" s="26"/>
      <c r="F25" s="31"/>
      <c r="G25" s="26"/>
      <c r="H25" s="35"/>
    </row>
    <row r="26" spans="2:8" x14ac:dyDescent="0.2">
      <c r="B26" s="8" t="s">
        <v>26</v>
      </c>
      <c r="C26" s="31">
        <v>0</v>
      </c>
      <c r="D26" s="31">
        <v>165936</v>
      </c>
      <c r="E26" s="31">
        <v>100000</v>
      </c>
      <c r="F26" s="31">
        <v>0</v>
      </c>
      <c r="G26" s="31">
        <v>0</v>
      </c>
      <c r="H26" s="35"/>
    </row>
    <row r="27" spans="2:8" x14ac:dyDescent="0.2">
      <c r="B27" s="9" t="s">
        <v>27</v>
      </c>
      <c r="C27" s="32">
        <v>2811035</v>
      </c>
      <c r="D27" s="32">
        <v>5827005</v>
      </c>
      <c r="E27" s="32">
        <f>SUM(E19:E26)</f>
        <v>7674670</v>
      </c>
      <c r="F27" s="32">
        <f>SUM(F19:F26)</f>
        <v>9992136</v>
      </c>
      <c r="G27" s="32">
        <f>SUM(G19:G26)</f>
        <v>10667000</v>
      </c>
      <c r="H27" s="35"/>
    </row>
    <row r="28" spans="2:8" x14ac:dyDescent="0.2">
      <c r="B28" s="8" t="s">
        <v>28</v>
      </c>
      <c r="C28" s="31"/>
      <c r="D28" s="31"/>
      <c r="E28" s="31"/>
      <c r="F28" s="31"/>
      <c r="G28" s="31"/>
      <c r="H28" s="35"/>
    </row>
    <row r="29" spans="2:8" x14ac:dyDescent="0.2">
      <c r="B29" s="8" t="s">
        <v>16</v>
      </c>
      <c r="C29" s="31">
        <v>2021093</v>
      </c>
      <c r="D29" s="31">
        <v>5860049</v>
      </c>
      <c r="E29" s="31">
        <v>9415700</v>
      </c>
      <c r="F29" s="31">
        <v>9403672</v>
      </c>
      <c r="G29" s="31">
        <v>11634000</v>
      </c>
      <c r="H29" s="35"/>
    </row>
    <row r="30" spans="2:8" x14ac:dyDescent="0.2">
      <c r="B30" s="8" t="s">
        <v>64</v>
      </c>
      <c r="C30" s="26">
        <v>2152107</v>
      </c>
      <c r="D30" s="26">
        <v>5438936</v>
      </c>
      <c r="E30" s="26">
        <v>6330414</v>
      </c>
      <c r="F30" s="26">
        <v>4586166</v>
      </c>
      <c r="G30" s="26">
        <v>4541000</v>
      </c>
      <c r="H30" s="35"/>
    </row>
    <row r="31" spans="2:8" x14ac:dyDescent="0.2">
      <c r="B31" s="19" t="s">
        <v>29</v>
      </c>
      <c r="C31" s="34">
        <f>SUM(C27:C30)</f>
        <v>6984235</v>
      </c>
      <c r="D31" s="34">
        <f>SUM(D27:D30)</f>
        <v>17125990</v>
      </c>
      <c r="E31" s="34">
        <f>SUM(E27:E30)</f>
        <v>23420784</v>
      </c>
      <c r="F31" s="34">
        <f>SUM(F27:F30)</f>
        <v>23981974</v>
      </c>
      <c r="G31" s="34">
        <f>SUM(G27:G30)</f>
        <v>26842000</v>
      </c>
      <c r="H31" s="35"/>
    </row>
    <row r="32" spans="2:8" x14ac:dyDescent="0.2">
      <c r="B32" s="19" t="s">
        <v>30</v>
      </c>
      <c r="C32" s="34">
        <v>1083704</v>
      </c>
      <c r="D32" s="34">
        <v>4752911</v>
      </c>
      <c r="E32" s="34">
        <v>4237242</v>
      </c>
      <c r="F32" s="34">
        <v>4923243</v>
      </c>
      <c r="G32" s="34">
        <v>6618000</v>
      </c>
      <c r="H32" s="35"/>
    </row>
    <row r="33" spans="2:8" x14ac:dyDescent="0.2">
      <c r="B33" s="8" t="s">
        <v>31</v>
      </c>
      <c r="C33" s="31">
        <v>0</v>
      </c>
      <c r="D33" s="31">
        <v>785175</v>
      </c>
      <c r="E33" s="31">
        <v>997346</v>
      </c>
      <c r="F33" s="31">
        <v>834397</v>
      </c>
      <c r="G33" s="31">
        <v>849000</v>
      </c>
      <c r="H33" s="35"/>
    </row>
    <row r="34" spans="2:8" ht="12.75" thickBot="1" x14ac:dyDescent="0.25">
      <c r="B34" s="10" t="s">
        <v>32</v>
      </c>
      <c r="C34" s="33">
        <f>C31+C32+C33</f>
        <v>8067939</v>
      </c>
      <c r="D34" s="33">
        <f>D31+D32+D33</f>
        <v>22664076</v>
      </c>
      <c r="E34" s="33">
        <f>E31+E32+E33</f>
        <v>28655372</v>
      </c>
      <c r="F34" s="33">
        <f>F31+F32+F33</f>
        <v>29739614</v>
      </c>
      <c r="G34" s="33">
        <f>G31+G32+G33</f>
        <v>34309000</v>
      </c>
      <c r="H34" s="35"/>
    </row>
    <row r="36" spans="2:8" x14ac:dyDescent="0.2">
      <c r="B36" s="22" t="s">
        <v>79</v>
      </c>
      <c r="C36" s="21"/>
      <c r="D36" s="21"/>
      <c r="E36" s="21"/>
      <c r="F36" s="21"/>
      <c r="G36" s="21"/>
    </row>
    <row r="37" spans="2:8" x14ac:dyDescent="0.2">
      <c r="B37" s="22" t="s">
        <v>129</v>
      </c>
      <c r="C37" s="21"/>
      <c r="D37" s="21"/>
      <c r="E37" s="21"/>
      <c r="F37" s="21"/>
      <c r="G37" s="21"/>
    </row>
    <row r="38" spans="2:8" x14ac:dyDescent="0.2">
      <c r="B38" s="20" t="s">
        <v>131</v>
      </c>
      <c r="C38" s="21">
        <f>(C4+C5)/C27</f>
        <v>0.43383878180100921</v>
      </c>
      <c r="D38" s="21">
        <f>(D4+D5)/D27</f>
        <v>0.60043452854425217</v>
      </c>
      <c r="E38" s="21">
        <f>(E4+E5)/E27</f>
        <v>0.45907341944344188</v>
      </c>
      <c r="F38" s="21">
        <f>(F4+F5)/F27</f>
        <v>0.38812211923456608</v>
      </c>
      <c r="G38" s="21">
        <f>(G4+G5)/G27</f>
        <v>0.6106684166119809</v>
      </c>
    </row>
    <row r="39" spans="2:8" x14ac:dyDescent="0.2">
      <c r="B39" s="20" t="s">
        <v>132</v>
      </c>
      <c r="C39" s="21">
        <f>C9/C27</f>
        <v>0.98967319866170289</v>
      </c>
      <c r="D39" s="21">
        <f>D9/D27</f>
        <v>1.0742733187975642</v>
      </c>
      <c r="E39" s="21">
        <f>E9/E27</f>
        <v>0.8561306219029613</v>
      </c>
      <c r="F39" s="21">
        <f>F9/F27</f>
        <v>0.83128452214821735</v>
      </c>
      <c r="G39" s="21">
        <f>G9/G27</f>
        <v>1.1346207931002157</v>
      </c>
    </row>
    <row r="40" spans="2:8" x14ac:dyDescent="0.2">
      <c r="B40" s="20" t="s">
        <v>49</v>
      </c>
      <c r="C40" s="21">
        <f>C6/'P&amp;L Input'!C7*360</f>
        <v>15.033866572747325</v>
      </c>
      <c r="D40" s="21">
        <f>D6/'P&amp;L Input'!D7*360</f>
        <v>25.66967594325364</v>
      </c>
      <c r="E40" s="21">
        <f>E6/'P&amp;L Input'!E7*360</f>
        <v>15.77864519794662</v>
      </c>
      <c r="F40" s="21">
        <f>F6/'P&amp;L Input'!F7*360</f>
        <v>15.919279326831946</v>
      </c>
      <c r="G40" s="21">
        <f>G6/'P&amp;L Input'!G7*360</f>
        <v>19.392953047440802</v>
      </c>
    </row>
    <row r="41" spans="2:8" x14ac:dyDescent="0.2">
      <c r="B41" s="20" t="s">
        <v>50</v>
      </c>
      <c r="C41" s="21">
        <f>-C7/SUM('P&amp;L Input'!C8:C10)*360</f>
        <v>147.32375944829212</v>
      </c>
      <c r="D41" s="21">
        <f>-D7/SUM('P&amp;L Input'!D8:D10)*360</f>
        <v>137.80793667692734</v>
      </c>
      <c r="E41" s="21">
        <f>-E7/SUM('P&amp;L Input'!E8:E10)*360</f>
        <v>85.449953986173199</v>
      </c>
      <c r="F41" s="21">
        <f>-F7/SUM('P&amp;L Input'!F8:F10)*360</f>
        <v>64.344949009563962</v>
      </c>
      <c r="G41" s="21">
        <f>-G7/SUM('P&amp;L Input'!G8:G10)*360</f>
        <v>62.34921254083573</v>
      </c>
    </row>
    <row r="42" spans="2:8" x14ac:dyDescent="0.2">
      <c r="B42" s="20" t="s">
        <v>51</v>
      </c>
      <c r="C42" s="21">
        <f>-C19/SUM('P&amp;L Input'!C8:C10)*360</f>
        <v>105.62400521117225</v>
      </c>
      <c r="D42" s="21">
        <f>-D19/SUM('P&amp;L Input'!D8:D10)*360</f>
        <v>124.00264031291226</v>
      </c>
      <c r="E42" s="21">
        <f>-E19/SUM('P&amp;L Input'!E8:E10)*360</f>
        <v>90.233449912879919</v>
      </c>
      <c r="F42" s="21">
        <f>-F19/SUM('P&amp;L Input'!F8:F10)*360</f>
        <v>70.359089574882319</v>
      </c>
      <c r="G42" s="21">
        <f>-G19/SUM('P&amp;L Input'!G8:G10)*360</f>
        <v>66.193378516748751</v>
      </c>
    </row>
    <row r="43" spans="2:8" x14ac:dyDescent="0.2">
      <c r="B43" s="20" t="s">
        <v>52</v>
      </c>
      <c r="C43" s="21">
        <f>C40+C41-C42</f>
        <v>56.73362080986719</v>
      </c>
      <c r="D43" s="21">
        <f>D40+D41-D42</f>
        <v>39.474972307268729</v>
      </c>
      <c r="E43" s="21">
        <f>E40+E41-E42</f>
        <v>10.995149271239896</v>
      </c>
      <c r="F43" s="21">
        <f>F40+F41-F42</f>
        <v>9.9051387615135837</v>
      </c>
      <c r="G43" s="21">
        <f>G40+G41-G42</f>
        <v>15.548787071527784</v>
      </c>
    </row>
    <row r="44" spans="2:8" x14ac:dyDescent="0.2">
      <c r="B44" s="22" t="s">
        <v>133</v>
      </c>
      <c r="C44" s="21"/>
      <c r="D44" s="21"/>
      <c r="E44" s="21"/>
      <c r="F44" s="21"/>
      <c r="G44" s="21"/>
    </row>
    <row r="45" spans="2:8" x14ac:dyDescent="0.2">
      <c r="B45" s="20" t="s">
        <v>130</v>
      </c>
      <c r="C45" s="21">
        <f>C31/C18</f>
        <v>0.86567771521326575</v>
      </c>
      <c r="D45" s="21">
        <f t="shared" ref="D45:G45" si="0">D31/D18</f>
        <v>0.75564474810268023</v>
      </c>
      <c r="E45" s="21">
        <f t="shared" si="0"/>
        <v>0.81732611951434442</v>
      </c>
      <c r="F45" s="21">
        <f t="shared" si="0"/>
        <v>0.80639829420785358</v>
      </c>
      <c r="G45" s="21">
        <f t="shared" si="0"/>
        <v>0.78236031362033287</v>
      </c>
    </row>
    <row r="46" spans="2:8" x14ac:dyDescent="0.2">
      <c r="B46" s="20" t="s">
        <v>134</v>
      </c>
      <c r="C46" s="55" t="s">
        <v>135</v>
      </c>
      <c r="D46" s="55" t="s">
        <v>135</v>
      </c>
      <c r="E46" s="55" t="s">
        <v>135</v>
      </c>
      <c r="F46" s="55" t="s">
        <v>135</v>
      </c>
      <c r="G46" s="55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116</v>
      </c>
    </row>
    <row r="29" spans="7:7" x14ac:dyDescent="0.2">
      <c r="G29" s="1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86</v>
      </c>
    </row>
    <row r="2" spans="1:17" ht="15.75" x14ac:dyDescent="0.2">
      <c r="A2" s="1"/>
      <c r="B2" s="2"/>
    </row>
    <row r="3" spans="1:17" x14ac:dyDescent="0.2">
      <c r="C3" s="60" t="s">
        <v>88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</row>
    <row r="4" spans="1:17" ht="24" x14ac:dyDescent="0.2">
      <c r="B4" s="17" t="s">
        <v>80</v>
      </c>
      <c r="C4" s="6" t="s">
        <v>45</v>
      </c>
      <c r="D4" s="6" t="s">
        <v>46</v>
      </c>
      <c r="E4" s="6" t="s">
        <v>74</v>
      </c>
      <c r="F4" s="6" t="s">
        <v>138</v>
      </c>
      <c r="G4" s="6" t="s">
        <v>137</v>
      </c>
      <c r="H4" s="42" t="s">
        <v>89</v>
      </c>
      <c r="I4" s="42" t="s">
        <v>90</v>
      </c>
      <c r="J4" s="42" t="s">
        <v>91</v>
      </c>
      <c r="K4" s="42" t="s">
        <v>92</v>
      </c>
      <c r="L4" s="42" t="s">
        <v>120</v>
      </c>
      <c r="M4" s="42" t="s">
        <v>121</v>
      </c>
      <c r="N4" s="42" t="s">
        <v>122</v>
      </c>
      <c r="O4" s="42" t="s">
        <v>123</v>
      </c>
      <c r="P4" s="42" t="s">
        <v>124</v>
      </c>
      <c r="Q4" s="42" t="s">
        <v>141</v>
      </c>
    </row>
    <row r="5" spans="1:17" x14ac:dyDescent="0.2">
      <c r="B5" s="8" t="s">
        <v>82</v>
      </c>
      <c r="C5" s="26">
        <v>0</v>
      </c>
      <c r="D5" s="26">
        <v>0</v>
      </c>
      <c r="E5" s="26">
        <v>1764</v>
      </c>
      <c r="F5" s="26">
        <v>146055</v>
      </c>
      <c r="G5" s="26">
        <v>300815</v>
      </c>
      <c r="H5" s="27">
        <f t="shared" ref="H5" si="0">G5*(1+H15)</f>
        <v>481304</v>
      </c>
      <c r="I5" s="27">
        <f t="shared" ref="I5" si="1">H5*(1+I15)</f>
        <v>529434.4</v>
      </c>
      <c r="J5" s="27">
        <f t="shared" ref="J5:Q5" si="2">I5*(1+J15)</f>
        <v>582377.84000000008</v>
      </c>
      <c r="K5" s="27">
        <f t="shared" si="2"/>
        <v>628968.06720000017</v>
      </c>
      <c r="L5" s="27">
        <f t="shared" si="2"/>
        <v>679285.51257600018</v>
      </c>
      <c r="M5" s="27">
        <f t="shared" si="2"/>
        <v>706456.93307904026</v>
      </c>
      <c r="N5" s="27">
        <f t="shared" si="2"/>
        <v>734715.21040220186</v>
      </c>
      <c r="O5" s="27">
        <f t="shared" si="2"/>
        <v>764103.81881829002</v>
      </c>
      <c r="P5" s="27">
        <f t="shared" si="2"/>
        <v>794667.9715710216</v>
      </c>
      <c r="Q5" s="27">
        <f t="shared" si="2"/>
        <v>826454.6904338625</v>
      </c>
    </row>
    <row r="6" spans="1:17" x14ac:dyDescent="0.2">
      <c r="B6" s="8" t="s">
        <v>87</v>
      </c>
      <c r="C6" s="26">
        <v>50580</v>
      </c>
      <c r="D6" s="26">
        <v>76230</v>
      </c>
      <c r="E6" s="26">
        <v>101312</v>
      </c>
      <c r="F6" s="26">
        <v>98865</v>
      </c>
      <c r="G6" s="26">
        <v>66385</v>
      </c>
      <c r="H6" s="27">
        <f>G6*(1+H16)</f>
        <v>69040.400000000009</v>
      </c>
      <c r="I6" s="27">
        <f>H6*(1+I16)</f>
        <v>71802.016000000018</v>
      </c>
      <c r="J6" s="27">
        <f>I6*(1+J16)</f>
        <v>74674.096640000018</v>
      </c>
      <c r="K6" s="27">
        <f t="shared" ref="K6:Q6" si="3">J6*(1+K16)</f>
        <v>77661.06050560002</v>
      </c>
      <c r="L6" s="27">
        <f t="shared" si="3"/>
        <v>80767.502925824025</v>
      </c>
      <c r="M6" s="27">
        <f t="shared" si="3"/>
        <v>83998.203042856985</v>
      </c>
      <c r="N6" s="27">
        <f t="shared" si="3"/>
        <v>87358.13116457127</v>
      </c>
      <c r="O6" s="27">
        <f t="shared" si="3"/>
        <v>90852.456411154126</v>
      </c>
      <c r="P6" s="27">
        <f t="shared" si="3"/>
        <v>94486.5546676003</v>
      </c>
      <c r="Q6" s="27">
        <f t="shared" si="3"/>
        <v>98266.016854304311</v>
      </c>
    </row>
    <row r="7" spans="1:17" x14ac:dyDescent="0.2">
      <c r="B7" s="8" t="s">
        <v>83</v>
      </c>
      <c r="C7" s="26">
        <v>0</v>
      </c>
      <c r="D7" s="26">
        <v>0</v>
      </c>
      <c r="E7" s="26">
        <v>0</v>
      </c>
      <c r="F7" s="26">
        <v>0</v>
      </c>
      <c r="G7" s="26">
        <v>0</v>
      </c>
      <c r="H7" s="27">
        <f>E5</f>
        <v>1764</v>
      </c>
      <c r="I7" s="27">
        <f>H7*(1+I17)</f>
        <v>146055</v>
      </c>
      <c r="J7" s="27">
        <f>I7*(1+J17)</f>
        <v>300815</v>
      </c>
      <c r="K7" s="27">
        <f t="shared" ref="K7:Q7" si="4">J7*(1+K17)</f>
        <v>481304</v>
      </c>
      <c r="L7" s="27">
        <f t="shared" si="4"/>
        <v>529434.4</v>
      </c>
      <c r="M7" s="27">
        <f t="shared" si="4"/>
        <v>582377.84000000008</v>
      </c>
      <c r="N7" s="27">
        <f t="shared" si="4"/>
        <v>628968.06720000017</v>
      </c>
      <c r="O7" s="27">
        <f t="shared" si="4"/>
        <v>679285.51257600018</v>
      </c>
      <c r="P7" s="27">
        <f t="shared" si="4"/>
        <v>706456.93307904026</v>
      </c>
      <c r="Q7" s="27">
        <f t="shared" si="4"/>
        <v>734715.21040220186</v>
      </c>
    </row>
    <row r="8" spans="1:17" x14ac:dyDescent="0.2">
      <c r="B8" s="8" t="s">
        <v>85</v>
      </c>
      <c r="C8" s="26">
        <v>0</v>
      </c>
      <c r="D8" s="26">
        <v>0</v>
      </c>
      <c r="E8" s="26">
        <v>0</v>
      </c>
      <c r="F8" s="26">
        <v>0</v>
      </c>
      <c r="G8" s="26">
        <v>0</v>
      </c>
      <c r="H8" s="27">
        <v>0</v>
      </c>
      <c r="I8" s="27">
        <v>0</v>
      </c>
      <c r="J8" s="27">
        <v>500</v>
      </c>
      <c r="K8" s="27">
        <f t="shared" ref="K8:Q8" si="5">J8*(1+K18)</f>
        <v>1000</v>
      </c>
      <c r="L8" s="27">
        <f t="shared" si="5"/>
        <v>1500</v>
      </c>
      <c r="M8" s="27">
        <f t="shared" si="5"/>
        <v>1650.0000000000002</v>
      </c>
      <c r="N8" s="27">
        <f t="shared" si="5"/>
        <v>1815.0000000000005</v>
      </c>
      <c r="O8" s="27">
        <f t="shared" si="5"/>
        <v>1960.2000000000007</v>
      </c>
      <c r="P8" s="27">
        <f t="shared" si="5"/>
        <v>2117.016000000001</v>
      </c>
      <c r="Q8" s="27">
        <f t="shared" si="5"/>
        <v>2201.696640000001</v>
      </c>
    </row>
    <row r="9" spans="1:17" x14ac:dyDescent="0.2">
      <c r="B9" s="8" t="s">
        <v>84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  <c r="H9" s="27">
        <v>0</v>
      </c>
      <c r="I9" s="27">
        <v>250</v>
      </c>
      <c r="J9" s="27">
        <f t="shared" ref="J9:Q9" si="6">I9*(1+J19)</f>
        <v>20699.404761904763</v>
      </c>
      <c r="K9" s="27">
        <f t="shared" si="6"/>
        <v>42632.511337868491</v>
      </c>
      <c r="L9" s="27">
        <f t="shared" si="6"/>
        <v>68212.018140589586</v>
      </c>
      <c r="M9" s="27">
        <f t="shared" si="6"/>
        <v>75033.21995464855</v>
      </c>
      <c r="N9" s="27">
        <f t="shared" si="6"/>
        <v>82536.541950113417</v>
      </c>
      <c r="O9" s="27">
        <f t="shared" si="6"/>
        <v>89139.465306122496</v>
      </c>
      <c r="P9" s="27">
        <f t="shared" si="6"/>
        <v>96270.622530612309</v>
      </c>
      <c r="Q9" s="27">
        <f t="shared" si="6"/>
        <v>100121.4474318368</v>
      </c>
    </row>
    <row r="10" spans="1:17" x14ac:dyDescent="0.2">
      <c r="B10" s="8" t="s">
        <v>81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  <c r="H10" s="27">
        <v>0</v>
      </c>
      <c r="I10" s="27">
        <v>250</v>
      </c>
      <c r="J10" s="27">
        <f t="shared" ref="J10:Q10" si="7">I10*(1+J20)</f>
        <v>20699.404761904763</v>
      </c>
      <c r="K10" s="27">
        <f t="shared" si="7"/>
        <v>42632.511337868491</v>
      </c>
      <c r="L10" s="27">
        <f t="shared" si="7"/>
        <v>68212.018140589586</v>
      </c>
      <c r="M10" s="27">
        <f t="shared" si="7"/>
        <v>75033.21995464855</v>
      </c>
      <c r="N10" s="27">
        <f t="shared" si="7"/>
        <v>82536.541950113417</v>
      </c>
      <c r="O10" s="27">
        <f t="shared" si="7"/>
        <v>89139.465306122496</v>
      </c>
      <c r="P10" s="27">
        <f t="shared" si="7"/>
        <v>96270.622530612309</v>
      </c>
      <c r="Q10" s="27">
        <f t="shared" si="7"/>
        <v>100121.4474318368</v>
      </c>
    </row>
    <row r="11" spans="1:17" ht="12.75" thickBot="1" x14ac:dyDescent="0.25">
      <c r="B11" s="47" t="s">
        <v>66</v>
      </c>
      <c r="C11" s="48">
        <f>SUM(C5:C10)</f>
        <v>50580</v>
      </c>
      <c r="D11" s="48">
        <f>SUM(D5:D10)</f>
        <v>76230</v>
      </c>
      <c r="E11" s="48">
        <f>SUM(E5:E10)</f>
        <v>103076</v>
      </c>
      <c r="F11" s="48">
        <f>SUM(F5:F10)</f>
        <v>244920</v>
      </c>
      <c r="G11" s="48">
        <f>SUM(G5:G10)</f>
        <v>367200</v>
      </c>
      <c r="H11" s="48">
        <f t="shared" ref="H11:Q11" si="8">SUM(H5:H10)</f>
        <v>552108.4</v>
      </c>
      <c r="I11" s="48">
        <f t="shared" si="8"/>
        <v>747791.41600000008</v>
      </c>
      <c r="J11" s="48">
        <f t="shared" si="8"/>
        <v>999765.74616380956</v>
      </c>
      <c r="K11" s="48">
        <f t="shared" si="8"/>
        <v>1274198.1503813369</v>
      </c>
      <c r="L11" s="48">
        <f>SUM(L5:L10)</f>
        <v>1427411.4517830033</v>
      </c>
      <c r="M11" s="48">
        <f t="shared" si="8"/>
        <v>1524549.4160311944</v>
      </c>
      <c r="N11" s="48">
        <f t="shared" si="8"/>
        <v>1617929.492667</v>
      </c>
      <c r="O11" s="48">
        <f t="shared" si="8"/>
        <v>1714480.9184176894</v>
      </c>
      <c r="P11" s="48">
        <f t="shared" si="8"/>
        <v>1790269.7203788871</v>
      </c>
      <c r="Q11" s="48">
        <f t="shared" si="8"/>
        <v>1861880.5091940423</v>
      </c>
    </row>
    <row r="12" spans="1:17" ht="3" customHeight="1" x14ac:dyDescent="0.2"/>
    <row r="13" spans="1:17" x14ac:dyDescent="0.2">
      <c r="B13" s="36" t="s">
        <v>93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</row>
    <row r="14" spans="1:17" ht="3" customHeight="1" x14ac:dyDescent="0.2">
      <c r="B14" s="36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</row>
    <row r="15" spans="1:17" x14ac:dyDescent="0.2">
      <c r="B15" s="37" t="s">
        <v>82</v>
      </c>
      <c r="C15" s="40" t="s">
        <v>63</v>
      </c>
      <c r="D15" s="40" t="s">
        <v>63</v>
      </c>
      <c r="E15" s="40" t="s">
        <v>63</v>
      </c>
      <c r="F15" s="30">
        <f t="shared" ref="F15:G16" si="9">F5/E5-1</f>
        <v>81.797619047619051</v>
      </c>
      <c r="G15" s="30">
        <f t="shared" si="9"/>
        <v>1.0596008353017701</v>
      </c>
      <c r="H15" s="39">
        <v>0.6</v>
      </c>
      <c r="I15" s="39">
        <f>$C$25</f>
        <v>0.1</v>
      </c>
      <c r="J15" s="39">
        <f>$C$25</f>
        <v>0.1</v>
      </c>
      <c r="K15" s="39">
        <f>$C$26</f>
        <v>0.08</v>
      </c>
      <c r="L15" s="39">
        <f>$C$26</f>
        <v>0.08</v>
      </c>
      <c r="M15" s="39">
        <f>$C$27</f>
        <v>0.04</v>
      </c>
      <c r="N15" s="39">
        <f t="shared" ref="N15:Q16" si="10">$C$27</f>
        <v>0.04</v>
      </c>
      <c r="O15" s="39">
        <f t="shared" si="10"/>
        <v>0.04</v>
      </c>
      <c r="P15" s="39">
        <f t="shared" si="10"/>
        <v>0.04</v>
      </c>
      <c r="Q15" s="39">
        <f t="shared" si="10"/>
        <v>0.04</v>
      </c>
    </row>
    <row r="16" spans="1:17" x14ac:dyDescent="0.2">
      <c r="B16" s="37" t="s">
        <v>87</v>
      </c>
      <c r="C16" s="40" t="s">
        <v>63</v>
      </c>
      <c r="D16" s="30">
        <f>D6/C6-1</f>
        <v>0.50711743772241991</v>
      </c>
      <c r="E16" s="30">
        <f>E6/D6-1</f>
        <v>0.32903056539420183</v>
      </c>
      <c r="F16" s="30">
        <f t="shared" si="9"/>
        <v>-2.4153111181301368E-2</v>
      </c>
      <c r="G16" s="30">
        <f t="shared" si="9"/>
        <v>-0.32852880190158296</v>
      </c>
      <c r="H16" s="41">
        <f t="shared" ref="H16:M16" si="11">$C$27</f>
        <v>0.04</v>
      </c>
      <c r="I16" s="41">
        <f t="shared" si="11"/>
        <v>0.04</v>
      </c>
      <c r="J16" s="41">
        <f t="shared" si="11"/>
        <v>0.04</v>
      </c>
      <c r="K16" s="41">
        <f t="shared" si="11"/>
        <v>0.04</v>
      </c>
      <c r="L16" s="41">
        <f t="shared" si="11"/>
        <v>0.04</v>
      </c>
      <c r="M16" s="41">
        <f t="shared" si="11"/>
        <v>0.04</v>
      </c>
      <c r="N16" s="41">
        <f t="shared" si="10"/>
        <v>0.04</v>
      </c>
      <c r="O16" s="41">
        <f t="shared" si="10"/>
        <v>0.04</v>
      </c>
      <c r="P16" s="41">
        <f t="shared" si="10"/>
        <v>0.04</v>
      </c>
      <c r="Q16" s="41">
        <f t="shared" si="10"/>
        <v>0.04</v>
      </c>
    </row>
    <row r="17" spans="2:17" x14ac:dyDescent="0.2">
      <c r="B17" s="37" t="s">
        <v>83</v>
      </c>
      <c r="C17" s="40" t="s">
        <v>63</v>
      </c>
      <c r="D17" s="40" t="s">
        <v>63</v>
      </c>
      <c r="E17" s="40" t="s">
        <v>63</v>
      </c>
      <c r="F17" s="40" t="s">
        <v>63</v>
      </c>
      <c r="G17" s="40" t="s">
        <v>63</v>
      </c>
      <c r="H17" s="39" t="s">
        <v>63</v>
      </c>
      <c r="I17" s="41">
        <f>F15</f>
        <v>81.797619047619051</v>
      </c>
      <c r="J17" s="41">
        <f t="shared" ref="J17:Q17" si="12">G15</f>
        <v>1.0596008353017701</v>
      </c>
      <c r="K17" s="41">
        <f t="shared" si="12"/>
        <v>0.6</v>
      </c>
      <c r="L17" s="41">
        <f t="shared" si="12"/>
        <v>0.1</v>
      </c>
      <c r="M17" s="41">
        <f t="shared" si="12"/>
        <v>0.1</v>
      </c>
      <c r="N17" s="41">
        <f t="shared" si="12"/>
        <v>0.08</v>
      </c>
      <c r="O17" s="41">
        <f t="shared" si="12"/>
        <v>0.08</v>
      </c>
      <c r="P17" s="41">
        <f t="shared" si="12"/>
        <v>0.04</v>
      </c>
      <c r="Q17" s="41">
        <f t="shared" si="12"/>
        <v>0.04</v>
      </c>
    </row>
    <row r="18" spans="2:17" x14ac:dyDescent="0.2">
      <c r="B18" s="37" t="s">
        <v>85</v>
      </c>
      <c r="C18" s="40" t="s">
        <v>63</v>
      </c>
      <c r="D18" s="40" t="s">
        <v>63</v>
      </c>
      <c r="E18" s="40" t="s">
        <v>63</v>
      </c>
      <c r="F18" s="40" t="s">
        <v>63</v>
      </c>
      <c r="G18" s="40" t="s">
        <v>63</v>
      </c>
      <c r="H18" s="39" t="s">
        <v>63</v>
      </c>
      <c r="I18" s="39" t="s">
        <v>63</v>
      </c>
      <c r="J18" s="39" t="s">
        <v>63</v>
      </c>
      <c r="K18" s="41">
        <v>1</v>
      </c>
      <c r="L18" s="41">
        <v>0.5</v>
      </c>
      <c r="M18" s="41">
        <f t="shared" ref="M18:N20" si="13">$C$25</f>
        <v>0.1</v>
      </c>
      <c r="N18" s="41">
        <f t="shared" si="13"/>
        <v>0.1</v>
      </c>
      <c r="O18" s="41">
        <f t="shared" ref="O18:P20" si="14">$C$26</f>
        <v>0.08</v>
      </c>
      <c r="P18" s="41">
        <f t="shared" si="14"/>
        <v>0.08</v>
      </c>
      <c r="Q18" s="41">
        <f t="shared" ref="Q18:Q20" si="15">$C$27</f>
        <v>0.04</v>
      </c>
    </row>
    <row r="19" spans="2:17" x14ac:dyDescent="0.2">
      <c r="B19" s="37" t="s">
        <v>84</v>
      </c>
      <c r="C19" s="40" t="s">
        <v>63</v>
      </c>
      <c r="D19" s="40" t="s">
        <v>63</v>
      </c>
      <c r="E19" s="40" t="s">
        <v>63</v>
      </c>
      <c r="F19" s="40" t="s">
        <v>63</v>
      </c>
      <c r="G19" s="40" t="s">
        <v>63</v>
      </c>
      <c r="H19" s="40" t="s">
        <v>63</v>
      </c>
      <c r="I19" s="40" t="s">
        <v>63</v>
      </c>
      <c r="J19" s="41">
        <f t="shared" ref="J19:L20" si="16">F$15</f>
        <v>81.797619047619051</v>
      </c>
      <c r="K19" s="41">
        <f t="shared" si="16"/>
        <v>1.0596008353017701</v>
      </c>
      <c r="L19" s="41">
        <f t="shared" si="16"/>
        <v>0.6</v>
      </c>
      <c r="M19" s="41">
        <f t="shared" si="13"/>
        <v>0.1</v>
      </c>
      <c r="N19" s="41">
        <f t="shared" si="13"/>
        <v>0.1</v>
      </c>
      <c r="O19" s="41">
        <f t="shared" si="14"/>
        <v>0.08</v>
      </c>
      <c r="P19" s="41">
        <f t="shared" si="14"/>
        <v>0.08</v>
      </c>
      <c r="Q19" s="41">
        <f t="shared" si="15"/>
        <v>0.04</v>
      </c>
    </row>
    <row r="20" spans="2:17" x14ac:dyDescent="0.2">
      <c r="B20" s="37" t="s">
        <v>81</v>
      </c>
      <c r="C20" s="40" t="s">
        <v>63</v>
      </c>
      <c r="D20" s="40" t="s">
        <v>63</v>
      </c>
      <c r="E20" s="40" t="s">
        <v>63</v>
      </c>
      <c r="F20" s="40" t="s">
        <v>63</v>
      </c>
      <c r="G20" s="40" t="s">
        <v>63</v>
      </c>
      <c r="H20" s="40" t="s">
        <v>63</v>
      </c>
      <c r="I20" s="40" t="s">
        <v>63</v>
      </c>
      <c r="J20" s="41">
        <f t="shared" si="16"/>
        <v>81.797619047619051</v>
      </c>
      <c r="K20" s="41">
        <f t="shared" si="16"/>
        <v>1.0596008353017701</v>
      </c>
      <c r="L20" s="41">
        <f t="shared" si="16"/>
        <v>0.6</v>
      </c>
      <c r="M20" s="41">
        <f t="shared" si="13"/>
        <v>0.1</v>
      </c>
      <c r="N20" s="41">
        <f t="shared" si="13"/>
        <v>0.1</v>
      </c>
      <c r="O20" s="41">
        <f t="shared" si="14"/>
        <v>0.08</v>
      </c>
      <c r="P20" s="41">
        <f t="shared" si="14"/>
        <v>0.08</v>
      </c>
      <c r="Q20" s="41">
        <f t="shared" si="15"/>
        <v>0.04</v>
      </c>
    </row>
    <row r="21" spans="2:17" x14ac:dyDescent="0.2">
      <c r="B21" s="37"/>
      <c r="C21" s="40"/>
      <c r="D21" s="40"/>
      <c r="E21" s="40"/>
      <c r="F21" s="37"/>
      <c r="G21" s="37"/>
      <c r="H21" s="40"/>
      <c r="I21" s="38"/>
      <c r="J21" s="38"/>
      <c r="K21" s="38"/>
      <c r="L21" s="38"/>
      <c r="M21" s="38"/>
      <c r="N21" s="38"/>
      <c r="O21" s="38"/>
      <c r="P21" s="38"/>
      <c r="Q21" s="38"/>
    </row>
    <row r="24" spans="2:17" x14ac:dyDescent="0.2">
      <c r="B24" s="8" t="s">
        <v>117</v>
      </c>
    </row>
    <row r="25" spans="2:17" x14ac:dyDescent="0.2">
      <c r="B25" s="8" t="s">
        <v>118</v>
      </c>
      <c r="C25" s="16">
        <v>0.1</v>
      </c>
    </row>
    <row r="26" spans="2:17" x14ac:dyDescent="0.2">
      <c r="B26" s="8" t="s">
        <v>118</v>
      </c>
      <c r="C26" s="16">
        <v>0.08</v>
      </c>
    </row>
    <row r="27" spans="2:17" x14ac:dyDescent="0.2">
      <c r="B27" s="8" t="s">
        <v>119</v>
      </c>
      <c r="C27" s="16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tabSelected="1" workbookViewId="0"/>
  </sheetViews>
  <sheetFormatPr defaultColWidth="9.140625" defaultRowHeight="12" x14ac:dyDescent="0.2"/>
  <cols>
    <col min="1" max="1" width="2" style="8" customWidth="1"/>
    <col min="2" max="3" width="15.140625" style="8" customWidth="1"/>
    <col min="4" max="4" width="2" style="8" customWidth="1"/>
    <col min="5" max="6" width="11.28515625" style="8" bestFit="1" customWidth="1"/>
    <col min="7" max="7" width="9.140625" style="8"/>
    <col min="8" max="8" width="11.42578125" style="8" bestFit="1" customWidth="1"/>
    <col min="9" max="10" width="10.28515625" style="8" customWidth="1"/>
    <col min="11" max="12" width="10.28515625" style="8" bestFit="1" customWidth="1"/>
    <col min="13" max="17" width="10.42578125" style="8" bestFit="1" customWidth="1"/>
    <col min="18" max="16384" width="9.140625" style="8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40625" defaultRowHeight="12" x14ac:dyDescent="0.2"/>
  <cols>
    <col min="1" max="1" width="2" style="8" customWidth="1"/>
    <col min="2" max="2" width="29.7109375" style="8" bestFit="1" customWidth="1"/>
    <col min="3" max="3" width="23.28515625" style="8" customWidth="1"/>
    <col min="4" max="4" width="11.7109375" style="8" customWidth="1"/>
    <col min="5" max="5" width="10.85546875" style="8" bestFit="1" customWidth="1"/>
    <col min="6" max="6" width="9.140625" style="8"/>
    <col min="7" max="7" width="10.5703125" style="8" bestFit="1" customWidth="1"/>
    <col min="8" max="16384" width="9.140625" style="8"/>
  </cols>
  <sheetData>
    <row r="1" spans="1:6" ht="15.75" x14ac:dyDescent="0.2">
      <c r="A1" s="1"/>
      <c r="B1" s="2" t="s">
        <v>125</v>
      </c>
    </row>
    <row r="2" spans="1:6" ht="15.75" x14ac:dyDescent="0.2">
      <c r="A2" s="1"/>
      <c r="B2" s="2"/>
    </row>
    <row r="3" spans="1:6" x14ac:dyDescent="0.2">
      <c r="B3" s="54" t="s">
        <v>147</v>
      </c>
    </row>
    <row r="5" spans="1:6" x14ac:dyDescent="0.2">
      <c r="F5" s="8" t="s">
        <v>102</v>
      </c>
    </row>
    <row r="6" spans="1:6" x14ac:dyDescent="0.2">
      <c r="B6" s="58" t="s">
        <v>144</v>
      </c>
      <c r="C6" s="18" t="s">
        <v>101</v>
      </c>
      <c r="D6" s="18" t="s">
        <v>115</v>
      </c>
    </row>
    <row r="7" spans="1:6" x14ac:dyDescent="0.2">
      <c r="B7" s="8" t="s">
        <v>104</v>
      </c>
      <c r="C7" s="13">
        <v>9600340</v>
      </c>
      <c r="D7" s="13">
        <f>C7</f>
        <v>9600340</v>
      </c>
    </row>
    <row r="8" spans="1:6" x14ac:dyDescent="0.2">
      <c r="B8" s="8" t="s">
        <v>105</v>
      </c>
      <c r="C8" s="13">
        <v>6607000</v>
      </c>
      <c r="D8" s="13">
        <f t="shared" ref="D8:D11" si="0">C8</f>
        <v>6607000</v>
      </c>
    </row>
    <row r="9" spans="1:6" x14ac:dyDescent="0.2">
      <c r="B9" s="8" t="s">
        <v>106</v>
      </c>
      <c r="C9" s="13">
        <v>4740000</v>
      </c>
      <c r="D9" s="13">
        <f t="shared" si="0"/>
        <v>4740000</v>
      </c>
    </row>
    <row r="10" spans="1:6" x14ac:dyDescent="0.2">
      <c r="B10" s="8" t="s">
        <v>107</v>
      </c>
      <c r="C10" s="13">
        <v>2460000</v>
      </c>
      <c r="D10" s="13">
        <f t="shared" si="0"/>
        <v>2460000</v>
      </c>
    </row>
    <row r="11" spans="1:6" x14ac:dyDescent="0.2">
      <c r="B11" s="8" t="s">
        <v>108</v>
      </c>
      <c r="C11" s="13">
        <v>10700000</v>
      </c>
      <c r="D11" s="13">
        <f t="shared" si="0"/>
        <v>10700000</v>
      </c>
    </row>
    <row r="12" spans="1:6" x14ac:dyDescent="0.2">
      <c r="B12" s="49" t="s">
        <v>109</v>
      </c>
      <c r="C12" s="51" t="s">
        <v>63</v>
      </c>
      <c r="D12" s="51" t="s">
        <v>63</v>
      </c>
    </row>
    <row r="13" spans="1:6" x14ac:dyDescent="0.2">
      <c r="B13" s="49" t="s">
        <v>110</v>
      </c>
      <c r="C13" s="51" t="s">
        <v>63</v>
      </c>
      <c r="D13" s="51" t="s">
        <v>63</v>
      </c>
    </row>
    <row r="14" spans="1:6" x14ac:dyDescent="0.2">
      <c r="B14" s="49" t="s">
        <v>111</v>
      </c>
      <c r="C14" s="51" t="s">
        <v>63</v>
      </c>
      <c r="D14" s="51" t="s">
        <v>63</v>
      </c>
    </row>
    <row r="15" spans="1:6" x14ac:dyDescent="0.2">
      <c r="B15" s="49" t="s">
        <v>112</v>
      </c>
      <c r="C15" s="51" t="s">
        <v>63</v>
      </c>
      <c r="D15" s="51" t="s">
        <v>63</v>
      </c>
    </row>
    <row r="16" spans="1:6" x14ac:dyDescent="0.2">
      <c r="B16" s="49" t="s">
        <v>113</v>
      </c>
      <c r="C16" s="51" t="s">
        <v>63</v>
      </c>
      <c r="D16" s="51" t="s">
        <v>63</v>
      </c>
    </row>
    <row r="17" spans="2:4" x14ac:dyDescent="0.2">
      <c r="B17" s="49" t="s">
        <v>114</v>
      </c>
      <c r="C17" s="51" t="s">
        <v>63</v>
      </c>
      <c r="D17" s="51" t="s">
        <v>63</v>
      </c>
    </row>
    <row r="18" spans="2:4" x14ac:dyDescent="0.2">
      <c r="B18" s="9" t="s">
        <v>101</v>
      </c>
      <c r="C18" s="53" t="s">
        <v>63</v>
      </c>
      <c r="D18" s="50">
        <f>AVERAGE(D7:D17)</f>
        <v>6821468</v>
      </c>
    </row>
    <row r="19" spans="2:4" x14ac:dyDescent="0.2">
      <c r="C19" s="52"/>
      <c r="D19" s="52"/>
    </row>
    <row r="22" spans="2:4" x14ac:dyDescent="0.2">
      <c r="B22" s="58" t="s">
        <v>145</v>
      </c>
      <c r="C22" s="18"/>
      <c r="D22" s="18"/>
    </row>
    <row r="23" spans="2:4" x14ac:dyDescent="0.2">
      <c r="B23" s="8">
        <v>2020</v>
      </c>
      <c r="D23" s="13">
        <f>Deliveries!H$11</f>
        <v>552108.4</v>
      </c>
    </row>
    <row r="24" spans="2:4" x14ac:dyDescent="0.2">
      <c r="B24" s="8">
        <v>2024</v>
      </c>
      <c r="D24" s="13">
        <f>Deliveries!L$11</f>
        <v>1427411.4517830033</v>
      </c>
    </row>
    <row r="25" spans="2:4" x14ac:dyDescent="0.2">
      <c r="B25" s="8">
        <v>2029</v>
      </c>
      <c r="D25" s="13">
        <f>Deliveries!Q$11</f>
        <v>1861880.5091940423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2021-01-05T15:42:40Z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