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0220100339\Downloads\"/>
    </mc:Choice>
  </mc:AlternateContent>
  <xr:revisionPtr revIDLastSave="0" documentId="13_ncr:1_{AFD6FBF2-D92C-48B6-BF97-AC6F744BEB3F}" xr6:coauthVersionLast="47" xr6:coauthVersionMax="47" xr10:uidLastSave="{00000000-0000-0000-0000-000000000000}"/>
  <bookViews>
    <workbookView xWindow="-120" yWindow="-120" windowWidth="29040" windowHeight="15840" activeTab="3" xr2:uid="{18F304AC-49B8-7E45-A787-DD87FB380DE8}"/>
  </bookViews>
  <sheets>
    <sheet name="Cover-Sheet" sheetId="2" r:id="rId1"/>
    <sheet name="Presentation Sheet" sheetId="1" r:id="rId2"/>
    <sheet name="COMET Interface" sheetId="7" r:id="rId3"/>
    <sheet name="Calculation" sheetId="41" r:id="rId4"/>
    <sheet name="Database" sheetId="4" r:id="rId5"/>
    <sheet name="Reference" sheetId="6" r:id="rId6"/>
    <sheet name="Constants" sheetId="5" r:id="rId7"/>
    <sheet name="option_1" sheetId="47" r:id="rId8"/>
    <sheet name="Parameters" sheetId="46" r:id="rId9"/>
    <sheet name="Sheet1" sheetId="8" r:id="rId10"/>
  </sheets>
  <definedNames>
    <definedName name="ADCS">Parameters!$G$14</definedName>
    <definedName name="ADCS.P_mean\Day">Parameters!$G$17</definedName>
    <definedName name="ADCS.P_mean\Ecl">Parameters!$G$16</definedName>
    <definedName name="ADCS.P_peak">#REF!</definedName>
    <definedName name="ADCS.P_peak\Day">Parameters!$G$19</definedName>
    <definedName name="ADCS.P_peak\Ecl">Parameters!$G$18</definedName>
    <definedName name="ADCS.Thrusters">Parameters!$G$15</definedName>
    <definedName name="ADCS_Pwr_mean_daytime">'COMET Interface'!$C$9</definedName>
    <definedName name="ADCS_Pwr_mean_eclipse">'COMET Interface'!$C$12</definedName>
    <definedName name="ADCS_Pwr_peak_daytime">'COMET Interface'!$C$15</definedName>
    <definedName name="addd">#REF!</definedName>
    <definedName name="alphaSector">Calculation!$B$17</definedName>
    <definedName name="ant_elem_mass">Calculation!$K$72</definedName>
    <definedName name="ant_elem_vol">Calculation!$J$72</definedName>
    <definedName name="ant_length">Calculation!$I$72</definedName>
    <definedName name="antenna_mass">Calculation!$L$72</definedName>
    <definedName name="assemblyOverhead">Calculation!$F$45</definedName>
    <definedName name="Atom_Clock">Parameters!$G$13</definedName>
    <definedName name="Attitude_Peak_Power">#REF!</definedName>
    <definedName name="Battery">Parameters!$G$21</definedName>
    <definedName name="Battery.bat_cap">Parameters!$G$22</definedName>
    <definedName name="Battery.bat_cell_type">Parameters!$G$23</definedName>
    <definedName name="Battery.m">Parameters!$G$24</definedName>
    <definedName name="batteryCapacity">Calculation!$D$38</definedName>
    <definedName name="BatteryEnergyDensity">Calculation!#REF!</definedName>
    <definedName name="batteryMass">Calculation!$C$41</definedName>
    <definedName name="beam_bus_Mass">Calculation!$M$64</definedName>
    <definedName name="beamBusArea">Calculation!$J$64</definedName>
    <definedName name="beamBusLength">Calculation!$K$64</definedName>
    <definedName name="beamBusVolume">Calculation!$L$64</definedName>
    <definedName name="beamDiameter">'COMET Interface'!$C$6</definedName>
    <definedName name="beamLength">'COMET Interface'!$C$7</definedName>
    <definedName name="beamRadius">Calculation!$B$14</definedName>
    <definedName name="BS_ST">Parameters!$G$20</definedName>
    <definedName name="CDH">Parameters!$G$25</definedName>
    <definedName name="CDH.Atom_Clock">Parameters!$G$26</definedName>
    <definedName name="CDH.memory">Parameters!$G$27</definedName>
    <definedName name="CDH.OBC">Parameters!$G$28</definedName>
    <definedName name="CDH_Pwr_mean_daytime">'COMET Interface'!$C$20</definedName>
    <definedName name="CDH_Pwr_mean_eclipse">'COMET Interface'!$C$21</definedName>
    <definedName name="CDH_Pwr_peak_daytime">'COMET Interface'!$C$22</definedName>
    <definedName name="cellMass">Calculation!$C$54</definedName>
    <definedName name="cellNominalCapacity">Calculation!$F$54</definedName>
    <definedName name="cellVoltage">Calculation!$C$45</definedName>
    <definedName name="COM_Pwr_mean_daytime">'COMET Interface'!$C$10</definedName>
    <definedName name="COM_Pwr_mean_eclipse">'COMET Interface'!$C$13</definedName>
    <definedName name="COM_Pwr_peak_daytime">'COMET Interface'!$C$16</definedName>
    <definedName name="COMMS">Parameters!$G$32</definedName>
    <definedName name="COMMS.Diplexer">Parameters!$G$33</definedName>
    <definedName name="COMMS.ISL_Antenna">Parameters!$G$37</definedName>
    <definedName name="COMMS.P">#REF!</definedName>
    <definedName name="COMMS.P_Amp">Parameters!$G$39</definedName>
    <definedName name="COMMS.P_mean">#REF!</definedName>
    <definedName name="COMMS.P_mean\Day">Parameters!$G$46</definedName>
    <definedName name="COMMS.P_mean\Ecl">Parameters!$G$45</definedName>
    <definedName name="COMMS.P_peak\Day">Parameters!$G$48</definedName>
    <definedName name="COMMS.P_peak\Ecl">Parameters!$G$47</definedName>
    <definedName name="COMMS.RFDU">Parameters!$G$40</definedName>
    <definedName name="COMMS.Rx_Antenna">Parameters!$G$41</definedName>
    <definedName name="COMMS.Transponder">Parameters!$G$43</definedName>
    <definedName name="COMMS.Tx_Antenna">Parameters!$G$44</definedName>
    <definedName name="Consumed_Power">Calculation!$C$23</definedName>
    <definedName name="Cr">Calculation!$C$38</definedName>
    <definedName name="CTR_BEAM">Parameters!$G$29</definedName>
    <definedName name="CTR_BEAM.d">Parameters!$G$30</definedName>
    <definedName name="CTR_BEAM.l">Parameters!$G$31</definedName>
    <definedName name="cylinderCrossSection">Calculation!$B$30</definedName>
    <definedName name="cylinderCrossSectionReflectance">Calculation!$E$30</definedName>
    <definedName name="cylinderFillFactor">Calculation!$C$30</definedName>
    <definedName name="d_ant">Calculation!$G$72</definedName>
    <definedName name="d_gap">Calculation!$H$72</definedName>
    <definedName name="Diameter">'COMET Interface'!$C$5</definedName>
    <definedName name="different_name">#REF!</definedName>
    <definedName name="Diplexer">Parameters!$G$49</definedName>
    <definedName name="DoD">Calculation!$E$38</definedName>
    <definedName name="EarthGridPower">Calculation!$H$23</definedName>
    <definedName name="Element_Power_BOL">Calculation!$D$26</definedName>
    <definedName name="Element_Power_EOL">Calculation!$F$26</definedName>
    <definedName name="Engine">Parameters!$G$50</definedName>
    <definedName name="eta">Calculation!$F$41</definedName>
    <definedName name="f">#REF!</definedName>
    <definedName name="finalBatteryCapacity">Calculation!$E$54</definedName>
    <definedName name="finalBatteryMass">Calculation!$D$54</definedName>
    <definedName name="Fquant">Calculation!$G$41</definedName>
    <definedName name="half_lambda">Calculation!$E$2</definedName>
    <definedName name="Header">option_1!$A$1:$I$7</definedName>
    <definedName name="ICARUS">Parameters!$G$51</definedName>
    <definedName name="ICARUS.dur">Parameters!$G$52</definedName>
    <definedName name="ICARUS.ICARUS1">Parameters!$G$53</definedName>
    <definedName name="ICARUS.ICARUS1.ADCS.Thrusters.Propellant\option_1">option_1!$D$21</definedName>
    <definedName name="ICARUS.ICARUS1.ADCS.Thrusters\option_1">option_1!$D$20</definedName>
    <definedName name="ICARUS.ICARUS1.ADCS\option_1">option_1!$D$15</definedName>
    <definedName name="ICARUS.ICARUS1.ADCS\P_mean\Day\option_1">option_1!$D$16</definedName>
    <definedName name="ICARUS.ICARUS1.ADCS\P_mean\Ecl\option_1">option_1!$D$17</definedName>
    <definedName name="ICARUS.ICARUS1.ADCS\P_peak\\option_1">#REF!</definedName>
    <definedName name="ICARUS.ICARUS1.ADCS\P_peak\Day\option_1">option_1!$D$18</definedName>
    <definedName name="ICARUS.ICARUS1.ADCS\P_peak\Ecl\option_1">option_1!$D$19</definedName>
    <definedName name="ICARUS.ICARUS1.BS_PL\option_1">#REF!</definedName>
    <definedName name="ICARUS.ICARUS1.CDH.Atom_Clock\option_1">option_1!$D$23</definedName>
    <definedName name="ICARUS.ICARUS1.CDH.memory\option_1">option_1!$D$24</definedName>
    <definedName name="ICARUS.ICARUS1.CDH.OBC\option_1">option_1!$D$25</definedName>
    <definedName name="ICARUS.ICARUS1.CDH\option_1">option_1!$D$22</definedName>
    <definedName name="ICARUS.ICARUS1.COMMS.Diplexer\option_1">option_1!$D$31</definedName>
    <definedName name="ICARUS.ICARUS1.COMMS.ISL_Antenna\option_1">option_1!$D$35</definedName>
    <definedName name="ICARUS.ICARUS1.COMMS.ISL_Antenna\P_mean\\option_1">#REF!</definedName>
    <definedName name="ICARUS.ICARUS1.COMMS.P_Amp\option_1">option_1!$D$37</definedName>
    <definedName name="ICARUS.ICARUS1.COMMS.RFDU\option_1">option_1!$D$38</definedName>
    <definedName name="ICARUS.ICARUS1.COMMS.Rx_Antenna\option_1">option_1!$D$39</definedName>
    <definedName name="ICARUS.ICARUS1.COMMS.Rx_Antenna\P_mean\\option_1">#REF!</definedName>
    <definedName name="ICARUS.ICARUS1.COMMS.Transponder\option_1">option_1!$D$41</definedName>
    <definedName name="ICARUS.ICARUS1.COMMS.Tx_Antenna\option_1">option_1!$D$42</definedName>
    <definedName name="ICARUS.ICARUS1.COMMS.Tx_Antenna\P_mean\\option_1">#REF!</definedName>
    <definedName name="ICARUS.ICARUS1.COMMS\option_1">option_1!$D$26</definedName>
    <definedName name="ICARUS.ICARUS1.COMMS\P_mean\\option_1">#REF!</definedName>
    <definedName name="ICARUS.ICARUS1.COMMS\P_mean\Day\option_1">option_1!$D$27</definedName>
    <definedName name="ICARUS.ICARUS1.COMMS\P_mean\Ecl\option_1">option_1!$D$28</definedName>
    <definedName name="ICARUS.ICARUS1.COMMS\P_peak\Day\option_1">option_1!$D$29</definedName>
    <definedName name="ICARUS.ICARUS1.COMMS\P_peak\Ecl\option_1">option_1!$D$30</definedName>
    <definedName name="ICARUS.ICARUS1.POW.Battery\bat_cap\\option_1">option_1!$D$49</definedName>
    <definedName name="ICARUS.ICARUS1.POW.Battery\bat_cell_type\\option_1">option_1!$D$50</definedName>
    <definedName name="ICARUS.ICARUS1.POW.Battery\m\\option_1">option_1!$D$51</definedName>
    <definedName name="ICARUS.ICARUS1.POW.Battery\option_1">option_1!$D$48</definedName>
    <definedName name="ICARUS.ICARUS1.POW.powerBus\m\\option_1">option_1!$D$53</definedName>
    <definedName name="ICARUS.ICARUS1.POW.powerBus\option_1">option_1!$D$52</definedName>
    <definedName name="ICARUS.ICARUS1.POW.solarArray\m\\option_1">option_1!$D$55</definedName>
    <definedName name="ICARUS.ICARUS1.POW.solarArray\obj_dist\\option_1">option_1!$D$56</definedName>
    <definedName name="ICARUS.ICARUS1.POW.solarArray\option_1">option_1!$D$54</definedName>
    <definedName name="ICARUS.ICARUS1.POW.solarArray\SA_type\\option_1">option_1!$D$57</definedName>
    <definedName name="ICARUS.ICARUS1.POW.solarArray\solar_cell_type\\option_1">option_1!$D$58</definedName>
    <definedName name="ICARUS.ICARUS1.POW\incidence\\option_1">option_1!$D$44</definedName>
    <definedName name="ICARUS.ICARUS1.POW\m\\option_1">option_1!$D$45</definedName>
    <definedName name="ICARUS.ICARUS1.POW\mass_margin\\option_1">option_1!$D$46</definedName>
    <definedName name="ICARUS.ICARUS1.POW\option_1">option_1!$D$43</definedName>
    <definedName name="ICARUS.ICARUS1.POW\P\\option_1">#REF!</definedName>
    <definedName name="ICARUS.ICARUS1.POW\P_peak\\option_1">#REF!</definedName>
    <definedName name="ICARUS.ICARUS1.POW\reffac\\option_1">option_1!$D$47</definedName>
    <definedName name="ICARUS.ICARUS1.Pro.Engine\option_1">option_1!$D$63</definedName>
    <definedName name="ICARUS.ICARUS1.Pro.Propellant\option_1">option_1!$D$64</definedName>
    <definedName name="ICARUS.ICARUS1.Pro.PropellantTank\option_1">option_1!$D$65</definedName>
    <definedName name="ICARUS.ICARUS1.Pro\option_1">option_1!$D$59</definedName>
    <definedName name="ICARUS.ICARUS1.Pro\P_mean\Day\option_1">option_1!$D$60</definedName>
    <definedName name="ICARUS.ICARUS1.Pro\P_mean\Ecl\option_1">option_1!$D$61</definedName>
    <definedName name="ICARUS.ICARUS1.Pro\P_peak\\option_1">option_1!$D$62</definedName>
    <definedName name="ICARUS.ICARUS1.STR.BS_ST\option_1">option_1!$D$70</definedName>
    <definedName name="ICARUS.ICARUS1.STR.CTR_BEAM\d\\option_1">option_1!$D$72</definedName>
    <definedName name="ICARUS.ICARUS1.STR.CTR_BEAM\l\\option_1">option_1!$D$73</definedName>
    <definedName name="ICARUS.ICARUS1.STR.CTR_BEAM\option_1">option_1!$D$71</definedName>
    <definedName name="ICARUS.ICARUS1.STR.m_beam\option_1">option_1!$D$74</definedName>
    <definedName name="ICARUS.ICARUS1.STR.m_frame\option_1">option_1!$D$75</definedName>
    <definedName name="ICARUS.ICARUS1.STR.MECH\option_1">option_1!$D$77</definedName>
    <definedName name="ICARUS.ICARUS1.STR.Mirror\option_1">option_1!$D$78</definedName>
    <definedName name="ICARUS.ICARUS1.STR\d\\option_1">option_1!$D$67</definedName>
    <definedName name="ICARUS.ICARUS1.STR\l\\option_1">option_1!$D$68</definedName>
    <definedName name="ICARUS.ICARUS1.STR\n_items\\option_1">option_1!$D$69</definedName>
    <definedName name="ICARUS.ICARUS1.STR\option_1">option_1!$D$66</definedName>
    <definedName name="ICARUS.ICARUS1.STR\P_peak\\option_1">#REF!</definedName>
    <definedName name="ICARUS.ICARUS1\option_1">option_1!$D$13</definedName>
    <definedName name="ICARUS.ICARUS1\P_peak\\option_1">option_1!$D$14</definedName>
    <definedName name="ICARUS.MA">Parameters!$G$54</definedName>
    <definedName name="ICARUS.MA\option_1">option_1!$D$79</definedName>
    <definedName name="ICARUS\dur\\option_1">option_1!$D$12</definedName>
    <definedName name="ICARUS\option_1">option_1!$D$11</definedName>
    <definedName name="ICARUS1">Parameters!$G$92</definedName>
    <definedName name="ICARUS1.ADCS">Parameters!$G$94</definedName>
    <definedName name="ICARUS1.BS_PL">#REF!</definedName>
    <definedName name="ICARUS1.CDH">Parameters!$G$95</definedName>
    <definedName name="ICARUS1.COMMS">Parameters!$G$96</definedName>
    <definedName name="ICARUS1.P_peak">Parameters!$G$93</definedName>
    <definedName name="ICARUS1.POW">Parameters!$G$97</definedName>
    <definedName name="ICARUS1.Pro">Parameters!$G$98</definedName>
    <definedName name="ICARUS1.STR">Parameters!$G$99</definedName>
    <definedName name="Irradiance">Calculation!$G$2</definedName>
    <definedName name="ISL_Antenna">Parameters!$G$10</definedName>
    <definedName name="ISL_Antenna.P_mean">#REF!</definedName>
    <definedName name="J">Calculation!#REF!</definedName>
    <definedName name="J_Cu">Calculation!$C$79</definedName>
    <definedName name="m_beam">Parameters!$G$57</definedName>
    <definedName name="m_frame">Parameters!$G$58</definedName>
    <definedName name="MA">Parameters!$G$59</definedName>
    <definedName name="MECH">Parameters!$G$55</definedName>
    <definedName name="memory">Parameters!$G$56</definedName>
    <definedName name="microWave_EarthGrid_Efficiency">Calculation!$H$26</definedName>
    <definedName name="microWavePower_BOL">Calculation!$D$23</definedName>
    <definedName name="microWavePower_EOL">Calculation!$F$23</definedName>
    <definedName name="middleElement">Calculation!$E$79</definedName>
    <definedName name="Mirror">Parameters!$G$112</definedName>
    <definedName name="mirrorArea">Calculation!$F$30</definedName>
    <definedName name="Mission_Life">Calculation!$I$2</definedName>
    <definedName name="N">Calculation!$E$41</definedName>
    <definedName name="nrBatteryCells">Calculation!$C$51</definedName>
    <definedName name="nrCellSerial">Calculation!$C$48</definedName>
    <definedName name="nrElement_per_Sector">Calculation!$B$26</definedName>
    <definedName name="nrElements">Calculation!$C$26</definedName>
    <definedName name="NrPlates">Calculation!$B$5</definedName>
    <definedName name="NrSatellites">Calculation!$I$23</definedName>
    <definedName name="OBC">Parameters!$G$63</definedName>
    <definedName name="P_Amp">Parameters!$G$73</definedName>
    <definedName name="Parameters">Parameters!$A$8:$M$115</definedName>
    <definedName name="Pe">Calculation!$F$38</definedName>
    <definedName name="Peak_Current">Calculation!$I$64</definedName>
    <definedName name="Peak_Power">Calculation!$H$64</definedName>
    <definedName name="plate_dist">#REF!</definedName>
    <definedName name="plate_distance">Calculation!$E$4</definedName>
    <definedName name="POW">Parameters!$G$64</definedName>
    <definedName name="POW.Battery">Parameters!$G$69</definedName>
    <definedName name="POW.incidence">Parameters!$G$65</definedName>
    <definedName name="POW.m">Parameters!$G$66</definedName>
    <definedName name="POW.mass_margin">Parameters!$G$67</definedName>
    <definedName name="POW.P">#REF!</definedName>
    <definedName name="POW.P_peak">#REF!</definedName>
    <definedName name="POW.powerBus">Parameters!$G$70</definedName>
    <definedName name="POW.reffac">Parameters!$G$68</definedName>
    <definedName name="POW.solarArray">Parameters!$G$71</definedName>
    <definedName name="POW.solarArray.obj_dist">Parameters!$G$72</definedName>
    <definedName name="powerBus">Parameters!$G$74</definedName>
    <definedName name="powerBus.m">Parameters!$G$75</definedName>
    <definedName name="powerBusMass">Calculation!$M$79</definedName>
    <definedName name="powerSubsystemMass">Calculation!$H$11</definedName>
    <definedName name="Pro">Parameters!$G$79</definedName>
    <definedName name="Pro.Engine">Parameters!$G$81</definedName>
    <definedName name="Pro.P_mean\Day">Parameters!$G$85</definedName>
    <definedName name="Pro.P_mean\Ecl">Parameters!$G$84</definedName>
    <definedName name="Pro.P_peak">Parameters!$G$80</definedName>
    <definedName name="Pro.Propellant">Parameters!$G$82</definedName>
    <definedName name="Pro.PropellantTank">Parameters!$G$83</definedName>
    <definedName name="PRO_Pwr_mean_daytime">'COMET Interface'!$C$11</definedName>
    <definedName name="PRO_Pwr_mean_eclipse">'COMET Interface'!$C$14</definedName>
    <definedName name="PRO_Pwr_Peak_daytime">'COMET Interface'!$C$17</definedName>
    <definedName name="Prop">Parameters!$G$76</definedName>
    <definedName name="Propellant">Parameters!$G$77</definedName>
    <definedName name="PropellantTank">Parameters!$G$78</definedName>
    <definedName name="PV_Area">Calculation!$B$20</definedName>
    <definedName name="PV_Components_Reflectance">Calculation!$D$30</definedName>
    <definedName name="PV_Efficiency">Calculation!$F$2</definedName>
    <definedName name="PV_Power_BOL">Calculation!$B$23</definedName>
    <definedName name="PV_Power_EOL">Calculation!$E$23</definedName>
    <definedName name="pvArea_Mass_Density">Calculation!$E$11</definedName>
    <definedName name="pvAreal_Mass_Density">Calculation!$E$11</definedName>
    <definedName name="pvMass">Calculation!$F$11</definedName>
    <definedName name="qwerty">#REF!</definedName>
    <definedName name="radial_Bus_Mass">Calculation!$G$79</definedName>
    <definedName name="Radius">Calculation!$B$8</definedName>
    <definedName name="reflectanceFactor">Calculation!$G$30</definedName>
    <definedName name="RFDU">Parameters!$G$86</definedName>
    <definedName name="rho_Cu">Calculation!$D$79</definedName>
    <definedName name="Rx_Antenna">Parameters!$G$11</definedName>
    <definedName name="Rx_Antenna.P_mean">#REF!</definedName>
    <definedName name="solarArray">Parameters!$G$87</definedName>
    <definedName name="solarArray.m">Parameters!$G$88</definedName>
    <definedName name="solarArray.obj_dist">Parameters!$G$89</definedName>
    <definedName name="solarArray.SA_type">Parameters!$G$90</definedName>
    <definedName name="solarArray.solar_cell_type">Parameters!$G$91</definedName>
    <definedName name="solarCellType">Calculation!$F$8</definedName>
    <definedName name="something">#REF!</definedName>
    <definedName name="sq3_lambda">#REF!</definedName>
    <definedName name="STR">Parameters!$G$100</definedName>
    <definedName name="STR.BS_ST">Parameters!$G$104</definedName>
    <definedName name="STR.CTR_BEAM">Parameters!$G$105</definedName>
    <definedName name="STR.d">Parameters!$G$101</definedName>
    <definedName name="STR.l">Parameters!$G$102</definedName>
    <definedName name="STR.m_beam">Parameters!$G$106</definedName>
    <definedName name="STR.m_frame">Parameters!$G$107</definedName>
    <definedName name="STR.MECH">Parameters!$G$109</definedName>
    <definedName name="STR.Mirror">Parameters!$G$110</definedName>
    <definedName name="STR.n_items">Parameters!$G$103</definedName>
    <definedName name="STR.P_peak">#REF!</definedName>
    <definedName name="sun_sensor">Parameters!$G$111</definedName>
    <definedName name="Te">'COMET Interface'!$C$18</definedName>
    <definedName name="Thrusters">Parameters!$G$113</definedName>
    <definedName name="Thrusters.Propellant">Parameters!$G$114</definedName>
    <definedName name="Transponder">Parameters!$G$115</definedName>
    <definedName name="Tx_Antenna">Parameters!$G$12</definedName>
    <definedName name="Tx_Antenna.P_mean">#REF!</definedName>
    <definedName name="U">Calculation!$G$38</definedName>
    <definedName name="V_bus">Calculation!$B$79</definedName>
    <definedName name="wireMass_per_Radius">Calculation!$F$79</definedName>
    <definedName name="Yearly_Degradation">Calculation!$H$2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4" i="41" l="1"/>
  <c r="I64" i="41" s="1"/>
  <c r="F38" i="41"/>
  <c r="C23" i="41"/>
  <c r="E54" i="41"/>
  <c r="C22" i="46" s="1"/>
  <c r="C48" i="41"/>
  <c r="C51" i="41" s="1"/>
  <c r="D54" i="41" s="1"/>
  <c r="G91" i="46"/>
  <c r="C37" i="7"/>
  <c r="C7" i="7"/>
  <c r="C6" i="7"/>
  <c r="C5" i="7"/>
  <c r="B30" i="41" s="1"/>
  <c r="C17" i="7"/>
  <c r="C8" i="7"/>
  <c r="G103" i="46"/>
  <c r="G102" i="46"/>
  <c r="G101" i="46"/>
  <c r="G93" i="46"/>
  <c r="G90" i="46"/>
  <c r="G80" i="46"/>
  <c r="G67" i="46"/>
  <c r="G65" i="46"/>
  <c r="G52" i="46"/>
  <c r="G31" i="46"/>
  <c r="G30" i="46"/>
  <c r="G23" i="46"/>
  <c r="E30" i="41"/>
  <c r="C38" i="41"/>
  <c r="C41" i="41" s="1"/>
  <c r="C11" i="41"/>
  <c r="B14" i="41"/>
  <c r="B8" i="41"/>
  <c r="F30" i="41" s="1"/>
  <c r="B11" i="41"/>
  <c r="H26" i="41"/>
  <c r="I2" i="41"/>
  <c r="E2" i="41"/>
  <c r="I72" i="41" s="1"/>
  <c r="J72" i="41" s="1"/>
  <c r="K72" i="41" s="1"/>
  <c r="C34" i="7" l="1"/>
  <c r="C24" i="46"/>
  <c r="C35" i="7"/>
  <c r="G24" i="46"/>
  <c r="B2" i="41"/>
  <c r="K64" i="41"/>
  <c r="D38" i="41"/>
  <c r="G30" i="41"/>
  <c r="C68" i="46" s="1"/>
  <c r="G68" i="46" s="1"/>
  <c r="J64" i="41"/>
  <c r="B26" i="41"/>
  <c r="E4" i="41"/>
  <c r="B20" i="41"/>
  <c r="F11" i="41" s="1"/>
  <c r="L64" i="41" l="1"/>
  <c r="M64" i="41" s="1"/>
  <c r="C89" i="46"/>
  <c r="G89" i="46" s="1"/>
  <c r="C72" i="46"/>
  <c r="G72" i="46" s="1"/>
  <c r="G22" i="46"/>
  <c r="B23" i="41"/>
  <c r="E23" i="41" s="1"/>
  <c r="F23" i="41" s="1"/>
  <c r="C31" i="7"/>
  <c r="B5" i="41"/>
  <c r="B17" i="41" s="1"/>
  <c r="B169" i="41" s="1"/>
  <c r="C32" i="7"/>
  <c r="B141" i="41" l="1"/>
  <c r="B320" i="41"/>
  <c r="B234" i="41"/>
  <c r="B217" i="41"/>
  <c r="B98" i="41"/>
  <c r="B222" i="41"/>
  <c r="B154" i="41"/>
  <c r="B279" i="41"/>
  <c r="B271" i="41"/>
  <c r="B135" i="41"/>
  <c r="B336" i="41"/>
  <c r="D23" i="41"/>
  <c r="B155" i="41"/>
  <c r="B121" i="41"/>
  <c r="B112" i="41"/>
  <c r="B103" i="41"/>
  <c r="B117" i="41"/>
  <c r="B108" i="41"/>
  <c r="B118" i="41"/>
  <c r="B113" i="41"/>
  <c r="B119" i="41"/>
  <c r="B114" i="41"/>
  <c r="B109" i="41"/>
  <c r="B115" i="41"/>
  <c r="B110" i="41"/>
  <c r="B116" i="41"/>
  <c r="B105" i="41"/>
  <c r="B111" i="41"/>
  <c r="B106" i="41"/>
  <c r="B104" i="41"/>
  <c r="B120" i="41"/>
  <c r="B107" i="41"/>
  <c r="B102" i="41"/>
  <c r="B159" i="41"/>
  <c r="B212" i="41"/>
  <c r="B191" i="41"/>
  <c r="B248" i="41"/>
  <c r="B326" i="41"/>
  <c r="B277" i="41"/>
  <c r="B160" i="41"/>
  <c r="B327" i="41"/>
  <c r="B127" i="41"/>
  <c r="B267" i="41"/>
  <c r="B205" i="41"/>
  <c r="B350" i="41"/>
  <c r="B97" i="41"/>
  <c r="B278" i="41"/>
  <c r="B286" i="41"/>
  <c r="B206" i="41"/>
  <c r="B230" i="41"/>
  <c r="B177" i="41"/>
  <c r="B96" i="41"/>
  <c r="B174" i="41"/>
  <c r="B328" i="41"/>
  <c r="B298" i="41"/>
  <c r="B288" i="41"/>
  <c r="B182" i="41"/>
  <c r="B216" i="41"/>
  <c r="B187" i="41"/>
  <c r="B194" i="41"/>
  <c r="B301" i="41"/>
  <c r="B178" i="41"/>
  <c r="B242" i="41"/>
  <c r="B335" i="41"/>
  <c r="B346" i="41"/>
  <c r="B349" i="41"/>
  <c r="B219" i="41"/>
  <c r="B188" i="41"/>
  <c r="B240" i="41"/>
  <c r="B304" i="41"/>
  <c r="B287" i="41"/>
  <c r="B84" i="41"/>
  <c r="B345" i="41"/>
  <c r="B373" i="41"/>
  <c r="B325" i="41"/>
  <c r="B296" i="41"/>
  <c r="B134" i="41"/>
  <c r="B358" i="41"/>
  <c r="B359" i="41"/>
  <c r="B82" i="41"/>
  <c r="B302" i="41"/>
  <c r="B383" i="41"/>
  <c r="B143" i="41"/>
  <c r="B189" i="41"/>
  <c r="B238" i="41"/>
  <c r="B245" i="41"/>
  <c r="B318" i="41"/>
  <c r="B100" i="41"/>
  <c r="B137" i="41"/>
  <c r="B371" i="41"/>
  <c r="B173" i="41"/>
  <c r="B378" i="41"/>
  <c r="B284" i="41"/>
  <c r="B91" i="41"/>
  <c r="B273" i="41"/>
  <c r="B261" i="41"/>
  <c r="B303" i="41"/>
  <c r="B132" i="41"/>
  <c r="B353" i="41"/>
  <c r="B92" i="41"/>
  <c r="B165" i="41"/>
  <c r="B250" i="41"/>
  <c r="B342" i="41"/>
  <c r="B334" i="41"/>
  <c r="C88" i="46"/>
  <c r="G88" i="46" s="1"/>
  <c r="C36" i="7"/>
  <c r="B351" i="41"/>
  <c r="B124" i="41"/>
  <c r="B136" i="41"/>
  <c r="B167" i="41"/>
  <c r="B268" i="41"/>
  <c r="B197" i="41"/>
  <c r="B377" i="41"/>
  <c r="B333" i="41"/>
  <c r="B255" i="41"/>
  <c r="B275" i="41"/>
  <c r="B272" i="41"/>
  <c r="B94" i="41"/>
  <c r="B163" i="41"/>
  <c r="B269" i="41"/>
  <c r="B274" i="41"/>
  <c r="B253" i="41"/>
  <c r="B170" i="41"/>
  <c r="B307" i="41"/>
  <c r="B209" i="41"/>
  <c r="B260" i="41"/>
  <c r="B246" i="41"/>
  <c r="B225" i="41"/>
  <c r="B360" i="41"/>
  <c r="B295" i="41"/>
  <c r="B382" i="41"/>
  <c r="B341" i="41"/>
  <c r="B270" i="41"/>
  <c r="B239" i="41"/>
  <c r="B171" i="41"/>
  <c r="B229" i="41"/>
  <c r="B247" i="41"/>
  <c r="B95" i="41"/>
  <c r="B300" i="41"/>
  <c r="B343" i="41"/>
  <c r="B322" i="41"/>
  <c r="B87" i="41"/>
  <c r="B354" i="41"/>
  <c r="B381" i="41"/>
  <c r="B294" i="41"/>
  <c r="B313" i="41"/>
  <c r="B366" i="41"/>
  <c r="B332" i="41"/>
  <c r="B291" i="41"/>
  <c r="B285" i="41"/>
  <c r="B361" i="41"/>
  <c r="B379" i="41"/>
  <c r="B314" i="41"/>
  <c r="B161" i="41"/>
  <c r="B308" i="41"/>
  <c r="B372" i="41"/>
  <c r="B338" i="41"/>
  <c r="B151" i="41"/>
  <c r="B376" i="41"/>
  <c r="B355" i="41"/>
  <c r="B185" i="41"/>
  <c r="B263" i="41"/>
  <c r="B158" i="41"/>
  <c r="B179" i="41"/>
  <c r="B384" i="41"/>
  <c r="B331" i="41"/>
  <c r="B214" i="41"/>
  <c r="B123" i="41"/>
  <c r="B168" i="41"/>
  <c r="B142" i="41"/>
  <c r="B175" i="41"/>
  <c r="B85" i="41"/>
  <c r="B316" i="41"/>
  <c r="B317" i="41"/>
  <c r="B321" i="41"/>
  <c r="B323" i="41"/>
  <c r="B99" i="41"/>
  <c r="B324" i="41"/>
  <c r="B83" i="41"/>
  <c r="B198" i="41"/>
  <c r="B144" i="41"/>
  <c r="B164" i="41"/>
  <c r="B281" i="41"/>
  <c r="B232" i="41"/>
  <c r="B305" i="41"/>
  <c r="B251" i="41"/>
  <c r="B223" i="41"/>
  <c r="B339" i="41"/>
  <c r="B258" i="41"/>
  <c r="B139" i="41"/>
  <c r="B243" i="41"/>
  <c r="B227" i="41"/>
  <c r="B166" i="41"/>
  <c r="B190" i="41"/>
  <c r="B256" i="41"/>
  <c r="B129" i="41"/>
  <c r="B145" i="41"/>
  <c r="B90" i="41"/>
  <c r="B249" i="41"/>
  <c r="B226" i="41"/>
  <c r="B257" i="41"/>
  <c r="B131" i="41"/>
  <c r="B262" i="41"/>
  <c r="I67" i="41"/>
  <c r="B259" i="41"/>
  <c r="B207" i="41"/>
  <c r="B370" i="41"/>
  <c r="B385" i="41"/>
  <c r="B172" i="41"/>
  <c r="B374" i="41"/>
  <c r="B149" i="41"/>
  <c r="B352" i="41"/>
  <c r="B363" i="41"/>
  <c r="B282" i="41"/>
  <c r="B254" i="41"/>
  <c r="B86" i="41"/>
  <c r="B266" i="41"/>
  <c r="B276" i="41"/>
  <c r="B140" i="41"/>
  <c r="B153" i="41"/>
  <c r="B290" i="41"/>
  <c r="B162" i="41"/>
  <c r="B203" i="41"/>
  <c r="B348" i="41"/>
  <c r="B264" i="41"/>
  <c r="B236" i="41"/>
  <c r="B199" i="41"/>
  <c r="B211" i="41"/>
  <c r="B133" i="41"/>
  <c r="B88" i="41"/>
  <c r="B365" i="41"/>
  <c r="B293" i="41"/>
  <c r="B310" i="41"/>
  <c r="B193" i="41"/>
  <c r="B152" i="41"/>
  <c r="B176" i="41"/>
  <c r="B196" i="41"/>
  <c r="B244" i="41"/>
  <c r="B368" i="41"/>
  <c r="B213" i="41"/>
  <c r="B241" i="41"/>
  <c r="B147" i="41"/>
  <c r="B200" i="41"/>
  <c r="B220" i="41"/>
  <c r="B138" i="41"/>
  <c r="B150" i="41"/>
  <c r="B319" i="41"/>
  <c r="B299" i="41"/>
  <c r="B208" i="41"/>
  <c r="B202" i="41"/>
  <c r="B215" i="41"/>
  <c r="B312" i="41"/>
  <c r="B369" i="41"/>
  <c r="B364" i="41"/>
  <c r="B357" i="41"/>
  <c r="B126" i="41"/>
  <c r="B252" i="41"/>
  <c r="B181" i="41"/>
  <c r="B297" i="41"/>
  <c r="B309" i="41"/>
  <c r="B201" i="41"/>
  <c r="B235" i="41"/>
  <c r="B204" i="41"/>
  <c r="B128" i="41"/>
  <c r="B375" i="41"/>
  <c r="B311" i="41"/>
  <c r="B315" i="41"/>
  <c r="B101" i="41"/>
  <c r="B280" i="41"/>
  <c r="B356" i="41"/>
  <c r="B224" i="41"/>
  <c r="B192" i="41"/>
  <c r="B210" i="41"/>
  <c r="B186" i="41"/>
  <c r="B180" i="41"/>
  <c r="B146" i="41"/>
  <c r="B183" i="41"/>
  <c r="B157" i="41"/>
  <c r="B329" i="41"/>
  <c r="B156" i="41"/>
  <c r="B265" i="41"/>
  <c r="B195" i="41"/>
  <c r="B340" i="41"/>
  <c r="B292" i="41"/>
  <c r="B89" i="41"/>
  <c r="B344" i="41"/>
  <c r="B130" i="41"/>
  <c r="B237" i="41"/>
  <c r="B231" i="41"/>
  <c r="B233" i="41"/>
  <c r="B362" i="41"/>
  <c r="B330" i="41"/>
  <c r="B122" i="41"/>
  <c r="B347" i="41"/>
  <c r="B283" i="41"/>
  <c r="B221" i="41"/>
  <c r="B337" i="41"/>
  <c r="B218" i="41"/>
  <c r="B380" i="41"/>
  <c r="B289" i="41"/>
  <c r="B367" i="41"/>
  <c r="B148" i="41"/>
  <c r="B93" i="41"/>
  <c r="B306" i="41"/>
  <c r="B125" i="41"/>
  <c r="B184" i="41"/>
  <c r="B228" i="41"/>
  <c r="C26" i="41"/>
  <c r="F26" i="41" s="1"/>
  <c r="I23" i="41"/>
  <c r="C30" i="7" s="1"/>
  <c r="L72" i="41" l="1"/>
  <c r="D26" i="41"/>
  <c r="C231" i="41" s="1"/>
  <c r="C93" i="41" l="1"/>
  <c r="C372" i="41"/>
  <c r="C104" i="41"/>
  <c r="C238" i="41"/>
  <c r="C113" i="41"/>
  <c r="C148" i="41"/>
  <c r="C119" i="41"/>
  <c r="C102" i="41"/>
  <c r="C118" i="41"/>
  <c r="C105" i="41"/>
  <c r="C110" i="41"/>
  <c r="C120" i="41"/>
  <c r="C114" i="41"/>
  <c r="C117" i="41"/>
  <c r="C116" i="41"/>
  <c r="C307" i="41"/>
  <c r="C371" i="41"/>
  <c r="C103" i="41"/>
  <c r="C111" i="41"/>
  <c r="C109" i="41"/>
  <c r="C107" i="41"/>
  <c r="C201" i="41"/>
  <c r="C108" i="41"/>
  <c r="C129" i="41"/>
  <c r="C115" i="41"/>
  <c r="C121" i="41"/>
  <c r="C112" i="41"/>
  <c r="C106" i="41"/>
  <c r="C162" i="41"/>
  <c r="C365" i="41"/>
  <c r="C299" i="41"/>
  <c r="C250" i="41"/>
  <c r="C226" i="41"/>
  <c r="C380" i="41"/>
  <c r="C87" i="41"/>
  <c r="C367" i="41"/>
  <c r="C221" i="41"/>
  <c r="C82" i="41"/>
  <c r="C294" i="41"/>
  <c r="C360" i="41"/>
  <c r="C165" i="41"/>
  <c r="C382" i="41"/>
  <c r="C352" i="41"/>
  <c r="C378" i="41"/>
  <c r="C369" i="41"/>
  <c r="C254" i="41"/>
  <c r="C311" i="41"/>
  <c r="C160" i="41"/>
  <c r="C334" i="41"/>
  <c r="C181" i="41"/>
  <c r="C385" i="41"/>
  <c r="C135" i="41"/>
  <c r="C276" i="41"/>
  <c r="C354" i="41"/>
  <c r="C286" i="41"/>
  <c r="C167" i="41"/>
  <c r="C338" i="41"/>
  <c r="C164" i="41"/>
  <c r="C151" i="41"/>
  <c r="C187" i="41"/>
  <c r="C232" i="41"/>
  <c r="C256" i="41"/>
  <c r="C374" i="41"/>
  <c r="C161" i="41"/>
  <c r="C325" i="41"/>
  <c r="C191" i="41"/>
  <c r="C319" i="41"/>
  <c r="C258" i="41"/>
  <c r="C97" i="41"/>
  <c r="C282" i="41"/>
  <c r="C290" i="41"/>
  <c r="C306" i="41"/>
  <c r="C137" i="41"/>
  <c r="C355" i="41"/>
  <c r="C188" i="41"/>
  <c r="C156" i="41"/>
  <c r="C237" i="41"/>
  <c r="C235" i="41"/>
  <c r="C204" i="41"/>
  <c r="C291" i="41"/>
  <c r="C236" i="41"/>
  <c r="C122" i="41"/>
  <c r="C153" i="41"/>
  <c r="C195" i="41"/>
  <c r="C139" i="41"/>
  <c r="C183" i="41"/>
  <c r="C85" i="41"/>
  <c r="C341" i="41"/>
  <c r="C356" i="41"/>
  <c r="C218" i="41"/>
  <c r="C370" i="41"/>
  <c r="C266" i="41"/>
  <c r="C220" i="41"/>
  <c r="C214" i="41"/>
  <c r="C125" i="41"/>
  <c r="C263" i="41"/>
  <c r="C261" i="41"/>
  <c r="C198" i="41"/>
  <c r="C132" i="41"/>
  <c r="C275" i="41"/>
  <c r="C124" i="41"/>
  <c r="C209" i="41"/>
  <c r="C206" i="41"/>
  <c r="C357" i="41"/>
  <c r="C190" i="41"/>
  <c r="C216" i="41"/>
  <c r="C301" i="41"/>
  <c r="C310" i="41"/>
  <c r="C249" i="41"/>
  <c r="C147" i="41"/>
  <c r="C305" i="41"/>
  <c r="C274" i="41"/>
  <c r="C99" i="41"/>
  <c r="C363" i="41"/>
  <c r="C271" i="41"/>
  <c r="C269" i="41"/>
  <c r="C177" i="41"/>
  <c r="C240" i="41"/>
  <c r="C212" i="41"/>
  <c r="C265" i="41"/>
  <c r="C185" i="41"/>
  <c r="C364" i="41"/>
  <c r="C287" i="41"/>
  <c r="C199" i="41"/>
  <c r="C248" i="41"/>
  <c r="C289" i="41"/>
  <c r="C320" i="41"/>
  <c r="C351" i="41"/>
  <c r="C215" i="41"/>
  <c r="C323" i="41"/>
  <c r="C234" i="41"/>
  <c r="C345" i="41"/>
  <c r="C361" i="41"/>
  <c r="C96" i="41"/>
  <c r="C193" i="41"/>
  <c r="C308" i="41"/>
  <c r="C324" i="41"/>
  <c r="C359" i="41"/>
  <c r="C233" i="41"/>
  <c r="C180" i="41"/>
  <c r="C253" i="41"/>
  <c r="C189" i="41"/>
  <c r="C314" i="41"/>
  <c r="C91" i="41"/>
  <c r="C270" i="41"/>
  <c r="C224" i="41"/>
  <c r="C309" i="41"/>
  <c r="C313" i="41"/>
  <c r="C268" i="41"/>
  <c r="C140" i="41"/>
  <c r="C343" i="41"/>
  <c r="C174" i="41"/>
  <c r="C332" i="41"/>
  <c r="C203" i="41"/>
  <c r="C242" i="41"/>
  <c r="C123" i="41"/>
  <c r="C100" i="41"/>
  <c r="C222" i="41"/>
  <c r="C257" i="41"/>
  <c r="C131" i="41"/>
  <c r="C239" i="41"/>
  <c r="C217" i="41"/>
  <c r="C134" i="41"/>
  <c r="C172" i="41"/>
  <c r="C279" i="41"/>
  <c r="C259" i="41"/>
  <c r="C88" i="41"/>
  <c r="C179" i="41"/>
  <c r="C98" i="41"/>
  <c r="C373" i="41"/>
  <c r="C336" i="41"/>
  <c r="C150" i="41"/>
  <c r="C339" i="41"/>
  <c r="C200" i="41"/>
  <c r="C83" i="41"/>
  <c r="C143" i="41"/>
  <c r="C342" i="41"/>
  <c r="C368" i="41"/>
  <c r="C197" i="41"/>
  <c r="C315" i="41"/>
  <c r="C149" i="41"/>
  <c r="C152" i="41"/>
  <c r="C381" i="41"/>
  <c r="C94" i="41"/>
  <c r="C92" i="41"/>
  <c r="C207" i="41"/>
  <c r="C272" i="41"/>
  <c r="C293" i="41"/>
  <c r="C138" i="41"/>
  <c r="C327" i="41"/>
  <c r="C335" i="41"/>
  <c r="C252" i="41"/>
  <c r="C300" i="41"/>
  <c r="C146" i="41"/>
  <c r="C178" i="41"/>
  <c r="C101" i="41"/>
  <c r="C377" i="41"/>
  <c r="C136" i="41"/>
  <c r="C182" i="41"/>
  <c r="C170" i="41"/>
  <c r="C90" i="41"/>
  <c r="C285" i="41"/>
  <c r="C247" i="41"/>
  <c r="C326" i="41"/>
  <c r="C331" i="41"/>
  <c r="C154" i="41"/>
  <c r="C273" i="41"/>
  <c r="C298" i="41"/>
  <c r="C241" i="41"/>
  <c r="C348" i="41"/>
  <c r="C379" i="41"/>
  <c r="C251" i="41"/>
  <c r="C175" i="41"/>
  <c r="C223" i="41"/>
  <c r="C184" i="41"/>
  <c r="C158" i="41"/>
  <c r="C353" i="41"/>
  <c r="C246" i="41"/>
  <c r="C321" i="41"/>
  <c r="C176" i="41"/>
  <c r="C166" i="41"/>
  <c r="C278" i="41"/>
  <c r="C168" i="41"/>
  <c r="C284" i="41"/>
  <c r="C277" i="41"/>
  <c r="C349" i="41"/>
  <c r="C344" i="41"/>
  <c r="C303" i="41"/>
  <c r="C264" i="41"/>
  <c r="C366" i="41"/>
  <c r="C288" i="41"/>
  <c r="C280" i="41"/>
  <c r="C318" i="41"/>
  <c r="C267" i="41"/>
  <c r="C312" i="41"/>
  <c r="C202" i="41"/>
  <c r="C329" i="41"/>
  <c r="C141" i="41"/>
  <c r="C333" i="41"/>
  <c r="C211" i="41"/>
  <c r="C262" i="41"/>
  <c r="C145" i="41"/>
  <c r="C169" i="41"/>
  <c r="C317" i="41"/>
  <c r="C126" i="41"/>
  <c r="C260" i="41"/>
  <c r="C130" i="41"/>
  <c r="C225" i="41"/>
  <c r="C316" i="41"/>
  <c r="C350" i="41"/>
  <c r="C128" i="41"/>
  <c r="C127" i="41"/>
  <c r="C219" i="41"/>
  <c r="C230" i="41"/>
  <c r="C295" i="41"/>
  <c r="C283" i="41"/>
  <c r="C155" i="41"/>
  <c r="C163" i="41"/>
  <c r="C144" i="41"/>
  <c r="C244" i="41"/>
  <c r="C328" i="41"/>
  <c r="C255" i="41"/>
  <c r="C304" i="41"/>
  <c r="C376" i="41"/>
  <c r="C173" i="41"/>
  <c r="C281" i="41"/>
  <c r="C296" i="41"/>
  <c r="C84" i="41"/>
  <c r="C346" i="41"/>
  <c r="C347" i="41"/>
  <c r="C228" i="41"/>
  <c r="D82" i="41"/>
  <c r="E82" i="41" s="1"/>
  <c r="F82" i="41" s="1"/>
  <c r="C358" i="41"/>
  <c r="C159" i="41"/>
  <c r="C383" i="41"/>
  <c r="C142" i="41"/>
  <c r="C302" i="41"/>
  <c r="C208" i="41"/>
  <c r="C243" i="41"/>
  <c r="C192" i="41"/>
  <c r="C210" i="41"/>
  <c r="C186" i="41"/>
  <c r="C330" i="41"/>
  <c r="C171" i="41"/>
  <c r="C194" i="41"/>
  <c r="C95" i="41"/>
  <c r="C86" i="41"/>
  <c r="C384" i="41"/>
  <c r="C245" i="41"/>
  <c r="C133" i="41"/>
  <c r="C196" i="41"/>
  <c r="C157" i="41"/>
  <c r="C89" i="41"/>
  <c r="C337" i="41"/>
  <c r="C229" i="41"/>
  <c r="C375" i="41"/>
  <c r="C322" i="41"/>
  <c r="C205" i="41"/>
  <c r="C297" i="41"/>
  <c r="C213" i="41"/>
  <c r="C227" i="41"/>
  <c r="C340" i="41"/>
  <c r="C292" i="41"/>
  <c r="C362" i="41"/>
  <c r="G82" i="41" l="1"/>
  <c r="H82" i="41" s="1"/>
  <c r="I82" i="41" s="1"/>
  <c r="J82" i="41" s="1"/>
  <c r="D92" i="41"/>
  <c r="E92" i="41" s="1"/>
  <c r="F92" i="41" s="1"/>
  <c r="D108" i="41"/>
  <c r="E108" i="41" s="1"/>
  <c r="F108" i="41" s="1"/>
  <c r="G108" i="41" s="1"/>
  <c r="H108" i="41" s="1"/>
  <c r="I108" i="41" s="1"/>
  <c r="D105" i="41"/>
  <c r="E105" i="41" s="1"/>
  <c r="F105" i="41" s="1"/>
  <c r="G105" i="41" s="1"/>
  <c r="H105" i="41" s="1"/>
  <c r="I105" i="41" s="1"/>
  <c r="D117" i="41"/>
  <c r="E117" i="41" s="1"/>
  <c r="F117" i="41" s="1"/>
  <c r="G117" i="41" s="1"/>
  <c r="H117" i="41" s="1"/>
  <c r="I117" i="41" s="1"/>
  <c r="D112" i="41"/>
  <c r="E112" i="41" s="1"/>
  <c r="F112" i="41" s="1"/>
  <c r="G112" i="41" s="1"/>
  <c r="H112" i="41" s="1"/>
  <c r="I112" i="41" s="1"/>
  <c r="D119" i="41"/>
  <c r="E119" i="41" s="1"/>
  <c r="F119" i="41" s="1"/>
  <c r="G119" i="41" s="1"/>
  <c r="H119" i="41" s="1"/>
  <c r="I119" i="41" s="1"/>
  <c r="D120" i="41"/>
  <c r="E120" i="41" s="1"/>
  <c r="F120" i="41" s="1"/>
  <c r="G120" i="41" s="1"/>
  <c r="H120" i="41" s="1"/>
  <c r="I120" i="41" s="1"/>
  <c r="D114" i="41"/>
  <c r="E114" i="41" s="1"/>
  <c r="F114" i="41" s="1"/>
  <c r="G114" i="41" s="1"/>
  <c r="H114" i="41" s="1"/>
  <c r="I114" i="41" s="1"/>
  <c r="D121" i="41"/>
  <c r="E121" i="41" s="1"/>
  <c r="F121" i="41" s="1"/>
  <c r="G121" i="41" s="1"/>
  <c r="H121" i="41" s="1"/>
  <c r="I121" i="41" s="1"/>
  <c r="D102" i="41"/>
  <c r="E102" i="41" s="1"/>
  <c r="F102" i="41" s="1"/>
  <c r="G102" i="41" s="1"/>
  <c r="H102" i="41" s="1"/>
  <c r="I102" i="41" s="1"/>
  <c r="D116" i="41"/>
  <c r="E116" i="41" s="1"/>
  <c r="F116" i="41" s="1"/>
  <c r="G116" i="41" s="1"/>
  <c r="H116" i="41" s="1"/>
  <c r="I116" i="41" s="1"/>
  <c r="D111" i="41"/>
  <c r="E111" i="41" s="1"/>
  <c r="F111" i="41" s="1"/>
  <c r="G111" i="41" s="1"/>
  <c r="H111" i="41" s="1"/>
  <c r="I111" i="41" s="1"/>
  <c r="D104" i="41"/>
  <c r="E104" i="41" s="1"/>
  <c r="F104" i="41" s="1"/>
  <c r="G104" i="41" s="1"/>
  <c r="H104" i="41" s="1"/>
  <c r="I104" i="41" s="1"/>
  <c r="D118" i="41"/>
  <c r="E118" i="41" s="1"/>
  <c r="F118" i="41" s="1"/>
  <c r="G118" i="41" s="1"/>
  <c r="H118" i="41" s="1"/>
  <c r="I118" i="41" s="1"/>
  <c r="D113" i="41"/>
  <c r="E113" i="41" s="1"/>
  <c r="F113" i="41" s="1"/>
  <c r="G113" i="41" s="1"/>
  <c r="H113" i="41" s="1"/>
  <c r="I113" i="41" s="1"/>
  <c r="D106" i="41"/>
  <c r="E106" i="41" s="1"/>
  <c r="F106" i="41" s="1"/>
  <c r="G106" i="41" s="1"/>
  <c r="H106" i="41" s="1"/>
  <c r="I106" i="41" s="1"/>
  <c r="D103" i="41"/>
  <c r="E103" i="41" s="1"/>
  <c r="F103" i="41" s="1"/>
  <c r="G103" i="41" s="1"/>
  <c r="H103" i="41" s="1"/>
  <c r="I103" i="41" s="1"/>
  <c r="D115" i="41"/>
  <c r="E115" i="41" s="1"/>
  <c r="F115" i="41" s="1"/>
  <c r="G115" i="41" s="1"/>
  <c r="H115" i="41" s="1"/>
  <c r="I115" i="41" s="1"/>
  <c r="D110" i="41"/>
  <c r="E110" i="41" s="1"/>
  <c r="F110" i="41" s="1"/>
  <c r="G110" i="41" s="1"/>
  <c r="H110" i="41" s="1"/>
  <c r="I110" i="41" s="1"/>
  <c r="D107" i="41"/>
  <c r="E107" i="41" s="1"/>
  <c r="F107" i="41" s="1"/>
  <c r="G107" i="41" s="1"/>
  <c r="H107" i="41" s="1"/>
  <c r="I107" i="41" s="1"/>
  <c r="D109" i="41"/>
  <c r="E109" i="41" s="1"/>
  <c r="F109" i="41" s="1"/>
  <c r="G109" i="41" s="1"/>
  <c r="H109" i="41" s="1"/>
  <c r="I109" i="41" s="1"/>
  <c r="D179" i="41"/>
  <c r="E179" i="41" s="1"/>
  <c r="F179" i="41" s="1"/>
  <c r="G179" i="41" s="1"/>
  <c r="H179" i="41" s="1"/>
  <c r="I179" i="41" s="1"/>
  <c r="D340" i="41"/>
  <c r="E340" i="41" s="1"/>
  <c r="F340" i="41" s="1"/>
  <c r="G340" i="41" s="1"/>
  <c r="H340" i="41" s="1"/>
  <c r="I340" i="41" s="1"/>
  <c r="D242" i="41"/>
  <c r="E242" i="41" s="1"/>
  <c r="F242" i="41" s="1"/>
  <c r="G242" i="41" s="1"/>
  <c r="H242" i="41" s="1"/>
  <c r="I242" i="41" s="1"/>
  <c r="D156" i="41"/>
  <c r="E156" i="41" s="1"/>
  <c r="F156" i="41" s="1"/>
  <c r="G156" i="41" s="1"/>
  <c r="H156" i="41" s="1"/>
  <c r="I156" i="41" s="1"/>
  <c r="D97" i="41"/>
  <c r="E97" i="41" s="1"/>
  <c r="F97" i="41" s="1"/>
  <c r="D84" i="41"/>
  <c r="E84" i="41" s="1"/>
  <c r="F84" i="41" s="1"/>
  <c r="D284" i="41"/>
  <c r="E284" i="41" s="1"/>
  <c r="F284" i="41" s="1"/>
  <c r="G284" i="41" s="1"/>
  <c r="H284" i="41" s="1"/>
  <c r="I284" i="41" s="1"/>
  <c r="D83" i="41"/>
  <c r="E83" i="41" s="1"/>
  <c r="D160" i="41"/>
  <c r="E160" i="41" s="1"/>
  <c r="F160" i="41" s="1"/>
  <c r="G160" i="41" s="1"/>
  <c r="H160" i="41" s="1"/>
  <c r="I160" i="41" s="1"/>
  <c r="D227" i="41"/>
  <c r="E227" i="41" s="1"/>
  <c r="F227" i="41" s="1"/>
  <c r="G227" i="41" s="1"/>
  <c r="H227" i="41" s="1"/>
  <c r="I227" i="41" s="1"/>
  <c r="D126" i="41"/>
  <c r="E126" i="41" s="1"/>
  <c r="F126" i="41" s="1"/>
  <c r="G126" i="41" s="1"/>
  <c r="H126" i="41" s="1"/>
  <c r="I126" i="41" s="1"/>
  <c r="D292" i="41"/>
  <c r="E292" i="41" s="1"/>
  <c r="F292" i="41" s="1"/>
  <c r="G292" i="41" s="1"/>
  <c r="H292" i="41" s="1"/>
  <c r="I292" i="41" s="1"/>
  <c r="D85" i="41"/>
  <c r="E85" i="41" s="1"/>
  <c r="F85" i="41" s="1"/>
  <c r="D192" i="41"/>
  <c r="E192" i="41" s="1"/>
  <c r="F192" i="41" s="1"/>
  <c r="G192" i="41" s="1"/>
  <c r="H192" i="41" s="1"/>
  <c r="I192" i="41" s="1"/>
  <c r="D143" i="41"/>
  <c r="E143" i="41" s="1"/>
  <c r="F143" i="41" s="1"/>
  <c r="G143" i="41" s="1"/>
  <c r="H143" i="41" s="1"/>
  <c r="I143" i="41" s="1"/>
  <c r="D185" i="41"/>
  <c r="E185" i="41" s="1"/>
  <c r="F185" i="41" s="1"/>
  <c r="G185" i="41" s="1"/>
  <c r="H185" i="41" s="1"/>
  <c r="I185" i="41" s="1"/>
  <c r="D327" i="41"/>
  <c r="E327" i="41" s="1"/>
  <c r="F327" i="41" s="1"/>
  <c r="G327" i="41" s="1"/>
  <c r="H327" i="41" s="1"/>
  <c r="I327" i="41" s="1"/>
  <c r="D96" i="41"/>
  <c r="E96" i="41" s="1"/>
  <c r="F96" i="41" s="1"/>
  <c r="D147" i="41"/>
  <c r="E147" i="41" s="1"/>
  <c r="F147" i="41" s="1"/>
  <c r="G147" i="41" s="1"/>
  <c r="H147" i="41" s="1"/>
  <c r="I147" i="41" s="1"/>
  <c r="D145" i="41"/>
  <c r="E145" i="41" s="1"/>
  <c r="F145" i="41" s="1"/>
  <c r="G145" i="41" s="1"/>
  <c r="H145" i="41" s="1"/>
  <c r="I145" i="41" s="1"/>
  <c r="D176" i="41"/>
  <c r="E176" i="41" s="1"/>
  <c r="F176" i="41" s="1"/>
  <c r="G176" i="41" s="1"/>
  <c r="H176" i="41" s="1"/>
  <c r="I176" i="41" s="1"/>
  <c r="D241" i="41"/>
  <c r="E241" i="41" s="1"/>
  <c r="F241" i="41" s="1"/>
  <c r="G241" i="41" s="1"/>
  <c r="H241" i="41" s="1"/>
  <c r="I241" i="41" s="1"/>
  <c r="D203" i="41"/>
  <c r="E203" i="41" s="1"/>
  <c r="F203" i="41" s="1"/>
  <c r="G203" i="41" s="1"/>
  <c r="H203" i="41" s="1"/>
  <c r="I203" i="41" s="1"/>
  <c r="D197" i="41"/>
  <c r="E197" i="41" s="1"/>
  <c r="F197" i="41" s="1"/>
  <c r="G197" i="41" s="1"/>
  <c r="H197" i="41" s="1"/>
  <c r="I197" i="41" s="1"/>
  <c r="D331" i="41"/>
  <c r="E331" i="41" s="1"/>
  <c r="F331" i="41" s="1"/>
  <c r="G331" i="41" s="1"/>
  <c r="H331" i="41" s="1"/>
  <c r="I331" i="41" s="1"/>
  <c r="D383" i="41"/>
  <c r="E383" i="41" s="1"/>
  <c r="F383" i="41" s="1"/>
  <c r="G383" i="41" s="1"/>
  <c r="H383" i="41" s="1"/>
  <c r="I383" i="41" s="1"/>
  <c r="D216" i="41"/>
  <c r="E216" i="41" s="1"/>
  <c r="F216" i="41" s="1"/>
  <c r="G216" i="41" s="1"/>
  <c r="H216" i="41" s="1"/>
  <c r="I216" i="41" s="1"/>
  <c r="D266" i="41"/>
  <c r="E266" i="41" s="1"/>
  <c r="F266" i="41" s="1"/>
  <c r="G266" i="41" s="1"/>
  <c r="H266" i="41" s="1"/>
  <c r="I266" i="41" s="1"/>
  <c r="D194" i="41"/>
  <c r="E194" i="41" s="1"/>
  <c r="F194" i="41" s="1"/>
  <c r="G194" i="41" s="1"/>
  <c r="H194" i="41" s="1"/>
  <c r="I194" i="41" s="1"/>
  <c r="D234" i="41"/>
  <c r="E234" i="41" s="1"/>
  <c r="F234" i="41" s="1"/>
  <c r="G234" i="41" s="1"/>
  <c r="H234" i="41" s="1"/>
  <c r="I234" i="41" s="1"/>
  <c r="D300" i="41"/>
  <c r="E300" i="41" s="1"/>
  <c r="F300" i="41" s="1"/>
  <c r="G300" i="41" s="1"/>
  <c r="H300" i="41" s="1"/>
  <c r="I300" i="41" s="1"/>
  <c r="D165" i="41"/>
  <c r="E165" i="41" s="1"/>
  <c r="F165" i="41" s="1"/>
  <c r="G165" i="41" s="1"/>
  <c r="H165" i="41" s="1"/>
  <c r="I165" i="41" s="1"/>
  <c r="D363" i="41"/>
  <c r="E363" i="41" s="1"/>
  <c r="F363" i="41" s="1"/>
  <c r="G363" i="41" s="1"/>
  <c r="H363" i="41" s="1"/>
  <c r="I363" i="41" s="1"/>
  <c r="D370" i="41"/>
  <c r="E370" i="41" s="1"/>
  <c r="F370" i="41" s="1"/>
  <c r="G370" i="41" s="1"/>
  <c r="H370" i="41" s="1"/>
  <c r="I370" i="41" s="1"/>
  <c r="D201" i="41"/>
  <c r="E201" i="41" s="1"/>
  <c r="F201" i="41" s="1"/>
  <c r="G201" i="41" s="1"/>
  <c r="H201" i="41" s="1"/>
  <c r="I201" i="41" s="1"/>
  <c r="D307" i="41"/>
  <c r="E307" i="41" s="1"/>
  <c r="F307" i="41" s="1"/>
  <c r="G307" i="41" s="1"/>
  <c r="H307" i="41" s="1"/>
  <c r="I307" i="41" s="1"/>
  <c r="D148" i="41"/>
  <c r="E148" i="41" s="1"/>
  <c r="F148" i="41" s="1"/>
  <c r="G148" i="41" s="1"/>
  <c r="H148" i="41" s="1"/>
  <c r="I148" i="41" s="1"/>
  <c r="D140" i="41"/>
  <c r="E140" i="41" s="1"/>
  <c r="F140" i="41" s="1"/>
  <c r="G140" i="41" s="1"/>
  <c r="H140" i="41" s="1"/>
  <c r="I140" i="41" s="1"/>
  <c r="D161" i="41"/>
  <c r="E161" i="41" s="1"/>
  <c r="F161" i="41" s="1"/>
  <c r="G161" i="41" s="1"/>
  <c r="H161" i="41" s="1"/>
  <c r="I161" i="41" s="1"/>
  <c r="D373" i="41"/>
  <c r="E373" i="41" s="1"/>
  <c r="F373" i="41" s="1"/>
  <c r="G373" i="41" s="1"/>
  <c r="H373" i="41" s="1"/>
  <c r="I373" i="41" s="1"/>
  <c r="D231" i="41"/>
  <c r="E231" i="41" s="1"/>
  <c r="F231" i="41" s="1"/>
  <c r="G231" i="41" s="1"/>
  <c r="H231" i="41" s="1"/>
  <c r="I231" i="41" s="1"/>
  <c r="D360" i="41"/>
  <c r="E360" i="41" s="1"/>
  <c r="F360" i="41" s="1"/>
  <c r="G360" i="41" s="1"/>
  <c r="H360" i="41" s="1"/>
  <c r="I360" i="41" s="1"/>
  <c r="D195" i="41"/>
  <c r="E195" i="41" s="1"/>
  <c r="F195" i="41" s="1"/>
  <c r="G195" i="41" s="1"/>
  <c r="H195" i="41" s="1"/>
  <c r="I195" i="41" s="1"/>
  <c r="D206" i="41"/>
  <c r="E206" i="41" s="1"/>
  <c r="F206" i="41" s="1"/>
  <c r="G206" i="41" s="1"/>
  <c r="H206" i="41" s="1"/>
  <c r="I206" i="41" s="1"/>
  <c r="D89" i="41"/>
  <c r="E89" i="41" s="1"/>
  <c r="F89" i="41" s="1"/>
  <c r="D136" i="41"/>
  <c r="E136" i="41" s="1"/>
  <c r="F136" i="41" s="1"/>
  <c r="G136" i="41" s="1"/>
  <c r="H136" i="41" s="1"/>
  <c r="I136" i="41" s="1"/>
  <c r="D153" i="41"/>
  <c r="E153" i="41" s="1"/>
  <c r="F153" i="41" s="1"/>
  <c r="G153" i="41" s="1"/>
  <c r="H153" i="41" s="1"/>
  <c r="I153" i="41" s="1"/>
  <c r="D91" i="41"/>
  <c r="E91" i="41" s="1"/>
  <c r="F91" i="41" s="1"/>
  <c r="D128" i="41"/>
  <c r="E128" i="41" s="1"/>
  <c r="F128" i="41" s="1"/>
  <c r="G128" i="41" s="1"/>
  <c r="H128" i="41" s="1"/>
  <c r="I128" i="41" s="1"/>
  <c r="D88" i="41"/>
  <c r="E88" i="41" s="1"/>
  <c r="F88" i="41" s="1"/>
  <c r="D285" i="41"/>
  <c r="E285" i="41" s="1"/>
  <c r="F285" i="41" s="1"/>
  <c r="G285" i="41" s="1"/>
  <c r="H285" i="41" s="1"/>
  <c r="I285" i="41" s="1"/>
  <c r="D344" i="41"/>
  <c r="E344" i="41" s="1"/>
  <c r="F344" i="41" s="1"/>
  <c r="G344" i="41" s="1"/>
  <c r="H344" i="41" s="1"/>
  <c r="I344" i="41" s="1"/>
  <c r="D178" i="41"/>
  <c r="E178" i="41" s="1"/>
  <c r="F178" i="41" s="1"/>
  <c r="G178" i="41" s="1"/>
  <c r="H178" i="41" s="1"/>
  <c r="I178" i="41" s="1"/>
  <c r="D326" i="41"/>
  <c r="E326" i="41" s="1"/>
  <c r="F326" i="41" s="1"/>
  <c r="G326" i="41" s="1"/>
  <c r="H326" i="41" s="1"/>
  <c r="I326" i="41" s="1"/>
  <c r="D270" i="41"/>
  <c r="E270" i="41" s="1"/>
  <c r="F270" i="41" s="1"/>
  <c r="G270" i="41" s="1"/>
  <c r="H270" i="41" s="1"/>
  <c r="I270" i="41" s="1"/>
  <c r="D169" i="41"/>
  <c r="E169" i="41" s="1"/>
  <c r="F169" i="41" s="1"/>
  <c r="G169" i="41" s="1"/>
  <c r="H169" i="41" s="1"/>
  <c r="I169" i="41" s="1"/>
  <c r="D320" i="41"/>
  <c r="E320" i="41" s="1"/>
  <c r="F320" i="41" s="1"/>
  <c r="G320" i="41" s="1"/>
  <c r="H320" i="41" s="1"/>
  <c r="I320" i="41" s="1"/>
  <c r="D339" i="41"/>
  <c r="E339" i="41" s="1"/>
  <c r="F339" i="41" s="1"/>
  <c r="G339" i="41" s="1"/>
  <c r="H339" i="41" s="1"/>
  <c r="I339" i="41" s="1"/>
  <c r="D200" i="41"/>
  <c r="E200" i="41" s="1"/>
  <c r="F200" i="41" s="1"/>
  <c r="G200" i="41" s="1"/>
  <c r="H200" i="41" s="1"/>
  <c r="I200" i="41" s="1"/>
  <c r="D332" i="41"/>
  <c r="E332" i="41" s="1"/>
  <c r="F332" i="41" s="1"/>
  <c r="G332" i="41" s="1"/>
  <c r="H332" i="41" s="1"/>
  <c r="I332" i="41" s="1"/>
  <c r="D184" i="41"/>
  <c r="E184" i="41" s="1"/>
  <c r="F184" i="41" s="1"/>
  <c r="G184" i="41" s="1"/>
  <c r="H184" i="41" s="1"/>
  <c r="I184" i="41" s="1"/>
  <c r="D371" i="41"/>
  <c r="E371" i="41" s="1"/>
  <c r="F371" i="41" s="1"/>
  <c r="G371" i="41" s="1"/>
  <c r="H371" i="41" s="1"/>
  <c r="I371" i="41" s="1"/>
  <c r="D177" i="41"/>
  <c r="E177" i="41" s="1"/>
  <c r="F177" i="41" s="1"/>
  <c r="G177" i="41" s="1"/>
  <c r="H177" i="41" s="1"/>
  <c r="I177" i="41" s="1"/>
  <c r="D243" i="41"/>
  <c r="E243" i="41" s="1"/>
  <c r="F243" i="41" s="1"/>
  <c r="G243" i="41" s="1"/>
  <c r="H243" i="41" s="1"/>
  <c r="I243" i="41" s="1"/>
  <c r="D131" i="41"/>
  <c r="E131" i="41" s="1"/>
  <c r="F131" i="41" s="1"/>
  <c r="G131" i="41" s="1"/>
  <c r="H131" i="41" s="1"/>
  <c r="I131" i="41" s="1"/>
  <c r="D152" i="41"/>
  <c r="E152" i="41" s="1"/>
  <c r="F152" i="41" s="1"/>
  <c r="G152" i="41" s="1"/>
  <c r="H152" i="41" s="1"/>
  <c r="I152" i="41" s="1"/>
  <c r="D286" i="41"/>
  <c r="E286" i="41" s="1"/>
  <c r="F286" i="41" s="1"/>
  <c r="G286" i="41" s="1"/>
  <c r="H286" i="41" s="1"/>
  <c r="I286" i="41" s="1"/>
  <c r="D297" i="41"/>
  <c r="E297" i="41" s="1"/>
  <c r="F297" i="41" s="1"/>
  <c r="G297" i="41" s="1"/>
  <c r="H297" i="41" s="1"/>
  <c r="I297" i="41" s="1"/>
  <c r="D354" i="41"/>
  <c r="E354" i="41" s="1"/>
  <c r="F354" i="41" s="1"/>
  <c r="G354" i="41" s="1"/>
  <c r="H354" i="41" s="1"/>
  <c r="I354" i="41" s="1"/>
  <c r="D138" i="41"/>
  <c r="E138" i="41" s="1"/>
  <c r="F138" i="41" s="1"/>
  <c r="G138" i="41" s="1"/>
  <c r="H138" i="41" s="1"/>
  <c r="I138" i="41" s="1"/>
  <c r="D123" i="41"/>
  <c r="E123" i="41" s="1"/>
  <c r="F123" i="41" s="1"/>
  <c r="G123" i="41" s="1"/>
  <c r="H123" i="41" s="1"/>
  <c r="I123" i="41" s="1"/>
  <c r="D181" i="41"/>
  <c r="E181" i="41" s="1"/>
  <c r="F181" i="41" s="1"/>
  <c r="G181" i="41" s="1"/>
  <c r="H181" i="41" s="1"/>
  <c r="I181" i="41" s="1"/>
  <c r="D93" i="41"/>
  <c r="E93" i="41" s="1"/>
  <c r="F93" i="41" s="1"/>
  <c r="D381" i="41"/>
  <c r="E381" i="41" s="1"/>
  <c r="F381" i="41" s="1"/>
  <c r="G381" i="41" s="1"/>
  <c r="H381" i="41" s="1"/>
  <c r="I381" i="41" s="1"/>
  <c r="D376" i="41"/>
  <c r="E376" i="41" s="1"/>
  <c r="F376" i="41" s="1"/>
  <c r="G376" i="41" s="1"/>
  <c r="H376" i="41" s="1"/>
  <c r="I376" i="41" s="1"/>
  <c r="D204" i="41"/>
  <c r="E204" i="41" s="1"/>
  <c r="F204" i="41" s="1"/>
  <c r="G204" i="41" s="1"/>
  <c r="H204" i="41" s="1"/>
  <c r="I204" i="41" s="1"/>
  <c r="D369" i="41"/>
  <c r="E369" i="41" s="1"/>
  <c r="F369" i="41" s="1"/>
  <c r="G369" i="41" s="1"/>
  <c r="H369" i="41" s="1"/>
  <c r="I369" i="41" s="1"/>
  <c r="D311" i="41"/>
  <c r="E311" i="41" s="1"/>
  <c r="F311" i="41" s="1"/>
  <c r="G311" i="41" s="1"/>
  <c r="H311" i="41" s="1"/>
  <c r="I311" i="41" s="1"/>
  <c r="D250" i="41"/>
  <c r="E250" i="41" s="1"/>
  <c r="F250" i="41" s="1"/>
  <c r="G250" i="41" s="1"/>
  <c r="H250" i="41" s="1"/>
  <c r="I250" i="41" s="1"/>
  <c r="D308" i="41"/>
  <c r="E308" i="41" s="1"/>
  <c r="F308" i="41" s="1"/>
  <c r="G308" i="41" s="1"/>
  <c r="H308" i="41" s="1"/>
  <c r="I308" i="41" s="1"/>
  <c r="D252" i="41"/>
  <c r="E252" i="41" s="1"/>
  <c r="F252" i="41" s="1"/>
  <c r="G252" i="41" s="1"/>
  <c r="H252" i="41" s="1"/>
  <c r="I252" i="41" s="1"/>
  <c r="D248" i="41"/>
  <c r="E248" i="41" s="1"/>
  <c r="F248" i="41" s="1"/>
  <c r="G248" i="41" s="1"/>
  <c r="H248" i="41" s="1"/>
  <c r="I248" i="41" s="1"/>
  <c r="D257" i="41"/>
  <c r="E257" i="41" s="1"/>
  <c r="F257" i="41" s="1"/>
  <c r="G257" i="41" s="1"/>
  <c r="H257" i="41" s="1"/>
  <c r="I257" i="41" s="1"/>
  <c r="D293" i="41"/>
  <c r="E293" i="41" s="1"/>
  <c r="F293" i="41" s="1"/>
  <c r="G293" i="41" s="1"/>
  <c r="H293" i="41" s="1"/>
  <c r="I293" i="41" s="1"/>
  <c r="D281" i="41"/>
  <c r="E281" i="41" s="1"/>
  <c r="F281" i="41" s="1"/>
  <c r="G281" i="41" s="1"/>
  <c r="H281" i="41" s="1"/>
  <c r="I281" i="41" s="1"/>
  <c r="D342" i="41"/>
  <c r="E342" i="41" s="1"/>
  <c r="F342" i="41" s="1"/>
  <c r="G342" i="41" s="1"/>
  <c r="H342" i="41" s="1"/>
  <c r="I342" i="41" s="1"/>
  <c r="D137" i="41"/>
  <c r="E137" i="41" s="1"/>
  <c r="F137" i="41" s="1"/>
  <c r="G137" i="41" s="1"/>
  <c r="H137" i="41" s="1"/>
  <c r="I137" i="41" s="1"/>
  <c r="D273" i="41"/>
  <c r="E273" i="41" s="1"/>
  <c r="F273" i="41" s="1"/>
  <c r="G273" i="41" s="1"/>
  <c r="H273" i="41" s="1"/>
  <c r="I273" i="41" s="1"/>
  <c r="D288" i="41"/>
  <c r="E288" i="41" s="1"/>
  <c r="F288" i="41" s="1"/>
  <c r="G288" i="41" s="1"/>
  <c r="H288" i="41" s="1"/>
  <c r="I288" i="41" s="1"/>
  <c r="D296" i="41"/>
  <c r="E296" i="41" s="1"/>
  <c r="F296" i="41" s="1"/>
  <c r="G296" i="41" s="1"/>
  <c r="H296" i="41" s="1"/>
  <c r="I296" i="41" s="1"/>
  <c r="D358" i="41"/>
  <c r="E358" i="41" s="1"/>
  <c r="F358" i="41" s="1"/>
  <c r="G358" i="41" s="1"/>
  <c r="H358" i="41" s="1"/>
  <c r="I358" i="41" s="1"/>
  <c r="D274" i="41"/>
  <c r="E274" i="41" s="1"/>
  <c r="F274" i="41" s="1"/>
  <c r="G274" i="41" s="1"/>
  <c r="H274" i="41" s="1"/>
  <c r="I274" i="41" s="1"/>
  <c r="D268" i="41"/>
  <c r="E268" i="41" s="1"/>
  <c r="F268" i="41" s="1"/>
  <c r="G268" i="41" s="1"/>
  <c r="H268" i="41" s="1"/>
  <c r="I268" i="41" s="1"/>
  <c r="D222" i="41"/>
  <c r="E222" i="41" s="1"/>
  <c r="F222" i="41" s="1"/>
  <c r="G222" i="41" s="1"/>
  <c r="H222" i="41" s="1"/>
  <c r="I222" i="41" s="1"/>
  <c r="D236" i="41"/>
  <c r="E236" i="41" s="1"/>
  <c r="F236" i="41" s="1"/>
  <c r="G236" i="41" s="1"/>
  <c r="H236" i="41" s="1"/>
  <c r="I236" i="41" s="1"/>
  <c r="D385" i="41"/>
  <c r="E385" i="41" s="1"/>
  <c r="F385" i="41" s="1"/>
  <c r="G385" i="41" s="1"/>
  <c r="H385" i="41" s="1"/>
  <c r="I385" i="41" s="1"/>
  <c r="D379" i="41"/>
  <c r="E379" i="41" s="1"/>
  <c r="F379" i="41" s="1"/>
  <c r="G379" i="41" s="1"/>
  <c r="H379" i="41" s="1"/>
  <c r="I379" i="41" s="1"/>
  <c r="D225" i="41"/>
  <c r="E225" i="41" s="1"/>
  <c r="F225" i="41" s="1"/>
  <c r="G225" i="41" s="1"/>
  <c r="H225" i="41" s="1"/>
  <c r="I225" i="41" s="1"/>
  <c r="D193" i="41"/>
  <c r="E193" i="41" s="1"/>
  <c r="F193" i="41" s="1"/>
  <c r="G193" i="41" s="1"/>
  <c r="H193" i="41" s="1"/>
  <c r="I193" i="41" s="1"/>
  <c r="D214" i="41"/>
  <c r="E214" i="41" s="1"/>
  <c r="F214" i="41" s="1"/>
  <c r="G214" i="41" s="1"/>
  <c r="H214" i="41" s="1"/>
  <c r="I214" i="41" s="1"/>
  <c r="D275" i="41"/>
  <c r="E275" i="41" s="1"/>
  <c r="F275" i="41" s="1"/>
  <c r="G275" i="41" s="1"/>
  <c r="H275" i="41" s="1"/>
  <c r="I275" i="41" s="1"/>
  <c r="D215" i="41"/>
  <c r="E215" i="41" s="1"/>
  <c r="F215" i="41" s="1"/>
  <c r="G215" i="41" s="1"/>
  <c r="H215" i="41" s="1"/>
  <c r="I215" i="41" s="1"/>
  <c r="D345" i="41"/>
  <c r="E345" i="41" s="1"/>
  <c r="F345" i="41" s="1"/>
  <c r="G345" i="41" s="1"/>
  <c r="H345" i="41" s="1"/>
  <c r="I345" i="41" s="1"/>
  <c r="D271" i="41"/>
  <c r="E271" i="41" s="1"/>
  <c r="F271" i="41" s="1"/>
  <c r="G271" i="41" s="1"/>
  <c r="H271" i="41" s="1"/>
  <c r="I271" i="41" s="1"/>
  <c r="D325" i="41"/>
  <c r="E325" i="41" s="1"/>
  <c r="F325" i="41" s="1"/>
  <c r="G325" i="41" s="1"/>
  <c r="H325" i="41" s="1"/>
  <c r="I325" i="41" s="1"/>
  <c r="D157" i="41"/>
  <c r="E157" i="41" s="1"/>
  <c r="F157" i="41" s="1"/>
  <c r="G157" i="41" s="1"/>
  <c r="H157" i="41" s="1"/>
  <c r="I157" i="41" s="1"/>
  <c r="D372" i="41"/>
  <c r="E372" i="41" s="1"/>
  <c r="F372" i="41" s="1"/>
  <c r="G372" i="41" s="1"/>
  <c r="H372" i="41" s="1"/>
  <c r="I372" i="41" s="1"/>
  <c r="D295" i="41"/>
  <c r="E295" i="41" s="1"/>
  <c r="F295" i="41" s="1"/>
  <c r="G295" i="41" s="1"/>
  <c r="H295" i="41" s="1"/>
  <c r="I295" i="41" s="1"/>
  <c r="D235" i="41"/>
  <c r="E235" i="41" s="1"/>
  <c r="F235" i="41" s="1"/>
  <c r="G235" i="41" s="1"/>
  <c r="H235" i="41" s="1"/>
  <c r="I235" i="41" s="1"/>
  <c r="D254" i="41"/>
  <c r="E254" i="41" s="1"/>
  <c r="F254" i="41" s="1"/>
  <c r="G254" i="41" s="1"/>
  <c r="H254" i="41" s="1"/>
  <c r="I254" i="41" s="1"/>
  <c r="D318" i="41"/>
  <c r="E318" i="41" s="1"/>
  <c r="F318" i="41" s="1"/>
  <c r="G318" i="41" s="1"/>
  <c r="H318" i="41" s="1"/>
  <c r="I318" i="41" s="1"/>
  <c r="D353" i="41"/>
  <c r="E353" i="41" s="1"/>
  <c r="F353" i="41" s="1"/>
  <c r="G353" i="41" s="1"/>
  <c r="H353" i="41" s="1"/>
  <c r="I353" i="41" s="1"/>
  <c r="D367" i="41"/>
  <c r="E367" i="41" s="1"/>
  <c r="F367" i="41" s="1"/>
  <c r="G367" i="41" s="1"/>
  <c r="H367" i="41" s="1"/>
  <c r="I367" i="41" s="1"/>
  <c r="D323" i="41"/>
  <c r="E323" i="41" s="1"/>
  <c r="F323" i="41" s="1"/>
  <c r="G323" i="41" s="1"/>
  <c r="H323" i="41" s="1"/>
  <c r="I323" i="41" s="1"/>
  <c r="D352" i="41"/>
  <c r="E352" i="41" s="1"/>
  <c r="F352" i="41" s="1"/>
  <c r="G352" i="41" s="1"/>
  <c r="H352" i="41" s="1"/>
  <c r="I352" i="41" s="1"/>
  <c r="D343" i="41"/>
  <c r="E343" i="41" s="1"/>
  <c r="F343" i="41" s="1"/>
  <c r="G343" i="41" s="1"/>
  <c r="H343" i="41" s="1"/>
  <c r="I343" i="41" s="1"/>
  <c r="D329" i="41"/>
  <c r="E329" i="41" s="1"/>
  <c r="F329" i="41" s="1"/>
  <c r="G329" i="41" s="1"/>
  <c r="H329" i="41" s="1"/>
  <c r="I329" i="41" s="1"/>
  <c r="D333" i="41"/>
  <c r="E333" i="41" s="1"/>
  <c r="F333" i="41" s="1"/>
  <c r="G333" i="41" s="1"/>
  <c r="H333" i="41" s="1"/>
  <c r="I333" i="41" s="1"/>
  <c r="D384" i="41"/>
  <c r="E384" i="41" s="1"/>
  <c r="F384" i="41" s="1"/>
  <c r="G384" i="41" s="1"/>
  <c r="H384" i="41" s="1"/>
  <c r="I384" i="41" s="1"/>
  <c r="D168" i="41"/>
  <c r="E168" i="41" s="1"/>
  <c r="F168" i="41" s="1"/>
  <c r="G168" i="41" s="1"/>
  <c r="H168" i="41" s="1"/>
  <c r="I168" i="41" s="1"/>
  <c r="D164" i="41"/>
  <c r="E164" i="41" s="1"/>
  <c r="F164" i="41" s="1"/>
  <c r="G164" i="41" s="1"/>
  <c r="H164" i="41" s="1"/>
  <c r="I164" i="41" s="1"/>
  <c r="D366" i="41"/>
  <c r="E366" i="41" s="1"/>
  <c r="F366" i="41" s="1"/>
  <c r="G366" i="41" s="1"/>
  <c r="H366" i="41" s="1"/>
  <c r="I366" i="41" s="1"/>
  <c r="D365" i="41"/>
  <c r="E365" i="41" s="1"/>
  <c r="F365" i="41" s="1"/>
  <c r="G365" i="41" s="1"/>
  <c r="H365" i="41" s="1"/>
  <c r="I365" i="41" s="1"/>
  <c r="D364" i="41"/>
  <c r="E364" i="41" s="1"/>
  <c r="F364" i="41" s="1"/>
  <c r="G364" i="41" s="1"/>
  <c r="H364" i="41" s="1"/>
  <c r="I364" i="41" s="1"/>
  <c r="D144" i="41"/>
  <c r="E144" i="41" s="1"/>
  <c r="F144" i="41" s="1"/>
  <c r="G144" i="41" s="1"/>
  <c r="H144" i="41" s="1"/>
  <c r="I144" i="41" s="1"/>
  <c r="D299" i="41"/>
  <c r="E299" i="41" s="1"/>
  <c r="F299" i="41" s="1"/>
  <c r="G299" i="41" s="1"/>
  <c r="H299" i="41" s="1"/>
  <c r="I299" i="41" s="1"/>
  <c r="D309" i="41"/>
  <c r="E309" i="41" s="1"/>
  <c r="F309" i="41" s="1"/>
  <c r="G309" i="41" s="1"/>
  <c r="H309" i="41" s="1"/>
  <c r="I309" i="41" s="1"/>
  <c r="D229" i="41"/>
  <c r="E229" i="41" s="1"/>
  <c r="F229" i="41" s="1"/>
  <c r="G229" i="41" s="1"/>
  <c r="H229" i="41" s="1"/>
  <c r="I229" i="41" s="1"/>
  <c r="D127" i="41"/>
  <c r="E127" i="41" s="1"/>
  <c r="F127" i="41" s="1"/>
  <c r="G127" i="41" s="1"/>
  <c r="H127" i="41" s="1"/>
  <c r="I127" i="41" s="1"/>
  <c r="D186" i="41"/>
  <c r="E186" i="41" s="1"/>
  <c r="F186" i="41" s="1"/>
  <c r="G186" i="41" s="1"/>
  <c r="H186" i="41" s="1"/>
  <c r="I186" i="41" s="1"/>
  <c r="D255" i="41"/>
  <c r="E255" i="41" s="1"/>
  <c r="F255" i="41" s="1"/>
  <c r="G255" i="41" s="1"/>
  <c r="H255" i="41" s="1"/>
  <c r="I255" i="41" s="1"/>
  <c r="D228" i="41"/>
  <c r="E228" i="41" s="1"/>
  <c r="F228" i="41" s="1"/>
  <c r="G228" i="41" s="1"/>
  <c r="H228" i="41" s="1"/>
  <c r="I228" i="41" s="1"/>
  <c r="D199" i="41"/>
  <c r="E199" i="41" s="1"/>
  <c r="F199" i="41" s="1"/>
  <c r="G199" i="41" s="1"/>
  <c r="H199" i="41" s="1"/>
  <c r="I199" i="41" s="1"/>
  <c r="D237" i="41"/>
  <c r="E237" i="41" s="1"/>
  <c r="F237" i="41" s="1"/>
  <c r="G237" i="41" s="1"/>
  <c r="H237" i="41" s="1"/>
  <c r="I237" i="41" s="1"/>
  <c r="D188" i="41"/>
  <c r="E188" i="41" s="1"/>
  <c r="F188" i="41" s="1"/>
  <c r="G188" i="41" s="1"/>
  <c r="H188" i="41" s="1"/>
  <c r="I188" i="41" s="1"/>
  <c r="D321" i="41"/>
  <c r="E321" i="41" s="1"/>
  <c r="F321" i="41" s="1"/>
  <c r="G321" i="41" s="1"/>
  <c r="H321" i="41" s="1"/>
  <c r="I321" i="41" s="1"/>
  <c r="D196" i="41"/>
  <c r="E196" i="41" s="1"/>
  <c r="F196" i="41" s="1"/>
  <c r="G196" i="41" s="1"/>
  <c r="H196" i="41" s="1"/>
  <c r="I196" i="41" s="1"/>
  <c r="D162" i="41"/>
  <c r="E162" i="41" s="1"/>
  <c r="F162" i="41" s="1"/>
  <c r="G162" i="41" s="1"/>
  <c r="H162" i="41" s="1"/>
  <c r="I162" i="41" s="1"/>
  <c r="D163" i="41"/>
  <c r="E163" i="41" s="1"/>
  <c r="F163" i="41" s="1"/>
  <c r="G163" i="41" s="1"/>
  <c r="H163" i="41" s="1"/>
  <c r="I163" i="41" s="1"/>
  <c r="D209" i="41"/>
  <c r="E209" i="41" s="1"/>
  <c r="F209" i="41" s="1"/>
  <c r="G209" i="41" s="1"/>
  <c r="H209" i="41" s="1"/>
  <c r="I209" i="41" s="1"/>
  <c r="D223" i="41"/>
  <c r="E223" i="41" s="1"/>
  <c r="F223" i="41" s="1"/>
  <c r="G223" i="41" s="1"/>
  <c r="H223" i="41" s="1"/>
  <c r="I223" i="41" s="1"/>
  <c r="D95" i="41"/>
  <c r="E95" i="41" s="1"/>
  <c r="F95" i="41" s="1"/>
  <c r="D280" i="41"/>
  <c r="E280" i="41" s="1"/>
  <c r="F280" i="41" s="1"/>
  <c r="G280" i="41" s="1"/>
  <c r="H280" i="41" s="1"/>
  <c r="I280" i="41" s="1"/>
  <c r="D359" i="41"/>
  <c r="E359" i="41" s="1"/>
  <c r="F359" i="41" s="1"/>
  <c r="G359" i="41" s="1"/>
  <c r="H359" i="41" s="1"/>
  <c r="I359" i="41" s="1"/>
  <c r="D146" i="41"/>
  <c r="E146" i="41" s="1"/>
  <c r="F146" i="41" s="1"/>
  <c r="G146" i="41" s="1"/>
  <c r="H146" i="41" s="1"/>
  <c r="I146" i="41" s="1"/>
  <c r="D125" i="41"/>
  <c r="E125" i="41" s="1"/>
  <c r="F125" i="41" s="1"/>
  <c r="G125" i="41" s="1"/>
  <c r="H125" i="41" s="1"/>
  <c r="I125" i="41" s="1"/>
  <c r="D224" i="41"/>
  <c r="E224" i="41" s="1"/>
  <c r="F224" i="41" s="1"/>
  <c r="G224" i="41" s="1"/>
  <c r="H224" i="41" s="1"/>
  <c r="I224" i="41" s="1"/>
  <c r="D149" i="41"/>
  <c r="E149" i="41" s="1"/>
  <c r="F149" i="41" s="1"/>
  <c r="G149" i="41" s="1"/>
  <c r="H149" i="41" s="1"/>
  <c r="I149" i="41" s="1"/>
  <c r="D256" i="41"/>
  <c r="E256" i="41" s="1"/>
  <c r="F256" i="41" s="1"/>
  <c r="G256" i="41" s="1"/>
  <c r="H256" i="41" s="1"/>
  <c r="I256" i="41" s="1"/>
  <c r="D87" i="41"/>
  <c r="E87" i="41" s="1"/>
  <c r="F87" i="41" s="1"/>
  <c r="D324" i="41"/>
  <c r="E324" i="41" s="1"/>
  <c r="F324" i="41" s="1"/>
  <c r="G324" i="41" s="1"/>
  <c r="H324" i="41" s="1"/>
  <c r="I324" i="41" s="1"/>
  <c r="D244" i="41"/>
  <c r="E244" i="41" s="1"/>
  <c r="F244" i="41" s="1"/>
  <c r="G244" i="41" s="1"/>
  <c r="H244" i="41" s="1"/>
  <c r="I244" i="41" s="1"/>
  <c r="D362" i="41"/>
  <c r="E362" i="41" s="1"/>
  <c r="F362" i="41" s="1"/>
  <c r="G362" i="41" s="1"/>
  <c r="H362" i="41" s="1"/>
  <c r="I362" i="41" s="1"/>
  <c r="D183" i="41"/>
  <c r="E183" i="41" s="1"/>
  <c r="F183" i="41" s="1"/>
  <c r="G183" i="41" s="1"/>
  <c r="H183" i="41" s="1"/>
  <c r="I183" i="41" s="1"/>
  <c r="D211" i="41"/>
  <c r="E211" i="41" s="1"/>
  <c r="F211" i="41" s="1"/>
  <c r="G211" i="41" s="1"/>
  <c r="H211" i="41" s="1"/>
  <c r="I211" i="41" s="1"/>
  <c r="D282" i="41"/>
  <c r="E282" i="41" s="1"/>
  <c r="F282" i="41" s="1"/>
  <c r="G282" i="41" s="1"/>
  <c r="H282" i="41" s="1"/>
  <c r="I282" i="41" s="1"/>
  <c r="D267" i="41"/>
  <c r="E267" i="41" s="1"/>
  <c r="F267" i="41" s="1"/>
  <c r="G267" i="41" s="1"/>
  <c r="H267" i="41" s="1"/>
  <c r="I267" i="41" s="1"/>
  <c r="D212" i="41"/>
  <c r="E212" i="41" s="1"/>
  <c r="F212" i="41" s="1"/>
  <c r="G212" i="41" s="1"/>
  <c r="H212" i="41" s="1"/>
  <c r="I212" i="41" s="1"/>
  <c r="D220" i="41"/>
  <c r="E220" i="41" s="1"/>
  <c r="F220" i="41" s="1"/>
  <c r="G220" i="41" s="1"/>
  <c r="H220" i="41" s="1"/>
  <c r="I220" i="41" s="1"/>
  <c r="D301" i="41"/>
  <c r="E301" i="41" s="1"/>
  <c r="F301" i="41" s="1"/>
  <c r="G301" i="41" s="1"/>
  <c r="H301" i="41" s="1"/>
  <c r="I301" i="41" s="1"/>
  <c r="D291" i="41"/>
  <c r="E291" i="41" s="1"/>
  <c r="F291" i="41" s="1"/>
  <c r="G291" i="41" s="1"/>
  <c r="H291" i="41" s="1"/>
  <c r="I291" i="41" s="1"/>
  <c r="D278" i="41"/>
  <c r="E278" i="41" s="1"/>
  <c r="F278" i="41" s="1"/>
  <c r="G278" i="41" s="1"/>
  <c r="H278" i="41" s="1"/>
  <c r="I278" i="41" s="1"/>
  <c r="D290" i="41"/>
  <c r="E290" i="41" s="1"/>
  <c r="F290" i="41" s="1"/>
  <c r="G290" i="41" s="1"/>
  <c r="H290" i="41" s="1"/>
  <c r="I290" i="41" s="1"/>
  <c r="D348" i="41"/>
  <c r="E348" i="41" s="1"/>
  <c r="F348" i="41" s="1"/>
  <c r="G348" i="41" s="1"/>
  <c r="H348" i="41" s="1"/>
  <c r="I348" i="41" s="1"/>
  <c r="D132" i="41"/>
  <c r="E132" i="41" s="1"/>
  <c r="F132" i="41" s="1"/>
  <c r="G132" i="41" s="1"/>
  <c r="H132" i="41" s="1"/>
  <c r="I132" i="41" s="1"/>
  <c r="D130" i="41"/>
  <c r="E130" i="41" s="1"/>
  <c r="F130" i="41" s="1"/>
  <c r="G130" i="41" s="1"/>
  <c r="H130" i="41" s="1"/>
  <c r="I130" i="41" s="1"/>
  <c r="D167" i="41"/>
  <c r="E167" i="41" s="1"/>
  <c r="F167" i="41" s="1"/>
  <c r="G167" i="41" s="1"/>
  <c r="H167" i="41" s="1"/>
  <c r="I167" i="41" s="1"/>
  <c r="D246" i="41"/>
  <c r="E246" i="41" s="1"/>
  <c r="F246" i="41" s="1"/>
  <c r="G246" i="41" s="1"/>
  <c r="H246" i="41" s="1"/>
  <c r="I246" i="41" s="1"/>
  <c r="D263" i="41"/>
  <c r="E263" i="41" s="1"/>
  <c r="F263" i="41" s="1"/>
  <c r="G263" i="41" s="1"/>
  <c r="H263" i="41" s="1"/>
  <c r="I263" i="41" s="1"/>
  <c r="D380" i="41"/>
  <c r="E380" i="41" s="1"/>
  <c r="F380" i="41" s="1"/>
  <c r="G380" i="41" s="1"/>
  <c r="H380" i="41" s="1"/>
  <c r="I380" i="41" s="1"/>
  <c r="D99" i="41"/>
  <c r="E99" i="41" s="1"/>
  <c r="F99" i="41" s="1"/>
  <c r="D249" i="41"/>
  <c r="E249" i="41" s="1"/>
  <c r="F249" i="41" s="1"/>
  <c r="G249" i="41" s="1"/>
  <c r="H249" i="41" s="1"/>
  <c r="I249" i="41" s="1"/>
  <c r="D238" i="41"/>
  <c r="E238" i="41" s="1"/>
  <c r="F238" i="41" s="1"/>
  <c r="G238" i="41" s="1"/>
  <c r="H238" i="41" s="1"/>
  <c r="I238" i="41" s="1"/>
  <c r="D226" i="41"/>
  <c r="E226" i="41" s="1"/>
  <c r="F226" i="41" s="1"/>
  <c r="G226" i="41" s="1"/>
  <c r="H226" i="41" s="1"/>
  <c r="I226" i="41" s="1"/>
  <c r="D247" i="41"/>
  <c r="E247" i="41" s="1"/>
  <c r="F247" i="41" s="1"/>
  <c r="G247" i="41" s="1"/>
  <c r="H247" i="41" s="1"/>
  <c r="I247" i="41" s="1"/>
  <c r="D312" i="41"/>
  <c r="E312" i="41" s="1"/>
  <c r="F312" i="41" s="1"/>
  <c r="G312" i="41" s="1"/>
  <c r="H312" i="41" s="1"/>
  <c r="I312" i="41" s="1"/>
  <c r="D122" i="41"/>
  <c r="E122" i="41" s="1"/>
  <c r="F122" i="41" s="1"/>
  <c r="G122" i="41" s="1"/>
  <c r="H122" i="41" s="1"/>
  <c r="I122" i="41" s="1"/>
  <c r="D219" i="41"/>
  <c r="E219" i="41" s="1"/>
  <c r="F219" i="41" s="1"/>
  <c r="G219" i="41" s="1"/>
  <c r="H219" i="41" s="1"/>
  <c r="I219" i="41" s="1"/>
  <c r="D174" i="41"/>
  <c r="E174" i="41" s="1"/>
  <c r="F174" i="41" s="1"/>
  <c r="G174" i="41" s="1"/>
  <c r="H174" i="41" s="1"/>
  <c r="I174" i="41" s="1"/>
  <c r="D338" i="41"/>
  <c r="E338" i="41" s="1"/>
  <c r="F338" i="41" s="1"/>
  <c r="G338" i="41" s="1"/>
  <c r="H338" i="41" s="1"/>
  <c r="I338" i="41" s="1"/>
  <c r="D189" i="41"/>
  <c r="E189" i="41" s="1"/>
  <c r="F189" i="41" s="1"/>
  <c r="G189" i="41" s="1"/>
  <c r="H189" i="41" s="1"/>
  <c r="I189" i="41" s="1"/>
  <c r="D202" i="41"/>
  <c r="E202" i="41" s="1"/>
  <c r="F202" i="41" s="1"/>
  <c r="G202" i="41" s="1"/>
  <c r="H202" i="41" s="1"/>
  <c r="I202" i="41" s="1"/>
  <c r="D260" i="41"/>
  <c r="E260" i="41" s="1"/>
  <c r="F260" i="41" s="1"/>
  <c r="G260" i="41" s="1"/>
  <c r="H260" i="41" s="1"/>
  <c r="I260" i="41" s="1"/>
  <c r="D356" i="41"/>
  <c r="E356" i="41" s="1"/>
  <c r="F356" i="41" s="1"/>
  <c r="G356" i="41" s="1"/>
  <c r="H356" i="41" s="1"/>
  <c r="I356" i="41" s="1"/>
  <c r="D190" i="41"/>
  <c r="E190" i="41" s="1"/>
  <c r="F190" i="41" s="1"/>
  <c r="G190" i="41" s="1"/>
  <c r="H190" i="41" s="1"/>
  <c r="I190" i="41" s="1"/>
  <c r="D265" i="41"/>
  <c r="E265" i="41" s="1"/>
  <c r="F265" i="41" s="1"/>
  <c r="G265" i="41" s="1"/>
  <c r="H265" i="41" s="1"/>
  <c r="I265" i="41" s="1"/>
  <c r="D233" i="41"/>
  <c r="E233" i="41" s="1"/>
  <c r="F233" i="41" s="1"/>
  <c r="G233" i="41" s="1"/>
  <c r="H233" i="41" s="1"/>
  <c r="I233" i="41" s="1"/>
  <c r="D349" i="41"/>
  <c r="E349" i="41" s="1"/>
  <c r="F349" i="41" s="1"/>
  <c r="G349" i="41" s="1"/>
  <c r="H349" i="41" s="1"/>
  <c r="I349" i="41" s="1"/>
  <c r="D232" i="41"/>
  <c r="E232" i="41" s="1"/>
  <c r="F232" i="41" s="1"/>
  <c r="G232" i="41" s="1"/>
  <c r="H232" i="41" s="1"/>
  <c r="I232" i="41" s="1"/>
  <c r="D230" i="41"/>
  <c r="E230" i="41" s="1"/>
  <c r="F230" i="41" s="1"/>
  <c r="G230" i="41" s="1"/>
  <c r="H230" i="41" s="1"/>
  <c r="I230" i="41" s="1"/>
  <c r="D306" i="41"/>
  <c r="E306" i="41" s="1"/>
  <c r="F306" i="41" s="1"/>
  <c r="G306" i="41" s="1"/>
  <c r="H306" i="41" s="1"/>
  <c r="I306" i="41" s="1"/>
  <c r="D316" i="41"/>
  <c r="E316" i="41" s="1"/>
  <c r="F316" i="41" s="1"/>
  <c r="G316" i="41" s="1"/>
  <c r="H316" i="41" s="1"/>
  <c r="I316" i="41" s="1"/>
  <c r="D173" i="41"/>
  <c r="E173" i="41" s="1"/>
  <c r="F173" i="41" s="1"/>
  <c r="G173" i="41" s="1"/>
  <c r="H173" i="41" s="1"/>
  <c r="I173" i="41" s="1"/>
  <c r="D322" i="41"/>
  <c r="E322" i="41" s="1"/>
  <c r="F322" i="41" s="1"/>
  <c r="G322" i="41" s="1"/>
  <c r="H322" i="41" s="1"/>
  <c r="I322" i="41" s="1"/>
  <c r="D210" i="41"/>
  <c r="E210" i="41" s="1"/>
  <c r="F210" i="41" s="1"/>
  <c r="G210" i="41" s="1"/>
  <c r="H210" i="41" s="1"/>
  <c r="I210" i="41" s="1"/>
  <c r="D261" i="41"/>
  <c r="E261" i="41" s="1"/>
  <c r="F261" i="41" s="1"/>
  <c r="G261" i="41" s="1"/>
  <c r="H261" i="41" s="1"/>
  <c r="I261" i="41" s="1"/>
  <c r="D341" i="41"/>
  <c r="E341" i="41" s="1"/>
  <c r="F341" i="41" s="1"/>
  <c r="G341" i="41" s="1"/>
  <c r="H341" i="41" s="1"/>
  <c r="I341" i="41" s="1"/>
  <c r="D346" i="41"/>
  <c r="E346" i="41" s="1"/>
  <c r="F346" i="41" s="1"/>
  <c r="G346" i="41" s="1"/>
  <c r="H346" i="41" s="1"/>
  <c r="I346" i="41" s="1"/>
  <c r="D213" i="41"/>
  <c r="E213" i="41" s="1"/>
  <c r="F213" i="41" s="1"/>
  <c r="G213" i="41" s="1"/>
  <c r="H213" i="41" s="1"/>
  <c r="I213" i="41" s="1"/>
  <c r="D142" i="41"/>
  <c r="E142" i="41" s="1"/>
  <c r="F142" i="41" s="1"/>
  <c r="G142" i="41" s="1"/>
  <c r="H142" i="41" s="1"/>
  <c r="I142" i="41" s="1"/>
  <c r="D334" i="41"/>
  <c r="E334" i="41" s="1"/>
  <c r="F334" i="41" s="1"/>
  <c r="G334" i="41" s="1"/>
  <c r="H334" i="41" s="1"/>
  <c r="I334" i="41" s="1"/>
  <c r="D314" i="41"/>
  <c r="E314" i="41" s="1"/>
  <c r="F314" i="41" s="1"/>
  <c r="G314" i="41" s="1"/>
  <c r="H314" i="41" s="1"/>
  <c r="I314" i="41" s="1"/>
  <c r="D133" i="41"/>
  <c r="E133" i="41" s="1"/>
  <c r="F133" i="41" s="1"/>
  <c r="G133" i="41" s="1"/>
  <c r="H133" i="41" s="1"/>
  <c r="I133" i="41" s="1"/>
  <c r="D304" i="41"/>
  <c r="E304" i="41" s="1"/>
  <c r="F304" i="41" s="1"/>
  <c r="G304" i="41" s="1"/>
  <c r="H304" i="41" s="1"/>
  <c r="I304" i="41" s="1"/>
  <c r="D98" i="41"/>
  <c r="E98" i="41" s="1"/>
  <c r="F98" i="41" s="1"/>
  <c r="D240" i="41"/>
  <c r="E240" i="41" s="1"/>
  <c r="F240" i="41" s="1"/>
  <c r="G240" i="41" s="1"/>
  <c r="H240" i="41" s="1"/>
  <c r="I240" i="41" s="1"/>
  <c r="D135" i="41"/>
  <c r="E135" i="41" s="1"/>
  <c r="F135" i="41" s="1"/>
  <c r="G135" i="41" s="1"/>
  <c r="H135" i="41" s="1"/>
  <c r="I135" i="41" s="1"/>
  <c r="D172" i="41"/>
  <c r="E172" i="41" s="1"/>
  <c r="F172" i="41" s="1"/>
  <c r="G172" i="41" s="1"/>
  <c r="H172" i="41" s="1"/>
  <c r="I172" i="41" s="1"/>
  <c r="D377" i="41"/>
  <c r="E377" i="41" s="1"/>
  <c r="F377" i="41" s="1"/>
  <c r="G377" i="41" s="1"/>
  <c r="H377" i="41" s="1"/>
  <c r="I377" i="41" s="1"/>
  <c r="D313" i="41"/>
  <c r="E313" i="41" s="1"/>
  <c r="F313" i="41" s="1"/>
  <c r="G313" i="41" s="1"/>
  <c r="H313" i="41" s="1"/>
  <c r="I313" i="41" s="1"/>
  <c r="D134" i="41"/>
  <c r="E134" i="41" s="1"/>
  <c r="F134" i="41" s="1"/>
  <c r="G134" i="41" s="1"/>
  <c r="H134" i="41" s="1"/>
  <c r="I134" i="41" s="1"/>
  <c r="D272" i="41"/>
  <c r="E272" i="41" s="1"/>
  <c r="F272" i="41" s="1"/>
  <c r="G272" i="41" s="1"/>
  <c r="H272" i="41" s="1"/>
  <c r="I272" i="41" s="1"/>
  <c r="D330" i="41"/>
  <c r="E330" i="41" s="1"/>
  <c r="F330" i="41" s="1"/>
  <c r="G330" i="41" s="1"/>
  <c r="H330" i="41" s="1"/>
  <c r="I330" i="41" s="1"/>
  <c r="D166" i="41"/>
  <c r="E166" i="41" s="1"/>
  <c r="F166" i="41" s="1"/>
  <c r="G166" i="41" s="1"/>
  <c r="H166" i="41" s="1"/>
  <c r="I166" i="41" s="1"/>
  <c r="D218" i="41"/>
  <c r="E218" i="41" s="1"/>
  <c r="F218" i="41" s="1"/>
  <c r="G218" i="41" s="1"/>
  <c r="H218" i="41" s="1"/>
  <c r="I218" i="41" s="1"/>
  <c r="D283" i="41"/>
  <c r="E283" i="41" s="1"/>
  <c r="F283" i="41" s="1"/>
  <c r="G283" i="41" s="1"/>
  <c r="H283" i="41" s="1"/>
  <c r="I283" i="41" s="1"/>
  <c r="D154" i="41"/>
  <c r="E154" i="41" s="1"/>
  <c r="F154" i="41" s="1"/>
  <c r="G154" i="41" s="1"/>
  <c r="H154" i="41" s="1"/>
  <c r="I154" i="41" s="1"/>
  <c r="D289" i="41"/>
  <c r="E289" i="41" s="1"/>
  <c r="F289" i="41" s="1"/>
  <c r="G289" i="41" s="1"/>
  <c r="H289" i="41" s="1"/>
  <c r="I289" i="41" s="1"/>
  <c r="D217" i="41"/>
  <c r="E217" i="41" s="1"/>
  <c r="F217" i="41" s="1"/>
  <c r="G217" i="41" s="1"/>
  <c r="H217" i="41" s="1"/>
  <c r="I217" i="41" s="1"/>
  <c r="D276" i="41"/>
  <c r="E276" i="41" s="1"/>
  <c r="F276" i="41" s="1"/>
  <c r="G276" i="41" s="1"/>
  <c r="H276" i="41" s="1"/>
  <c r="I276" i="41" s="1"/>
  <c r="D187" i="41"/>
  <c r="E187" i="41" s="1"/>
  <c r="F187" i="41" s="1"/>
  <c r="G187" i="41" s="1"/>
  <c r="H187" i="41" s="1"/>
  <c r="I187" i="41" s="1"/>
  <c r="D277" i="41"/>
  <c r="E277" i="41" s="1"/>
  <c r="F277" i="41" s="1"/>
  <c r="G277" i="41" s="1"/>
  <c r="H277" i="41" s="1"/>
  <c r="I277" i="41" s="1"/>
  <c r="D124" i="41"/>
  <c r="E124" i="41" s="1"/>
  <c r="F124" i="41" s="1"/>
  <c r="G124" i="41" s="1"/>
  <c r="H124" i="41" s="1"/>
  <c r="I124" i="41" s="1"/>
  <c r="D317" i="41"/>
  <c r="E317" i="41" s="1"/>
  <c r="F317" i="41" s="1"/>
  <c r="G317" i="41" s="1"/>
  <c r="H317" i="41" s="1"/>
  <c r="I317" i="41" s="1"/>
  <c r="D100" i="41"/>
  <c r="E100" i="41" s="1"/>
  <c r="F100" i="41" s="1"/>
  <c r="D158" i="41"/>
  <c r="E158" i="41" s="1"/>
  <c r="F158" i="41" s="1"/>
  <c r="G158" i="41" s="1"/>
  <c r="H158" i="41" s="1"/>
  <c r="I158" i="41" s="1"/>
  <c r="D375" i="41"/>
  <c r="E375" i="41" s="1"/>
  <c r="F375" i="41" s="1"/>
  <c r="G375" i="41" s="1"/>
  <c r="H375" i="41" s="1"/>
  <c r="I375" i="41" s="1"/>
  <c r="D155" i="41"/>
  <c r="E155" i="41" s="1"/>
  <c r="F155" i="41" s="1"/>
  <c r="G155" i="41" s="1"/>
  <c r="H155" i="41" s="1"/>
  <c r="I155" i="41" s="1"/>
  <c r="D378" i="41"/>
  <c r="E378" i="41" s="1"/>
  <c r="F378" i="41" s="1"/>
  <c r="G378" i="41" s="1"/>
  <c r="H378" i="41" s="1"/>
  <c r="I378" i="41" s="1"/>
  <c r="D287" i="41"/>
  <c r="E287" i="41" s="1"/>
  <c r="F287" i="41" s="1"/>
  <c r="G287" i="41" s="1"/>
  <c r="H287" i="41" s="1"/>
  <c r="I287" i="41" s="1"/>
  <c r="D347" i="41"/>
  <c r="E347" i="41" s="1"/>
  <c r="F347" i="41" s="1"/>
  <c r="G347" i="41" s="1"/>
  <c r="H347" i="41" s="1"/>
  <c r="I347" i="41" s="1"/>
  <c r="D355" i="41"/>
  <c r="E355" i="41" s="1"/>
  <c r="F355" i="41" s="1"/>
  <c r="G355" i="41" s="1"/>
  <c r="H355" i="41" s="1"/>
  <c r="I355" i="41" s="1"/>
  <c r="D101" i="41"/>
  <c r="E101" i="41" s="1"/>
  <c r="F101" i="41" s="1"/>
  <c r="D310" i="41"/>
  <c r="E310" i="41" s="1"/>
  <c r="F310" i="41" s="1"/>
  <c r="G310" i="41" s="1"/>
  <c r="H310" i="41" s="1"/>
  <c r="I310" i="41" s="1"/>
  <c r="D298" i="41"/>
  <c r="E298" i="41" s="1"/>
  <c r="F298" i="41" s="1"/>
  <c r="G298" i="41" s="1"/>
  <c r="H298" i="41" s="1"/>
  <c r="I298" i="41" s="1"/>
  <c r="D357" i="41"/>
  <c r="E357" i="41" s="1"/>
  <c r="F357" i="41" s="1"/>
  <c r="G357" i="41" s="1"/>
  <c r="H357" i="41" s="1"/>
  <c r="I357" i="41" s="1"/>
  <c r="D264" i="41"/>
  <c r="E264" i="41" s="1"/>
  <c r="F264" i="41" s="1"/>
  <c r="G264" i="41" s="1"/>
  <c r="H264" i="41" s="1"/>
  <c r="I264" i="41" s="1"/>
  <c r="D319" i="41"/>
  <c r="E319" i="41" s="1"/>
  <c r="F319" i="41" s="1"/>
  <c r="G319" i="41" s="1"/>
  <c r="H319" i="41" s="1"/>
  <c r="I319" i="41" s="1"/>
  <c r="D170" i="41"/>
  <c r="E170" i="41" s="1"/>
  <c r="F170" i="41" s="1"/>
  <c r="G170" i="41" s="1"/>
  <c r="H170" i="41" s="1"/>
  <c r="I170" i="41" s="1"/>
  <c r="D335" i="41"/>
  <c r="E335" i="41" s="1"/>
  <c r="F335" i="41" s="1"/>
  <c r="G335" i="41" s="1"/>
  <c r="H335" i="41" s="1"/>
  <c r="I335" i="41" s="1"/>
  <c r="D279" i="41"/>
  <c r="E279" i="41" s="1"/>
  <c r="F279" i="41" s="1"/>
  <c r="G279" i="41" s="1"/>
  <c r="H279" i="41" s="1"/>
  <c r="I279" i="41" s="1"/>
  <c r="D336" i="41"/>
  <c r="E336" i="41" s="1"/>
  <c r="F336" i="41" s="1"/>
  <c r="G336" i="41" s="1"/>
  <c r="H336" i="41" s="1"/>
  <c r="I336" i="41" s="1"/>
  <c r="D205" i="41"/>
  <c r="E205" i="41" s="1"/>
  <c r="F205" i="41" s="1"/>
  <c r="G205" i="41" s="1"/>
  <c r="H205" i="41" s="1"/>
  <c r="I205" i="41" s="1"/>
  <c r="D259" i="41"/>
  <c r="E259" i="41" s="1"/>
  <c r="F259" i="41" s="1"/>
  <c r="G259" i="41" s="1"/>
  <c r="H259" i="41" s="1"/>
  <c r="I259" i="41" s="1"/>
  <c r="D294" i="41"/>
  <c r="E294" i="41" s="1"/>
  <c r="F294" i="41" s="1"/>
  <c r="G294" i="41" s="1"/>
  <c r="H294" i="41" s="1"/>
  <c r="I294" i="41" s="1"/>
  <c r="D368" i="41"/>
  <c r="E368" i="41" s="1"/>
  <c r="F368" i="41" s="1"/>
  <c r="G368" i="41" s="1"/>
  <c r="H368" i="41" s="1"/>
  <c r="I368" i="41" s="1"/>
  <c r="D221" i="41"/>
  <c r="E221" i="41" s="1"/>
  <c r="F221" i="41" s="1"/>
  <c r="G221" i="41" s="1"/>
  <c r="H221" i="41" s="1"/>
  <c r="I221" i="41" s="1"/>
  <c r="D139" i="41"/>
  <c r="E139" i="41" s="1"/>
  <c r="F139" i="41" s="1"/>
  <c r="G139" i="41" s="1"/>
  <c r="H139" i="41" s="1"/>
  <c r="I139" i="41" s="1"/>
  <c r="D251" i="41"/>
  <c r="E251" i="41" s="1"/>
  <c r="F251" i="41" s="1"/>
  <c r="G251" i="41" s="1"/>
  <c r="H251" i="41" s="1"/>
  <c r="I251" i="41" s="1"/>
  <c r="D94" i="41"/>
  <c r="E94" i="41" s="1"/>
  <c r="F94" i="41" s="1"/>
  <c r="D245" i="41"/>
  <c r="E245" i="41" s="1"/>
  <c r="F245" i="41" s="1"/>
  <c r="G245" i="41" s="1"/>
  <c r="H245" i="41" s="1"/>
  <c r="I245" i="41" s="1"/>
  <c r="D180" i="41"/>
  <c r="E180" i="41" s="1"/>
  <c r="F180" i="41" s="1"/>
  <c r="G180" i="41" s="1"/>
  <c r="H180" i="41" s="1"/>
  <c r="I180" i="41" s="1"/>
  <c r="D191" i="41"/>
  <c r="E191" i="41" s="1"/>
  <c r="F191" i="41" s="1"/>
  <c r="G191" i="41" s="1"/>
  <c r="H191" i="41" s="1"/>
  <c r="I191" i="41" s="1"/>
  <c r="D305" i="41"/>
  <c r="E305" i="41" s="1"/>
  <c r="F305" i="41" s="1"/>
  <c r="G305" i="41" s="1"/>
  <c r="H305" i="41" s="1"/>
  <c r="I305" i="41" s="1"/>
  <c r="D302" i="41"/>
  <c r="E302" i="41" s="1"/>
  <c r="F302" i="41" s="1"/>
  <c r="G302" i="41" s="1"/>
  <c r="H302" i="41" s="1"/>
  <c r="I302" i="41" s="1"/>
  <c r="D269" i="41"/>
  <c r="E269" i="41" s="1"/>
  <c r="F269" i="41" s="1"/>
  <c r="G269" i="41" s="1"/>
  <c r="H269" i="41" s="1"/>
  <c r="I269" i="41" s="1"/>
  <c r="D151" i="41"/>
  <c r="E151" i="41" s="1"/>
  <c r="F151" i="41" s="1"/>
  <c r="G151" i="41" s="1"/>
  <c r="H151" i="41" s="1"/>
  <c r="I151" i="41" s="1"/>
  <c r="D361" i="41"/>
  <c r="E361" i="41" s="1"/>
  <c r="F361" i="41" s="1"/>
  <c r="G361" i="41" s="1"/>
  <c r="H361" i="41" s="1"/>
  <c r="I361" i="41" s="1"/>
  <c r="D351" i="41"/>
  <c r="E351" i="41" s="1"/>
  <c r="F351" i="41" s="1"/>
  <c r="G351" i="41" s="1"/>
  <c r="H351" i="41" s="1"/>
  <c r="I351" i="41" s="1"/>
  <c r="D90" i="41"/>
  <c r="E90" i="41" s="1"/>
  <c r="F90" i="41" s="1"/>
  <c r="D208" i="41"/>
  <c r="E208" i="41" s="1"/>
  <c r="F208" i="41" s="1"/>
  <c r="G208" i="41" s="1"/>
  <c r="H208" i="41" s="1"/>
  <c r="I208" i="41" s="1"/>
  <c r="D315" i="41"/>
  <c r="E315" i="41" s="1"/>
  <c r="F315" i="41" s="1"/>
  <c r="G315" i="41" s="1"/>
  <c r="H315" i="41" s="1"/>
  <c r="I315" i="41" s="1"/>
  <c r="D159" i="41"/>
  <c r="E159" i="41" s="1"/>
  <c r="F159" i="41" s="1"/>
  <c r="G159" i="41" s="1"/>
  <c r="H159" i="41" s="1"/>
  <c r="I159" i="41" s="1"/>
  <c r="D350" i="41"/>
  <c r="E350" i="41" s="1"/>
  <c r="F350" i="41" s="1"/>
  <c r="G350" i="41" s="1"/>
  <c r="H350" i="41" s="1"/>
  <c r="I350" i="41" s="1"/>
  <c r="D129" i="41"/>
  <c r="E129" i="41" s="1"/>
  <c r="F129" i="41" s="1"/>
  <c r="G129" i="41" s="1"/>
  <c r="H129" i="41" s="1"/>
  <c r="I129" i="41" s="1"/>
  <c r="D86" i="41"/>
  <c r="E86" i="41" s="1"/>
  <c r="F86" i="41" s="1"/>
  <c r="D258" i="41"/>
  <c r="E258" i="41" s="1"/>
  <c r="F258" i="41" s="1"/>
  <c r="G258" i="41" s="1"/>
  <c r="H258" i="41" s="1"/>
  <c r="I258" i="41" s="1"/>
  <c r="D239" i="41"/>
  <c r="E239" i="41" s="1"/>
  <c r="F239" i="41" s="1"/>
  <c r="G239" i="41" s="1"/>
  <c r="H239" i="41" s="1"/>
  <c r="I239" i="41" s="1"/>
  <c r="D303" i="41"/>
  <c r="E303" i="41" s="1"/>
  <c r="F303" i="41" s="1"/>
  <c r="G303" i="41" s="1"/>
  <c r="H303" i="41" s="1"/>
  <c r="I303" i="41" s="1"/>
  <c r="D171" i="41"/>
  <c r="E171" i="41" s="1"/>
  <c r="F171" i="41" s="1"/>
  <c r="G171" i="41" s="1"/>
  <c r="H171" i="41" s="1"/>
  <c r="I171" i="41" s="1"/>
  <c r="D374" i="41"/>
  <c r="E374" i="41" s="1"/>
  <c r="F374" i="41" s="1"/>
  <c r="G374" i="41" s="1"/>
  <c r="H374" i="41" s="1"/>
  <c r="I374" i="41" s="1"/>
  <c r="D328" i="41"/>
  <c r="E328" i="41" s="1"/>
  <c r="F328" i="41" s="1"/>
  <c r="G328" i="41" s="1"/>
  <c r="H328" i="41" s="1"/>
  <c r="I328" i="41" s="1"/>
  <c r="D382" i="41"/>
  <c r="E382" i="41" s="1"/>
  <c r="F382" i="41" s="1"/>
  <c r="G382" i="41" s="1"/>
  <c r="H382" i="41" s="1"/>
  <c r="I382" i="41" s="1"/>
  <c r="D253" i="41"/>
  <c r="E253" i="41" s="1"/>
  <c r="F253" i="41" s="1"/>
  <c r="G253" i="41" s="1"/>
  <c r="H253" i="41" s="1"/>
  <c r="I253" i="41" s="1"/>
  <c r="D150" i="41"/>
  <c r="E150" i="41" s="1"/>
  <c r="F150" i="41" s="1"/>
  <c r="G150" i="41" s="1"/>
  <c r="H150" i="41" s="1"/>
  <c r="I150" i="41" s="1"/>
  <c r="D141" i="41"/>
  <c r="E141" i="41" s="1"/>
  <c r="F141" i="41" s="1"/>
  <c r="G141" i="41" s="1"/>
  <c r="H141" i="41" s="1"/>
  <c r="I141" i="41" s="1"/>
  <c r="D207" i="41"/>
  <c r="E207" i="41" s="1"/>
  <c r="F207" i="41" s="1"/>
  <c r="G207" i="41" s="1"/>
  <c r="H207" i="41" s="1"/>
  <c r="I207" i="41" s="1"/>
  <c r="D337" i="41"/>
  <c r="E337" i="41" s="1"/>
  <c r="F337" i="41" s="1"/>
  <c r="G337" i="41" s="1"/>
  <c r="H337" i="41" s="1"/>
  <c r="I337" i="41" s="1"/>
  <c r="D198" i="41"/>
  <c r="E198" i="41" s="1"/>
  <c r="F198" i="41" s="1"/>
  <c r="G198" i="41" s="1"/>
  <c r="H198" i="41" s="1"/>
  <c r="I198" i="41" s="1"/>
  <c r="D262" i="41"/>
  <c r="E262" i="41" s="1"/>
  <c r="F262" i="41" s="1"/>
  <c r="G262" i="41" s="1"/>
  <c r="H262" i="41" s="1"/>
  <c r="I262" i="41" s="1"/>
  <c r="D175" i="41"/>
  <c r="E175" i="41" s="1"/>
  <c r="F175" i="41" s="1"/>
  <c r="G175" i="41" s="1"/>
  <c r="H175" i="41" s="1"/>
  <c r="I175" i="41" s="1"/>
  <c r="D182" i="41"/>
  <c r="E182" i="41" s="1"/>
  <c r="F182" i="41" s="1"/>
  <c r="G182" i="41" s="1"/>
  <c r="H182" i="41" s="1"/>
  <c r="I182" i="41" s="1"/>
  <c r="G97" i="41" l="1"/>
  <c r="H97" i="41" s="1"/>
  <c r="I97" i="41" s="1"/>
  <c r="G98" i="41"/>
  <c r="H98" i="41" s="1"/>
  <c r="I98" i="41" s="1"/>
  <c r="G93" i="41"/>
  <c r="H93" i="41" s="1"/>
  <c r="I93" i="41" s="1"/>
  <c r="G85" i="41"/>
  <c r="H85" i="41" s="1"/>
  <c r="I85" i="41" s="1"/>
  <c r="G84" i="41"/>
  <c r="H84" i="41" s="1"/>
  <c r="I84" i="41" s="1"/>
  <c r="G94" i="41"/>
  <c r="H94" i="41" s="1"/>
  <c r="I94" i="41" s="1"/>
  <c r="G92" i="41"/>
  <c r="H92" i="41" s="1"/>
  <c r="I92" i="41" s="1"/>
  <c r="G87" i="41"/>
  <c r="H87" i="41" s="1"/>
  <c r="I87" i="41" s="1"/>
  <c r="G91" i="41"/>
  <c r="H91" i="41" s="1"/>
  <c r="I91" i="41" s="1"/>
  <c r="G101" i="41"/>
  <c r="H101" i="41" s="1"/>
  <c r="I101" i="41" s="1"/>
  <c r="G95" i="41"/>
  <c r="H95" i="41" s="1"/>
  <c r="I95" i="41" s="1"/>
  <c r="G100" i="41"/>
  <c r="H100" i="41" s="1"/>
  <c r="I100" i="41" s="1"/>
  <c r="G99" i="41"/>
  <c r="H99" i="41" s="1"/>
  <c r="I99" i="41" s="1"/>
  <c r="G89" i="41"/>
  <c r="H89" i="41" s="1"/>
  <c r="I89" i="41" s="1"/>
  <c r="G96" i="41"/>
  <c r="H96" i="41" s="1"/>
  <c r="I96" i="41" s="1"/>
  <c r="G86" i="41"/>
  <c r="H86" i="41" s="1"/>
  <c r="I86" i="41" s="1"/>
  <c r="G90" i="41"/>
  <c r="H90" i="41" s="1"/>
  <c r="I90" i="41" s="1"/>
  <c r="G88" i="41"/>
  <c r="H88" i="41" s="1"/>
  <c r="I88" i="41" s="1"/>
  <c r="F83" i="41"/>
  <c r="G83" i="41" s="1"/>
  <c r="H83" i="41" s="1"/>
  <c r="I83" i="41" s="1"/>
  <c r="J322" i="41" l="1"/>
  <c r="J262" i="41"/>
  <c r="J134" i="41"/>
  <c r="J193" i="41"/>
  <c r="J147" i="41"/>
  <c r="J221" i="41"/>
  <c r="J331" i="41"/>
  <c r="J174" i="41"/>
  <c r="J360" i="41"/>
  <c r="J211" i="41"/>
  <c r="J315" i="41"/>
  <c r="J235" i="41"/>
  <c r="J261" i="41"/>
  <c r="J364" i="41"/>
  <c r="J249" i="41"/>
  <c r="J126" i="41"/>
  <c r="J90" i="41"/>
  <c r="J173" i="41"/>
  <c r="J355" i="41"/>
  <c r="J98" i="41"/>
  <c r="J219" i="41"/>
  <c r="J94" i="41"/>
  <c r="J165" i="41"/>
  <c r="J384" i="41"/>
  <c r="J375" i="41"/>
  <c r="J199" i="41"/>
  <c r="J374" i="41"/>
  <c r="J237" i="41"/>
  <c r="J192" i="41"/>
  <c r="J190" i="41"/>
  <c r="J215" i="41"/>
  <c r="J133" i="41"/>
  <c r="J96" i="41"/>
  <c r="J319" i="41"/>
  <c r="J314" i="41"/>
  <c r="J110" i="41"/>
  <c r="J168" i="41"/>
  <c r="J357" i="41"/>
  <c r="J223" i="41"/>
  <c r="J164" i="41"/>
  <c r="J232" i="41"/>
  <c r="J247" i="41"/>
  <c r="J159" i="41"/>
  <c r="J310" i="41"/>
  <c r="J123" i="41"/>
  <c r="J377" i="41"/>
  <c r="J295" i="41"/>
  <c r="J243" i="41"/>
  <c r="J111" i="41"/>
  <c r="J91" i="41"/>
  <c r="J83" i="41"/>
  <c r="J85" i="41"/>
  <c r="J104" i="41"/>
  <c r="J109" i="41"/>
  <c r="J120" i="41"/>
  <c r="J135" i="41"/>
  <c r="J171" i="41"/>
  <c r="J86" i="41"/>
  <c r="J289" i="41"/>
  <c r="J228" i="41"/>
  <c r="J153" i="41"/>
  <c r="J218" i="41"/>
  <c r="J155" i="41"/>
  <c r="J188" i="41"/>
  <c r="J89" i="41"/>
  <c r="J380" i="41"/>
  <c r="J180" i="41"/>
  <c r="J163" i="41"/>
  <c r="J141" i="41"/>
  <c r="J311" i="41"/>
  <c r="J245" i="41"/>
  <c r="J225" i="41"/>
  <c r="J339" i="41"/>
  <c r="J206" i="41"/>
  <c r="J210" i="41"/>
  <c r="J216" i="41"/>
  <c r="J351" i="41"/>
  <c r="J167" i="41"/>
  <c r="J285" i="41"/>
  <c r="J279" i="41"/>
  <c r="J175" i="41"/>
  <c r="J378" i="41"/>
  <c r="J365" i="41"/>
  <c r="J207" i="41"/>
  <c r="J290" i="41"/>
  <c r="J224" i="41"/>
  <c r="J294" i="41"/>
  <c r="J353" i="41"/>
  <c r="J127" i="41"/>
  <c r="J250" i="41"/>
  <c r="J348" i="41"/>
  <c r="J191" i="41"/>
  <c r="J197" i="41"/>
  <c r="J217" i="41"/>
  <c r="J200" i="41"/>
  <c r="J296" i="41"/>
  <c r="J143" i="41"/>
  <c r="J253" i="41"/>
  <c r="J302" i="41"/>
  <c r="J201" i="41"/>
  <c r="J194" i="41"/>
  <c r="J267" i="41"/>
  <c r="J287" i="41"/>
  <c r="J185" i="41"/>
  <c r="J88" i="41"/>
  <c r="J293" i="41"/>
  <c r="J358" i="41"/>
  <c r="J340" i="41"/>
  <c r="J129" i="41"/>
  <c r="J195" i="41"/>
  <c r="J382" i="41"/>
  <c r="J130" i="41"/>
  <c r="J189" i="41"/>
  <c r="J276" i="41"/>
  <c r="J363" i="41"/>
  <c r="J321" i="41"/>
  <c r="J122" i="41"/>
  <c r="J354" i="41"/>
  <c r="J148" i="41"/>
  <c r="J257" i="41"/>
  <c r="J145" i="41"/>
  <c r="J84" i="41"/>
  <c r="J102" i="41"/>
  <c r="J108" i="41"/>
  <c r="J196" i="41"/>
  <c r="J117" i="41"/>
  <c r="J114" i="41"/>
  <c r="J106" i="41"/>
  <c r="J347" i="41"/>
  <c r="J220" i="41"/>
  <c r="J303" i="41"/>
  <c r="J288" i="41"/>
  <c r="J101" i="41"/>
  <c r="J93" i="41"/>
  <c r="J131" i="41"/>
  <c r="J334" i="41"/>
  <c r="J166" i="41"/>
  <c r="J282" i="41"/>
  <c r="J306" i="41"/>
  <c r="J182" i="41"/>
  <c r="J297" i="41"/>
  <c r="J99" i="41"/>
  <c r="J356" i="41"/>
  <c r="J239" i="41"/>
  <c r="J248" i="41"/>
  <c r="J342" i="41"/>
  <c r="J187" i="41"/>
  <c r="J299" i="41"/>
  <c r="J305" i="41"/>
  <c r="J212" i="41"/>
  <c r="J178" i="41"/>
  <c r="J179" i="41"/>
  <c r="J160" i="41"/>
  <c r="J154" i="41"/>
  <c r="J162" i="41"/>
  <c r="J149" i="41"/>
  <c r="J301" i="41"/>
  <c r="J268" i="41"/>
  <c r="J205" i="41"/>
  <c r="J362" i="41"/>
  <c r="J137" i="41"/>
  <c r="J283" i="41"/>
  <c r="J177" i="41"/>
  <c r="J132" i="41"/>
  <c r="J344" i="41"/>
  <c r="J184" i="41"/>
  <c r="J373" i="41"/>
  <c r="J222" i="41"/>
  <c r="J277" i="41"/>
  <c r="J230" i="41"/>
  <c r="J326" i="41"/>
  <c r="J139" i="41"/>
  <c r="J128" i="41"/>
  <c r="J367" i="41"/>
  <c r="J203" i="41"/>
  <c r="J112" i="41"/>
  <c r="J121" i="41"/>
  <c r="J113" i="41"/>
  <c r="J298" i="41"/>
  <c r="J161" i="41"/>
  <c r="J275" i="41"/>
  <c r="J229" i="41"/>
  <c r="J318" i="41"/>
  <c r="J259" i="41"/>
  <c r="J325" i="41"/>
  <c r="J157" i="41"/>
  <c r="J255" i="41"/>
  <c r="J156" i="41"/>
  <c r="J183" i="41"/>
  <c r="J226" i="41"/>
  <c r="J151" i="41"/>
  <c r="J213" i="41"/>
  <c r="J258" i="41"/>
  <c r="J142" i="41"/>
  <c r="J202" i="41"/>
  <c r="J244" i="41"/>
  <c r="J264" i="41"/>
  <c r="J272" i="41"/>
  <c r="J349" i="41"/>
  <c r="J324" i="41"/>
  <c r="J381" i="41"/>
  <c r="J316" i="41"/>
  <c r="J359" i="41"/>
  <c r="F79" i="41" s="1" a="1"/>
  <c r="F79" i="41" s="1"/>
  <c r="G79" i="41" s="1"/>
  <c r="M79" i="41" s="1"/>
  <c r="J307" i="41"/>
  <c r="J176" i="41"/>
  <c r="J273" i="41"/>
  <c r="J107" i="41"/>
  <c r="J87" i="41"/>
  <c r="J291" i="41"/>
  <c r="J361" i="41"/>
  <c r="J138" i="41"/>
  <c r="J304" i="41"/>
  <c r="J300" i="41"/>
  <c r="J352" i="41"/>
  <c r="J379" i="41"/>
  <c r="J234" i="41"/>
  <c r="J150" i="41"/>
  <c r="J252" i="41"/>
  <c r="J280" i="41"/>
  <c r="J251" i="41"/>
  <c r="J263" i="41"/>
  <c r="J238" i="41"/>
  <c r="J309" i="41"/>
  <c r="J240" i="41"/>
  <c r="J100" i="41"/>
  <c r="J136" i="41"/>
  <c r="J350" i="41"/>
  <c r="J370" i="41"/>
  <c r="J198" i="41"/>
  <c r="J286" i="41"/>
  <c r="J317" i="41"/>
  <c r="J312" i="41"/>
  <c r="J116" i="41"/>
  <c r="J115" i="41"/>
  <c r="J105" i="41"/>
  <c r="J144" i="41"/>
  <c r="J369" i="41"/>
  <c r="J376" i="41"/>
  <c r="J242" i="41"/>
  <c r="J246" i="41"/>
  <c r="J209" i="41"/>
  <c r="J320" i="41"/>
  <c r="J186" i="41"/>
  <c r="J271" i="41"/>
  <c r="J266" i="41"/>
  <c r="J103" i="41"/>
  <c r="J233" i="41"/>
  <c r="J337" i="41"/>
  <c r="J330" i="41"/>
  <c r="J345" i="41"/>
  <c r="J265" i="41"/>
  <c r="J335" i="41"/>
  <c r="J281" i="41"/>
  <c r="J170" i="41"/>
  <c r="J346" i="41"/>
  <c r="J152" i="41"/>
  <c r="J383" i="41"/>
  <c r="J227" i="41"/>
  <c r="J231" i="41"/>
  <c r="J332" i="41"/>
  <c r="J140" i="41"/>
  <c r="J323" i="41"/>
  <c r="J95" i="41"/>
  <c r="J341" i="41"/>
  <c r="J260" i="41"/>
  <c r="J343" i="41"/>
  <c r="J158" i="41"/>
  <c r="J366" i="41"/>
  <c r="J236" i="41"/>
  <c r="J329" i="41"/>
  <c r="J385" i="41"/>
  <c r="J97" i="41"/>
  <c r="J146" i="41"/>
  <c r="J336" i="41"/>
  <c r="J169" i="41"/>
  <c r="J278" i="41"/>
  <c r="J256" i="41"/>
  <c r="J208" i="41"/>
  <c r="J118" i="41"/>
  <c r="J308" i="41"/>
  <c r="J328" i="41"/>
  <c r="J270" i="41"/>
  <c r="J181" i="41"/>
  <c r="J313" i="41"/>
  <c r="J368" i="41"/>
  <c r="J338" i="41"/>
  <c r="J254" i="41"/>
  <c r="J125" i="41"/>
  <c r="J241" i="41"/>
  <c r="J274" i="41"/>
  <c r="J172" i="41"/>
  <c r="J327" i="41"/>
  <c r="J214" i="41"/>
  <c r="J292" i="41"/>
  <c r="J372" i="41"/>
  <c r="J269" i="41"/>
  <c r="J333" i="41"/>
  <c r="J92" i="41"/>
  <c r="J284" i="41"/>
  <c r="J371" i="41"/>
  <c r="J204" i="41"/>
  <c r="J124" i="41"/>
  <c r="J119" i="41"/>
  <c r="C75" i="46" l="1"/>
  <c r="G75" i="46" s="1"/>
  <c r="H11" i="41"/>
  <c r="C66" i="46" s="1"/>
  <c r="G66" i="46" s="1"/>
  <c r="C33" i="7"/>
  <c r="C29"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NEMET Attila Istvan</author>
  </authors>
  <commentList>
    <comment ref="G29" authorId="0" shapeId="0" xr:uid="{3658AA57-40AC-42E9-9996-CB4E50519E14}">
      <text>
        <r>
          <rPr>
            <b/>
            <sz val="9"/>
            <color indexed="81"/>
            <rFont val="Tahoma"/>
            <family val="2"/>
          </rPr>
          <t>weighted average of reflectance factors
(mirrors reflectance=0)</t>
        </r>
      </text>
    </comment>
    <comment ref="K63" authorId="0" shapeId="0" xr:uid="{FF7F1C7F-DE6A-4270-B906-76ABF84D66F5}">
      <text>
        <r>
          <rPr>
            <b/>
            <sz val="9"/>
            <color indexed="81"/>
            <rFont val="Tahoma"/>
            <family val="2"/>
          </rPr>
          <t>= beam length + 2*Diameter/2
(from middle of mirror to middle of mirror)</t>
        </r>
      </text>
    </comment>
    <comment ref="M63" authorId="0" shapeId="0" xr:uid="{EE25D096-2B4A-42DD-9CC5-7EFDB4A76772}">
      <text>
        <r>
          <rPr>
            <b/>
            <sz val="9"/>
            <color indexed="81"/>
            <rFont val="Tahoma"/>
            <family val="2"/>
          </rPr>
          <t>2 * wires</t>
        </r>
      </text>
    </comment>
    <comment ref="J71" authorId="0" shapeId="0" xr:uid="{0EA0FDD0-4F17-431C-BA14-E0F487F8B9FB}">
      <text>
        <r>
          <rPr>
            <b/>
            <sz val="9"/>
            <color indexed="81"/>
            <rFont val="Tahoma"/>
            <family val="2"/>
          </rPr>
          <t>1 antenna element consists of 3 dipoles</t>
        </r>
      </text>
    </comment>
    <comment ref="G78" authorId="0" shapeId="0" xr:uid="{1AAC801D-74AE-4256-9362-6E17ABCB8033}">
      <text>
        <r>
          <rPr>
            <b/>
            <sz val="9"/>
            <color indexed="81"/>
            <rFont val="Tahoma"/>
            <charset val="1"/>
          </rPr>
          <t>2 wires / Radius
2 Radius / diameter</t>
        </r>
      </text>
    </comment>
    <comment ref="B81" authorId="0" shapeId="0" xr:uid="{EBDC7763-6D02-4952-B151-AF02C686E1DE}">
      <text>
        <r>
          <rPr>
            <b/>
            <sz val="9"/>
            <color indexed="81"/>
            <rFont val="Tahoma"/>
            <family val="2"/>
          </rPr>
          <t>2 x because upper &amp; lower side has PV</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<sst xmlns="http://schemas.openxmlformats.org/spreadsheetml/2006/main" count="1536" uniqueCount="713">
  <si>
    <t>Title of the sheet</t>
  </si>
  <si>
    <t xml:space="preserve">Responsible </t>
  </si>
  <si>
    <t>Organization</t>
  </si>
  <si>
    <t>Subsystem Design Process</t>
  </si>
  <si>
    <t>Equations</t>
  </si>
  <si>
    <t>Refernces for SMAD</t>
  </si>
  <si>
    <t>System Design Process</t>
  </si>
  <si>
    <t>INPUTS</t>
  </si>
  <si>
    <t>Discipline</t>
  </si>
  <si>
    <t>Parameter Name</t>
  </si>
  <si>
    <t>Value</t>
  </si>
  <si>
    <t>Unit</t>
  </si>
  <si>
    <t>OUTPUTS</t>
  </si>
  <si>
    <t>Diameter [m]</t>
  </si>
  <si>
    <t>c [m/s]</t>
  </si>
  <si>
    <t>f [Hz]</t>
  </si>
  <si>
    <t>Radius [m]</t>
  </si>
  <si>
    <t>PV_Area [m2]</t>
  </si>
  <si>
    <t>half_λ [m]</t>
  </si>
  <si>
    <t>Nr Satellites</t>
  </si>
  <si>
    <t>Engineering Model:</t>
  </si>
  <si>
    <t>Space Based Solar Power</t>
  </si>
  <si>
    <t>Iteration number:</t>
  </si>
  <si>
    <t>Study Phase:</t>
  </si>
  <si>
    <t>DESIGN_SESSION_PHASE</t>
  </si>
  <si>
    <t>Domain:</t>
  </si>
  <si>
    <t>Power</t>
  </si>
  <si>
    <t>User:</t>
  </si>
  <si>
    <t>Attila Namet</t>
  </si>
  <si>
    <t>Rebuild Date:</t>
  </si>
  <si>
    <t>Name</t>
  </si>
  <si>
    <t>Short Name</t>
  </si>
  <si>
    <t>Computed</t>
  </si>
  <si>
    <t>Manual</t>
  </si>
  <si>
    <t>Reference</t>
  </si>
  <si>
    <t>Switch</t>
  </si>
  <si>
    <t>Actual Value</t>
  </si>
  <si>
    <t>Model Code</t>
  </si>
  <si>
    <t>Parameter Type</t>
  </si>
  <si>
    <t>Owner</t>
  </si>
  <si>
    <t>Category</t>
  </si>
  <si>
    <t>TYPE</t>
  </si>
  <si>
    <t>ValueSet Id</t>
  </si>
  <si>
    <t>ATTITUDE DETERMINATION AND CONTROL</t>
  </si>
  <si>
    <t>ADCS</t>
  </si>
  <si>
    <t>AOC</t>
  </si>
  <si>
    <t/>
  </si>
  <si>
    <t>ED</t>
  </si>
  <si>
    <t>81afc597-9484-400a-a0f8-81a93a3bf400</t>
  </si>
  <si>
    <t>PG</t>
  </si>
  <si>
    <t xml:space="preserve">   Thrusters : Thrusters</t>
  </si>
  <si>
    <t>ADCS.Thrusters</t>
  </si>
  <si>
    <t>EU</t>
  </si>
  <si>
    <t>4a5d1ec6-cbcd-47be-9666-40041875f133</t>
  </si>
  <si>
    <t>Base_stages</t>
  </si>
  <si>
    <t>BS_ST</t>
  </si>
  <si>
    <t>STR</t>
  </si>
  <si>
    <t>PROD ELE</t>
  </si>
  <si>
    <t>82e364c9-aeb5-4936-b3fa-2c2e811cc0b2</t>
  </si>
  <si>
    <t>Central_Beam_structure</t>
  </si>
  <si>
    <t>CTR_BEAM</t>
  </si>
  <si>
    <t>6631e441-2bdf-4d6b-8022-db08be953308</t>
  </si>
  <si>
    <t>COMMUNICATIONS SUBSYSTEM</t>
  </si>
  <si>
    <t>COMMS</t>
  </si>
  <si>
    <t>COM</t>
  </si>
  <si>
    <t>FUNC SYS ELE PROD SS</t>
  </si>
  <si>
    <t>8cb78ac2-a8b9-4745-9df0-f59118b27601</t>
  </si>
  <si>
    <t>-</t>
  </si>
  <si>
    <t>COMPUTED</t>
  </si>
  <si>
    <t>--COM</t>
  </si>
  <si>
    <t>PSVS</t>
  </si>
  <si>
    <t>Eng</t>
  </si>
  <si>
    <t>Engine</t>
  </si>
  <si>
    <t>PRO</t>
  </si>
  <si>
    <t>323d54bd-5230-44de-bce8-2d295e34dddd</t>
  </si>
  <si>
    <t>ICARUS MISSION</t>
  </si>
  <si>
    <t>ICARUS</t>
  </si>
  <si>
    <t>SYS</t>
  </si>
  <si>
    <t>603ef5d2-1292-4517-8ff1-9f70ecda3533</t>
  </si>
  <si>
    <t xml:space="preserve">   ICARUS1 : ICARUS1</t>
  </si>
  <si>
    <t>ICARUS.ICARUS1</t>
  </si>
  <si>
    <t>ELE PROD SYS</t>
  </si>
  <si>
    <t>8b7f80ce-dcbc-40de-ac87-9b13b8c9403f</t>
  </si>
  <si>
    <t xml:space="preserve">   MA : MA</t>
  </si>
  <si>
    <t>ICARUS.MA</t>
  </si>
  <si>
    <t>MIS</t>
  </si>
  <si>
    <t>59f8f0aa-b970-4239-9a35-c9232f9d0448</t>
  </si>
  <si>
    <t>MECHANISM</t>
  </si>
  <si>
    <t>MECH</t>
  </si>
  <si>
    <t>203df4a7-3215-43e1-9727-cd466b9837f9</t>
  </si>
  <si>
    <t>Mirror_beam_str</t>
  </si>
  <si>
    <t>m_beam</t>
  </si>
  <si>
    <t>36a11ef6-bfce-46e7-be0c-c93b63d14382</t>
  </si>
  <si>
    <t>Mirror_frame_str</t>
  </si>
  <si>
    <t>m_frame</t>
  </si>
  <si>
    <t>226d36f6-ad6d-492f-a133-9d150b04d87c</t>
  </si>
  <si>
    <t>MISSION ANALYSIS</t>
  </si>
  <si>
    <t>MA</t>
  </si>
  <si>
    <t>2d3f224c-2953-4b92-8840-e061f5a998a4</t>
  </si>
  <si>
    <t xml:space="preserve">   FINAL ORBIT</t>
  </si>
  <si>
    <t>8f62d9cb-81b9-4537-ba6e-24cb9367d2b4</t>
  </si>
  <si>
    <t xml:space="preserve">   GTO ORBIT</t>
  </si>
  <si>
    <t>f1f94f08-ecc3-4940-ab24-d3bd4c23d18b</t>
  </si>
  <si>
    <t xml:space="preserve">   LEO PARKING ORBIT</t>
  </si>
  <si>
    <t>0b1f706d-c99b-4fb0-bbde-a961e940f44f</t>
  </si>
  <si>
    <t>POWER</t>
  </si>
  <si>
    <t>POW</t>
  </si>
  <si>
    <t>PWR</t>
  </si>
  <si>
    <t>f54d981f-ce97-4ed5-8be8-40f2b4a229bc</t>
  </si>
  <si>
    <t xml:space="preserve">   peak consumed power</t>
  </si>
  <si>
    <t>P_peak</t>
  </si>
  <si>
    <t>MANUAL</t>
  </si>
  <si>
    <t>P_peak [W]</t>
  </si>
  <si>
    <t>PVS</t>
  </si>
  <si>
    <t>Propellant</t>
  </si>
  <si>
    <t>d1aebc36-7716-4a85-8f73-96fc60d830de</t>
  </si>
  <si>
    <t>PropTk</t>
  </si>
  <si>
    <t>PropellantTank</t>
  </si>
  <si>
    <t>36adadc2-f708-4ef2-88a1-0c6b6c02c150</t>
  </si>
  <si>
    <t>PROPULSION</t>
  </si>
  <si>
    <t>Pro</t>
  </si>
  <si>
    <t>b72e7f16-f1bd-4151-bd74-aa3eff15de04</t>
  </si>
  <si>
    <t xml:space="preserve">   Engine : Engine</t>
  </si>
  <si>
    <t>Pro.Engine</t>
  </si>
  <si>
    <t>a10be8bc-485d-49d7-b421-d5af9a44c226</t>
  </si>
  <si>
    <t xml:space="preserve">   Propellant : Propellant</t>
  </si>
  <si>
    <t>Pro.Propellant</t>
  </si>
  <si>
    <t>17d08b50-e799-47c5-aa43-b42ffd0e23d7</t>
  </si>
  <si>
    <t xml:space="preserve">   PropellantTank : PropellantTank</t>
  </si>
  <si>
    <t>Pro.PropellantTank</t>
  </si>
  <si>
    <t>9f34356d-5314-4c6b-8a38-fbeb58458f61</t>
  </si>
  <si>
    <t>SPACECRAFT-SPS</t>
  </si>
  <si>
    <t>ICARUS1</t>
  </si>
  <si>
    <t>de8d2645-7376-41b3-a013-9b87d4c47fcf</t>
  </si>
  <si>
    <t xml:space="preserve">   ADCS : ADCS</t>
  </si>
  <si>
    <t>ICARUS1.ADCS</t>
  </si>
  <si>
    <t>cb078f47-ecf9-4892-939a-e381f31b4eda</t>
  </si>
  <si>
    <t xml:space="preserve">   POW : POW</t>
  </si>
  <si>
    <t>ICARUS1.POW</t>
  </si>
  <si>
    <t>0e0a17aa-ffb1-4367-b426-dfc1678bcc65</t>
  </si>
  <si>
    <t xml:space="preserve">   Pro : Pro</t>
  </si>
  <si>
    <t>ICARUS1.Pro</t>
  </si>
  <si>
    <t>5d29aff5-8fc4-44a4-a3e9-d760234e3061</t>
  </si>
  <si>
    <t xml:space="preserve">   STR : STR</t>
  </si>
  <si>
    <t>ICARUS1.STR</t>
  </si>
  <si>
    <t>02a29400-49ca-4441-a363-b79ed8a0fa88</t>
  </si>
  <si>
    <t>STRUCTURE and MECH</t>
  </si>
  <si>
    <t>d9ea785b-4ba5-4621-ab89-9c44b1de07ce</t>
  </si>
  <si>
    <t xml:space="preserve">   BS_ST : BS_ST</t>
  </si>
  <si>
    <t>STR.BS_ST</t>
  </si>
  <si>
    <t>3d8f5eaa-bf74-4bde-9c9e-2e16ab48a117</t>
  </si>
  <si>
    <t xml:space="preserve">   CTR_BEAM : CTR_BEAM</t>
  </si>
  <si>
    <t>STR.CTR_BEAM</t>
  </si>
  <si>
    <t>09ce2be0-da76-48a3-afdd-f9c56483ad76</t>
  </si>
  <si>
    <t xml:space="preserve">   m_beam : m_beam</t>
  </si>
  <si>
    <t>STR.m_beam</t>
  </si>
  <si>
    <t>683ddd10-74f6-469c-bcb8-75c214c76380</t>
  </si>
  <si>
    <t xml:space="preserve">   m_frame : m_frame</t>
  </si>
  <si>
    <t>STR.m_frame</t>
  </si>
  <si>
    <t>bf1f2139-62dd-46fa-963b-5656faa017a9</t>
  </si>
  <si>
    <t xml:space="preserve">   MECH : MECH</t>
  </si>
  <si>
    <t>STR.MECH</t>
  </si>
  <si>
    <t>5f5e2cfc-b532-40ee-a8c4-5f1cbfdf0fff</t>
  </si>
  <si>
    <t>efc2a743-bb4d-4449-a8f1-882950350e59</t>
  </si>
  <si>
    <t xml:space="preserve">   Mirror : Mirror</t>
  </si>
  <si>
    <t>STR.Mirror</t>
  </si>
  <si>
    <t>54b7fe44-8691-436d-96a6-8c0b0eb7594b</t>
  </si>
  <si>
    <t>Sun Sensor</t>
  </si>
  <si>
    <t>sun_sensor</t>
  </si>
  <si>
    <t>6702ebb0-534e-4ef9-b0e3-bbe35b4a7a37</t>
  </si>
  <si>
    <t>Tensioning_mirror</t>
  </si>
  <si>
    <t>Mirror</t>
  </si>
  <si>
    <t>cd78d34f-6202-42bf-9358-4399f1f7aa0b</t>
  </si>
  <si>
    <t>Thrusters</t>
  </si>
  <si>
    <t>313c5be0-07ea-46ea-8c96-e619ffd6ed5d</t>
  </si>
  <si>
    <t>Option:</t>
  </si>
  <si>
    <t>Option 1</t>
  </si>
  <si>
    <t>ICARUS\option_1</t>
  </si>
  <si>
    <t>NE</t>
  </si>
  <si>
    <t xml:space="preserve">   Spacecraft</t>
  </si>
  <si>
    <t>ICARUS.ICARUS1\option_1</t>
  </si>
  <si>
    <t xml:space="preserve">      ATTITUDE DETERMINATION and CONTROL</t>
  </si>
  <si>
    <t>ICARUS.ICARUS1.ADCS</t>
  </si>
  <si>
    <t>ICARUS.ICARUS1.ADCS\option_1</t>
  </si>
  <si>
    <t xml:space="preserve">         Thrusters-1</t>
  </si>
  <si>
    <t>ICARUS.ICARUS1.ADCS.Thrusters</t>
  </si>
  <si>
    <t>ICARUS.ICARUS1.ADCS.Thrusters\option_1</t>
  </si>
  <si>
    <t xml:space="preserve">      POWER</t>
  </si>
  <si>
    <t>ICARUS.ICARUS1.POW</t>
  </si>
  <si>
    <t>ICARUS.ICARUS1.POW\option_1</t>
  </si>
  <si>
    <t>NP</t>
  </si>
  <si>
    <t xml:space="preserve">         peak consumed power</t>
  </si>
  <si>
    <t xml:space="preserve">      PROPULSION</t>
  </si>
  <si>
    <t>ICARUS.ICARUS1.Pro</t>
  </si>
  <si>
    <t>ICARUS.ICARUS1.Pro\option_1</t>
  </si>
  <si>
    <t xml:space="preserve">         Eng</t>
  </si>
  <si>
    <t>ICARUS.ICARUS1.Pro.Engine</t>
  </si>
  <si>
    <t>ICARUS.ICARUS1.Pro.Engine\option_1</t>
  </si>
  <si>
    <t xml:space="preserve">         Prop.</t>
  </si>
  <si>
    <t>ICARUS.ICARUS1.Pro.Propellant</t>
  </si>
  <si>
    <t>ICARUS.ICARUS1.Pro.Propellant\option_1</t>
  </si>
  <si>
    <t xml:space="preserve">         PropTk</t>
  </si>
  <si>
    <t>ICARUS.ICARUS1.Pro.PropellantTank</t>
  </si>
  <si>
    <t>ICARUS.ICARUS1.Pro.PropellantTank\option_1</t>
  </si>
  <si>
    <t xml:space="preserve">      STRUCTURE and MECH</t>
  </si>
  <si>
    <t>ICARUS.ICARUS1.STR</t>
  </si>
  <si>
    <t>ICARUS.ICARUS1.STR\option_1</t>
  </si>
  <si>
    <t xml:space="preserve">         Base_stages</t>
  </si>
  <si>
    <t>ICARUS.ICARUS1.STR.BS_ST</t>
  </si>
  <si>
    <t>ICARUS.ICARUS1.STR.BS_ST\option_1</t>
  </si>
  <si>
    <t xml:space="preserve">         Central_Beam_structure</t>
  </si>
  <si>
    <t>ICARUS.ICARUS1.STR.CTR_BEAM</t>
  </si>
  <si>
    <t>ICARUS.ICARUS1.STR.CTR_BEAM\option_1</t>
  </si>
  <si>
    <t xml:space="preserve">         Mirror_beam_str</t>
  </si>
  <si>
    <t>ICARUS.ICARUS1.STR.m_beam</t>
  </si>
  <si>
    <t>ICARUS.ICARUS1.STR.m_beam\option_1</t>
  </si>
  <si>
    <t xml:space="preserve">         Mirror_frame_str</t>
  </si>
  <si>
    <t>ICARUS.ICARUS1.STR.m_frame</t>
  </si>
  <si>
    <t>ICARUS.ICARUS1.STR.m_frame\option_1</t>
  </si>
  <si>
    <t xml:space="preserve">         MECHANISM</t>
  </si>
  <si>
    <t>ICARUS.ICARUS1.STR.MECH</t>
  </si>
  <si>
    <t>ICARUS.ICARUS1.STR.MECH\option_1</t>
  </si>
  <si>
    <t xml:space="preserve">         Tensioning_mirror</t>
  </si>
  <si>
    <t>ICARUS.ICARUS1.STR.Mirror</t>
  </si>
  <si>
    <t>ICARUS.ICARUS1.STR.Mirror\option_1</t>
  </si>
  <si>
    <t xml:space="preserve">   Mission Analysis</t>
  </si>
  <si>
    <t>ICARUS.MA\option_1</t>
  </si>
  <si>
    <t>--AOC</t>
  </si>
  <si>
    <t>Pro.P_peak</t>
  </si>
  <si>
    <t>--PRO</t>
  </si>
  <si>
    <t>62277641-ddf5-43e2-a0c8-d69180fb5a51</t>
  </si>
  <si>
    <t>ICARUS1.P_peak</t>
  </si>
  <si>
    <t>--SYS</t>
  </si>
  <si>
    <t>599f093f-2f8e-41c1-a1dc-198abf7f527a</t>
  </si>
  <si>
    <t>--STR</t>
  </si>
  <si>
    <t xml:space="preserve">      peak consumed power</t>
  </si>
  <si>
    <t>ICARUS.ICARUS1\P_peak\\option_1</t>
  </si>
  <si>
    <t>PWR [SYS]</t>
  </si>
  <si>
    <t>NPS</t>
  </si>
  <si>
    <t>PWR [AOC]</t>
  </si>
  <si>
    <t>ICARUS.ICARUS1.Pro\P_peak\\option_1</t>
  </si>
  <si>
    <t>PWR [PRO]</t>
  </si>
  <si>
    <t>PWR [STR]</t>
  </si>
  <si>
    <t>Antenna Inter Satellite Link</t>
  </si>
  <si>
    <t>ISL_Antenna</t>
  </si>
  <si>
    <t>Antennas</t>
  </si>
  <si>
    <t>e331c353-7c2f-412a-9e63-9ef12e3451f9</t>
  </si>
  <si>
    <t>Antenna Receiving</t>
  </si>
  <si>
    <t>Rx_Antenna</t>
  </si>
  <si>
    <t>bb776660-6548-40ac-9a02-5757400a48be</t>
  </si>
  <si>
    <t>Antenna_Transmitting</t>
  </si>
  <si>
    <t>Tx_Antenna</t>
  </si>
  <si>
    <t>18a98a25-3379-4804-9119-17ccad0b311f</t>
  </si>
  <si>
    <t xml:space="preserve">   ISL_Antenna : ISL_Antenna</t>
  </si>
  <si>
    <t>COMMS.ISL_Antenna</t>
  </si>
  <si>
    <t>b62d8753-25f5-4d67-9a7e-b715f077f085</t>
  </si>
  <si>
    <t xml:space="preserve">   Rx_Antenna : Rx_Antenna</t>
  </si>
  <si>
    <t>COMMS.Rx_Antenna</t>
  </si>
  <si>
    <t>02e6cd93-d2a6-4db7-920e-a4162d5ec6ce</t>
  </si>
  <si>
    <t xml:space="preserve">   Tx_Antenna : Tx_Antenna</t>
  </si>
  <si>
    <t>COMMS.Tx_Antenna</t>
  </si>
  <si>
    <t>4cd38dff-1506-465d-8780-381b95b9dd04</t>
  </si>
  <si>
    <t>P_mean</t>
  </si>
  <si>
    <t>P_mean [W]</t>
  </si>
  <si>
    <t>Power Amplifier</t>
  </si>
  <si>
    <t>P_Amp</t>
  </si>
  <si>
    <t>Power_Amps</t>
  </si>
  <si>
    <t>f2232321-819c-4189-a223-8b5c9cc8ae67</t>
  </si>
  <si>
    <t xml:space="preserve">   P_Amp : P_Amp</t>
  </si>
  <si>
    <t>COMMS.P_Amp</t>
  </si>
  <si>
    <t>e70b1ccf-3afa-4ace-af56-3648879ffe01</t>
  </si>
  <si>
    <t xml:space="preserve">   COMMS : COMMS</t>
  </si>
  <si>
    <t>ICARUS1.COMMS</t>
  </si>
  <si>
    <t>77e8b5b7-9fd7-499b-8c40-fa4c60737625</t>
  </si>
  <si>
    <t xml:space="preserve">      COMMUNICATIONS SUBSYSTEM</t>
  </si>
  <si>
    <t>ICARUS.ICARUS1.COMMS</t>
  </si>
  <si>
    <t>ICARUS.ICARUS1.COMMS\option_1</t>
  </si>
  <si>
    <t xml:space="preserve">         mean consumed power</t>
  </si>
  <si>
    <t>PWR [COM]</t>
  </si>
  <si>
    <t xml:space="preserve">         Antenna Inter Satellite Link</t>
  </si>
  <si>
    <t>ICARUS.ICARUS1.COMMS.ISL_Antenna</t>
  </si>
  <si>
    <t>ICARUS.ICARUS1.COMMS.ISL_Antenna\option_1</t>
  </si>
  <si>
    <t xml:space="preserve">         Power Amplifier</t>
  </si>
  <si>
    <t>ICARUS.ICARUS1.COMMS.P_Amp</t>
  </si>
  <si>
    <t>ICARUS.ICARUS1.COMMS.P_Amp\option_1</t>
  </si>
  <si>
    <t xml:space="preserve">         Antenna Receiving</t>
  </si>
  <si>
    <t>ICARUS.ICARUS1.COMMS.Rx_Antenna</t>
  </si>
  <si>
    <t>ICARUS.ICARUS1.COMMS.Rx_Antenna\option_1</t>
  </si>
  <si>
    <t xml:space="preserve">         Antenna_Transmitting</t>
  </si>
  <si>
    <t>ICARUS.ICARUS1.COMMS.Tx_Antenna</t>
  </si>
  <si>
    <t>ICARUS.ICARUS1.COMMS.Tx_Antenna\option_1</t>
  </si>
  <si>
    <t>Prop</t>
  </si>
  <si>
    <t xml:space="preserve">   Propellant : Prop</t>
  </si>
  <si>
    <t>beamDiameter [m]</t>
  </si>
  <si>
    <t>beamRadius [m]</t>
  </si>
  <si>
    <t>Diameter</t>
  </si>
  <si>
    <t>m</t>
  </si>
  <si>
    <t>year</t>
  </si>
  <si>
    <t>W</t>
  </si>
  <si>
    <t>mass</t>
  </si>
  <si>
    <t>kg</t>
  </si>
  <si>
    <t>Eclipse duration</t>
  </si>
  <si>
    <t>minutes</t>
  </si>
  <si>
    <t>Eclipse cycles</t>
  </si>
  <si>
    <t>cycles/year</t>
  </si>
  <si>
    <t>Atomic Clock</t>
  </si>
  <si>
    <t>Atom_Clock</t>
  </si>
  <si>
    <t>DHS</t>
  </si>
  <si>
    <t>9bc6218c-d61d-4a8c-b3ff-05cc7e90a73b</t>
  </si>
  <si>
    <t>CDH Subsystem</t>
  </si>
  <si>
    <t>CDH</t>
  </si>
  <si>
    <t>00b877cf-9b10-473e-8fcf-d87ab1f1001f</t>
  </si>
  <si>
    <t xml:space="preserve">   Atom_Clock : Atom_Clock</t>
  </si>
  <si>
    <t>CDH.Atom_Clock</t>
  </si>
  <si>
    <t>4bdddaba-4286-40d5-b7ca-e192787ba4b9</t>
  </si>
  <si>
    <t xml:space="preserve">   memory : memory</t>
  </si>
  <si>
    <t>CDH.memory</t>
  </si>
  <si>
    <t>d898cf12-e228-4180-968f-f1f986f2f944</t>
  </si>
  <si>
    <t xml:space="preserve">   OBC : OBC</t>
  </si>
  <si>
    <t>CDH.OBC</t>
  </si>
  <si>
    <t>5f7e6edf-e825-4961-b815-67530e117c82</t>
  </si>
  <si>
    <t xml:space="preserve">   Diplexer : Diplexer</t>
  </si>
  <si>
    <t>COMMS.Diplexer</t>
  </si>
  <si>
    <t>97920ae2-9191-4474-b8b0-92ccc13ba556</t>
  </si>
  <si>
    <t>892d80a4-73b7-4694-9654-f77522bfeea2</t>
  </si>
  <si>
    <t>acb63de5-e0ce-4719-ac86-1de8426c16af</t>
  </si>
  <si>
    <t>c83d7280-89ed-4043-9e0b-a0df70e54f24</t>
  </si>
  <si>
    <t>357e08c1-dd31-4359-9361-64eb54d13787</t>
  </si>
  <si>
    <t xml:space="preserve">   RFDU : RFDU</t>
  </si>
  <si>
    <t>COMMS.RFDU</t>
  </si>
  <si>
    <t>7629df4b-2e58-447e-a771-df5d598633a2</t>
  </si>
  <si>
    <t xml:space="preserve">   Transponder : Transponder</t>
  </si>
  <si>
    <t>COMMS.Transponder</t>
  </si>
  <si>
    <t>299c5750-9210-4aa5-ba08-422d6a5f001b</t>
  </si>
  <si>
    <t>be6c0fa7-7776-4ab1-a8f7-c0d9aaa1c695</t>
  </si>
  <si>
    <t>Diplexer</t>
  </si>
  <si>
    <t>6e17a94f-c7f1-4212-a8fe-5f313e96020c</t>
  </si>
  <si>
    <t>memory</t>
  </si>
  <si>
    <t>032fcde4-8fb6-450d-98a3-ae600d1f2bac</t>
  </si>
  <si>
    <t>on-board computer</t>
  </si>
  <si>
    <t>OBC</t>
  </si>
  <si>
    <t>cdaa1321-becd-4b03-93fd-614636d3b68e</t>
  </si>
  <si>
    <t>f3eca420-4e11-48e9-95f4-6746ed27cd23</t>
  </si>
  <si>
    <t>RF Distribution Unit</t>
  </si>
  <si>
    <t>RFDU</t>
  </si>
  <si>
    <t>ebf95fb5-77b0-4940-9c72-cecccc154fd5</t>
  </si>
  <si>
    <t xml:space="preserve">   CDH : CDH</t>
  </si>
  <si>
    <t>ICARUS1.CDH</t>
  </si>
  <si>
    <t>46dd3c62-dde6-4c02-ad28-e8f713cc387e</t>
  </si>
  <si>
    <t>Thrusters.Propellant</t>
  </si>
  <si>
    <t>0120b4cb-cbd1-4edf-b2c4-fae2d0a53bcd</t>
  </si>
  <si>
    <t>Transponder</t>
  </si>
  <si>
    <t>7aa6ea94-4aba-457b-819b-02d6858d4692</t>
  </si>
  <si>
    <t xml:space="preserve">            Propellant</t>
  </si>
  <si>
    <t>ICARUS.ICARUS1.ADCS.Thrusters.Propellant</t>
  </si>
  <si>
    <t>ICARUS.ICARUS1.ADCS.Thrusters.Propellant\option_1</t>
  </si>
  <si>
    <t xml:space="preserve">      CDH Subsystem</t>
  </si>
  <si>
    <t>ICARUS.ICARUS1.CDH</t>
  </si>
  <si>
    <t>ICARUS.ICARUS1.CDH\option_1</t>
  </si>
  <si>
    <t xml:space="preserve">         Atomic Clock</t>
  </si>
  <si>
    <t>ICARUS.ICARUS1.CDH.Atom_Clock</t>
  </si>
  <si>
    <t>ICARUS.ICARUS1.CDH.Atom_Clock\option_1</t>
  </si>
  <si>
    <t xml:space="preserve">         memory</t>
  </si>
  <si>
    <t>ICARUS.ICARUS1.CDH.memory</t>
  </si>
  <si>
    <t>ICARUS.ICARUS1.CDH.memory\option_1</t>
  </si>
  <si>
    <t xml:space="preserve">         on-board computer</t>
  </si>
  <si>
    <t>ICARUS.ICARUS1.CDH.OBC</t>
  </si>
  <si>
    <t>ICARUS.ICARUS1.CDH.OBC\option_1</t>
  </si>
  <si>
    <t xml:space="preserve">         Diplexer</t>
  </si>
  <si>
    <t>ICARUS.ICARUS1.COMMS.Diplexer</t>
  </si>
  <si>
    <t>ICARUS.ICARUS1.COMMS.Diplexer\option_1</t>
  </si>
  <si>
    <t xml:space="preserve">         RF Distribution Unit</t>
  </si>
  <si>
    <t>ICARUS.ICARUS1.COMMS.RFDU</t>
  </si>
  <si>
    <t>ICARUS.ICARUS1.COMMS.RFDU\option_1</t>
  </si>
  <si>
    <t xml:space="preserve">         Transponder</t>
  </si>
  <si>
    <t>ICARUS.ICARUS1.COMMS.Transponder</t>
  </si>
  <si>
    <t>ICARUS.ICARUS1.COMMS.Transponder\option_1</t>
  </si>
  <si>
    <t>Pwr_mean_daytime</t>
  </si>
  <si>
    <t>Pwr_mean_eclipse</t>
  </si>
  <si>
    <t>Pwr_peak_daytime</t>
  </si>
  <si>
    <t>reflectance_factor</t>
  </si>
  <si>
    <t>angle_incidence</t>
  </si>
  <si>
    <t>rad</t>
  </si>
  <si>
    <t>Mission Lifetime (icarus duration)</t>
  </si>
  <si>
    <t xml:space="preserve">   mean consumed power\\Ecl</t>
  </si>
  <si>
    <t>P_mean\\Ecl</t>
  </si>
  <si>
    <t>ADCS.P_mean\Ecl</t>
  </si>
  <si>
    <t>2e51750c-217d-4f6e-b117-597dd6c278aa</t>
  </si>
  <si>
    <t xml:space="preserve">   mean consumed power\\Day</t>
  </si>
  <si>
    <t>P_mean\\Day</t>
  </si>
  <si>
    <t>ADCS.P_mean\Day</t>
  </si>
  <si>
    <t>4ac592fb-8ade-456b-b8db-8eee00c08874</t>
  </si>
  <si>
    <t xml:space="preserve">   peak consumed power\\Ecl</t>
  </si>
  <si>
    <t>P_peak\\Ecl</t>
  </si>
  <si>
    <t>ADCS.P_peak\Ecl</t>
  </si>
  <si>
    <t>7ffff898-36e0-480a-9e27-435c60dc058b</t>
  </si>
  <si>
    <t xml:space="preserve">   peak consumed power\\Day</t>
  </si>
  <si>
    <t>P_peak\\Day</t>
  </si>
  <si>
    <t>ADCS.P_peak\Day</t>
  </si>
  <si>
    <t>8e7f5a5f-d311-4a3f-bd4b-ace1b87b5dff</t>
  </si>
  <si>
    <t xml:space="preserve">   diameter</t>
  </si>
  <si>
    <t>d</t>
  </si>
  <si>
    <t>CTR_BEAM.d</t>
  </si>
  <si>
    <t>d [m]</t>
  </si>
  <si>
    <t>3d331277-719a-422d-82b3-9a502efe2a9d</t>
  </si>
  <si>
    <t>COMMS.P_mean\Ecl</t>
  </si>
  <si>
    <t>50eaa292-59f5-4993-a63b-31a040028773</t>
  </si>
  <si>
    <t>COMMS.P_mean\Day</t>
  </si>
  <si>
    <t>19342d21-ce0e-4686-b37f-65421f2b627e</t>
  </si>
  <si>
    <t>COMMS.P_peak\Ecl</t>
  </si>
  <si>
    <t>571e3231-627a-4962-a82f-d9b89d49b9b3</t>
  </si>
  <si>
    <t>COMMS.P_peak\Day</t>
  </si>
  <si>
    <t>46f23b69-d404-41b4-82d0-6bf00c670d69</t>
  </si>
  <si>
    <t xml:space="preserve">   duration</t>
  </si>
  <si>
    <t>dur</t>
  </si>
  <si>
    <t>ICARUS.dur</t>
  </si>
  <si>
    <t>dur [yr]</t>
  </si>
  <si>
    <t>ba70395f-a011-45a0-9e3e-1cff28e965da</t>
  </si>
  <si>
    <t xml:space="preserve">   mass</t>
  </si>
  <si>
    <t>POW.m</t>
  </si>
  <si>
    <t>m [kg]</t>
  </si>
  <si>
    <t>46418a96-f1db-41d2-a38e-3922b824e58e</t>
  </si>
  <si>
    <t xml:space="preserve">   reflectance factor</t>
  </si>
  <si>
    <t>reffac</t>
  </si>
  <si>
    <t>POW.reffac</t>
  </si>
  <si>
    <t>reffac [-]</t>
  </si>
  <si>
    <t>6b3e3c11-456c-452b-9aba-fb0b6d0ec51b</t>
  </si>
  <si>
    <t>Pro.P_mean\Ecl</t>
  </si>
  <si>
    <t>064c178d-584e-4505-8b68-d2110758943a</t>
  </si>
  <si>
    <t>Pro.P_mean\Day</t>
  </si>
  <si>
    <t>0ce88d1f-e21e-4630-9027-ddf57b827631</t>
  </si>
  <si>
    <t>STR.d</t>
  </si>
  <si>
    <t>2d8b5664-b776-44b9-aa56-3924b2e60f7a</t>
  </si>
  <si>
    <t xml:space="preserve">   number of items</t>
  </si>
  <si>
    <t>n_items</t>
  </si>
  <si>
    <t>STR.n_items</t>
  </si>
  <si>
    <t>n_items [-]</t>
  </si>
  <si>
    <t>3713ca7d-a95a-477d-a0a6-4ec3fd0b4780</t>
  </si>
  <si>
    <t>ICARUS\dur\\option_1</t>
  </si>
  <si>
    <t>ICARUS.ICARUS1.ADCS\P_mean\Day\option_1</t>
  </si>
  <si>
    <t>ICARUS.ICARUS1.ADCS\P_mean\Ecl\option_1</t>
  </si>
  <si>
    <t>ICARUS.ICARUS1.ADCS\P_peak\Day\option_1</t>
  </si>
  <si>
    <t>ICARUS.ICARUS1.ADCS\P_peak\Ecl\option_1</t>
  </si>
  <si>
    <t>ICARUS.ICARUS1.COMMS\P_mean\Day\option_1</t>
  </si>
  <si>
    <t>ICARUS.ICARUS1.COMMS\P_mean\Ecl\option_1</t>
  </si>
  <si>
    <t>ICARUS.ICARUS1.COMMS\P_peak\Day\option_1</t>
  </si>
  <si>
    <t>ICARUS.ICARUS1.COMMS\P_peak\Ecl\option_1</t>
  </si>
  <si>
    <t xml:space="preserve">         mass</t>
  </si>
  <si>
    <t>ICARUS.ICARUS1.POW\m\\option_1</t>
  </si>
  <si>
    <t xml:space="preserve">         reflectance factor</t>
  </si>
  <si>
    <t>ICARUS.ICARUS1.POW\reffac\\option_1</t>
  </si>
  <si>
    <t>ICARUS.ICARUS1.Pro\P_mean\Day\option_1</t>
  </si>
  <si>
    <t>ICARUS.ICARUS1.Pro\P_mean\Ecl\option_1</t>
  </si>
  <si>
    <t xml:space="preserve">         diameter</t>
  </si>
  <si>
    <t>ICARUS.ICARUS1.STR\d\\option_1</t>
  </si>
  <si>
    <t xml:space="preserve">         number of items</t>
  </si>
  <si>
    <t>ICARUS.ICARUS1.STR\n_items\\option_1</t>
  </si>
  <si>
    <t xml:space="preserve">            diameter</t>
  </si>
  <si>
    <t>ICARUS.ICARUS1.STR.CTR_BEAM\d\\option_1</t>
  </si>
  <si>
    <t>Battery</t>
  </si>
  <si>
    <t>10ff4935-c787-4e1f-b0bc-8dc2692ad191</t>
  </si>
  <si>
    <t xml:space="preserve">   battery capacity</t>
  </si>
  <si>
    <t>bat_cap</t>
  </si>
  <si>
    <t>Battery.bat_cap</t>
  </si>
  <si>
    <t>bat_cap [A·h]</t>
  </si>
  <si>
    <t>1f78cdfb-11dd-43e5-af16-5876f4855a6e</t>
  </si>
  <si>
    <t xml:space="preserve">   battery cell type</t>
  </si>
  <si>
    <t>bat_cell_type</t>
  </si>
  <si>
    <t>Battery.bat_cell_type</t>
  </si>
  <si>
    <t>b2e4d66d-f26a-4cb4-bbf0-769ea8ab51f2</t>
  </si>
  <si>
    <t>Battery.m</t>
  </si>
  <si>
    <t>00e5cef1-ec41-4151-a161-78a0907a0dc0</t>
  </si>
  <si>
    <t xml:space="preserve">   Battery : Battery</t>
  </si>
  <si>
    <t>POW.Battery</t>
  </si>
  <si>
    <t>f31a4efb-0f0c-4df9-b653-2d9edfd1a8f9</t>
  </si>
  <si>
    <t xml:space="preserve">   powerBus : powerBus</t>
  </si>
  <si>
    <t>POW.powerBus</t>
  </si>
  <si>
    <t>4f1c383f-2955-4910-aedb-4c1d172329c3</t>
  </si>
  <si>
    <t xml:space="preserve">   solarArray : solarArray</t>
  </si>
  <si>
    <t>POW.solarArray</t>
  </si>
  <si>
    <t>a0b9fe6f-f2b7-416b-87ab-e460162d4890</t>
  </si>
  <si>
    <t>Power Bus</t>
  </si>
  <si>
    <t>powerBus</t>
  </si>
  <si>
    <t>44bb23c0-8ec7-49a8-926f-9df5b5ab94ef</t>
  </si>
  <si>
    <t>powerBus.m</t>
  </si>
  <si>
    <t>6aa690bb-a6ee-4680-9227-49a0a7e099bf</t>
  </si>
  <si>
    <t>Solar Array</t>
  </si>
  <si>
    <t>solarArray</t>
  </si>
  <si>
    <t>8764f948-4545-4259-9125-a89d7f32e400</t>
  </si>
  <si>
    <t xml:space="preserve">   object distance</t>
  </si>
  <si>
    <t>obj_dist</t>
  </si>
  <si>
    <t>solarArray.obj_dist</t>
  </si>
  <si>
    <t>obj_dist [m]</t>
  </si>
  <si>
    <t>3e719551-a94b-4fba-89b2-0cf95ef196fa</t>
  </si>
  <si>
    <t xml:space="preserve">   solar array type</t>
  </si>
  <si>
    <t>SA_type</t>
  </si>
  <si>
    <t>solarArray.SA_type</t>
  </si>
  <si>
    <t>03e8f1c9-a7b8-4b02-96a5-2e058c3a680b</t>
  </si>
  <si>
    <t xml:space="preserve">   solar cell type</t>
  </si>
  <si>
    <t>solar_cell_type</t>
  </si>
  <si>
    <t>solarArray.solar_cell_type</t>
  </si>
  <si>
    <t>1c4a7a45-efe4-44c5-9d73-70c379a5d02d</t>
  </si>
  <si>
    <t xml:space="preserve">   length</t>
  </si>
  <si>
    <t>l</t>
  </si>
  <si>
    <t>STR.l</t>
  </si>
  <si>
    <t>l [m]</t>
  </si>
  <si>
    <t>1e7f4d5c-70a0-4b16-8da0-f45ccb425121</t>
  </si>
  <si>
    <t xml:space="preserve">         Battery</t>
  </si>
  <si>
    <t>ICARUS.ICARUS1.POW.Battery</t>
  </si>
  <si>
    <t>ICARUS.ICARUS1.POW.Battery\option_1</t>
  </si>
  <si>
    <t xml:space="preserve">            battery capacity</t>
  </si>
  <si>
    <t>ICARUS.ICARUS1.POW.Battery\bat_cap\\option_1</t>
  </si>
  <si>
    <t xml:space="preserve">            battery cell type</t>
  </si>
  <si>
    <t>ICARUS.ICARUS1.POW.Battery\bat_cell_type\\option_1</t>
  </si>
  <si>
    <t xml:space="preserve">            mass</t>
  </si>
  <si>
    <t>ICARUS.ICARUS1.POW.Battery\m\\option_1</t>
  </si>
  <si>
    <t xml:space="preserve">         Power Bus</t>
  </si>
  <si>
    <t>ICARUS.ICARUS1.POW.powerBus</t>
  </si>
  <si>
    <t>ICARUS.ICARUS1.POW.powerBus\option_1</t>
  </si>
  <si>
    <t>ICARUS.ICARUS1.POW.powerBus\m\\option_1</t>
  </si>
  <si>
    <t xml:space="preserve">         Solar Array</t>
  </si>
  <si>
    <t>ICARUS.ICARUS1.POW.solarArray</t>
  </si>
  <si>
    <t>ICARUS.ICARUS1.POW.solarArray\option_1</t>
  </si>
  <si>
    <t xml:space="preserve">            object distance</t>
  </si>
  <si>
    <t>ICARUS.ICARUS1.POW.solarArray\obj_dist\\option_1</t>
  </si>
  <si>
    <t xml:space="preserve">            solar array type</t>
  </si>
  <si>
    <t>ICARUS.ICARUS1.POW.solarArray\SA_type\\option_1</t>
  </si>
  <si>
    <t xml:space="preserve">            solar cell type</t>
  </si>
  <si>
    <t>ICARUS.ICARUS1.POW.solarArray\solar_cell_type\\option_1</t>
  </si>
  <si>
    <t xml:space="preserve">         length</t>
  </si>
  <si>
    <t>ICARUS.ICARUS1.STR\l\\option_1</t>
  </si>
  <si>
    <t>DoD</t>
  </si>
  <si>
    <t>N</t>
  </si>
  <si>
    <t>η</t>
  </si>
  <si>
    <t>Pe [W] 
 ∑ Pwr_mean_eclipse</t>
  </si>
  <si>
    <t>Cr
 [Wh]</t>
  </si>
  <si>
    <t>U (Energy density)
 [Wh/kg]</t>
  </si>
  <si>
    <t>Fquant</t>
  </si>
  <si>
    <t>Power Bus Mass</t>
  </si>
  <si>
    <t>Beam length</t>
  </si>
  <si>
    <t>Beam diameter</t>
  </si>
  <si>
    <t>plate_distance: 1/sq3_λ [m]</t>
  </si>
  <si>
    <t>Irradiance [W/m2]</t>
  </si>
  <si>
    <t>PV_Power_BOL [W]</t>
  </si>
  <si>
    <t>Consumed_Power
 ∑ Pwr_mean_daytime [W]</t>
  </si>
  <si>
    <t>microWavePower_BOL
[W]</t>
  </si>
  <si>
    <t>Yearly_Degradation</t>
  </si>
  <si>
    <t>Mission_Life</t>
  </si>
  <si>
    <t>PV_Power_EOL
[W]</t>
  </si>
  <si>
    <t>microWavePower_EOL
[W]</t>
  </si>
  <si>
    <t>beamLength [m]</t>
  </si>
  <si>
    <t>alphaSector [rad]</t>
  </si>
  <si>
    <t>nrElement_per_Sector</t>
  </si>
  <si>
    <t>NrPlates</t>
  </si>
  <si>
    <t>nrElements</t>
  </si>
  <si>
    <t>Element_Power_BOL
[W]</t>
  </si>
  <si>
    <t>Element_Power_EOL
[W]</t>
  </si>
  <si>
    <t>PV_Efficiency
AzurSpace 3C44 CPV x500</t>
  </si>
  <si>
    <t>PV_Power_Element
[W]</t>
  </si>
  <si>
    <t>V_bus 
[V]</t>
  </si>
  <si>
    <t>Delta_Power
[W]</t>
  </si>
  <si>
    <t>Summa_Delta_Power
[W]</t>
  </si>
  <si>
    <t>Current
[A]</t>
  </si>
  <si>
    <t>Area
[mm2]</t>
  </si>
  <si>
    <t>wireCrossSection
[mm2]</t>
  </si>
  <si>
    <t>Power to Earth Grid
by Constellation, EOL 
[GW]</t>
  </si>
  <si>
    <t>Satellite DC to microWave;
microWave to Earth;
gnd microWave to DC;
ground DC to AC
combined efficiency</t>
  </si>
  <si>
    <t>wireVolume
[mm3]</t>
  </si>
  <si>
    <t>J (current density)
Cu
A/mm2</t>
  </si>
  <si>
    <t>rho (mass density)
Cu
g/cm3</t>
  </si>
  <si>
    <t>wireMass
[g]</t>
  </si>
  <si>
    <t>Summa
WireMass
[g]</t>
  </si>
  <si>
    <t># Element
from 
circumference</t>
  </si>
  <si>
    <t>wireMass_per_Radius
[g]</t>
  </si>
  <si>
    <t>radial_Bus_Mass
[kg]</t>
  </si>
  <si>
    <t>Peak_Power [W] 
 ∑ Pwr_peak_daytime</t>
  </si>
  <si>
    <t>Peak_Current
[A]</t>
  </si>
  <si>
    <t>beamBus
Area
[mm2]</t>
  </si>
  <si>
    <t>beamBus
Length
[m]</t>
  </si>
  <si>
    <t>beamBus
Volume
[cm3]</t>
  </si>
  <si>
    <t>beamBus
Mass
[kg]</t>
  </si>
  <si>
    <t>peakCurrent
Radius
[A]</t>
  </si>
  <si>
    <t>Antenna dipole diameter
[mm]</t>
  </si>
  <si>
    <t>Antenna dipole length
[mm]</t>
  </si>
  <si>
    <t>Antenna dipole gap
[mm]</t>
  </si>
  <si>
    <t>Antenna element volume
[mm3]</t>
  </si>
  <si>
    <t>Antenna element mass
[g]</t>
  </si>
  <si>
    <t>Summa  antenna mass
[kg]</t>
  </si>
  <si>
    <t>Cylinder cross-Section
[m2]</t>
  </si>
  <si>
    <t>Cylinder fill-factor
[-]</t>
  </si>
  <si>
    <t>PV Components Reflectance
[-]</t>
  </si>
  <si>
    <t>Cylinder Cross-Section Reflectance
[-]</t>
  </si>
  <si>
    <t>mirrorArea
[m2]</t>
  </si>
  <si>
    <t>reflectance factor
[-]</t>
  </si>
  <si>
    <t>reflectance
Factor</t>
  </si>
  <si>
    <t xml:space="preserve">m </t>
  </si>
  <si>
    <t>manual parameter set to 0</t>
  </si>
  <si>
    <t>Power Bus Mass
[kg]</t>
  </si>
  <si>
    <t>Power Buss Mass</t>
  </si>
  <si>
    <t>CTR_BEAM.l</t>
  </si>
  <si>
    <t>30696bd5-b59f-4ee4-9687-07b3517d165e</t>
  </si>
  <si>
    <t xml:space="preserve">   angle_Incidence</t>
  </si>
  <si>
    <t>incidence</t>
  </si>
  <si>
    <t>POW.incidence</t>
  </si>
  <si>
    <t>incidence [rad]</t>
  </si>
  <si>
    <t>239e72d7-898e-4344-a7f2-f7cb07be2abc</t>
  </si>
  <si>
    <t xml:space="preserve">   mass margin</t>
  </si>
  <si>
    <t>mass_margin</t>
  </si>
  <si>
    <t>POW.mass_margin</t>
  </si>
  <si>
    <t>mass_margin [%]</t>
  </si>
  <si>
    <t>1d10c111-8798-4ba8-8931-90210097a928</t>
  </si>
  <si>
    <t xml:space="preserve">      object distance</t>
  </si>
  <si>
    <t>POW.solarArray.obj_dist</t>
  </si>
  <si>
    <t>POVS</t>
  </si>
  <si>
    <t>688a9b76-ab75-4ca0-94a7-7e41ea9d8070</t>
  </si>
  <si>
    <t>solarArray.m</t>
  </si>
  <si>
    <t>f1e2eb92-b6d8-4368-b7b5-e0175ad42a6b</t>
  </si>
  <si>
    <t xml:space="preserve">         angle_Incidence</t>
  </si>
  <si>
    <t>ICARUS.ICARUS1.POW\incidence\\option_1</t>
  </si>
  <si>
    <t xml:space="preserve">         mass margin</t>
  </si>
  <si>
    <t>ICARUS.ICARUS1.POW\mass_margin\\option_1</t>
  </si>
  <si>
    <t>ICARUS.ICARUS1.POW.solarArray\m\\option_1</t>
  </si>
  <si>
    <t xml:space="preserve">            length</t>
  </si>
  <si>
    <t>ICARUS.ICARUS1.STR.CTR_BEAM\l\\option_1</t>
  </si>
  <si>
    <t>d5ee6653-f73f-450b-af2e-667037d56fec</t>
  </si>
  <si>
    <t>84a8bc63-c670-49c1-b3d8-6d018b7ba859</t>
  </si>
  <si>
    <t>58030aff-a457-40f4-a706-0655271bfcd0</t>
  </si>
  <si>
    <t>bbc7362e-8f6c-4707-af3d-2870e5537a07</t>
  </si>
  <si>
    <t>e178a1e6-84f5-43ed-9a82-45b83058b5d2</t>
  </si>
  <si>
    <t>be532a9d-6844-46b5-b318-e4b9a73947a7</t>
  </si>
  <si>
    <t>2bd99db4-71d4-47e0-8b01-3c48802ed269</t>
  </si>
  <si>
    <t>33050dfe-549f-4650-92bf-f19f73e4a7da</t>
  </si>
  <si>
    <t>dcc84d4b-0fb9-4da9-bbb5-7f350828e4a4</t>
  </si>
  <si>
    <t>20209f42-113f-465b-bbc5-5f9e10495ad0</t>
  </si>
  <si>
    <t>fa822e27-2bd3-4eee-9994-8295c1ea2952</t>
  </si>
  <si>
    <t>18cf5813-254a-4c37-85bd-6361aa919499</t>
  </si>
  <si>
    <t>4bec7b2c-33a0-4d0f-b011-1f94b19dee99</t>
  </si>
  <si>
    <t>584baafe-4737-4273-92d0-263ee0ad6240</t>
  </si>
  <si>
    <t>47617667-2776-490a-af9b-558a54265c7c</t>
  </si>
  <si>
    <t>19cac29d-ea13-4362-9a87-0236d03d2c29</t>
  </si>
  <si>
    <t>2937755a-f32f-4b5f-9e51-ed0c3fc47c19</t>
  </si>
  <si>
    <t>995ce598-c2ca-480a-83ec-4df6f6f623e6</t>
  </si>
  <si>
    <t>017126ab-3a72-4bd9-8136-8f43d3a77ed7</t>
  </si>
  <si>
    <t>70abbc20-c129-4b46-bbde-1138217708dc</t>
  </si>
  <si>
    <t>560aa833-6db8-4064-872c-f9405a97f151</t>
  </si>
  <si>
    <t>f0d7b0d2-f6c6-4efa-a181-8e25742f0f64</t>
  </si>
  <si>
    <t>dd3c1212-8b11-4a69-971b-ed905b5ca552</t>
  </si>
  <si>
    <t>eb26b931-f1fa-4bbe-b4f8-550cc89ee70e</t>
  </si>
  <si>
    <t>63a429a2-e48a-4b61-b148-e72a787d962e</t>
  </si>
  <si>
    <t>e3e9b856-7869-400b-a246-19eb49328782</t>
  </si>
  <si>
    <t>127d99fc-3925-48e4-910f-392f8e7c1e7d</t>
  </si>
  <si>
    <t>71dbb461-2530-4fec-82fb-cdc808cd9e30</t>
  </si>
  <si>
    <t>d5e16da0-3725-4b0a-8646-ddcf8566417d</t>
  </si>
  <si>
    <t>2a80af9e-6ce5-4041-bf53-514cad1d9c0f</t>
  </si>
  <si>
    <t>b628d5e3-b5e6-4411-97d4-846a44f724e9</t>
  </si>
  <si>
    <t>a40594dc-5d83-422c-8d37-bc2a0dbdf233</t>
  </si>
  <si>
    <t>5aab922d-c75f-48f7-b707-cae41f6cec88</t>
  </si>
  <si>
    <t>32fc6308-0c1f-487e-9313-576ea9b8a1af</t>
  </si>
  <si>
    <t>b093e3e8-c04b-48f1-b9ce-2fa5bf68744f</t>
  </si>
  <si>
    <t>d6e66818-df14-462a-a5fb-aac7444b8315</t>
  </si>
  <si>
    <t>e31907fe-3e9e-454f-b305-638354c195af</t>
  </si>
  <si>
    <t>b220952c-2b02-4f5a-8225-43d406b77260</t>
  </si>
  <si>
    <t>8469c25a-3803-49b0-a353-9761771faf67</t>
  </si>
  <si>
    <t>c13b1819-511a-4e75-9e0d-b0dc59a10476</t>
  </si>
  <si>
    <t>ba6a1df7-94cb-4646-aa52-6fb264b2e004</t>
  </si>
  <si>
    <t>4ad7775d-86db-4c11-9c91-92093cacd0b5</t>
  </si>
  <si>
    <t>2be19ba6-e55f-4b40-8f10-eb9044c7b05b</t>
  </si>
  <si>
    <t>bc6d9744-de55-4765-9186-2e5ba198e40a</t>
  </si>
  <si>
    <t>51432146-dd9b-4969-954e-5b72b851b0d7</t>
  </si>
  <si>
    <t>f7ce1144-1252-4eac-baba-aa9baeba6061</t>
  </si>
  <si>
    <t>633df4c5-fde8-40a0-a8a7-4f37ba8523a2</t>
  </si>
  <si>
    <t>f92ca603-17b5-43a9-af3b-49fe63b336a8</t>
  </si>
  <si>
    <t>708de191-7b94-480f-87f6-df9fa9ce9a0d</t>
  </si>
  <si>
    <t>c01db529-3e35-4a3d-88ef-a7d6a6045c94</t>
  </si>
  <si>
    <t>f16f3d1e-f3ab-4a80-8cde-b7b1ac989777</t>
  </si>
  <si>
    <t>6272e9a6-7847-4455-8e94-9cf145517d58</t>
  </si>
  <si>
    <t>c99bcdb5-6910-4cfe-b9ba-8717da4ee8a8</t>
  </si>
  <si>
    <t>94d4547d-e2b1-4cd9-8867-0ad2212e0a7c</t>
  </si>
  <si>
    <t>e89805de-f369-4f81-b89c-59c1ea8cb326</t>
  </si>
  <si>
    <t>9dcf5045-34ef-406b-a54d-19ef0ce7f871</t>
  </si>
  <si>
    <t>14d58693-83f6-4f9a-919b-99d99bfce681</t>
  </si>
  <si>
    <t>27a1f44f-90e6-4f25-b64d-02476c633b2b</t>
  </si>
  <si>
    <t>a4b22cf3-a730-4709-87c8-94bdc18a11b1</t>
  </si>
  <si>
    <t>c58da7e0-7211-484f-825a-e28b99f43b7b</t>
  </si>
  <si>
    <t>6e0872e7-9761-4cc2-96a9-922ad1ffbc5c</t>
  </si>
  <si>
    <t>07945fea-64ef-47a9-accb-72e839ed8750</t>
  </si>
  <si>
    <t>10261676-393f-4ada-b41e-25e1ddfa4b92</t>
  </si>
  <si>
    <t>c61d2095-6483-45f9-a4c3-b2633fdd22c7</t>
  </si>
  <si>
    <t>11f896ff-5080-411e-a3c8-daa173ca9534</t>
  </si>
  <si>
    <t>e9981ddb-c1e7-4df4-a964-54b078584972</t>
  </si>
  <si>
    <t>858a304c-ebda-41e6-92ba-58799db6b483</t>
  </si>
  <si>
    <t>452a5669-a439-4ce1-bc08-95d9651d6f08</t>
  </si>
  <si>
    <t>350ff07c-532e-4ec4-ba7e-82ee752a0bb8</t>
  </si>
  <si>
    <t>Battery Capacity</t>
  </si>
  <si>
    <t>Ah</t>
  </si>
  <si>
    <t>Battery Mass</t>
  </si>
  <si>
    <t>PV mass
[kg]</t>
  </si>
  <si>
    <t>Solar Array Mass</t>
  </si>
  <si>
    <t>Power Subsystem Mass
[kg]</t>
  </si>
  <si>
    <t>Solar Cell Type</t>
  </si>
  <si>
    <t>AzurSpace 3C44 CPV x500</t>
  </si>
  <si>
    <t>Plate distance</t>
  </si>
  <si>
    <t>Lens &amp; Cell/Radiator Blankets Area Mass Density
[kg/m2]</t>
  </si>
  <si>
    <t>Battery Cell Voltage [V]</t>
  </si>
  <si>
    <t>nr Cell Serial</t>
  </si>
  <si>
    <t>nr Battery Cells</t>
  </si>
  <si>
    <t>cell Mass [kg]</t>
  </si>
  <si>
    <t>assembly Overhead</t>
  </si>
  <si>
    <t>Final Battery Mass 
[kg]</t>
  </si>
  <si>
    <t>Required Battery Capacity
[Ah]</t>
  </si>
  <si>
    <t>Final Battery Capacity 
[Ah]</t>
  </si>
  <si>
    <t>cell Nominal Capacity 
[Ah]</t>
  </si>
  <si>
    <t>Indicative Battery 
Mass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</si>
</sst>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yyyy\-mm\-dd\ hh:mm:ss"/>
    <numFmt numFmtId="167" formatCode="0.0000"/>
  </numFmts>
  <fonts count="19"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u/>
      <sz val="11"/>
      <color theme="1"/>
      <name val="Calibri"/>
      <family val="2"/>
      <scheme val="minor"/>
    </font>
    <font>
      <sz val="12"/>
      <color rgb="FF000000"/>
      <name val="Calibri"/>
      <family val="2"/>
      <scheme val="minor"/>
    </font>
    <font>
      <sz val="11"/>
      <color rgb="FF000000"/>
      <name val="Calibri"/>
      <family val="2"/>
      <scheme val="minor"/>
    </font>
    <font>
      <sz val="12"/>
      <color rgb="FF000000"/>
      <name val="Calibri"/>
    </font>
    <font>
      <sz val="11"/>
      <color rgb="FFFF0000"/>
      <name val="Calibri"/>
      <family val="2"/>
      <scheme val="minor"/>
    </font>
    <font>
      <sz val="11"/>
      <name val="Calibri"/>
      <family val="2"/>
      <scheme val="minor"/>
    </font>
    <font>
      <sz val="12"/>
      <name val="Calibri"/>
      <family val="2"/>
    </font>
    <font>
      <sz val="12"/>
      <color rgb="FFFF0000"/>
      <name val="Calibri"/>
      <family val="2"/>
    </font>
    <font>
      <b/>
      <sz val="12"/>
      <color theme="0"/>
      <name val="Calibri"/>
      <family val="2"/>
      <scheme val="minor"/>
    </font>
    <font>
      <sz val="12"/>
      <color rgb="FF00B0F0"/>
      <name val="Calibri"/>
      <family val="2"/>
      <scheme val="minor"/>
    </font>
    <font>
      <b/>
      <sz val="12"/>
      <color rgb="FF00B0F0"/>
      <name val="Calibri"/>
      <family val="2"/>
      <scheme val="minor"/>
    </font>
    <font>
      <b/>
      <sz val="9"/>
      <color indexed="81"/>
      <name val="Tahoma"/>
      <charset val="1"/>
    </font>
    <font>
      <b/>
      <sz val="9"/>
      <color indexed="81"/>
      <name val="Tahoma"/>
      <family val="2"/>
    </font>
    <font>
      <sz val="12"/>
      <name val="Calibri"/>
      <family val="2"/>
      <scheme val="minor"/>
    </font>
    <font>
      <b/>
      <sz val="12"/>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indexed="15"/>
        <bgColor indexed="64"/>
      </patternFill>
    </fill>
    <fill>
      <patternFill patternType="solid">
        <fgColor indexed="41"/>
        <bgColor indexed="64"/>
      </patternFill>
    </fill>
    <fill>
      <patternFill patternType="solid">
        <fgColor rgb="FFC6E0B4"/>
        <bgColor rgb="FF000000"/>
      </patternFill>
    </fill>
    <fill>
      <patternFill patternType="solid">
        <fgColor rgb="FFFFFF00"/>
        <bgColor rgb="FF000000"/>
      </patternFill>
    </fill>
    <fill>
      <patternFill patternType="solid">
        <fgColor rgb="FFC6E0B4"/>
        <bgColor indexed="64"/>
      </patternFill>
    </fill>
    <fill>
      <patternFill patternType="solid">
        <fgColor theme="7"/>
        <bgColor indexed="64"/>
      </patternFill>
    </fill>
    <fill>
      <patternFill patternType="solid">
        <fgColor rgb="FFFFC00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9" tint="0.59999389629810485"/>
        <bgColor rgb="FF000000"/>
      </patternFill>
    </fill>
    <fill>
      <patternFill patternType="solid">
        <fgColor rgb="FFFFFFFF"/>
        <bgColor indexed="64"/>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2" fillId="0" borderId="0"/>
    <xf numFmtId="0" fontId="1" fillId="0" borderId="0"/>
  </cellStyleXfs>
  <cellXfs count="133">
    <xf numFmtId="0" fontId="0" fillId="0" borderId="0" xfId="0"/>
    <xf numFmtId="0" fontId="3" fillId="0" borderId="0" xfId="0" applyFont="1"/>
    <xf numFmtId="11" fontId="0" fillId="0" borderId="0" xfId="0" applyNumberFormat="1"/>
    <xf numFmtId="0" fontId="3" fillId="0" borderId="0" xfId="0" applyFont="1" applyAlignment="1">
      <alignment horizontal="center"/>
    </xf>
    <xf numFmtId="1" fontId="0" fillId="0" borderId="0" xfId="0" applyNumberFormat="1"/>
    <xf numFmtId="164" fontId="0" fillId="0" borderId="0" xfId="0" applyNumberFormat="1"/>
    <xf numFmtId="2" fontId="0" fillId="0" borderId="0" xfId="0" applyNumberFormat="1"/>
    <xf numFmtId="3" fontId="0" fillId="0" borderId="0" xfId="0" applyNumberFormat="1"/>
    <xf numFmtId="0" fontId="3" fillId="0" borderId="0" xfId="0" applyFont="1" applyAlignment="1">
      <alignment horizontal="center" wrapText="1"/>
    </xf>
    <xf numFmtId="165" fontId="0" fillId="0" borderId="0" xfId="0" applyNumberFormat="1"/>
    <xf numFmtId="0" fontId="0" fillId="5" borderId="0" xfId="0" applyFill="1"/>
    <xf numFmtId="49" fontId="0" fillId="6" borderId="0" xfId="0" applyNumberFormat="1" applyFill="1" applyAlignment="1" applyProtection="1">
      <alignment horizontal="left"/>
    </xf>
    <xf numFmtId="166" fontId="0" fillId="6" borderId="0" xfId="0" applyNumberFormat="1" applyFill="1" applyAlignment="1" applyProtection="1">
      <alignment horizontal="left"/>
    </xf>
    <xf numFmtId="49" fontId="0" fillId="0" borderId="0" xfId="0" applyNumberFormat="1" applyProtection="1"/>
    <xf numFmtId="0" fontId="0" fillId="0" borderId="0" xfId="0" applyNumberFormat="1" applyProtection="1">
      <protection locked="0"/>
    </xf>
    <xf numFmtId="0" fontId="0" fillId="0" borderId="0" xfId="0" applyNumberFormat="1" applyProtection="1"/>
    <xf numFmtId="0" fontId="4" fillId="7" borderId="0" xfId="0" applyFont="1" applyFill="1" applyAlignment="1">
      <alignment horizontal="center"/>
    </xf>
    <xf numFmtId="49" fontId="4" fillId="7" borderId="0" xfId="0" applyNumberFormat="1" applyFont="1" applyFill="1" applyAlignment="1" applyProtection="1">
      <alignment horizontal="center"/>
    </xf>
    <xf numFmtId="0" fontId="0" fillId="0" borderId="6" xfId="0" applyBorder="1"/>
    <xf numFmtId="0" fontId="0" fillId="0" borderId="7" xfId="0" applyBorder="1"/>
    <xf numFmtId="0" fontId="0" fillId="0" borderId="0" xfId="0" applyBorder="1"/>
    <xf numFmtId="0" fontId="3" fillId="0" borderId="0" xfId="0" applyFont="1" applyBorder="1" applyAlignment="1">
      <alignment horizontal="center"/>
    </xf>
    <xf numFmtId="0" fontId="0" fillId="0" borderId="12" xfId="0" applyBorder="1"/>
    <xf numFmtId="0" fontId="0" fillId="0" borderId="8" xfId="0" applyBorder="1"/>
    <xf numFmtId="0" fontId="0" fillId="0" borderId="9" xfId="0" applyBorder="1"/>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0" xfId="0" applyFont="1" applyBorder="1" applyAlignment="1">
      <alignment horizontal="center" vertical="center"/>
    </xf>
    <xf numFmtId="0" fontId="0" fillId="4" borderId="0" xfId="0" applyFill="1" applyBorder="1" applyAlignment="1">
      <alignment horizontal="center"/>
    </xf>
    <xf numFmtId="0" fontId="0" fillId="11" borderId="5" xfId="0" applyFill="1" applyBorder="1"/>
    <xf numFmtId="0" fontId="0" fillId="11" borderId="6" xfId="0" applyFill="1" applyBorder="1"/>
    <xf numFmtId="0" fontId="0" fillId="11" borderId="7" xfId="0" applyFill="1" applyBorder="1"/>
    <xf numFmtId="0" fontId="0" fillId="11" borderId="11" xfId="0" applyFill="1" applyBorder="1"/>
    <xf numFmtId="0" fontId="0" fillId="11" borderId="12" xfId="0" applyFill="1" applyBorder="1"/>
    <xf numFmtId="0" fontId="0" fillId="11" borderId="13" xfId="0" applyFill="1" applyBorder="1"/>
    <xf numFmtId="0" fontId="0" fillId="11" borderId="8" xfId="0" applyFill="1" applyBorder="1"/>
    <xf numFmtId="0" fontId="0" fillId="11" borderId="9" xfId="0" applyFill="1" applyBorder="1"/>
    <xf numFmtId="1" fontId="0" fillId="0" borderId="0" xfId="0" applyNumberFormat="1" applyFill="1"/>
    <xf numFmtId="3" fontId="0" fillId="0" borderId="0" xfId="0" applyNumberFormat="1" applyFill="1"/>
    <xf numFmtId="167" fontId="0" fillId="0" borderId="0" xfId="0" applyNumberFormat="1"/>
    <xf numFmtId="0" fontId="0" fillId="12" borderId="13" xfId="0" applyFill="1" applyBorder="1"/>
    <xf numFmtId="0" fontId="0" fillId="12" borderId="5" xfId="0" applyFill="1" applyBorder="1"/>
    <xf numFmtId="0" fontId="12" fillId="13" borderId="14" xfId="0" applyFont="1" applyFill="1" applyBorder="1"/>
    <xf numFmtId="0" fontId="3" fillId="0" borderId="4" xfId="0" applyFont="1" applyBorder="1" applyAlignment="1">
      <alignment horizontal="center" vertical="center" wrapText="1"/>
    </xf>
    <xf numFmtId="1" fontId="0" fillId="0" borderId="6" xfId="0" applyNumberFormat="1" applyBorder="1"/>
    <xf numFmtId="3" fontId="0" fillId="0" borderId="6" xfId="0" applyNumberFormat="1" applyBorder="1"/>
    <xf numFmtId="2" fontId="0" fillId="0" borderId="6" xfId="0" applyNumberFormat="1" applyBorder="1"/>
    <xf numFmtId="0" fontId="3" fillId="4" borderId="11" xfId="0" applyFont="1" applyFill="1" applyBorder="1" applyAlignment="1">
      <alignment horizontal="center" vertical="center" wrapText="1"/>
    </xf>
    <xf numFmtId="1" fontId="3" fillId="0" borderId="0" xfId="0" applyNumberFormat="1" applyFont="1" applyBorder="1" applyAlignment="1">
      <alignment horizontal="center" wrapText="1"/>
    </xf>
    <xf numFmtId="3" fontId="3" fillId="0" borderId="0" xfId="0" applyNumberFormat="1" applyFont="1" applyBorder="1" applyAlignment="1">
      <alignment horizontal="center" wrapText="1"/>
    </xf>
    <xf numFmtId="2" fontId="3" fillId="0" borderId="0" xfId="0" applyNumberFormat="1" applyFont="1" applyBorder="1" applyAlignment="1">
      <alignment horizontal="center" wrapText="1"/>
    </xf>
    <xf numFmtId="0" fontId="18" fillId="0" borderId="0" xfId="0" applyFont="1" applyBorder="1" applyAlignment="1">
      <alignment horizontal="center" wrapText="1"/>
    </xf>
    <xf numFmtId="2" fontId="3" fillId="0" borderId="0" xfId="0" applyNumberFormat="1" applyFont="1" applyBorder="1" applyAlignment="1">
      <alignment horizontal="center" vertical="center" wrapText="1"/>
    </xf>
    <xf numFmtId="1" fontId="0" fillId="0" borderId="8" xfId="0" applyNumberFormat="1" applyBorder="1"/>
    <xf numFmtId="9" fontId="0" fillId="0" borderId="8" xfId="0" applyNumberFormat="1" applyBorder="1"/>
    <xf numFmtId="2" fontId="0" fillId="0" borderId="8" xfId="0" applyNumberFormat="1" applyBorder="1"/>
    <xf numFmtId="164" fontId="12" fillId="13" borderId="14" xfId="0" applyNumberFormat="1" applyFont="1" applyFill="1" applyBorder="1"/>
    <xf numFmtId="0" fontId="0" fillId="16" borderId="0" xfId="0" applyNumberFormat="1" applyFill="1" applyProtection="1">
      <protection locked="0"/>
    </xf>
    <xf numFmtId="0" fontId="0" fillId="16" borderId="0" xfId="0" applyNumberFormat="1" applyFill="1" applyProtection="1"/>
    <xf numFmtId="49" fontId="0" fillId="16" borderId="0" xfId="0" applyNumberFormat="1" applyFill="1" applyProtection="1">
      <protection locked="0"/>
    </xf>
    <xf numFmtId="0" fontId="14" fillId="0" borderId="0" xfId="0" applyFont="1" applyBorder="1" applyAlignment="1">
      <alignment horizontal="center"/>
    </xf>
    <xf numFmtId="2" fontId="13" fillId="0" borderId="0" xfId="0" applyNumberFormat="1" applyFont="1" applyBorder="1"/>
    <xf numFmtId="49" fontId="4" fillId="16" borderId="0" xfId="0" applyNumberFormat="1" applyFont="1" applyFill="1" applyAlignment="1" applyProtection="1">
      <alignment horizontal="center"/>
    </xf>
    <xf numFmtId="49" fontId="0" fillId="16" borderId="0" xfId="0" applyNumberFormat="1" applyFill="1" applyProtection="1"/>
    <xf numFmtId="165" fontId="12" fillId="13" borderId="14" xfId="0" applyNumberFormat="1" applyFont="1" applyFill="1" applyBorder="1"/>
    <xf numFmtId="2" fontId="0" fillId="12" borderId="0" xfId="0" applyNumberFormat="1" applyFill="1"/>
    <xf numFmtId="0" fontId="0" fillId="3" borderId="19" xfId="0" applyFill="1" applyBorder="1"/>
    <xf numFmtId="0" fontId="0" fillId="3" borderId="18" xfId="0" applyFill="1" applyBorder="1"/>
    <xf numFmtId="0" fontId="0" fillId="3" borderId="20" xfId="0" applyFill="1" applyBorder="1"/>
    <xf numFmtId="0" fontId="6" fillId="0" borderId="15" xfId="0" applyFont="1" applyBorder="1"/>
    <xf numFmtId="0" fontId="5" fillId="0" borderId="15" xfId="0" applyFont="1" applyBorder="1"/>
    <xf numFmtId="164" fontId="5" fillId="0" borderId="15" xfId="0" applyNumberFormat="1" applyFont="1" applyBorder="1"/>
    <xf numFmtId="0" fontId="6" fillId="0" borderId="15" xfId="0" applyFont="1" applyFill="1" applyBorder="1"/>
    <xf numFmtId="0" fontId="5" fillId="0" borderId="15" xfId="0" applyFont="1" applyFill="1" applyBorder="1"/>
    <xf numFmtId="165" fontId="6" fillId="0" borderId="15" xfId="0" applyNumberFormat="1" applyFont="1" applyFill="1" applyBorder="1"/>
    <xf numFmtId="0" fontId="1" fillId="0" borderId="15" xfId="2" applyFill="1" applyBorder="1"/>
    <xf numFmtId="165" fontId="1" fillId="0" borderId="15" xfId="2" applyNumberFormat="1" applyFill="1" applyBorder="1"/>
    <xf numFmtId="0" fontId="0" fillId="0" borderId="15" xfId="0" applyBorder="1"/>
    <xf numFmtId="164" fontId="0" fillId="0" borderId="15" xfId="0" applyNumberFormat="1" applyBorder="1"/>
    <xf numFmtId="2" fontId="0" fillId="0" borderId="15" xfId="0" applyNumberFormat="1" applyBorder="1"/>
    <xf numFmtId="0" fontId="0" fillId="4" borderId="15" xfId="0" applyFill="1" applyBorder="1"/>
    <xf numFmtId="0" fontId="6" fillId="9" borderId="15" xfId="0" applyFont="1" applyFill="1" applyBorder="1"/>
    <xf numFmtId="0" fontId="5" fillId="9" borderId="15" xfId="0" applyFont="1" applyFill="1" applyBorder="1"/>
    <xf numFmtId="0" fontId="0" fillId="2" borderId="19" xfId="0" applyFill="1" applyBorder="1"/>
    <xf numFmtId="0" fontId="0" fillId="2" borderId="18" xfId="0" applyFill="1" applyBorder="1"/>
    <xf numFmtId="0" fontId="0" fillId="2" borderId="20" xfId="0" applyFill="1" applyBorder="1"/>
    <xf numFmtId="0" fontId="9" fillId="8" borderId="15" xfId="0" applyFont="1" applyFill="1" applyBorder="1"/>
    <xf numFmtId="0" fontId="5" fillId="8" borderId="15" xfId="0" applyFont="1" applyFill="1" applyBorder="1"/>
    <xf numFmtId="0" fontId="7" fillId="10" borderId="15" xfId="1" applyFont="1" applyFill="1" applyBorder="1"/>
    <xf numFmtId="0" fontId="9" fillId="14" borderId="15" xfId="0" applyFont="1" applyFill="1" applyBorder="1"/>
    <xf numFmtId="0" fontId="5" fillId="14" borderId="15" xfId="0" applyFont="1" applyFill="1" applyBorder="1"/>
    <xf numFmtId="0" fontId="7" fillId="14" borderId="15" xfId="1" applyFont="1" applyFill="1" applyBorder="1"/>
    <xf numFmtId="0" fontId="9" fillId="15" borderId="15" xfId="0" applyFont="1" applyFill="1" applyBorder="1"/>
    <xf numFmtId="0" fontId="10" fillId="14" borderId="15" xfId="2" applyFont="1" applyFill="1" applyBorder="1"/>
    <xf numFmtId="0" fontId="1" fillId="14" borderId="15" xfId="2" applyFill="1" applyBorder="1"/>
    <xf numFmtId="0" fontId="8" fillId="14" borderId="15" xfId="2" applyFont="1" applyFill="1" applyBorder="1"/>
    <xf numFmtId="0" fontId="11" fillId="14" borderId="15" xfId="2" applyFont="1" applyFill="1"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4" borderId="4" xfId="0" applyFont="1" applyFill="1" applyBorder="1" applyAlignment="1">
      <alignment horizontal="center" vertical="center" textRotation="90"/>
    </xf>
    <xf numFmtId="0" fontId="3" fillId="4" borderId="10" xfId="0" applyFont="1" applyFill="1" applyBorder="1" applyAlignment="1">
      <alignment horizontal="center" vertical="center" textRotation="90"/>
    </xf>
    <xf numFmtId="0" fontId="0" fillId="0" borderId="0" xfId="0" applyFill="1" applyBorder="1"/>
    <xf numFmtId="0" fontId="3" fillId="0" borderId="0" xfId="0" applyFont="1" applyBorder="1"/>
    <xf numFmtId="0" fontId="0" fillId="0" borderId="0" xfId="0" applyBorder="1" applyAlignment="1">
      <alignment horizontal="center"/>
    </xf>
    <xf numFmtId="0" fontId="0" fillId="12" borderId="11" xfId="0" applyFill="1" applyBorder="1"/>
    <xf numFmtId="0" fontId="0" fillId="0" borderId="11" xfId="0" applyFill="1" applyBorder="1"/>
    <xf numFmtId="0" fontId="0" fillId="0" borderId="13" xfId="0" applyFill="1" applyBorder="1"/>
    <xf numFmtId="0" fontId="3" fillId="0" borderId="17" xfId="0" applyFont="1" applyBorder="1" applyAlignment="1">
      <alignment horizontal="center" vertical="center" wrapText="1"/>
    </xf>
    <xf numFmtId="0" fontId="18" fillId="0" borderId="17" xfId="0" applyFont="1" applyBorder="1" applyAlignment="1">
      <alignment horizontal="center" wrapText="1"/>
    </xf>
    <xf numFmtId="0" fontId="3" fillId="0" borderId="17" xfId="0" applyFont="1" applyBorder="1" applyAlignment="1">
      <alignment horizontal="center" wrapText="1"/>
    </xf>
    <xf numFmtId="2" fontId="12" fillId="13" borderId="14" xfId="0" applyNumberFormat="1" applyFont="1" applyFill="1" applyBorder="1" applyAlignment="1">
      <alignment horizontal="center"/>
    </xf>
    <xf numFmtId="164" fontId="12" fillId="13" borderId="14" xfId="0" applyNumberFormat="1" applyFont="1" applyFill="1" applyBorder="1" applyAlignment="1">
      <alignment horizontal="center"/>
    </xf>
    <xf numFmtId="1" fontId="17" fillId="0" borderId="16" xfId="0" applyNumberFormat="1" applyFont="1" applyBorder="1" applyAlignment="1">
      <alignment horizontal="center"/>
    </xf>
    <xf numFmtId="2" fontId="0" fillId="0" borderId="16" xfId="0" applyNumberFormat="1" applyBorder="1" applyAlignment="1">
      <alignment horizontal="center"/>
    </xf>
    <xf numFmtId="9" fontId="0" fillId="0" borderId="0" xfId="0" applyNumberFormat="1" applyBorder="1" applyAlignment="1">
      <alignment horizontal="center"/>
    </xf>
    <xf numFmtId="0" fontId="0" fillId="0" borderId="16" xfId="0" applyBorder="1" applyAlignment="1">
      <alignment horizontal="center"/>
    </xf>
    <xf numFmtId="2" fontId="0" fillId="0" borderId="0" xfId="0" applyNumberFormat="1" applyBorder="1" applyAlignment="1">
      <alignment horizontal="center"/>
    </xf>
    <xf numFmtId="0" fontId="3" fillId="0" borderId="15" xfId="0" applyFont="1" applyBorder="1" applyAlignment="1">
      <alignment horizontal="center"/>
    </xf>
    <xf numFmtId="0" fontId="0" fillId="0" borderId="15" xfId="0" applyBorder="1" applyAlignment="1">
      <alignment horizontal="center"/>
    </xf>
    <xf numFmtId="0" fontId="3" fillId="0" borderId="15" xfId="0" applyFont="1" applyBorder="1" applyAlignment="1">
      <alignment horizontal="center" wrapText="1"/>
    </xf>
    <xf numFmtId="164" fontId="0" fillId="0" borderId="15" xfId="0" applyNumberFormat="1" applyBorder="1" applyAlignment="1">
      <alignment horizontal="center"/>
    </xf>
    <xf numFmtId="0" fontId="3" fillId="0" borderId="15" xfId="0" applyFont="1" applyBorder="1" applyAlignment="1">
      <alignment horizontal="center" vertical="center" wrapText="1"/>
    </xf>
    <xf numFmtId="2" fontId="0" fillId="0" borderId="15" xfId="0" applyNumberFormat="1" applyBorder="1" applyAlignment="1">
      <alignment horizontal="center"/>
    </xf>
    <xf numFmtId="0" fontId="3" fillId="0" borderId="21" xfId="0" applyFont="1" applyBorder="1" applyAlignment="1">
      <alignment horizontal="center" wrapText="1"/>
    </xf>
    <xf numFmtId="2" fontId="0" fillId="0" borderId="21" xfId="0" applyNumberFormat="1" applyBorder="1" applyAlignment="1">
      <alignment horizontal="center"/>
    </xf>
    <xf numFmtId="0" fontId="14" fillId="0" borderId="22" xfId="0" applyFont="1" applyBorder="1" applyAlignment="1">
      <alignment horizontal="center" wrapText="1"/>
    </xf>
    <xf numFmtId="164" fontId="12" fillId="13" borderId="23" xfId="0" applyNumberFormat="1" applyFont="1" applyFill="1" applyBorder="1" applyAlignment="1">
      <alignment horizontal="center"/>
    </xf>
    <xf numFmtId="164" fontId="0" fillId="0" borderId="21" xfId="0" applyNumberFormat="1" applyBorder="1" applyAlignment="1">
      <alignment horizontal="center"/>
    </xf>
    <xf numFmtId="0" fontId="14" fillId="0" borderId="17" xfId="0" applyFont="1" applyBorder="1" applyAlignment="1">
      <alignment horizontal="center" vertical="center" wrapText="1"/>
    </xf>
  </cellXfs>
  <cellStyles count="3">
    <cellStyle name="Normal" xfId="0" builtinId="0"/>
    <cellStyle name="Normal 2" xfId="1" xr:uid="{56C81E04-6D65-46EE-9D54-EC79507F0BF0}"/>
    <cellStyle name="Normal 3" xfId="2" xr:uid="{C9DAD740-86B6-4F4F-8083-6E2249CF53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200025</xdr:colOff>
      <xdr:row>35</xdr:row>
      <xdr:rowOff>123825</xdr:rowOff>
    </xdr:from>
    <xdr:to>
      <xdr:col>1</xdr:col>
      <xdr:colOff>1676606</xdr:colOff>
      <xdr:row>36</xdr:row>
      <xdr:rowOff>504907</xdr:rowOff>
    </xdr:to>
    <xdr:pic>
      <xdr:nvPicPr>
        <xdr:cNvPr id="2" name="Picture 1">
          <a:extLst>
            <a:ext uri="{FF2B5EF4-FFF2-40B4-BE49-F238E27FC236}">
              <a16:creationId xmlns:a16="http://schemas.microsoft.com/office/drawing/2014/main" id="{A6660CF9-1870-07FE-0945-53B57265282B}"/>
            </a:ext>
          </a:extLst>
        </xdr:cNvPr>
        <xdr:cNvPicPr>
          <a:picLocks noChangeAspect="1"/>
        </xdr:cNvPicPr>
      </xdr:nvPicPr>
      <xdr:blipFill>
        <a:blip xmlns:r="http://schemas.openxmlformats.org/officeDocument/2006/relationships" r:embed="rId1"/>
        <a:stretch>
          <a:fillRect/>
        </a:stretch>
      </xdr:blipFill>
      <xdr:spPr>
        <a:xfrm>
          <a:off x="1038225" y="7134225"/>
          <a:ext cx="1476581" cy="590632"/>
        </a:xfrm>
        <a:prstGeom prst="rect">
          <a:avLst/>
        </a:prstGeom>
      </xdr:spPr>
    </xdr:pic>
    <xdr:clientData/>
  </xdr:twoCellAnchor>
  <xdr:twoCellAnchor editAs="oneCell">
    <xdr:from>
      <xdr:col>1</xdr:col>
      <xdr:colOff>85725</xdr:colOff>
      <xdr:row>38</xdr:row>
      <xdr:rowOff>171450</xdr:rowOff>
    </xdr:from>
    <xdr:to>
      <xdr:col>1</xdr:col>
      <xdr:colOff>1828800</xdr:colOff>
      <xdr:row>39</xdr:row>
      <xdr:rowOff>365785</xdr:rowOff>
    </xdr:to>
    <xdr:pic>
      <xdr:nvPicPr>
        <xdr:cNvPr id="3" name="Picture 2">
          <a:extLst>
            <a:ext uri="{FF2B5EF4-FFF2-40B4-BE49-F238E27FC236}">
              <a16:creationId xmlns:a16="http://schemas.microsoft.com/office/drawing/2014/main" id="{8A1E05AE-A1C6-72CF-1DB2-91EB69D206B6}"/>
            </a:ext>
          </a:extLst>
        </xdr:cNvPr>
        <xdr:cNvPicPr>
          <a:picLocks noChangeAspect="1"/>
        </xdr:cNvPicPr>
      </xdr:nvPicPr>
      <xdr:blipFill>
        <a:blip xmlns:r="http://schemas.openxmlformats.org/officeDocument/2006/relationships" r:embed="rId2"/>
        <a:stretch>
          <a:fillRect/>
        </a:stretch>
      </xdr:blipFill>
      <xdr:spPr>
        <a:xfrm>
          <a:off x="923925" y="8001000"/>
          <a:ext cx="1743075" cy="394360"/>
        </a:xfrm>
        <a:prstGeom prst="rect">
          <a:avLst/>
        </a:prstGeom>
      </xdr:spPr>
    </xdr:pic>
    <xdr:clientData/>
  </xdr:twoCellAnchor>
  <xdr:twoCellAnchor editAs="oneCell">
    <xdr:from>
      <xdr:col>0</xdr:col>
      <xdr:colOff>485775</xdr:colOff>
      <xdr:row>65</xdr:row>
      <xdr:rowOff>276225</xdr:rowOff>
    </xdr:from>
    <xdr:to>
      <xdr:col>2</xdr:col>
      <xdr:colOff>866775</xdr:colOff>
      <xdr:row>70</xdr:row>
      <xdr:rowOff>208840</xdr:rowOff>
    </xdr:to>
    <xdr:pic>
      <xdr:nvPicPr>
        <xdr:cNvPr id="4" name="Picture 3" descr="A picture containing graphical user interface&#10;&#10;Description automatically generated">
          <a:extLst>
            <a:ext uri="{FF2B5EF4-FFF2-40B4-BE49-F238E27FC236}">
              <a16:creationId xmlns:a16="http://schemas.microsoft.com/office/drawing/2014/main" id="{01B7130F-9C9A-B8DB-D268-9AC5AAD5A296}"/>
            </a:ext>
          </a:extLst>
        </xdr:cNvPr>
        <xdr:cNvPicPr>
          <a:picLocks noChangeAspect="1"/>
        </xdr:cNvPicPr>
      </xdr:nvPicPr>
      <xdr:blipFill>
        <a:blip xmlns:r="http://schemas.openxmlformats.org/officeDocument/2006/relationships" r:embed="rId3"/>
        <a:stretch>
          <a:fillRect/>
        </a:stretch>
      </xdr:blipFill>
      <xdr:spPr>
        <a:xfrm>
          <a:off x="485775" y="10553700"/>
          <a:ext cx="3438525" cy="1342315"/>
        </a:xfrm>
        <a:prstGeom prst="rect">
          <a:avLst/>
        </a:prstGeom>
      </xdr:spPr>
    </xdr:pic>
    <xdr:clientData/>
  </xdr:twoCellAnchor>
  <xdr:twoCellAnchor editAs="oneCell">
    <xdr:from>
      <xdr:col>3</xdr:col>
      <xdr:colOff>276225</xdr:colOff>
      <xdr:row>61</xdr:row>
      <xdr:rowOff>9524</xdr:rowOff>
    </xdr:from>
    <xdr:to>
      <xdr:col>5</xdr:col>
      <xdr:colOff>238125</xdr:colOff>
      <xdr:row>70</xdr:row>
      <xdr:rowOff>215936</xdr:rowOff>
    </xdr:to>
    <xdr:pic>
      <xdr:nvPicPr>
        <xdr:cNvPr id="5" name="Picture 4">
          <a:extLst>
            <a:ext uri="{FF2B5EF4-FFF2-40B4-BE49-F238E27FC236}">
              <a16:creationId xmlns:a16="http://schemas.microsoft.com/office/drawing/2014/main" id="{6B6A27E3-E9D6-A938-B361-6D7B8E0918C9}"/>
            </a:ext>
          </a:extLst>
        </xdr:cNvPr>
        <xdr:cNvPicPr>
          <a:picLocks noChangeAspect="1"/>
        </xdr:cNvPicPr>
      </xdr:nvPicPr>
      <xdr:blipFill>
        <a:blip xmlns:r="http://schemas.openxmlformats.org/officeDocument/2006/relationships" r:embed="rId4"/>
        <a:stretch>
          <a:fillRect/>
        </a:stretch>
      </xdr:blipFill>
      <xdr:spPr>
        <a:xfrm>
          <a:off x="4886325" y="9077324"/>
          <a:ext cx="3495675" cy="2835312"/>
        </a:xfrm>
        <a:prstGeom prst="rect">
          <a:avLst/>
        </a:prstGeom>
      </xdr:spPr>
    </xdr:pic>
    <xdr:clientData/>
  </xdr:twoCellAnchor>
  <xdr:twoCellAnchor editAs="oneCell">
    <xdr:from>
      <xdr:col>8</xdr:col>
      <xdr:colOff>1</xdr:colOff>
      <xdr:row>36</xdr:row>
      <xdr:rowOff>0</xdr:rowOff>
    </xdr:from>
    <xdr:to>
      <xdr:col>12</xdr:col>
      <xdr:colOff>522581</xdr:colOff>
      <xdr:row>57</xdr:row>
      <xdr:rowOff>200025</xdr:rowOff>
    </xdr:to>
    <xdr:pic>
      <xdr:nvPicPr>
        <xdr:cNvPr id="8" name="Picture 7">
          <a:extLst>
            <a:ext uri="{FF2B5EF4-FFF2-40B4-BE49-F238E27FC236}">
              <a16:creationId xmlns:a16="http://schemas.microsoft.com/office/drawing/2014/main" id="{3D510106-E9AA-75B7-FAFD-9447F9B5D95A}"/>
            </a:ext>
          </a:extLst>
        </xdr:cNvPr>
        <xdr:cNvPicPr>
          <a:picLocks noChangeAspect="1"/>
        </xdr:cNvPicPr>
      </xdr:nvPicPr>
      <xdr:blipFill>
        <a:blip xmlns:r="http://schemas.openxmlformats.org/officeDocument/2006/relationships" r:embed="rId5"/>
        <a:stretch>
          <a:fillRect/>
        </a:stretch>
      </xdr:blipFill>
      <xdr:spPr>
        <a:xfrm>
          <a:off x="12782551" y="9705975"/>
          <a:ext cx="3989680" cy="5219700"/>
        </a:xfrm>
        <a:prstGeom prst="rect">
          <a:avLst/>
        </a:prstGeom>
      </xdr:spPr>
    </xdr:pic>
    <xdr:clientData/>
  </xdr:twoCellAnchor>
  <xdr:twoCellAnchor editAs="oneCell">
    <xdr:from>
      <xdr:col>7</xdr:col>
      <xdr:colOff>1000125</xdr:colOff>
      <xdr:row>35</xdr:row>
      <xdr:rowOff>76200</xdr:rowOff>
    </xdr:from>
    <xdr:to>
      <xdr:col>10</xdr:col>
      <xdr:colOff>133350</xdr:colOff>
      <xdr:row>37</xdr:row>
      <xdr:rowOff>62127</xdr:rowOff>
    </xdr:to>
    <xdr:pic>
      <xdr:nvPicPr>
        <xdr:cNvPr id="9" name="Picture 8">
          <a:extLst>
            <a:ext uri="{FF2B5EF4-FFF2-40B4-BE49-F238E27FC236}">
              <a16:creationId xmlns:a16="http://schemas.microsoft.com/office/drawing/2014/main" id="{59829723-A4D5-4417-CA04-B522974102CB}"/>
            </a:ext>
          </a:extLst>
        </xdr:cNvPr>
        <xdr:cNvPicPr>
          <a:picLocks noChangeAspect="1"/>
        </xdr:cNvPicPr>
      </xdr:nvPicPr>
      <xdr:blipFill>
        <a:blip xmlns:r="http://schemas.openxmlformats.org/officeDocument/2006/relationships" r:embed="rId6"/>
        <a:stretch>
          <a:fillRect/>
        </a:stretch>
      </xdr:blipFill>
      <xdr:spPr>
        <a:xfrm>
          <a:off x="12144375" y="9572625"/>
          <a:ext cx="2562225" cy="795552"/>
        </a:xfrm>
        <a:prstGeom prst="rect">
          <a:avLst/>
        </a:prstGeom>
      </xdr:spPr>
    </xdr:pic>
    <xdr:clientData/>
  </xdr:twoCellAnchor>
  <xdr:twoCellAnchor editAs="oneCell">
    <xdr:from>
      <xdr:col>4</xdr:col>
      <xdr:colOff>514350</xdr:colOff>
      <xdr:row>41</xdr:row>
      <xdr:rowOff>114300</xdr:rowOff>
    </xdr:from>
    <xdr:to>
      <xdr:col>4</xdr:col>
      <xdr:colOff>1323975</xdr:colOff>
      <xdr:row>49</xdr:row>
      <xdr:rowOff>163508</xdr:rowOff>
    </xdr:to>
    <xdr:pic>
      <xdr:nvPicPr>
        <xdr:cNvPr id="10" name="Picture 9">
          <a:extLst>
            <a:ext uri="{FF2B5EF4-FFF2-40B4-BE49-F238E27FC236}">
              <a16:creationId xmlns:a16="http://schemas.microsoft.com/office/drawing/2014/main" id="{B95EB3FF-7183-9C6D-1384-235D3264A8CF}"/>
            </a:ext>
          </a:extLst>
        </xdr:cNvPr>
        <xdr:cNvPicPr>
          <a:picLocks noChangeAspect="1"/>
        </xdr:cNvPicPr>
      </xdr:nvPicPr>
      <xdr:blipFill>
        <a:blip xmlns:r="http://schemas.openxmlformats.org/officeDocument/2006/relationships" r:embed="rId7"/>
        <a:stretch>
          <a:fillRect/>
        </a:stretch>
      </xdr:blipFill>
      <xdr:spPr>
        <a:xfrm>
          <a:off x="6705600" y="11420475"/>
          <a:ext cx="809625" cy="16494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AA76C-F91D-1E49-87CE-C0E9E4204389}">
  <dimension ref="A1:A5"/>
  <sheetViews>
    <sheetView workbookViewId="0">
      <selection activeCell="B3" sqref="B3"/>
    </sheetView>
  </sheetViews>
  <sheetFormatPr defaultColWidth="11" defaultRowHeight="15.75" x14ac:dyDescent="0.25"/>
  <cols>
    <col min="1" max="1" width="21.125" customWidth="1"/>
    <col min="2" max="2" width="52.5" customWidth="1"/>
  </cols>
  <sheetData>
    <row r="1" spans="1:1" ht="19.5" customHeight="1" x14ac:dyDescent="0.25"/>
    <row r="3" spans="1:1" x14ac:dyDescent="0.25">
      <c r="A3" s="1" t="s">
        <v>0</v>
      </c>
    </row>
    <row r="4" spans="1:1" x14ac:dyDescent="0.25">
      <c r="A4" s="1" t="s">
        <v>1</v>
      </c>
    </row>
    <row r="5" spans="1:1" x14ac:dyDescent="0.25">
      <c r="A5"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D0FE9-94AC-A24C-ABCA-83F95C5672FF}">
  <dimension ref="A1"/>
  <sheetViews>
    <sheetView workbookViewId="0">
      <selection activeCell="E14" sqref="E14"/>
    </sheetView>
  </sheetViews>
  <sheetFormatPr defaultColWidth="11"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388C0-191D-A64F-ACD0-4893A74AAC40}">
  <dimension ref="A2:E38"/>
  <sheetViews>
    <sheetView topLeftCell="A7" workbookViewId="0">
      <selection activeCell="C36" sqref="C36"/>
    </sheetView>
  </sheetViews>
  <sheetFormatPr defaultColWidth="11" defaultRowHeight="15.75" x14ac:dyDescent="0.25"/>
  <cols>
    <col min="1" max="1" width="17.875" customWidth="1"/>
    <col min="2" max="2" width="28.75" bestFit="1" customWidth="1"/>
    <col min="3" max="3" width="14.25" customWidth="1"/>
  </cols>
  <sheetData>
    <row r="2" spans="1:4" ht="16.5" thickBot="1" x14ac:dyDescent="0.3"/>
    <row r="3" spans="1:4" ht="16.5" thickBot="1" x14ac:dyDescent="0.3">
      <c r="A3" s="97" t="s">
        <v>7</v>
      </c>
      <c r="B3" s="98"/>
      <c r="C3" s="98"/>
      <c r="D3" s="99"/>
    </row>
    <row r="4" spans="1:4" x14ac:dyDescent="0.25">
      <c r="A4" s="83" t="s">
        <v>8</v>
      </c>
      <c r="B4" s="84" t="s">
        <v>9</v>
      </c>
      <c r="C4" s="84" t="s">
        <v>10</v>
      </c>
      <c r="D4" s="85" t="s">
        <v>11</v>
      </c>
    </row>
    <row r="5" spans="1:4" x14ac:dyDescent="0.25">
      <c r="A5" s="86" t="s">
        <v>56</v>
      </c>
      <c r="B5" s="87" t="s">
        <v>295</v>
      </c>
      <c r="C5" s="88">
        <f>ICARUS.ICARUS1.STR\d\\option_1</f>
        <v>35</v>
      </c>
      <c r="D5" s="87" t="s">
        <v>296</v>
      </c>
    </row>
    <row r="6" spans="1:4" x14ac:dyDescent="0.25">
      <c r="A6" s="86" t="s">
        <v>56</v>
      </c>
      <c r="B6" s="87" t="s">
        <v>540</v>
      </c>
      <c r="C6" s="88">
        <f>ICARUS.ICARUS1.STR.CTR_BEAM\d\\option_1</f>
        <v>1</v>
      </c>
      <c r="D6" s="87" t="s">
        <v>296</v>
      </c>
    </row>
    <row r="7" spans="1:4" x14ac:dyDescent="0.25">
      <c r="A7" s="86" t="s">
        <v>56</v>
      </c>
      <c r="B7" s="87" t="s">
        <v>539</v>
      </c>
      <c r="C7" s="88">
        <f>ICARUS.ICARUS1.STR.CTR_BEAM\l\\option_1</f>
        <v>35</v>
      </c>
      <c r="D7" s="87" t="s">
        <v>296</v>
      </c>
    </row>
    <row r="8" spans="1:4" x14ac:dyDescent="0.25">
      <c r="A8" s="89" t="s">
        <v>77</v>
      </c>
      <c r="B8" s="90" t="s">
        <v>383</v>
      </c>
      <c r="C8" s="91">
        <f>ICARUS\dur\\option_1</f>
        <v>20</v>
      </c>
      <c r="D8" s="90" t="s">
        <v>297</v>
      </c>
    </row>
    <row r="9" spans="1:4" x14ac:dyDescent="0.25">
      <c r="A9" s="92" t="s">
        <v>44</v>
      </c>
      <c r="B9" s="90" t="s">
        <v>377</v>
      </c>
      <c r="C9" s="91">
        <v>500</v>
      </c>
      <c r="D9" s="90" t="s">
        <v>298</v>
      </c>
    </row>
    <row r="10" spans="1:4" x14ac:dyDescent="0.25">
      <c r="A10" s="92" t="s">
        <v>64</v>
      </c>
      <c r="B10" s="90" t="s">
        <v>377</v>
      </c>
      <c r="C10" s="91">
        <v>50.5</v>
      </c>
      <c r="D10" s="90" t="s">
        <v>298</v>
      </c>
    </row>
    <row r="11" spans="1:4" x14ac:dyDescent="0.25">
      <c r="A11" s="92" t="s">
        <v>73</v>
      </c>
      <c r="B11" s="90" t="s">
        <v>377</v>
      </c>
      <c r="C11" s="91">
        <v>2000</v>
      </c>
      <c r="D11" s="90" t="s">
        <v>298</v>
      </c>
    </row>
    <row r="12" spans="1:4" x14ac:dyDescent="0.25">
      <c r="A12" s="92" t="s">
        <v>44</v>
      </c>
      <c r="B12" s="90" t="s">
        <v>378</v>
      </c>
      <c r="C12" s="91">
        <v>200</v>
      </c>
      <c r="D12" s="90" t="s">
        <v>298</v>
      </c>
    </row>
    <row r="13" spans="1:4" x14ac:dyDescent="0.25">
      <c r="A13" s="92" t="s">
        <v>64</v>
      </c>
      <c r="B13" s="90" t="s">
        <v>378</v>
      </c>
      <c r="C13" s="91">
        <v>19</v>
      </c>
      <c r="D13" s="90" t="s">
        <v>298</v>
      </c>
    </row>
    <row r="14" spans="1:4" x14ac:dyDescent="0.25">
      <c r="A14" s="92" t="s">
        <v>73</v>
      </c>
      <c r="B14" s="90" t="s">
        <v>378</v>
      </c>
      <c r="C14" s="91">
        <v>0</v>
      </c>
      <c r="D14" s="90" t="s">
        <v>298</v>
      </c>
    </row>
    <row r="15" spans="1:4" x14ac:dyDescent="0.25">
      <c r="A15" s="92" t="s">
        <v>44</v>
      </c>
      <c r="B15" s="90" t="s">
        <v>379</v>
      </c>
      <c r="C15" s="91">
        <v>2000</v>
      </c>
      <c r="D15" s="90" t="s">
        <v>298</v>
      </c>
    </row>
    <row r="16" spans="1:4" x14ac:dyDescent="0.25">
      <c r="A16" s="92" t="s">
        <v>64</v>
      </c>
      <c r="B16" s="90" t="s">
        <v>379</v>
      </c>
      <c r="C16" s="91">
        <v>114</v>
      </c>
      <c r="D16" s="90" t="s">
        <v>298</v>
      </c>
    </row>
    <row r="17" spans="1:4" x14ac:dyDescent="0.25">
      <c r="A17" s="92" t="s">
        <v>73</v>
      </c>
      <c r="B17" s="90" t="s">
        <v>379</v>
      </c>
      <c r="C17" s="91">
        <f>ICARUS.ICARUS1.Pro\P_peak\\option_1</f>
        <v>2600</v>
      </c>
      <c r="D17" s="90" t="s">
        <v>298</v>
      </c>
    </row>
    <row r="18" spans="1:4" x14ac:dyDescent="0.25">
      <c r="A18" s="89" t="s">
        <v>85</v>
      </c>
      <c r="B18" s="90" t="s">
        <v>301</v>
      </c>
      <c r="C18" s="91">
        <v>72</v>
      </c>
      <c r="D18" s="90" t="s">
        <v>302</v>
      </c>
    </row>
    <row r="19" spans="1:4" x14ac:dyDescent="0.25">
      <c r="A19" s="89" t="s">
        <v>85</v>
      </c>
      <c r="B19" s="90" t="s">
        <v>303</v>
      </c>
      <c r="C19" s="91">
        <v>90</v>
      </c>
      <c r="D19" s="90" t="s">
        <v>304</v>
      </c>
    </row>
    <row r="20" spans="1:4" x14ac:dyDescent="0.25">
      <c r="A20" s="95" t="s">
        <v>310</v>
      </c>
      <c r="B20" s="96" t="s">
        <v>377</v>
      </c>
      <c r="C20" s="93">
        <v>100</v>
      </c>
      <c r="D20" s="94" t="s">
        <v>298</v>
      </c>
    </row>
    <row r="21" spans="1:4" x14ac:dyDescent="0.25">
      <c r="A21" s="95" t="s">
        <v>310</v>
      </c>
      <c r="B21" s="96" t="s">
        <v>378</v>
      </c>
      <c r="C21" s="93">
        <v>50</v>
      </c>
      <c r="D21" s="94" t="s">
        <v>298</v>
      </c>
    </row>
    <row r="22" spans="1:4" x14ac:dyDescent="0.25">
      <c r="A22" s="95" t="s">
        <v>310</v>
      </c>
      <c r="B22" s="96" t="s">
        <v>379</v>
      </c>
      <c r="C22" s="93">
        <v>200</v>
      </c>
      <c r="D22" s="94" t="s">
        <v>298</v>
      </c>
    </row>
    <row r="26" spans="1:4" ht="16.5" thickBot="1" x14ac:dyDescent="0.3"/>
    <row r="27" spans="1:4" ht="16.5" thickBot="1" x14ac:dyDescent="0.3">
      <c r="A27" s="100" t="s">
        <v>12</v>
      </c>
      <c r="B27" s="101"/>
      <c r="C27" s="101"/>
      <c r="D27" s="102"/>
    </row>
    <row r="28" spans="1:4" x14ac:dyDescent="0.25">
      <c r="A28" s="66"/>
      <c r="B28" s="67" t="s">
        <v>9</v>
      </c>
      <c r="C28" s="67" t="s">
        <v>10</v>
      </c>
      <c r="D28" s="68" t="s">
        <v>11</v>
      </c>
    </row>
    <row r="29" spans="1:4" x14ac:dyDescent="0.25">
      <c r="A29" s="69" t="s">
        <v>77</v>
      </c>
      <c r="B29" s="70" t="s">
        <v>299</v>
      </c>
      <c r="C29" s="71">
        <f>powerSubsystemMass</f>
        <v>1704.9776213648684</v>
      </c>
      <c r="D29" s="70" t="s">
        <v>300</v>
      </c>
    </row>
    <row r="30" spans="1:4" x14ac:dyDescent="0.25">
      <c r="A30" s="69" t="s">
        <v>77</v>
      </c>
      <c r="B30" s="70" t="s">
        <v>19</v>
      </c>
      <c r="C30" s="70">
        <f>NrSatellites</f>
        <v>1735</v>
      </c>
      <c r="D30" s="70" t="s">
        <v>67</v>
      </c>
    </row>
    <row r="31" spans="1:4" x14ac:dyDescent="0.25">
      <c r="A31" s="72" t="s">
        <v>44</v>
      </c>
      <c r="B31" s="73" t="s">
        <v>380</v>
      </c>
      <c r="C31" s="74">
        <f>reflectanceFactor</f>
        <v>2.3339071778900562E-2</v>
      </c>
      <c r="D31" s="73" t="s">
        <v>67</v>
      </c>
    </row>
    <row r="32" spans="1:4" x14ac:dyDescent="0.25">
      <c r="A32" s="75" t="s">
        <v>56</v>
      </c>
      <c r="B32" s="75" t="s">
        <v>701</v>
      </c>
      <c r="C32" s="76">
        <f>plate_distance</f>
        <v>7.0647043398905957E-2</v>
      </c>
      <c r="D32" s="75" t="s">
        <v>595</v>
      </c>
    </row>
    <row r="33" spans="1:5" x14ac:dyDescent="0.25">
      <c r="A33" s="77" t="s">
        <v>106</v>
      </c>
      <c r="B33" s="77" t="s">
        <v>598</v>
      </c>
      <c r="C33" s="78">
        <f>powerBusMass</f>
        <v>200.99998520369908</v>
      </c>
      <c r="D33" s="77" t="s">
        <v>300</v>
      </c>
    </row>
    <row r="34" spans="1:5" x14ac:dyDescent="0.25">
      <c r="A34" s="77" t="s">
        <v>106</v>
      </c>
      <c r="B34" s="77" t="s">
        <v>693</v>
      </c>
      <c r="C34" s="79">
        <f>finalBatteryCapacity</f>
        <v>8</v>
      </c>
      <c r="D34" s="77" t="s">
        <v>694</v>
      </c>
    </row>
    <row r="35" spans="1:5" x14ac:dyDescent="0.25">
      <c r="A35" s="77" t="s">
        <v>106</v>
      </c>
      <c r="B35" s="77" t="s">
        <v>695</v>
      </c>
      <c r="C35" s="79">
        <f>finalBatteryMass</f>
        <v>6.5184000000000006</v>
      </c>
      <c r="D35" s="77" t="s">
        <v>300</v>
      </c>
    </row>
    <row r="36" spans="1:5" x14ac:dyDescent="0.25">
      <c r="A36" s="77" t="s">
        <v>106</v>
      </c>
      <c r="B36" s="77" t="s">
        <v>697</v>
      </c>
      <c r="C36" s="78">
        <f>pvMass</f>
        <v>1153.5928223981721</v>
      </c>
      <c r="D36" s="77" t="s">
        <v>300</v>
      </c>
    </row>
    <row r="37" spans="1:5" x14ac:dyDescent="0.25">
      <c r="A37" s="80" t="s">
        <v>106</v>
      </c>
      <c r="B37" s="80" t="s">
        <v>699</v>
      </c>
      <c r="C37" s="80" t="str">
        <f>solarCellType</f>
        <v>AzurSpace 3C44 CPV x500</v>
      </c>
      <c r="D37" s="80"/>
    </row>
    <row r="38" spans="1:5" x14ac:dyDescent="0.25">
      <c r="A38" s="81" t="s">
        <v>44</v>
      </c>
      <c r="B38" s="82" t="s">
        <v>381</v>
      </c>
      <c r="C38" s="81">
        <v>0</v>
      </c>
      <c r="D38" s="82" t="s">
        <v>382</v>
      </c>
      <c r="E38" t="s">
        <v>596</v>
      </c>
    </row>
  </sheetData>
  <mergeCells count="2">
    <mergeCell ref="A3:D3"/>
    <mergeCell ref="A27:D27"/>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9A61-5ADC-4DCF-9221-143A993936A1}">
  <dimension ref="A1:M385"/>
  <sheetViews>
    <sheetView tabSelected="1" topLeftCell="A57" workbookViewId="0">
      <selection activeCell="L71" sqref="L71"/>
    </sheetView>
  </sheetViews>
  <sheetFormatPr defaultColWidth="11" defaultRowHeight="15.75" x14ac:dyDescent="0.25"/>
  <cols>
    <col min="1" max="1" width="14.5" customWidth="1"/>
    <col min="2" max="2" width="25.625" customWidth="1"/>
    <col min="3" max="3" width="20.375" customWidth="1"/>
    <col min="4" max="4" width="20.75" bestFit="1" customWidth="1"/>
    <col min="5" max="5" width="25.625" bestFit="1" customWidth="1"/>
    <col min="6" max="6" width="22.75" customWidth="1"/>
    <col min="7" max="7" width="16.625" bestFit="1" customWidth="1"/>
    <col min="8" max="8" width="21.5" customWidth="1"/>
    <col min="9" max="9" width="12.5" customWidth="1"/>
  </cols>
  <sheetData>
    <row r="1" spans="2:9" s="3" customFormat="1" ht="31.5" x14ac:dyDescent="0.25">
      <c r="B1" s="3" t="s">
        <v>13</v>
      </c>
      <c r="C1" s="3" t="s">
        <v>15</v>
      </c>
      <c r="D1" s="3" t="s">
        <v>14</v>
      </c>
      <c r="E1" s="3" t="s">
        <v>18</v>
      </c>
      <c r="F1" s="8" t="s">
        <v>557</v>
      </c>
      <c r="G1" s="3" t="s">
        <v>542</v>
      </c>
      <c r="H1" s="3" t="s">
        <v>546</v>
      </c>
      <c r="I1" s="3" t="s">
        <v>547</v>
      </c>
    </row>
    <row r="2" spans="2:9" x14ac:dyDescent="0.25">
      <c r="B2" s="10">
        <f>Diameter</f>
        <v>35</v>
      </c>
      <c r="C2" s="2">
        <v>2450000000</v>
      </c>
      <c r="D2" s="2">
        <v>299792458</v>
      </c>
      <c r="E2" s="39">
        <f>D2/C2/2</f>
        <v>6.1182134285714285E-2</v>
      </c>
      <c r="F2" s="9">
        <v>0.439</v>
      </c>
      <c r="G2" s="4">
        <v>1355</v>
      </c>
      <c r="H2" s="6">
        <v>0.01</v>
      </c>
      <c r="I2" s="10">
        <f>ICARUS\dur\\option_1</f>
        <v>20</v>
      </c>
    </row>
    <row r="3" spans="2:9" x14ac:dyDescent="0.25">
      <c r="E3" s="3" t="s">
        <v>541</v>
      </c>
    </row>
    <row r="4" spans="2:9" s="3" customFormat="1" x14ac:dyDescent="0.25">
      <c r="B4" s="3" t="s">
        <v>553</v>
      </c>
      <c r="E4" s="39">
        <f>2*half_lambda/SQRT(3)</f>
        <v>7.0647043398905957E-2</v>
      </c>
    </row>
    <row r="5" spans="2:9" x14ac:dyDescent="0.25">
      <c r="B5" s="37">
        <f>ROUND(beamLength/plate_distance,0)</f>
        <v>495</v>
      </c>
    </row>
    <row r="6" spans="2:9" ht="16.5" thickBot="1" x14ac:dyDescent="0.3"/>
    <row r="7" spans="2:9" s="3" customFormat="1" x14ac:dyDescent="0.25">
      <c r="B7" s="3" t="s">
        <v>16</v>
      </c>
      <c r="F7" s="43" t="s">
        <v>699</v>
      </c>
    </row>
    <row r="8" spans="2:9" ht="16.5" thickBot="1" x14ac:dyDescent="0.3">
      <c r="B8">
        <f>Diameter/2</f>
        <v>17.5</v>
      </c>
      <c r="F8" s="56" t="s">
        <v>700</v>
      </c>
    </row>
    <row r="9" spans="2:9" ht="16.5" thickBot="1" x14ac:dyDescent="0.3"/>
    <row r="10" spans="2:9" s="1" customFormat="1" ht="47.25" x14ac:dyDescent="0.25">
      <c r="B10" s="1" t="s">
        <v>293</v>
      </c>
      <c r="C10" s="1" t="s">
        <v>550</v>
      </c>
      <c r="E10" s="8" t="s">
        <v>702</v>
      </c>
      <c r="F10" s="43" t="s">
        <v>696</v>
      </c>
      <c r="H10" s="43" t="s">
        <v>698</v>
      </c>
    </row>
    <row r="11" spans="2:9" ht="16.5" thickBot="1" x14ac:dyDescent="0.3">
      <c r="B11" s="10">
        <f>beamDiameter</f>
        <v>1</v>
      </c>
      <c r="C11" s="10">
        <f>beamLength</f>
        <v>35</v>
      </c>
      <c r="E11">
        <v>0.6</v>
      </c>
      <c r="F11" s="115">
        <f>PV_Area*pvArea_Mass_Density</f>
        <v>1153.5928223981721</v>
      </c>
      <c r="H11" s="115">
        <f>pvMass+finalBatteryMass+powerBusMass+antenna_mass</f>
        <v>1704.9776213648684</v>
      </c>
    </row>
    <row r="13" spans="2:9" s="1" customFormat="1" x14ac:dyDescent="0.25">
      <c r="B13" s="1" t="s">
        <v>294</v>
      </c>
    </row>
    <row r="14" spans="2:9" x14ac:dyDescent="0.25">
      <c r="B14">
        <f>beamDiameter/2</f>
        <v>0.5</v>
      </c>
    </row>
    <row r="16" spans="2:9" x14ac:dyDescent="0.25">
      <c r="B16" s="1" t="s">
        <v>551</v>
      </c>
    </row>
    <row r="17" spans="1:9" x14ac:dyDescent="0.25">
      <c r="B17">
        <f>PI() / NrPlates</f>
        <v>6.3466518254339252E-3</v>
      </c>
    </row>
    <row r="19" spans="1:9" s="3" customFormat="1" x14ac:dyDescent="0.25">
      <c r="B19" s="3" t="s">
        <v>17</v>
      </c>
    </row>
    <row r="20" spans="1:9" x14ac:dyDescent="0.25">
      <c r="B20" s="5">
        <f>2 * (Radius^2*PI() - beamRadius^2*PI())</f>
        <v>1922.6547039969535</v>
      </c>
    </row>
    <row r="21" spans="1:9" ht="16.5" thickBot="1" x14ac:dyDescent="0.3"/>
    <row r="22" spans="1:9" s="8" customFormat="1" ht="47.25" x14ac:dyDescent="0.25">
      <c r="B22" s="8" t="s">
        <v>543</v>
      </c>
      <c r="C22" s="8" t="s">
        <v>544</v>
      </c>
      <c r="D22" s="8" t="s">
        <v>545</v>
      </c>
      <c r="E22" s="8" t="s">
        <v>548</v>
      </c>
      <c r="F22" s="8" t="s">
        <v>549</v>
      </c>
      <c r="H22" s="8" t="s">
        <v>565</v>
      </c>
      <c r="I22" s="26" t="s">
        <v>19</v>
      </c>
    </row>
    <row r="23" spans="1:9" ht="16.5" thickBot="1" x14ac:dyDescent="0.3">
      <c r="B23" s="7">
        <f>PV_Area*PV_Efficiency*Irradiance</f>
        <v>1143681.5373990678</v>
      </c>
      <c r="C23" s="38">
        <f>ADCS_Pwr_mean_daytime+COM_Pwr_mean_daytime+PRO_Pwr_mean_daytime+CDH_Pwr_mean_daytime</f>
        <v>2650.5</v>
      </c>
      <c r="D23" s="7">
        <f>PV_Power_BOL-Consumed_Power</f>
        <v>1141031.0373990678</v>
      </c>
      <c r="E23" s="7">
        <f>(1-Yearly_Degradation)^Mission_Life*PV_Power_BOL</f>
        <v>935425.06384056411</v>
      </c>
      <c r="F23" s="7">
        <f>PV_Power_EOL-Consumed_Power</f>
        <v>932774.56384056411</v>
      </c>
      <c r="H23" s="65">
        <v>1</v>
      </c>
      <c r="I23" s="42">
        <f>ROUND(EarthGridPower*1000000000/microWavePower_EOL/microWave_EarthGrid_Efficiency,0)</f>
        <v>1735</v>
      </c>
    </row>
    <row r="25" spans="1:9" s="8" customFormat="1" ht="94.5" x14ac:dyDescent="0.25">
      <c r="B25" s="8" t="s">
        <v>552</v>
      </c>
      <c r="C25" s="8" t="s">
        <v>554</v>
      </c>
      <c r="D25" s="8" t="s">
        <v>555</v>
      </c>
      <c r="F25" s="8" t="s">
        <v>556</v>
      </c>
      <c r="H25" s="8" t="s">
        <v>566</v>
      </c>
    </row>
    <row r="26" spans="1:9" x14ac:dyDescent="0.25">
      <c r="B26" s="4">
        <f>ROUND((Radius-beamRadius)/half_lambda,0)</f>
        <v>278</v>
      </c>
      <c r="C26" s="7">
        <f>NrPlates*nrElement_per_Sector*2</f>
        <v>275220</v>
      </c>
      <c r="D26" s="6">
        <f>microWavePower_BOL/nrElements</f>
        <v>4.1458870627100781</v>
      </c>
      <c r="F26" s="6">
        <f>microWavePower_EOL/nrElements</f>
        <v>3.3891961479564134</v>
      </c>
      <c r="H26">
        <f>0.85*0.9*0.85*0.95</f>
        <v>0.61773749999999994</v>
      </c>
    </row>
    <row r="27" spans="1:9" ht="16.5" thickBot="1" x14ac:dyDescent="0.3">
      <c r="B27" s="4"/>
      <c r="C27" s="7"/>
      <c r="D27" s="6"/>
      <c r="F27" s="6"/>
    </row>
    <row r="28" spans="1:9" ht="16.5" thickBot="1" x14ac:dyDescent="0.3">
      <c r="A28" s="41"/>
      <c r="B28" s="44"/>
      <c r="C28" s="45"/>
      <c r="D28" s="46"/>
      <c r="E28" s="18"/>
      <c r="F28" s="46"/>
      <c r="G28" s="19"/>
    </row>
    <row r="29" spans="1:9" ht="47.25" x14ac:dyDescent="0.25">
      <c r="A29" s="47" t="s">
        <v>594</v>
      </c>
      <c r="B29" s="48" t="s">
        <v>588</v>
      </c>
      <c r="C29" s="49" t="s">
        <v>589</v>
      </c>
      <c r="D29" s="50" t="s">
        <v>590</v>
      </c>
      <c r="E29" s="51" t="s">
        <v>591</v>
      </c>
      <c r="F29" s="52" t="s">
        <v>592</v>
      </c>
      <c r="G29" s="43" t="s">
        <v>593</v>
      </c>
    </row>
    <row r="30" spans="1:9" ht="16.5" thickBot="1" x14ac:dyDescent="0.3">
      <c r="A30" s="40"/>
      <c r="B30" s="53">
        <f>Diameter*beamLength</f>
        <v>1225</v>
      </c>
      <c r="C30" s="54">
        <v>0.2</v>
      </c>
      <c r="D30" s="55">
        <v>0.3</v>
      </c>
      <c r="E30" s="23">
        <f>cylinderFillFactor*PV_Components_Reflectance</f>
        <v>0.06</v>
      </c>
      <c r="F30" s="55">
        <f>2*Radius^2*PI()</f>
        <v>1924.2255003237483</v>
      </c>
      <c r="G30" s="64">
        <f>(cylinderCrossSection*cylinderCrossSectionReflectance+mirrorArea*0)/(cylinderCrossSection+mirrorArea)</f>
        <v>2.3339071778900562E-2</v>
      </c>
    </row>
    <row r="31" spans="1:9" x14ac:dyDescent="0.25">
      <c r="B31" s="4"/>
      <c r="C31" s="7"/>
      <c r="D31" s="6"/>
      <c r="F31" s="6"/>
    </row>
    <row r="32" spans="1:9" x14ac:dyDescent="0.25">
      <c r="B32" s="4"/>
      <c r="C32" s="7"/>
      <c r="D32" s="6"/>
      <c r="F32" s="6"/>
    </row>
    <row r="33" spans="1:13" x14ac:dyDescent="0.25">
      <c r="B33" s="4"/>
      <c r="C33" s="7"/>
      <c r="D33" s="6"/>
      <c r="F33" s="6"/>
    </row>
    <row r="34" spans="1:13" x14ac:dyDescent="0.25">
      <c r="B34" s="4"/>
      <c r="C34" s="7"/>
      <c r="D34" s="6"/>
      <c r="F34" s="6"/>
    </row>
    <row r="35" spans="1:13" ht="16.5" thickBot="1" x14ac:dyDescent="0.3"/>
    <row r="36" spans="1:13" ht="16.5" thickBot="1" x14ac:dyDescent="0.3">
      <c r="A36" s="41"/>
      <c r="B36" s="18"/>
      <c r="C36" s="18"/>
      <c r="D36" s="18"/>
      <c r="E36" s="18"/>
      <c r="F36" s="18"/>
      <c r="G36" s="18"/>
      <c r="H36" s="18"/>
      <c r="I36" s="18"/>
      <c r="J36" s="18"/>
      <c r="K36" s="18"/>
      <c r="L36" s="18"/>
      <c r="M36" s="19"/>
    </row>
    <row r="37" spans="1:13" ht="47.25" x14ac:dyDescent="0.25">
      <c r="A37" s="103" t="s">
        <v>459</v>
      </c>
      <c r="B37" s="20"/>
      <c r="C37" s="112" t="s">
        <v>535</v>
      </c>
      <c r="D37" s="111" t="s">
        <v>709</v>
      </c>
      <c r="E37" s="27" t="s">
        <v>531</v>
      </c>
      <c r="F37" s="113" t="s">
        <v>534</v>
      </c>
      <c r="G37" s="25" t="s">
        <v>536</v>
      </c>
      <c r="H37" s="20"/>
      <c r="I37" s="20"/>
      <c r="J37" s="20"/>
      <c r="K37" s="20"/>
      <c r="L37" s="20"/>
      <c r="M37" s="22"/>
    </row>
    <row r="38" spans="1:13" x14ac:dyDescent="0.25">
      <c r="A38" s="104"/>
      <c r="B38" s="20"/>
      <c r="C38" s="116">
        <f>Pe*(Te/60)/(DoD*N*eta)</f>
        <v>298.88888888888886</v>
      </c>
      <c r="D38" s="117">
        <f>Cr/V_bus</f>
        <v>2.9888888888888885</v>
      </c>
      <c r="E38" s="118">
        <v>0.6</v>
      </c>
      <c r="F38" s="119">
        <f>COM_Pwr_mean_eclipse+ADCS_Pwr_mean_eclipse+PRO_Pwr_mean_eclipse+CDH_Pwr_mean_eclipse</f>
        <v>269</v>
      </c>
      <c r="G38" s="107">
        <v>180</v>
      </c>
      <c r="H38" s="20"/>
      <c r="I38" s="20"/>
      <c r="J38" s="20"/>
      <c r="K38" s="20"/>
      <c r="L38" s="20"/>
      <c r="M38" s="22"/>
    </row>
    <row r="39" spans="1:13" x14ac:dyDescent="0.25">
      <c r="A39" s="104"/>
      <c r="B39" s="20"/>
      <c r="C39" s="20"/>
      <c r="D39" s="20"/>
      <c r="E39" s="20"/>
      <c r="F39" s="20"/>
      <c r="G39" s="20"/>
      <c r="H39" s="20"/>
      <c r="I39" s="20"/>
      <c r="J39" s="20"/>
      <c r="K39" s="20"/>
      <c r="L39" s="20"/>
      <c r="M39" s="22"/>
    </row>
    <row r="40" spans="1:13" ht="31.5" x14ac:dyDescent="0.25">
      <c r="A40" s="104"/>
      <c r="B40" s="20"/>
      <c r="C40" s="25" t="s">
        <v>712</v>
      </c>
      <c r="D40" s="60"/>
      <c r="E40" s="21" t="s">
        <v>532</v>
      </c>
      <c r="F40" s="21" t="s">
        <v>533</v>
      </c>
      <c r="G40" s="21" t="s">
        <v>537</v>
      </c>
      <c r="H40" s="20"/>
      <c r="I40" s="20"/>
      <c r="J40" s="20"/>
      <c r="K40" s="20"/>
      <c r="L40" s="20"/>
      <c r="M40" s="22"/>
    </row>
    <row r="41" spans="1:13" x14ac:dyDescent="0.25">
      <c r="A41" s="104"/>
      <c r="B41" s="20"/>
      <c r="C41" s="120">
        <f>N*Cr/U*Fquant</f>
        <v>4.981481481481481</v>
      </c>
      <c r="D41" s="61"/>
      <c r="E41" s="107">
        <v>2</v>
      </c>
      <c r="F41" s="107">
        <v>0.9</v>
      </c>
      <c r="G41" s="107">
        <v>1.5</v>
      </c>
      <c r="H41" s="20"/>
      <c r="I41" s="20"/>
      <c r="J41" s="20"/>
      <c r="K41" s="20"/>
      <c r="L41" s="20"/>
      <c r="M41" s="22"/>
    </row>
    <row r="42" spans="1:13" x14ac:dyDescent="0.25">
      <c r="A42" s="108"/>
      <c r="B42" s="20"/>
      <c r="C42" s="20"/>
      <c r="D42" s="20"/>
      <c r="E42" s="20"/>
      <c r="F42" s="20"/>
      <c r="G42" s="20"/>
      <c r="H42" s="20"/>
      <c r="I42" s="20"/>
      <c r="J42" s="20"/>
      <c r="K42" s="20"/>
      <c r="L42" s="20"/>
      <c r="M42" s="22"/>
    </row>
    <row r="43" spans="1:13" x14ac:dyDescent="0.25">
      <c r="A43" s="109"/>
      <c r="B43" s="20"/>
      <c r="C43" s="20"/>
      <c r="D43" s="20"/>
      <c r="E43" s="20"/>
      <c r="F43" s="20"/>
      <c r="G43" s="20"/>
      <c r="H43" s="20"/>
      <c r="I43" s="20"/>
      <c r="J43" s="20"/>
      <c r="K43" s="20"/>
      <c r="L43" s="20"/>
      <c r="M43" s="22"/>
    </row>
    <row r="44" spans="1:13" x14ac:dyDescent="0.25">
      <c r="A44" s="109"/>
      <c r="B44" s="20"/>
      <c r="C44" s="106" t="s">
        <v>703</v>
      </c>
      <c r="D44" s="20"/>
      <c r="E44" s="20"/>
      <c r="F44" s="21" t="s">
        <v>707</v>
      </c>
      <c r="G44" s="20"/>
      <c r="H44" s="20"/>
      <c r="I44" s="20"/>
      <c r="J44" s="20"/>
      <c r="K44" s="20"/>
      <c r="L44" s="20"/>
      <c r="M44" s="22"/>
    </row>
    <row r="45" spans="1:13" x14ac:dyDescent="0.25">
      <c r="A45" s="109"/>
      <c r="B45" s="20"/>
      <c r="C45" s="107">
        <v>3.65</v>
      </c>
      <c r="D45" s="20"/>
      <c r="E45" s="20"/>
      <c r="F45" s="107">
        <v>1.2</v>
      </c>
      <c r="G45" s="20"/>
      <c r="H45" s="20"/>
      <c r="I45" s="20"/>
      <c r="J45" s="20"/>
      <c r="K45" s="20"/>
      <c r="L45" s="20"/>
      <c r="M45" s="22"/>
    </row>
    <row r="46" spans="1:13" x14ac:dyDescent="0.25">
      <c r="A46" s="109"/>
      <c r="B46" s="20"/>
      <c r="C46" s="20"/>
      <c r="D46" s="20"/>
      <c r="E46" s="20"/>
      <c r="F46" s="20"/>
      <c r="G46" s="20"/>
      <c r="H46" s="20"/>
      <c r="I46" s="20"/>
      <c r="J46" s="20"/>
      <c r="K46" s="20"/>
      <c r="L46" s="20"/>
      <c r="M46" s="22"/>
    </row>
    <row r="47" spans="1:13" x14ac:dyDescent="0.25">
      <c r="A47" s="109"/>
      <c r="B47" s="20"/>
      <c r="C47" s="121" t="s">
        <v>704</v>
      </c>
      <c r="D47" s="20"/>
      <c r="E47" s="20"/>
      <c r="F47" s="20"/>
      <c r="G47" s="20"/>
      <c r="H47" s="20"/>
      <c r="I47" s="20"/>
      <c r="J47" s="20"/>
      <c r="K47" s="20"/>
      <c r="L47" s="20"/>
      <c r="M47" s="22"/>
    </row>
    <row r="48" spans="1:13" x14ac:dyDescent="0.25">
      <c r="A48" s="109"/>
      <c r="B48" s="20"/>
      <c r="C48" s="122">
        <f>_xlfn.CEILING.MATH(V_bus/cellVoltage)</f>
        <v>28</v>
      </c>
      <c r="D48" s="20"/>
      <c r="E48" s="20"/>
      <c r="F48" s="20"/>
      <c r="G48" s="20"/>
      <c r="H48" s="20"/>
      <c r="I48" s="20"/>
      <c r="J48" s="20"/>
      <c r="K48" s="20"/>
      <c r="L48" s="20"/>
      <c r="M48" s="22"/>
    </row>
    <row r="49" spans="1:13" x14ac:dyDescent="0.25">
      <c r="A49" s="109"/>
      <c r="B49" s="20"/>
      <c r="C49" s="107"/>
      <c r="D49" s="20"/>
      <c r="E49" s="20"/>
      <c r="F49" s="20"/>
      <c r="G49" s="20"/>
      <c r="H49" s="20"/>
      <c r="I49" s="20"/>
      <c r="J49" s="20"/>
      <c r="K49" s="20"/>
      <c r="L49" s="20"/>
      <c r="M49" s="22"/>
    </row>
    <row r="50" spans="1:13" x14ac:dyDescent="0.25">
      <c r="A50" s="109"/>
      <c r="B50" s="20"/>
      <c r="C50" s="121" t="s">
        <v>705</v>
      </c>
      <c r="D50" s="20"/>
      <c r="E50" s="20"/>
      <c r="F50" s="20"/>
      <c r="G50" s="20"/>
      <c r="H50" s="20"/>
      <c r="I50" s="20"/>
      <c r="J50" s="20"/>
      <c r="K50" s="20"/>
      <c r="L50" s="20"/>
      <c r="M50" s="22"/>
    </row>
    <row r="51" spans="1:13" x14ac:dyDescent="0.25">
      <c r="A51" s="109"/>
      <c r="B51" s="20"/>
      <c r="C51" s="122">
        <f>nrCellSerial*N</f>
        <v>56</v>
      </c>
      <c r="D51" s="20"/>
      <c r="E51" s="20"/>
      <c r="F51" s="20"/>
      <c r="G51" s="20"/>
      <c r="H51" s="20"/>
      <c r="I51" s="20"/>
      <c r="J51" s="20"/>
      <c r="K51" s="20"/>
      <c r="L51" s="20"/>
      <c r="M51" s="22"/>
    </row>
    <row r="52" spans="1:13" ht="16.5" thickBot="1" x14ac:dyDescent="0.3">
      <c r="A52" s="109"/>
      <c r="B52" s="20"/>
      <c r="C52" s="107"/>
      <c r="D52" s="20"/>
      <c r="E52" s="20"/>
      <c r="F52" s="20"/>
      <c r="G52" s="20"/>
      <c r="H52" s="20"/>
      <c r="I52" s="20"/>
      <c r="J52" s="20"/>
      <c r="K52" s="20"/>
      <c r="L52" s="20"/>
      <c r="M52" s="22"/>
    </row>
    <row r="53" spans="1:13" ht="31.5" x14ac:dyDescent="0.25">
      <c r="A53" s="109"/>
      <c r="B53" s="20"/>
      <c r="C53" s="21" t="s">
        <v>706</v>
      </c>
      <c r="D53" s="43" t="s">
        <v>708</v>
      </c>
      <c r="E53" s="43" t="s">
        <v>710</v>
      </c>
      <c r="F53" s="25" t="s">
        <v>711</v>
      </c>
      <c r="G53" s="20"/>
      <c r="H53" s="20"/>
      <c r="I53" s="20"/>
      <c r="J53" s="20"/>
      <c r="K53" s="20"/>
      <c r="L53" s="20"/>
      <c r="M53" s="22"/>
    </row>
    <row r="54" spans="1:13" ht="16.5" thickBot="1" x14ac:dyDescent="0.3">
      <c r="A54" s="109"/>
      <c r="B54" s="20"/>
      <c r="C54" s="107">
        <v>9.7000000000000003E-2</v>
      </c>
      <c r="D54" s="114">
        <f>nrBatteryCells*cellMass*assemblyOverhead</f>
        <v>6.5184000000000006</v>
      </c>
      <c r="E54" s="115">
        <f>N*cellNominalCapacity</f>
        <v>8</v>
      </c>
      <c r="F54" s="107">
        <v>4</v>
      </c>
      <c r="G54" s="20"/>
      <c r="H54" s="20"/>
      <c r="I54" s="20"/>
      <c r="J54" s="20"/>
      <c r="K54" s="20"/>
      <c r="L54" s="20"/>
      <c r="M54" s="22"/>
    </row>
    <row r="55" spans="1:13" x14ac:dyDescent="0.25">
      <c r="A55" s="109"/>
      <c r="B55" s="20"/>
      <c r="C55" s="20"/>
      <c r="D55" s="20"/>
      <c r="E55" s="20"/>
      <c r="F55" s="20"/>
      <c r="G55" s="20"/>
      <c r="H55" s="20"/>
      <c r="I55" s="20"/>
      <c r="J55" s="20"/>
      <c r="K55" s="20"/>
      <c r="L55" s="20"/>
      <c r="M55" s="22"/>
    </row>
    <row r="56" spans="1:13" x14ac:dyDescent="0.25">
      <c r="A56" s="109"/>
      <c r="B56" s="20"/>
      <c r="C56" s="20"/>
      <c r="D56" s="20"/>
      <c r="E56" s="20"/>
      <c r="F56" s="20"/>
      <c r="G56" s="20"/>
      <c r="H56" s="20"/>
      <c r="I56" s="20"/>
      <c r="J56" s="20"/>
      <c r="K56" s="20"/>
      <c r="L56" s="20"/>
      <c r="M56" s="22"/>
    </row>
    <row r="57" spans="1:13" x14ac:dyDescent="0.25">
      <c r="A57" s="109"/>
      <c r="B57" s="20"/>
      <c r="C57" s="20"/>
      <c r="D57" s="20"/>
      <c r="E57" s="20"/>
      <c r="F57" s="20"/>
      <c r="G57" s="20"/>
      <c r="H57" s="20"/>
      <c r="I57" s="20"/>
      <c r="J57" s="20"/>
      <c r="K57" s="20"/>
      <c r="L57" s="20"/>
      <c r="M57" s="22"/>
    </row>
    <row r="58" spans="1:13" ht="16.5" thickBot="1" x14ac:dyDescent="0.3">
      <c r="A58" s="110"/>
      <c r="B58" s="23"/>
      <c r="C58" s="23"/>
      <c r="D58" s="23"/>
      <c r="E58" s="23"/>
      <c r="F58" s="23"/>
      <c r="G58" s="23"/>
      <c r="H58" s="23"/>
      <c r="I58" s="23"/>
      <c r="J58" s="23"/>
      <c r="K58" s="23"/>
      <c r="L58" s="23"/>
      <c r="M58" s="24"/>
    </row>
    <row r="59" spans="1:13" x14ac:dyDescent="0.25">
      <c r="A59" s="105"/>
      <c r="B59" s="20"/>
      <c r="C59" s="20"/>
      <c r="D59" s="20"/>
      <c r="E59" s="20"/>
      <c r="F59" s="20"/>
      <c r="G59" s="20"/>
    </row>
    <row r="61" spans="1:13" ht="16.5" thickBot="1" x14ac:dyDescent="0.3"/>
    <row r="62" spans="1:13" ht="16.5" thickBot="1" x14ac:dyDescent="0.3">
      <c r="A62" s="29"/>
      <c r="B62" s="30"/>
      <c r="C62" s="31"/>
    </row>
    <row r="63" spans="1:13" ht="47.25" x14ac:dyDescent="0.25">
      <c r="A63" s="32"/>
      <c r="B63" s="28" t="s">
        <v>538</v>
      </c>
      <c r="C63" s="33"/>
      <c r="H63" s="123" t="s">
        <v>575</v>
      </c>
      <c r="I63" s="123" t="s">
        <v>576</v>
      </c>
      <c r="J63" s="123" t="s">
        <v>577</v>
      </c>
      <c r="K63" s="123" t="s">
        <v>578</v>
      </c>
      <c r="L63" s="127" t="s">
        <v>579</v>
      </c>
      <c r="M63" s="129" t="s">
        <v>580</v>
      </c>
    </row>
    <row r="64" spans="1:13" ht="16.5" thickBot="1" x14ac:dyDescent="0.3">
      <c r="A64" s="34"/>
      <c r="B64" s="35"/>
      <c r="C64" s="36"/>
      <c r="H64" s="122">
        <f>COM_Pwr_peak_daytime+ADCS_Pwr_peak_daytime+PRO_Pwr_Peak_daytime+CDH_Pwr_peak_daytime</f>
        <v>4914</v>
      </c>
      <c r="I64" s="122">
        <f>Peak_Power/V_bus</f>
        <v>49.14</v>
      </c>
      <c r="J64" s="124">
        <f>Peak_Current/J_Cu</f>
        <v>15.851612903225806</v>
      </c>
      <c r="K64" s="122">
        <f>beamLength+Diameter</f>
        <v>70</v>
      </c>
      <c r="L64" s="131">
        <f>beamBusArea*0.01*beamBusLength*100</f>
        <v>1109.6129032258063</v>
      </c>
      <c r="M64" s="130">
        <f>2*beamBusVolume*rho_Cu/1000</f>
        <v>19.88426322580645</v>
      </c>
    </row>
    <row r="66" spans="2:13" ht="47.25" x14ac:dyDescent="0.25">
      <c r="I66" s="8" t="s">
        <v>581</v>
      </c>
    </row>
    <row r="67" spans="2:13" x14ac:dyDescent="0.25">
      <c r="I67" s="6">
        <f>Peak_Current/NrPlates/2</f>
        <v>4.9636363636363638E-2</v>
      </c>
    </row>
    <row r="70" spans="2:13" ht="16.5" thickBot="1" x14ac:dyDescent="0.3"/>
    <row r="71" spans="2:13" ht="63" x14ac:dyDescent="0.25">
      <c r="G71" s="123" t="s">
        <v>582</v>
      </c>
      <c r="H71" s="125" t="s">
        <v>584</v>
      </c>
      <c r="I71" s="123" t="s">
        <v>583</v>
      </c>
      <c r="J71" s="123" t="s">
        <v>585</v>
      </c>
      <c r="K71" s="127" t="s">
        <v>586</v>
      </c>
      <c r="L71" s="129" t="s">
        <v>587</v>
      </c>
    </row>
    <row r="72" spans="2:13" ht="16.5" thickBot="1" x14ac:dyDescent="0.3">
      <c r="G72" s="122">
        <v>1</v>
      </c>
      <c r="H72" s="122">
        <v>2</v>
      </c>
      <c r="I72" s="126">
        <f>half_lambda*1000-d_gap</f>
        <v>59.182134285714284</v>
      </c>
      <c r="J72" s="126">
        <f>3*(d_ant/2)^2*PI()*ant_length</f>
        <v>139.44461872182345</v>
      </c>
      <c r="K72" s="128">
        <f>ant_elem_vol/1000*rho_Cu</f>
        <v>1.2494237837475384</v>
      </c>
      <c r="L72" s="130">
        <f>nrElements*ant_elem_mass/1000</f>
        <v>343.86641376299747</v>
      </c>
    </row>
    <row r="77" spans="2:13" ht="16.5" thickBot="1" x14ac:dyDescent="0.3"/>
    <row r="78" spans="2:13" ht="47.25" x14ac:dyDescent="0.25">
      <c r="B78" s="8" t="s">
        <v>559</v>
      </c>
      <c r="C78" s="8" t="s">
        <v>568</v>
      </c>
      <c r="D78" s="8" t="s">
        <v>569</v>
      </c>
      <c r="E78" s="8"/>
      <c r="F78" s="8" t="s">
        <v>573</v>
      </c>
      <c r="G78" s="132" t="s">
        <v>574</v>
      </c>
      <c r="M78" s="26" t="s">
        <v>597</v>
      </c>
    </row>
    <row r="79" spans="2:13" ht="16.5" thickBot="1" x14ac:dyDescent="0.3">
      <c r="B79">
        <v>100</v>
      </c>
      <c r="C79">
        <v>3.1</v>
      </c>
      <c r="D79">
        <v>8.9600000000000009</v>
      </c>
      <c r="F79" s="6" cm="1">
        <f t="array" ref="F79">INDEX(A82:J385,nrElement_per_Sector,10)</f>
        <v>91.47258685752152</v>
      </c>
      <c r="G79" s="115">
        <f>2*2*NrPlates*wireMass_per_Radius/1000</f>
        <v>181.11572197789263</v>
      </c>
      <c r="M79" s="56">
        <f>radial_Bus_Mass+beam_bus_Mass</f>
        <v>200.99998520369908</v>
      </c>
    </row>
    <row r="81" spans="1:10" ht="47.25" x14ac:dyDescent="0.25">
      <c r="A81" s="8" t="s">
        <v>572</v>
      </c>
      <c r="B81" s="8" t="s">
        <v>558</v>
      </c>
      <c r="C81" s="8" t="s">
        <v>560</v>
      </c>
      <c r="D81" s="8" t="s">
        <v>561</v>
      </c>
      <c r="E81" s="8" t="s">
        <v>562</v>
      </c>
      <c r="F81" s="8" t="s">
        <v>563</v>
      </c>
      <c r="G81" s="8" t="s">
        <v>564</v>
      </c>
      <c r="H81" s="8" t="s">
        <v>567</v>
      </c>
      <c r="I81" s="8" t="s">
        <v>570</v>
      </c>
      <c r="J81" s="8" t="s">
        <v>571</v>
      </c>
    </row>
    <row r="82" spans="1:10" x14ac:dyDescent="0.25">
      <c r="A82">
        <v>0</v>
      </c>
      <c r="B82" s="5">
        <f t="shared" ref="B82:B145" si="0">2*(Radius-A82*half_lambda)*alphaSector*half_lambda*PV_Efficiency*Irradiance</f>
        <v>8.0842764542268011</v>
      </c>
      <c r="C82" s="5">
        <f t="shared" ref="C82:C145" si="1">B82-Element_Power_BOL</f>
        <v>3.938389391516723</v>
      </c>
      <c r="D82" s="5">
        <f>SUM(C$82:C82)</f>
        <v>3.938389391516723</v>
      </c>
      <c r="E82" s="9">
        <f t="shared" ref="E82:E145" si="2">D82/V_bus</f>
        <v>3.938389391516723E-2</v>
      </c>
      <c r="F82" s="9">
        <f t="shared" ref="F82:F145" si="3">E82/J_Cu</f>
        <v>1.2704481908118461E-2</v>
      </c>
      <c r="G82" s="9">
        <f>MAX(0.1, F82)</f>
        <v>0.1</v>
      </c>
      <c r="H82" s="9">
        <f t="shared" ref="H82:H145" si="4">G82*half_lambda*1000</f>
        <v>6.1182134285714289</v>
      </c>
      <c r="I82" s="9">
        <f t="shared" ref="I82:I145" si="5">H82/1000*rho_Cu</f>
        <v>5.4819192320000008E-2</v>
      </c>
      <c r="J82" s="9">
        <f>SUM(I$82:I82)</f>
        <v>5.4819192320000008E-2</v>
      </c>
    </row>
    <row r="83" spans="1:10" x14ac:dyDescent="0.25">
      <c r="A83">
        <v>1</v>
      </c>
      <c r="B83" s="5">
        <f t="shared" si="0"/>
        <v>8.0560128377910676</v>
      </c>
      <c r="C83" s="5">
        <f t="shared" si="1"/>
        <v>3.9101257750809895</v>
      </c>
      <c r="D83" s="5">
        <f>SUM(C$82:C83)</f>
        <v>7.8485151665977124</v>
      </c>
      <c r="E83" s="9">
        <f t="shared" si="2"/>
        <v>7.8485151665977124E-2</v>
      </c>
      <c r="F83" s="9">
        <f>E83/J_Cu</f>
        <v>2.5317790859992619E-2</v>
      </c>
      <c r="G83" s="9">
        <f t="shared" ref="G83:G146" si="6">MAX(0.1, F83)</f>
        <v>0.1</v>
      </c>
      <c r="H83" s="9">
        <f t="shared" si="4"/>
        <v>6.1182134285714289</v>
      </c>
      <c r="I83" s="9">
        <f t="shared" si="5"/>
        <v>5.4819192320000008E-2</v>
      </c>
      <c r="J83" s="9">
        <f>SUM(I$82:I83)</f>
        <v>0.10963838464000002</v>
      </c>
    </row>
    <row r="84" spans="1:10" x14ac:dyDescent="0.25">
      <c r="A84">
        <v>2</v>
      </c>
      <c r="B84" s="5">
        <f t="shared" si="0"/>
        <v>8.0277492213553341</v>
      </c>
      <c r="C84" s="5">
        <f t="shared" si="1"/>
        <v>3.881862158645256</v>
      </c>
      <c r="D84" s="5">
        <f>SUM(C$82:C84)</f>
        <v>11.730377325242969</v>
      </c>
      <c r="E84" s="9">
        <f t="shared" si="2"/>
        <v>0.11730377325242969</v>
      </c>
      <c r="F84" s="9">
        <f t="shared" si="3"/>
        <v>3.7839926855622479E-2</v>
      </c>
      <c r="G84" s="9">
        <f t="shared" si="6"/>
        <v>0.1</v>
      </c>
      <c r="H84" s="9">
        <f t="shared" si="4"/>
        <v>6.1182134285714289</v>
      </c>
      <c r="I84" s="9">
        <f t="shared" si="5"/>
        <v>5.4819192320000008E-2</v>
      </c>
      <c r="J84" s="9">
        <f>SUM(I$82:I84)</f>
        <v>0.16445757696000002</v>
      </c>
    </row>
    <row r="85" spans="1:10" x14ac:dyDescent="0.25">
      <c r="A85">
        <v>3</v>
      </c>
      <c r="B85" s="5">
        <f t="shared" si="0"/>
        <v>7.9994856049195997</v>
      </c>
      <c r="C85" s="5">
        <f t="shared" si="1"/>
        <v>3.8535985422095216</v>
      </c>
      <c r="D85" s="5">
        <f>SUM(C$82:C85)</f>
        <v>15.583975867452491</v>
      </c>
      <c r="E85" s="9">
        <f t="shared" si="2"/>
        <v>0.1558397586745249</v>
      </c>
      <c r="F85" s="9">
        <f t="shared" si="3"/>
        <v>5.0270889895008032E-2</v>
      </c>
      <c r="G85" s="9">
        <f t="shared" si="6"/>
        <v>0.1</v>
      </c>
      <c r="H85" s="9">
        <f t="shared" si="4"/>
        <v>6.1182134285714289</v>
      </c>
      <c r="I85" s="9">
        <f t="shared" si="5"/>
        <v>5.4819192320000008E-2</v>
      </c>
      <c r="J85" s="9">
        <f>SUM(I$82:I85)</f>
        <v>0.21927676928000003</v>
      </c>
    </row>
    <row r="86" spans="1:10" x14ac:dyDescent="0.25">
      <c r="A86">
        <v>4</v>
      </c>
      <c r="B86" s="5">
        <f t="shared" si="0"/>
        <v>7.9712219884838644</v>
      </c>
      <c r="C86" s="5">
        <f t="shared" si="1"/>
        <v>3.8253349257737863</v>
      </c>
      <c r="D86" s="5">
        <f>SUM(C$82:C86)</f>
        <v>19.409310793226275</v>
      </c>
      <c r="E86" s="9">
        <f t="shared" si="2"/>
        <v>0.19409310793226275</v>
      </c>
      <c r="F86" s="9">
        <f t="shared" si="3"/>
        <v>6.2610679978149272E-2</v>
      </c>
      <c r="G86" s="9">
        <f t="shared" si="6"/>
        <v>0.1</v>
      </c>
      <c r="H86" s="9">
        <f t="shared" si="4"/>
        <v>6.1182134285714289</v>
      </c>
      <c r="I86" s="9">
        <f t="shared" si="5"/>
        <v>5.4819192320000008E-2</v>
      </c>
      <c r="J86" s="9">
        <f>SUM(I$82:I86)</f>
        <v>0.27409596160000005</v>
      </c>
    </row>
    <row r="87" spans="1:10" x14ac:dyDescent="0.25">
      <c r="A87">
        <v>5</v>
      </c>
      <c r="B87" s="5">
        <f t="shared" si="0"/>
        <v>7.9429583720481336</v>
      </c>
      <c r="C87" s="5">
        <f t="shared" si="1"/>
        <v>3.7970713093380555</v>
      </c>
      <c r="D87" s="5">
        <f>SUM(C$82:C87)</f>
        <v>23.20638210256433</v>
      </c>
      <c r="E87" s="9">
        <f t="shared" si="2"/>
        <v>0.2320638210256433</v>
      </c>
      <c r="F87" s="9">
        <f t="shared" si="3"/>
        <v>7.4859297105046227E-2</v>
      </c>
      <c r="G87" s="9">
        <f t="shared" si="6"/>
        <v>0.1</v>
      </c>
      <c r="H87" s="9">
        <f t="shared" si="4"/>
        <v>6.1182134285714289</v>
      </c>
      <c r="I87" s="9">
        <f t="shared" si="5"/>
        <v>5.4819192320000008E-2</v>
      </c>
      <c r="J87" s="9">
        <f>SUM(I$82:I87)</f>
        <v>0.32891515392000004</v>
      </c>
    </row>
    <row r="88" spans="1:10" x14ac:dyDescent="0.25">
      <c r="A88">
        <v>6</v>
      </c>
      <c r="B88" s="5">
        <f t="shared" si="0"/>
        <v>7.9146947556123983</v>
      </c>
      <c r="C88" s="5">
        <f t="shared" si="1"/>
        <v>3.7688076929023202</v>
      </c>
      <c r="D88" s="5">
        <f>SUM(C$82:C88)</f>
        <v>26.975189795466651</v>
      </c>
      <c r="E88" s="9">
        <f t="shared" si="2"/>
        <v>0.26975189795466653</v>
      </c>
      <c r="F88" s="9">
        <f t="shared" si="3"/>
        <v>8.7016741275698875E-2</v>
      </c>
      <c r="G88" s="9">
        <f t="shared" si="6"/>
        <v>0.1</v>
      </c>
      <c r="H88" s="9">
        <f t="shared" si="4"/>
        <v>6.1182134285714289</v>
      </c>
      <c r="I88" s="9">
        <f t="shared" si="5"/>
        <v>5.4819192320000008E-2</v>
      </c>
      <c r="J88" s="9">
        <f>SUM(I$82:I88)</f>
        <v>0.38373434624000002</v>
      </c>
    </row>
    <row r="89" spans="1:10" x14ac:dyDescent="0.25">
      <c r="A89">
        <v>7</v>
      </c>
      <c r="B89" s="5">
        <f t="shared" si="0"/>
        <v>7.8864311391766648</v>
      </c>
      <c r="C89" s="5">
        <f t="shared" si="1"/>
        <v>3.7405440764665867</v>
      </c>
      <c r="D89" s="5">
        <f>SUM(C$82:C89)</f>
        <v>30.715733871933239</v>
      </c>
      <c r="E89" s="9">
        <f t="shared" si="2"/>
        <v>0.30715733871933237</v>
      </c>
      <c r="F89" s="9">
        <f t="shared" si="3"/>
        <v>9.9083012490107217E-2</v>
      </c>
      <c r="G89" s="9">
        <f t="shared" si="6"/>
        <v>0.1</v>
      </c>
      <c r="H89" s="9">
        <f t="shared" si="4"/>
        <v>6.1182134285714289</v>
      </c>
      <c r="I89" s="9">
        <f t="shared" si="5"/>
        <v>5.4819192320000008E-2</v>
      </c>
      <c r="J89" s="9">
        <f>SUM(I$82:I89)</f>
        <v>0.43855353856000001</v>
      </c>
    </row>
    <row r="90" spans="1:10" x14ac:dyDescent="0.25">
      <c r="A90">
        <v>8</v>
      </c>
      <c r="B90" s="5">
        <f t="shared" si="0"/>
        <v>7.8581675227409304</v>
      </c>
      <c r="C90" s="5">
        <f t="shared" si="1"/>
        <v>3.7122804600308523</v>
      </c>
      <c r="D90" s="5">
        <f>SUM(C$82:C90)</f>
        <v>34.428014331964093</v>
      </c>
      <c r="E90" s="9">
        <f t="shared" si="2"/>
        <v>0.34428014331964091</v>
      </c>
      <c r="F90" s="9">
        <f t="shared" si="3"/>
        <v>0.11105811074827125</v>
      </c>
      <c r="G90" s="9">
        <f t="shared" si="6"/>
        <v>0.11105811074827125</v>
      </c>
      <c r="H90" s="9">
        <f t="shared" si="4"/>
        <v>6.7947722453184607</v>
      </c>
      <c r="I90" s="9">
        <f t="shared" si="5"/>
        <v>6.0881159318053414E-2</v>
      </c>
      <c r="J90" s="9">
        <f>SUM(I$82:I90)</f>
        <v>0.49943469787805345</v>
      </c>
    </row>
    <row r="91" spans="1:10" x14ac:dyDescent="0.25">
      <c r="A91">
        <v>9</v>
      </c>
      <c r="B91" s="5">
        <f t="shared" si="0"/>
        <v>7.8299039063051969</v>
      </c>
      <c r="C91" s="5">
        <f t="shared" si="1"/>
        <v>3.6840168435951188</v>
      </c>
      <c r="D91" s="5">
        <f>SUM(C$82:C91)</f>
        <v>38.11203117555921</v>
      </c>
      <c r="E91" s="9">
        <f t="shared" si="2"/>
        <v>0.38112031175559208</v>
      </c>
      <c r="F91" s="9">
        <f t="shared" si="3"/>
        <v>0.12294203605019099</v>
      </c>
      <c r="G91" s="9">
        <f t="shared" si="6"/>
        <v>0.12294203605019099</v>
      </c>
      <c r="H91" s="9">
        <f t="shared" si="4"/>
        <v>7.5218561589819126</v>
      </c>
      <c r="I91" s="9">
        <f t="shared" si="5"/>
        <v>6.7395831184477936E-2</v>
      </c>
      <c r="J91" s="9">
        <f>SUM(I$82:I91)</f>
        <v>0.5668305290625314</v>
      </c>
    </row>
    <row r="92" spans="1:10" x14ac:dyDescent="0.25">
      <c r="A92">
        <v>10</v>
      </c>
      <c r="B92" s="5">
        <f t="shared" si="0"/>
        <v>7.8016402898694635</v>
      </c>
      <c r="C92" s="5">
        <f t="shared" si="1"/>
        <v>3.6557532271593853</v>
      </c>
      <c r="D92" s="5">
        <f>SUM(C$82:C92)</f>
        <v>41.767784402718597</v>
      </c>
      <c r="E92" s="9">
        <f t="shared" si="2"/>
        <v>0.417677844027186</v>
      </c>
      <c r="F92" s="9">
        <f t="shared" si="3"/>
        <v>0.13473478839586644</v>
      </c>
      <c r="G92" s="9">
        <f t="shared" si="6"/>
        <v>0.13473478839586644</v>
      </c>
      <c r="H92" s="9">
        <f t="shared" si="4"/>
        <v>8.2433619165931997</v>
      </c>
      <c r="I92" s="9">
        <f t="shared" si="5"/>
        <v>7.3860522772675075E-2</v>
      </c>
      <c r="J92" s="9">
        <f>SUM(I$82:I92)</f>
        <v>0.64069105183520647</v>
      </c>
    </row>
    <row r="93" spans="1:10" x14ac:dyDescent="0.25">
      <c r="A93">
        <v>11</v>
      </c>
      <c r="B93" s="5">
        <f t="shared" si="0"/>
        <v>7.7733766734337308</v>
      </c>
      <c r="C93" s="5">
        <f t="shared" si="1"/>
        <v>3.6274896107236527</v>
      </c>
      <c r="D93" s="5">
        <f>SUM(C$82:C93)</f>
        <v>45.395274013442247</v>
      </c>
      <c r="E93" s="9">
        <f t="shared" si="2"/>
        <v>0.45395274013442249</v>
      </c>
      <c r="F93" s="9">
        <f t="shared" si="3"/>
        <v>0.14643636778529756</v>
      </c>
      <c r="G93" s="9">
        <f t="shared" si="6"/>
        <v>0.14643636778529756</v>
      </c>
      <c r="H93" s="9">
        <f t="shared" si="4"/>
        <v>8.9592895181523193</v>
      </c>
      <c r="I93" s="9">
        <f t="shared" si="5"/>
        <v>8.0275234082644795E-2</v>
      </c>
      <c r="J93" s="9">
        <f>SUM(I$82:I93)</f>
        <v>0.72096628591785128</v>
      </c>
    </row>
    <row r="94" spans="1:10" x14ac:dyDescent="0.25">
      <c r="A94">
        <v>12</v>
      </c>
      <c r="B94" s="5">
        <f t="shared" si="0"/>
        <v>7.7451130569979947</v>
      </c>
      <c r="C94" s="5">
        <f t="shared" si="1"/>
        <v>3.5992259942879166</v>
      </c>
      <c r="D94" s="5">
        <f>SUM(C$82:C94)</f>
        <v>48.994500007730167</v>
      </c>
      <c r="E94" s="9">
        <f t="shared" si="2"/>
        <v>0.48994500007730168</v>
      </c>
      <c r="F94" s="9">
        <f t="shared" si="3"/>
        <v>0.1580467742184844</v>
      </c>
      <c r="G94" s="9">
        <f t="shared" si="6"/>
        <v>0.1580467742184844</v>
      </c>
      <c r="H94" s="9">
        <f t="shared" si="4"/>
        <v>9.6696389636592794</v>
      </c>
      <c r="I94" s="9">
        <f t="shared" si="5"/>
        <v>8.6639965114387138E-2</v>
      </c>
      <c r="J94" s="9">
        <f>SUM(I$82:I94)</f>
        <v>0.80760625103223838</v>
      </c>
    </row>
    <row r="95" spans="1:10" x14ac:dyDescent="0.25">
      <c r="A95">
        <v>13</v>
      </c>
      <c r="B95" s="5">
        <f t="shared" si="0"/>
        <v>7.7168494405622612</v>
      </c>
      <c r="C95" s="5">
        <f t="shared" si="1"/>
        <v>3.5709623778521831</v>
      </c>
      <c r="D95" s="5">
        <f>SUM(C$82:C95)</f>
        <v>52.56546238558235</v>
      </c>
      <c r="E95" s="9">
        <f t="shared" si="2"/>
        <v>0.52565462385582351</v>
      </c>
      <c r="F95" s="9">
        <f t="shared" si="3"/>
        <v>0.16956600769542693</v>
      </c>
      <c r="G95" s="9">
        <f t="shared" si="6"/>
        <v>0.16956600769542693</v>
      </c>
      <c r="H95" s="9">
        <f t="shared" si="4"/>
        <v>10.374410253114071</v>
      </c>
      <c r="I95" s="9">
        <f t="shared" si="5"/>
        <v>9.2954715867902091E-2</v>
      </c>
      <c r="J95" s="9">
        <f>SUM(I$82:I95)</f>
        <v>0.90056096690014042</v>
      </c>
    </row>
    <row r="96" spans="1:10" x14ac:dyDescent="0.25">
      <c r="A96">
        <v>14</v>
      </c>
      <c r="B96" s="5">
        <f t="shared" si="0"/>
        <v>7.6885858241265286</v>
      </c>
      <c r="C96" s="5">
        <f t="shared" si="1"/>
        <v>3.5426987614164505</v>
      </c>
      <c r="D96" s="5">
        <f>SUM(C$82:C96)</f>
        <v>56.108161146998803</v>
      </c>
      <c r="E96" s="9">
        <f t="shared" si="2"/>
        <v>0.56108161146998803</v>
      </c>
      <c r="F96" s="9">
        <f t="shared" si="3"/>
        <v>0.18099406821612515</v>
      </c>
      <c r="G96" s="9">
        <f t="shared" si="6"/>
        <v>0.18099406821612515</v>
      </c>
      <c r="H96" s="9">
        <f t="shared" si="4"/>
        <v>11.0736033865167</v>
      </c>
      <c r="I96" s="9">
        <f t="shared" si="5"/>
        <v>9.9219486343189639E-2</v>
      </c>
      <c r="J96" s="9">
        <f>SUM(I$82:I96)</f>
        <v>0.99978045324333009</v>
      </c>
    </row>
    <row r="97" spans="1:10" x14ac:dyDescent="0.25">
      <c r="A97">
        <v>15</v>
      </c>
      <c r="B97" s="5">
        <f t="shared" si="0"/>
        <v>7.6603222076907951</v>
      </c>
      <c r="C97" s="5">
        <f t="shared" si="1"/>
        <v>3.514435144980717</v>
      </c>
      <c r="D97" s="5">
        <f>SUM(C$82:C97)</f>
        <v>59.622596291979519</v>
      </c>
      <c r="E97" s="9">
        <f t="shared" si="2"/>
        <v>0.59622596291979524</v>
      </c>
      <c r="F97" s="9">
        <f t="shared" si="3"/>
        <v>0.1923309557805791</v>
      </c>
      <c r="G97" s="9">
        <f t="shared" si="6"/>
        <v>0.1923309557805791</v>
      </c>
      <c r="H97" s="9">
        <f t="shared" si="4"/>
        <v>11.767218363867167</v>
      </c>
      <c r="I97" s="9">
        <f t="shared" si="5"/>
        <v>0.10543427654024982</v>
      </c>
      <c r="J97" s="9">
        <f>SUM(I$82:I97)</f>
        <v>1.1052147297835799</v>
      </c>
    </row>
    <row r="98" spans="1:10" x14ac:dyDescent="0.25">
      <c r="A98">
        <v>16</v>
      </c>
      <c r="B98" s="5">
        <f t="shared" si="0"/>
        <v>7.6320585912550607</v>
      </c>
      <c r="C98" s="5">
        <f t="shared" si="1"/>
        <v>3.4861715285449826</v>
      </c>
      <c r="D98" s="5">
        <f>SUM(C$82:C98)</f>
        <v>63.108767820524506</v>
      </c>
      <c r="E98" s="9">
        <f t="shared" si="2"/>
        <v>0.63108767820524503</v>
      </c>
      <c r="F98" s="9">
        <f t="shared" si="3"/>
        <v>0.20357667038878871</v>
      </c>
      <c r="G98" s="9">
        <f t="shared" si="6"/>
        <v>0.20357667038878871</v>
      </c>
      <c r="H98" s="9">
        <f t="shared" si="4"/>
        <v>12.455255185165466</v>
      </c>
      <c r="I98" s="9">
        <f t="shared" si="5"/>
        <v>0.11159908645908259</v>
      </c>
      <c r="J98" s="9">
        <f>SUM(I$82:I98)</f>
        <v>1.2168138162426625</v>
      </c>
    </row>
    <row r="99" spans="1:10" x14ac:dyDescent="0.25">
      <c r="A99">
        <v>17</v>
      </c>
      <c r="B99" s="5">
        <f t="shared" si="0"/>
        <v>7.6037949748193263</v>
      </c>
      <c r="C99" s="5">
        <f t="shared" si="1"/>
        <v>3.4579079121092482</v>
      </c>
      <c r="D99" s="5">
        <f>SUM(C$82:C99)</f>
        <v>66.566675732633755</v>
      </c>
      <c r="E99" s="9">
        <f t="shared" si="2"/>
        <v>0.66566675732633751</v>
      </c>
      <c r="F99" s="9">
        <f t="shared" si="3"/>
        <v>0.21473121204075402</v>
      </c>
      <c r="G99" s="9">
        <f t="shared" si="6"/>
        <v>0.21473121204075402</v>
      </c>
      <c r="H99" s="9">
        <f t="shared" si="4"/>
        <v>13.1377138504116</v>
      </c>
      <c r="I99" s="9">
        <f t="shared" si="5"/>
        <v>0.11771391609968795</v>
      </c>
      <c r="J99" s="9">
        <f>SUM(I$82:I99)</f>
        <v>1.3345277323423503</v>
      </c>
    </row>
    <row r="100" spans="1:10" x14ac:dyDescent="0.25">
      <c r="A100">
        <v>18</v>
      </c>
      <c r="B100" s="5">
        <f t="shared" si="0"/>
        <v>7.5755313583835919</v>
      </c>
      <c r="C100" s="5">
        <f t="shared" si="1"/>
        <v>3.4296442956735138</v>
      </c>
      <c r="D100" s="5">
        <f>SUM(C$82:C100)</f>
        <v>69.996320028307267</v>
      </c>
      <c r="E100" s="9">
        <f t="shared" si="2"/>
        <v>0.69996320028307268</v>
      </c>
      <c r="F100" s="9">
        <f t="shared" si="3"/>
        <v>0.22579458073647504</v>
      </c>
      <c r="G100" s="9">
        <f t="shared" si="6"/>
        <v>0.22579458073647504</v>
      </c>
      <c r="H100" s="9">
        <f t="shared" si="4"/>
        <v>13.814594359605572</v>
      </c>
      <c r="I100" s="9">
        <f t="shared" si="5"/>
        <v>0.12377876546206594</v>
      </c>
      <c r="J100" s="9">
        <f>SUM(I$82:I100)</f>
        <v>1.4583064978044162</v>
      </c>
    </row>
    <row r="101" spans="1:10" x14ac:dyDescent="0.25">
      <c r="A101">
        <v>19</v>
      </c>
      <c r="B101" s="5">
        <f t="shared" si="0"/>
        <v>7.5472677419478584</v>
      </c>
      <c r="C101" s="5">
        <f t="shared" si="1"/>
        <v>3.4013806792377803</v>
      </c>
      <c r="D101" s="5">
        <f>SUM(C$82:C101)</f>
        <v>73.397700707545042</v>
      </c>
      <c r="E101" s="9">
        <f t="shared" si="2"/>
        <v>0.73397700707545044</v>
      </c>
      <c r="F101" s="9">
        <f t="shared" si="3"/>
        <v>0.23676677647595173</v>
      </c>
      <c r="G101" s="9">
        <f t="shared" si="6"/>
        <v>0.23676677647595173</v>
      </c>
      <c r="H101" s="9">
        <f t="shared" si="4"/>
        <v>14.485896712747376</v>
      </c>
      <c r="I101" s="9">
        <f t="shared" si="5"/>
        <v>0.12979363454621651</v>
      </c>
      <c r="J101" s="9">
        <f>SUM(I$82:I101)</f>
        <v>1.5881001323506327</v>
      </c>
    </row>
    <row r="102" spans="1:10" x14ac:dyDescent="0.25">
      <c r="A102">
        <v>20</v>
      </c>
      <c r="B102" s="5">
        <f t="shared" si="0"/>
        <v>7.5190041255121249</v>
      </c>
      <c r="C102" s="5">
        <f t="shared" si="1"/>
        <v>3.3731170628020468</v>
      </c>
      <c r="D102" s="5">
        <f>SUM(C$82:C102)</f>
        <v>76.770817770347094</v>
      </c>
      <c r="E102" s="9">
        <f t="shared" si="2"/>
        <v>0.76770817770347088</v>
      </c>
      <c r="F102" s="9">
        <f t="shared" si="3"/>
        <v>0.24764779925918415</v>
      </c>
      <c r="G102" s="9">
        <f t="shared" si="6"/>
        <v>0.24764779925918415</v>
      </c>
      <c r="H102" s="9">
        <f t="shared" si="4"/>
        <v>15.151620909837019</v>
      </c>
      <c r="I102" s="9">
        <f t="shared" si="5"/>
        <v>0.1357585233521397</v>
      </c>
      <c r="J102" s="9">
        <f>SUM(I$82:I102)</f>
        <v>1.7238586557027724</v>
      </c>
    </row>
    <row r="103" spans="1:10" x14ac:dyDescent="0.25">
      <c r="A103">
        <v>21</v>
      </c>
      <c r="B103" s="5">
        <f t="shared" si="0"/>
        <v>7.4907405090763914</v>
      </c>
      <c r="C103" s="5">
        <f t="shared" si="1"/>
        <v>3.3448534463663133</v>
      </c>
      <c r="D103" s="5">
        <f>SUM(C$82:C103)</f>
        <v>80.115671216713409</v>
      </c>
      <c r="E103" s="9">
        <f t="shared" si="2"/>
        <v>0.80115671216713413</v>
      </c>
      <c r="F103" s="9">
        <f t="shared" si="3"/>
        <v>0.25843764908617228</v>
      </c>
      <c r="G103" s="9">
        <f t="shared" si="6"/>
        <v>0.25843764908617228</v>
      </c>
      <c r="H103" s="9">
        <f t="shared" si="4"/>
        <v>15.811766950874498</v>
      </c>
      <c r="I103" s="9">
        <f t="shared" si="5"/>
        <v>0.14167343187983553</v>
      </c>
      <c r="J103" s="9">
        <f>SUM(I$82:I103)</f>
        <v>1.865532087582608</v>
      </c>
    </row>
    <row r="104" spans="1:10" x14ac:dyDescent="0.25">
      <c r="A104">
        <v>22</v>
      </c>
      <c r="B104" s="5">
        <f t="shared" si="0"/>
        <v>7.4624768926406579</v>
      </c>
      <c r="C104" s="5">
        <f t="shared" si="1"/>
        <v>3.3165898299305798</v>
      </c>
      <c r="D104" s="5">
        <f>SUM(C$82:C104)</f>
        <v>83.432261046643987</v>
      </c>
      <c r="E104" s="9">
        <f t="shared" si="2"/>
        <v>0.83432261046643985</v>
      </c>
      <c r="F104" s="9">
        <f t="shared" si="3"/>
        <v>0.26913632595691606</v>
      </c>
      <c r="G104" s="9">
        <f t="shared" si="6"/>
        <v>0.26913632595691606</v>
      </c>
      <c r="H104" s="9">
        <f t="shared" si="4"/>
        <v>16.466334835859808</v>
      </c>
      <c r="I104" s="9">
        <f t="shared" si="5"/>
        <v>0.14753836012930388</v>
      </c>
      <c r="J104" s="9">
        <f>SUM(I$82:I104)</f>
        <v>2.0130704477119119</v>
      </c>
    </row>
    <row r="105" spans="1:10" x14ac:dyDescent="0.25">
      <c r="A105">
        <v>23</v>
      </c>
      <c r="B105" s="5">
        <f t="shared" si="0"/>
        <v>7.4342132762049236</v>
      </c>
      <c r="C105" s="5">
        <f t="shared" si="1"/>
        <v>3.2883262134948454</v>
      </c>
      <c r="D105" s="5">
        <f>SUM(C$82:C105)</f>
        <v>86.720587260138828</v>
      </c>
      <c r="E105" s="9">
        <f t="shared" si="2"/>
        <v>0.86720587260138826</v>
      </c>
      <c r="F105" s="9">
        <f t="shared" si="3"/>
        <v>0.27974382987141555</v>
      </c>
      <c r="G105" s="9">
        <f t="shared" si="6"/>
        <v>0.27974382987141555</v>
      </c>
      <c r="H105" s="9">
        <f t="shared" si="4"/>
        <v>17.115324564792957</v>
      </c>
      <c r="I105" s="9">
        <f t="shared" si="5"/>
        <v>0.1533533081005449</v>
      </c>
      <c r="J105" s="9">
        <f>SUM(I$82:I105)</f>
        <v>2.1664237558124566</v>
      </c>
    </row>
    <row r="106" spans="1:10" x14ac:dyDescent="0.25">
      <c r="A106">
        <v>24</v>
      </c>
      <c r="B106" s="5">
        <f t="shared" si="0"/>
        <v>7.4059496597691892</v>
      </c>
      <c r="C106" s="5">
        <f t="shared" si="1"/>
        <v>3.2600625970591111</v>
      </c>
      <c r="D106" s="5">
        <f>SUM(C$82:C106)</f>
        <v>89.980649857197932</v>
      </c>
      <c r="E106" s="9">
        <f t="shared" si="2"/>
        <v>0.89980649857197936</v>
      </c>
      <c r="F106" s="9">
        <f t="shared" si="3"/>
        <v>0.29026016082967077</v>
      </c>
      <c r="G106" s="9">
        <f t="shared" si="6"/>
        <v>0.29026016082967077</v>
      </c>
      <c r="H106" s="9">
        <f t="shared" si="4"/>
        <v>17.758736137673942</v>
      </c>
      <c r="I106" s="9">
        <f t="shared" si="5"/>
        <v>0.15911827579355853</v>
      </c>
      <c r="J106" s="9">
        <f>SUM(I$82:I106)</f>
        <v>2.3255420316060151</v>
      </c>
    </row>
    <row r="107" spans="1:10" x14ac:dyDescent="0.25">
      <c r="A107">
        <v>25</v>
      </c>
      <c r="B107" s="5">
        <f t="shared" si="0"/>
        <v>7.3776860433334557</v>
      </c>
      <c r="C107" s="5">
        <f t="shared" si="1"/>
        <v>3.2317989806233776</v>
      </c>
      <c r="D107" s="5">
        <f>SUM(C$82:C107)</f>
        <v>93.212448837821313</v>
      </c>
      <c r="E107" s="9">
        <f t="shared" si="2"/>
        <v>0.93212448837821316</v>
      </c>
      <c r="F107" s="9">
        <f t="shared" si="3"/>
        <v>0.30068531883168165</v>
      </c>
      <c r="G107" s="9">
        <f t="shared" si="6"/>
        <v>0.30068531883168165</v>
      </c>
      <c r="H107" s="9">
        <f t="shared" si="4"/>
        <v>18.396569554502761</v>
      </c>
      <c r="I107" s="9">
        <f t="shared" si="5"/>
        <v>0.16483326320834477</v>
      </c>
      <c r="J107" s="9">
        <f>SUM(I$82:I107)</f>
        <v>2.4903752948143598</v>
      </c>
    </row>
    <row r="108" spans="1:10" x14ac:dyDescent="0.25">
      <c r="A108">
        <v>26</v>
      </c>
      <c r="B108" s="5">
        <f t="shared" si="0"/>
        <v>7.3494224268977222</v>
      </c>
      <c r="C108" s="5">
        <f t="shared" si="1"/>
        <v>3.2035353641876441</v>
      </c>
      <c r="D108" s="5">
        <f>SUM(C$82:C108)</f>
        <v>96.415984202008957</v>
      </c>
      <c r="E108" s="9">
        <f t="shared" si="2"/>
        <v>0.96415984202008953</v>
      </c>
      <c r="F108" s="9">
        <f t="shared" si="3"/>
        <v>0.31101930387744825</v>
      </c>
      <c r="G108" s="9">
        <f t="shared" si="6"/>
        <v>0.31101930387744825</v>
      </c>
      <c r="H108" s="9">
        <f t="shared" si="4"/>
        <v>19.028824815279417</v>
      </c>
      <c r="I108" s="9">
        <f t="shared" si="5"/>
        <v>0.17049827034490359</v>
      </c>
      <c r="J108" s="9">
        <f>SUM(I$82:I108)</f>
        <v>2.6608735651592634</v>
      </c>
    </row>
    <row r="109" spans="1:10" x14ac:dyDescent="0.25">
      <c r="A109">
        <v>27</v>
      </c>
      <c r="B109" s="5">
        <f t="shared" si="0"/>
        <v>7.3211588104619869</v>
      </c>
      <c r="C109" s="5">
        <f t="shared" si="1"/>
        <v>3.1752717477519088</v>
      </c>
      <c r="D109" s="5">
        <f>SUM(C$82:C109)</f>
        <v>99.591255949760864</v>
      </c>
      <c r="E109" s="9">
        <f t="shared" si="2"/>
        <v>0.9959125594976086</v>
      </c>
      <c r="F109" s="9">
        <f t="shared" si="3"/>
        <v>0.32126211596697052</v>
      </c>
      <c r="G109" s="9">
        <f t="shared" si="6"/>
        <v>0.32126211596697052</v>
      </c>
      <c r="H109" s="9">
        <f t="shared" si="4"/>
        <v>19.655501920003907</v>
      </c>
      <c r="I109" s="9">
        <f t="shared" si="5"/>
        <v>0.17611329720323501</v>
      </c>
      <c r="J109" s="9">
        <f>SUM(I$82:I109)</f>
        <v>2.8369868623624983</v>
      </c>
    </row>
    <row r="110" spans="1:10" x14ac:dyDescent="0.25">
      <c r="A110">
        <v>28</v>
      </c>
      <c r="B110" s="5">
        <f t="shared" si="0"/>
        <v>7.2928951940262534</v>
      </c>
      <c r="C110" s="5">
        <f t="shared" si="1"/>
        <v>3.1470081313161753</v>
      </c>
      <c r="D110" s="5">
        <f>SUM(C$82:C110)</f>
        <v>102.73826408107703</v>
      </c>
      <c r="E110" s="9">
        <f t="shared" si="2"/>
        <v>1.0273826408107702</v>
      </c>
      <c r="F110" s="9">
        <f t="shared" si="3"/>
        <v>0.33141375510024845</v>
      </c>
      <c r="G110" s="9">
        <f t="shared" si="6"/>
        <v>0.33141375510024845</v>
      </c>
      <c r="H110" s="9">
        <f t="shared" si="4"/>
        <v>20.276600868676226</v>
      </c>
      <c r="I110" s="9">
        <f t="shared" si="5"/>
        <v>0.18167834378333902</v>
      </c>
      <c r="J110" s="9">
        <f>SUM(I$82:I110)</f>
        <v>3.0186652061458372</v>
      </c>
    </row>
    <row r="111" spans="1:10" x14ac:dyDescent="0.25">
      <c r="A111">
        <v>29</v>
      </c>
      <c r="B111" s="5">
        <f t="shared" si="0"/>
        <v>7.2646315775905199</v>
      </c>
      <c r="C111" s="5">
        <f t="shared" si="1"/>
        <v>3.1187445148804418</v>
      </c>
      <c r="D111" s="5">
        <f>SUM(C$82:C111)</f>
        <v>105.85700859595748</v>
      </c>
      <c r="E111" s="9">
        <f t="shared" si="2"/>
        <v>1.0585700859595748</v>
      </c>
      <c r="F111" s="9">
        <f t="shared" si="3"/>
        <v>0.34147422127728216</v>
      </c>
      <c r="G111" s="9">
        <f t="shared" si="6"/>
        <v>0.34147422127728216</v>
      </c>
      <c r="H111" s="9">
        <f t="shared" si="4"/>
        <v>20.892121661296393</v>
      </c>
      <c r="I111" s="9">
        <f t="shared" si="5"/>
        <v>0.1871934100852157</v>
      </c>
      <c r="J111" s="9">
        <f>SUM(I$82:I111)</f>
        <v>3.2058586162310529</v>
      </c>
    </row>
    <row r="112" spans="1:10" x14ac:dyDescent="0.25">
      <c r="A112">
        <v>30</v>
      </c>
      <c r="B112" s="5">
        <f t="shared" si="0"/>
        <v>7.2363679611547864</v>
      </c>
      <c r="C112" s="5">
        <f t="shared" si="1"/>
        <v>3.0904808984447083</v>
      </c>
      <c r="D112" s="5">
        <f>SUM(C$82:C112)</f>
        <v>108.94748949440219</v>
      </c>
      <c r="E112" s="9">
        <f t="shared" si="2"/>
        <v>1.0894748949440218</v>
      </c>
      <c r="F112" s="9">
        <f t="shared" si="3"/>
        <v>0.35144351449807154</v>
      </c>
      <c r="G112" s="9">
        <f t="shared" si="6"/>
        <v>0.35144351449807154</v>
      </c>
      <c r="H112" s="9">
        <f t="shared" si="4"/>
        <v>21.502064297864386</v>
      </c>
      <c r="I112" s="9">
        <f t="shared" si="5"/>
        <v>0.19265849610886493</v>
      </c>
      <c r="J112" s="9">
        <f>SUM(I$82:I112)</f>
        <v>3.3985171123399178</v>
      </c>
    </row>
    <row r="113" spans="1:10" x14ac:dyDescent="0.25">
      <c r="A113">
        <v>31</v>
      </c>
      <c r="B113" s="5">
        <f t="shared" si="0"/>
        <v>7.208104344719052</v>
      </c>
      <c r="C113" s="5">
        <f t="shared" si="1"/>
        <v>3.0622172820089739</v>
      </c>
      <c r="D113" s="5">
        <f>SUM(C$82:C113)</f>
        <v>112.00970677641116</v>
      </c>
      <c r="E113" s="9">
        <f t="shared" si="2"/>
        <v>1.1200970677641116</v>
      </c>
      <c r="F113" s="9">
        <f t="shared" si="3"/>
        <v>0.36132163476261664</v>
      </c>
      <c r="G113" s="9">
        <f t="shared" si="6"/>
        <v>0.36132163476261664</v>
      </c>
      <c r="H113" s="9">
        <f t="shared" si="4"/>
        <v>22.106428778380224</v>
      </c>
      <c r="I113" s="9">
        <f t="shared" si="5"/>
        <v>0.19807360185428682</v>
      </c>
      <c r="J113" s="9">
        <f>SUM(I$82:I113)</f>
        <v>3.5965907141942046</v>
      </c>
    </row>
    <row r="114" spans="1:10" x14ac:dyDescent="0.25">
      <c r="A114">
        <v>32</v>
      </c>
      <c r="B114" s="5">
        <f t="shared" si="0"/>
        <v>7.1798407282833177</v>
      </c>
      <c r="C114" s="5">
        <f t="shared" si="1"/>
        <v>3.0339536655732395</v>
      </c>
      <c r="D114" s="5">
        <f>SUM(C$82:C114)</f>
        <v>115.0436604419844</v>
      </c>
      <c r="E114" s="9">
        <f t="shared" si="2"/>
        <v>1.150436604419844</v>
      </c>
      <c r="F114" s="9">
        <f t="shared" si="3"/>
        <v>0.3711085820709174</v>
      </c>
      <c r="G114" s="9">
        <f t="shared" si="6"/>
        <v>0.3711085820709174</v>
      </c>
      <c r="H114" s="9">
        <f t="shared" si="4"/>
        <v>22.705215102843891</v>
      </c>
      <c r="I114" s="9">
        <f t="shared" si="5"/>
        <v>0.20343872732148127</v>
      </c>
      <c r="J114" s="9">
        <f>SUM(I$82:I114)</f>
        <v>3.8000294415156857</v>
      </c>
    </row>
    <row r="115" spans="1:10" x14ac:dyDescent="0.25">
      <c r="A115">
        <v>33</v>
      </c>
      <c r="B115" s="5">
        <f t="shared" si="0"/>
        <v>7.1515771118475842</v>
      </c>
      <c r="C115" s="5">
        <f t="shared" si="1"/>
        <v>3.005690049137506</v>
      </c>
      <c r="D115" s="5">
        <f>SUM(C$82:C115)</f>
        <v>118.04935049112191</v>
      </c>
      <c r="E115" s="9">
        <f t="shared" si="2"/>
        <v>1.1804935049112191</v>
      </c>
      <c r="F115" s="9">
        <f t="shared" si="3"/>
        <v>0.38080435642297389</v>
      </c>
      <c r="G115" s="9">
        <f t="shared" si="6"/>
        <v>0.38080435642297389</v>
      </c>
      <c r="H115" s="9">
        <f t="shared" si="4"/>
        <v>23.298423271255391</v>
      </c>
      <c r="I115" s="9">
        <f t="shared" si="5"/>
        <v>0.20875387251044833</v>
      </c>
      <c r="J115" s="9">
        <f>SUM(I$82:I115)</f>
        <v>4.0087833140261342</v>
      </c>
    </row>
    <row r="116" spans="1:10" x14ac:dyDescent="0.25">
      <c r="A116">
        <v>34</v>
      </c>
      <c r="B116" s="5">
        <f t="shared" si="0"/>
        <v>7.1233134954118515</v>
      </c>
      <c r="C116" s="5">
        <f t="shared" si="1"/>
        <v>2.9774264327017734</v>
      </c>
      <c r="D116" s="5">
        <f>SUM(C$82:C116)</f>
        <v>121.02677692382369</v>
      </c>
      <c r="E116" s="9">
        <f t="shared" si="2"/>
        <v>1.2102677692382369</v>
      </c>
      <c r="F116" s="9">
        <f t="shared" si="3"/>
        <v>0.3904089578187861</v>
      </c>
      <c r="G116" s="9">
        <f t="shared" si="6"/>
        <v>0.3904089578187861</v>
      </c>
      <c r="H116" s="9">
        <f t="shared" si="4"/>
        <v>23.886053283614732</v>
      </c>
      <c r="I116" s="9">
        <f t="shared" si="5"/>
        <v>0.21401903742118802</v>
      </c>
      <c r="J116" s="9">
        <f>SUM(I$82:I116)</f>
        <v>4.2228023514473225</v>
      </c>
    </row>
    <row r="117" spans="1:10" x14ac:dyDescent="0.25">
      <c r="A117">
        <v>35</v>
      </c>
      <c r="B117" s="5">
        <f t="shared" si="0"/>
        <v>7.0950498789761172</v>
      </c>
      <c r="C117" s="5">
        <f t="shared" si="1"/>
        <v>2.949162816266039</v>
      </c>
      <c r="D117" s="5">
        <f>SUM(C$82:C117)</f>
        <v>123.97593974008973</v>
      </c>
      <c r="E117" s="9">
        <f t="shared" si="2"/>
        <v>1.2397593974008974</v>
      </c>
      <c r="F117" s="9">
        <f t="shared" si="3"/>
        <v>0.39992238625835397</v>
      </c>
      <c r="G117" s="9">
        <f t="shared" si="6"/>
        <v>0.39992238625835397</v>
      </c>
      <c r="H117" s="9">
        <f t="shared" si="4"/>
        <v>24.46810513992191</v>
      </c>
      <c r="I117" s="9">
        <f t="shared" si="5"/>
        <v>0.21923422205370036</v>
      </c>
      <c r="J117" s="9">
        <f>SUM(I$82:I117)</f>
        <v>4.4420365735010225</v>
      </c>
    </row>
    <row r="118" spans="1:10" x14ac:dyDescent="0.25">
      <c r="A118">
        <v>36</v>
      </c>
      <c r="B118" s="5">
        <f t="shared" si="0"/>
        <v>7.0667862625403837</v>
      </c>
      <c r="C118" s="5">
        <f t="shared" si="1"/>
        <v>2.9208991998303055</v>
      </c>
      <c r="D118" s="5">
        <f>SUM(C$82:C118)</f>
        <v>126.89683893992003</v>
      </c>
      <c r="E118" s="9">
        <f t="shared" si="2"/>
        <v>1.2689683893992003</v>
      </c>
      <c r="F118" s="9">
        <f t="shared" si="3"/>
        <v>0.40934464174167751</v>
      </c>
      <c r="G118" s="9">
        <f t="shared" si="6"/>
        <v>0.40934464174167751</v>
      </c>
      <c r="H118" s="9">
        <f t="shared" si="4"/>
        <v>25.044578840176918</v>
      </c>
      <c r="I118" s="9">
        <f t="shared" si="5"/>
        <v>0.22439942640798521</v>
      </c>
      <c r="J118" s="9">
        <f>SUM(I$82:I118)</f>
        <v>4.6664359999090079</v>
      </c>
    </row>
    <row r="119" spans="1:10" x14ac:dyDescent="0.25">
      <c r="A119">
        <v>37</v>
      </c>
      <c r="B119" s="5">
        <f t="shared" si="0"/>
        <v>7.0385226461046502</v>
      </c>
      <c r="C119" s="5">
        <f t="shared" si="1"/>
        <v>2.8926355833945721</v>
      </c>
      <c r="D119" s="5">
        <f>SUM(C$82:C119)</f>
        <v>129.7894745233146</v>
      </c>
      <c r="E119" s="9">
        <f t="shared" si="2"/>
        <v>1.297894745233146</v>
      </c>
      <c r="F119" s="9">
        <f t="shared" si="3"/>
        <v>0.41867572426875677</v>
      </c>
      <c r="G119" s="9">
        <f t="shared" si="6"/>
        <v>0.41867572426875677</v>
      </c>
      <c r="H119" s="9">
        <f t="shared" si="4"/>
        <v>25.615474384379763</v>
      </c>
      <c r="I119" s="9">
        <f t="shared" si="5"/>
        <v>0.22951465048404271</v>
      </c>
      <c r="J119" s="9">
        <f>SUM(I$82:I119)</f>
        <v>4.8959506503930506</v>
      </c>
    </row>
    <row r="120" spans="1:10" x14ac:dyDescent="0.25">
      <c r="A120">
        <v>38</v>
      </c>
      <c r="B120" s="5">
        <f t="shared" si="0"/>
        <v>7.0102590296689149</v>
      </c>
      <c r="C120" s="5">
        <f t="shared" si="1"/>
        <v>2.8643719669588368</v>
      </c>
      <c r="D120" s="5">
        <f>SUM(C$82:C120)</f>
        <v>132.65384649027342</v>
      </c>
      <c r="E120" s="9">
        <f t="shared" si="2"/>
        <v>1.3265384649027343</v>
      </c>
      <c r="F120" s="9">
        <f t="shared" si="3"/>
        <v>0.42791563383959169</v>
      </c>
      <c r="G120" s="9">
        <f t="shared" si="6"/>
        <v>0.42791563383959169</v>
      </c>
      <c r="H120" s="9">
        <f t="shared" si="4"/>
        <v>26.180791772530444</v>
      </c>
      <c r="I120" s="9">
        <f t="shared" si="5"/>
        <v>0.23457989428187281</v>
      </c>
      <c r="J120" s="9">
        <f>SUM(I$82:I120)</f>
        <v>5.1305305446749232</v>
      </c>
    </row>
    <row r="121" spans="1:10" x14ac:dyDescent="0.25">
      <c r="A121">
        <v>39</v>
      </c>
      <c r="B121" s="5">
        <f t="shared" si="0"/>
        <v>6.9819954132331832</v>
      </c>
      <c r="C121" s="5">
        <f t="shared" si="1"/>
        <v>2.8361083505231051</v>
      </c>
      <c r="D121" s="5">
        <f>SUM(C$82:C121)</f>
        <v>135.48995484079654</v>
      </c>
      <c r="E121" s="9">
        <f t="shared" si="2"/>
        <v>1.3548995484079653</v>
      </c>
      <c r="F121" s="9">
        <f t="shared" si="3"/>
        <v>0.43706437045418234</v>
      </c>
      <c r="G121" s="9">
        <f t="shared" si="6"/>
        <v>0.43706437045418234</v>
      </c>
      <c r="H121" s="9">
        <f t="shared" si="4"/>
        <v>26.740531004628959</v>
      </c>
      <c r="I121" s="9">
        <f t="shared" si="5"/>
        <v>0.2395951578014755</v>
      </c>
      <c r="J121" s="9">
        <f>SUM(I$82:I121)</f>
        <v>5.3701257024763986</v>
      </c>
    </row>
    <row r="122" spans="1:10" x14ac:dyDescent="0.25">
      <c r="A122">
        <v>40</v>
      </c>
      <c r="B122" s="5">
        <f t="shared" si="0"/>
        <v>6.9537317967974479</v>
      </c>
      <c r="C122" s="5">
        <f t="shared" si="1"/>
        <v>2.8078447340873698</v>
      </c>
      <c r="D122" s="5">
        <f>SUM(C$82:C122)</f>
        <v>138.29779957488392</v>
      </c>
      <c r="E122" s="9">
        <f t="shared" si="2"/>
        <v>1.3829779957488393</v>
      </c>
      <c r="F122" s="9">
        <f t="shared" si="3"/>
        <v>0.44612193411252876</v>
      </c>
      <c r="G122" s="9">
        <f t="shared" si="6"/>
        <v>0.44612193411252876</v>
      </c>
      <c r="H122" s="9">
        <f t="shared" si="4"/>
        <v>27.294692080675315</v>
      </c>
      <c r="I122" s="9">
        <f t="shared" si="5"/>
        <v>0.24456044104285085</v>
      </c>
      <c r="J122" s="9">
        <f>SUM(I$82:I122)</f>
        <v>5.6146861435192497</v>
      </c>
    </row>
    <row r="123" spans="1:10" x14ac:dyDescent="0.25">
      <c r="A123">
        <v>41</v>
      </c>
      <c r="B123" s="5">
        <f t="shared" si="0"/>
        <v>6.9254681803617135</v>
      </c>
      <c r="C123" s="5">
        <f t="shared" si="1"/>
        <v>2.7795811176516354</v>
      </c>
      <c r="D123" s="5">
        <f>SUM(C$82:C123)</f>
        <v>141.07738069253557</v>
      </c>
      <c r="E123" s="9">
        <f t="shared" si="2"/>
        <v>1.4107738069253557</v>
      </c>
      <c r="F123" s="9">
        <f t="shared" si="3"/>
        <v>0.45508832481463085</v>
      </c>
      <c r="G123" s="9">
        <f t="shared" si="6"/>
        <v>0.45508832481463085</v>
      </c>
      <c r="H123" s="9">
        <f t="shared" si="4"/>
        <v>27.843275000669507</v>
      </c>
      <c r="I123" s="9">
        <f t="shared" si="5"/>
        <v>0.24947574400599881</v>
      </c>
      <c r="J123" s="9">
        <f>SUM(I$82:I123)</f>
        <v>5.8641618875252481</v>
      </c>
    </row>
    <row r="124" spans="1:10" x14ac:dyDescent="0.25">
      <c r="A124">
        <v>42</v>
      </c>
      <c r="B124" s="5">
        <f t="shared" si="0"/>
        <v>6.89720456392598</v>
      </c>
      <c r="C124" s="5">
        <f t="shared" si="1"/>
        <v>2.7513175012159019</v>
      </c>
      <c r="D124" s="5">
        <f>SUM(C$82:C124)</f>
        <v>143.82869819375148</v>
      </c>
      <c r="E124" s="9">
        <f t="shared" si="2"/>
        <v>1.4382869819375148</v>
      </c>
      <c r="F124" s="9">
        <f t="shared" si="3"/>
        <v>0.46396354256048866</v>
      </c>
      <c r="G124" s="9">
        <f t="shared" si="6"/>
        <v>0.46396354256048866</v>
      </c>
      <c r="H124" s="9">
        <f t="shared" si="4"/>
        <v>28.38627976461153</v>
      </c>
      <c r="I124" s="9">
        <f t="shared" si="5"/>
        <v>0.25434106669091933</v>
      </c>
      <c r="J124" s="9">
        <f>SUM(I$82:I124)</f>
        <v>6.1185029542161677</v>
      </c>
    </row>
    <row r="125" spans="1:10" x14ac:dyDescent="0.25">
      <c r="A125">
        <v>43</v>
      </c>
      <c r="B125" s="5">
        <f t="shared" si="0"/>
        <v>6.8689409474902474</v>
      </c>
      <c r="C125" s="5">
        <f t="shared" si="1"/>
        <v>2.7230538847801693</v>
      </c>
      <c r="D125" s="5">
        <f>SUM(C$82:C125)</f>
        <v>146.55175207853165</v>
      </c>
      <c r="E125" s="9">
        <f t="shared" si="2"/>
        <v>1.4655175207853164</v>
      </c>
      <c r="F125" s="9">
        <f t="shared" si="3"/>
        <v>0.47274758735010203</v>
      </c>
      <c r="G125" s="9">
        <f t="shared" si="6"/>
        <v>0.47274758735010203</v>
      </c>
      <c r="H125" s="9">
        <f t="shared" si="4"/>
        <v>28.923706372501385</v>
      </c>
      <c r="I125" s="9">
        <f t="shared" si="5"/>
        <v>0.25915640909761245</v>
      </c>
      <c r="J125" s="9">
        <f>SUM(I$82:I125)</f>
        <v>6.3776593633137804</v>
      </c>
    </row>
    <row r="126" spans="1:10" x14ac:dyDescent="0.25">
      <c r="A126">
        <v>44</v>
      </c>
      <c r="B126" s="5">
        <f t="shared" si="0"/>
        <v>6.8406773310545121</v>
      </c>
      <c r="C126" s="5">
        <f t="shared" si="1"/>
        <v>2.694790268344434</v>
      </c>
      <c r="D126" s="5">
        <f>SUM(C$82:C126)</f>
        <v>149.24654234687608</v>
      </c>
      <c r="E126" s="9">
        <f t="shared" si="2"/>
        <v>1.4924654234687609</v>
      </c>
      <c r="F126" s="9">
        <f t="shared" si="3"/>
        <v>0.48144045918347123</v>
      </c>
      <c r="G126" s="9">
        <f t="shared" si="6"/>
        <v>0.48144045918347123</v>
      </c>
      <c r="H126" s="9">
        <f t="shared" si="4"/>
        <v>29.455554824339085</v>
      </c>
      <c r="I126" s="9">
        <f t="shared" si="5"/>
        <v>0.26392177122607824</v>
      </c>
      <c r="J126" s="9">
        <f>SUM(I$82:I126)</f>
        <v>6.6415811345398588</v>
      </c>
    </row>
    <row r="127" spans="1:10" x14ac:dyDescent="0.25">
      <c r="A127">
        <v>45</v>
      </c>
      <c r="B127" s="5">
        <f t="shared" si="0"/>
        <v>6.8124137146187778</v>
      </c>
      <c r="C127" s="5">
        <f t="shared" si="1"/>
        <v>2.6665266519086996</v>
      </c>
      <c r="D127" s="5">
        <f>SUM(C$82:C127)</f>
        <v>151.91306899878478</v>
      </c>
      <c r="E127" s="9">
        <f t="shared" si="2"/>
        <v>1.5191306899878478</v>
      </c>
      <c r="F127" s="9">
        <f t="shared" si="3"/>
        <v>0.49004215806059609</v>
      </c>
      <c r="G127" s="9">
        <f t="shared" si="6"/>
        <v>0.49004215806059609</v>
      </c>
      <c r="H127" s="9">
        <f t="shared" si="4"/>
        <v>29.981825120124615</v>
      </c>
      <c r="I127" s="9">
        <f t="shared" si="5"/>
        <v>0.26863715307631658</v>
      </c>
      <c r="J127" s="9">
        <f>SUM(I$82:I127)</f>
        <v>6.9102182876161757</v>
      </c>
    </row>
    <row r="128" spans="1:10" x14ac:dyDescent="0.25">
      <c r="A128">
        <v>46</v>
      </c>
      <c r="B128" s="5">
        <f t="shared" si="0"/>
        <v>6.7841500981830452</v>
      </c>
      <c r="C128" s="5">
        <f t="shared" si="1"/>
        <v>2.638263035472967</v>
      </c>
      <c r="D128" s="5">
        <f>SUM(C$82:C128)</f>
        <v>154.55133203425774</v>
      </c>
      <c r="E128" s="9">
        <f t="shared" si="2"/>
        <v>1.5455133203425775</v>
      </c>
      <c r="F128" s="9">
        <f t="shared" si="3"/>
        <v>0.49855268398147662</v>
      </c>
      <c r="G128" s="9">
        <f t="shared" si="6"/>
        <v>0.49855268398147662</v>
      </c>
      <c r="H128" s="9">
        <f t="shared" si="4"/>
        <v>30.502517259857978</v>
      </c>
      <c r="I128" s="9">
        <f t="shared" si="5"/>
        <v>0.27330255464832753</v>
      </c>
      <c r="J128" s="9">
        <f>SUM(I$82:I128)</f>
        <v>7.1835208422645032</v>
      </c>
    </row>
    <row r="129" spans="1:10" x14ac:dyDescent="0.25">
      <c r="A129">
        <v>47</v>
      </c>
      <c r="B129" s="5">
        <f t="shared" si="0"/>
        <v>6.7558864817473108</v>
      </c>
      <c r="C129" s="5">
        <f t="shared" si="1"/>
        <v>2.6099994190372326</v>
      </c>
      <c r="D129" s="5">
        <f>SUM(C$82:C129)</f>
        <v>157.16133145329496</v>
      </c>
      <c r="E129" s="9">
        <f t="shared" si="2"/>
        <v>1.5716133145329496</v>
      </c>
      <c r="F129" s="9">
        <f t="shared" si="3"/>
        <v>0.50697203694611281</v>
      </c>
      <c r="G129" s="9">
        <f t="shared" si="6"/>
        <v>0.50697203694611281</v>
      </c>
      <c r="H129" s="9">
        <f t="shared" si="4"/>
        <v>31.017631243539178</v>
      </c>
      <c r="I129" s="9">
        <f t="shared" si="5"/>
        <v>0.2779179759421111</v>
      </c>
      <c r="J129" s="9">
        <f>SUM(I$82:I129)</f>
        <v>7.4614388182066147</v>
      </c>
    </row>
    <row r="130" spans="1:10" x14ac:dyDescent="0.25">
      <c r="A130">
        <v>48</v>
      </c>
      <c r="B130" s="5">
        <f t="shared" si="0"/>
        <v>6.7276228653115782</v>
      </c>
      <c r="C130" s="5">
        <f t="shared" si="1"/>
        <v>2.5817358026015</v>
      </c>
      <c r="D130" s="5">
        <f>SUM(C$82:C130)</f>
        <v>159.74306725589645</v>
      </c>
      <c r="E130" s="9">
        <f t="shared" si="2"/>
        <v>1.5974306725589644</v>
      </c>
      <c r="F130" s="9">
        <f t="shared" si="3"/>
        <v>0.51530021695450468</v>
      </c>
      <c r="G130" s="9">
        <f t="shared" si="6"/>
        <v>0.51530021695450468</v>
      </c>
      <c r="H130" s="9">
        <f t="shared" si="4"/>
        <v>31.527167071168211</v>
      </c>
      <c r="I130" s="9">
        <f t="shared" si="5"/>
        <v>0.28248341695766721</v>
      </c>
      <c r="J130" s="9">
        <f>SUM(I$82:I130)</f>
        <v>7.7439222351642822</v>
      </c>
    </row>
    <row r="131" spans="1:10" x14ac:dyDescent="0.25">
      <c r="A131">
        <v>49</v>
      </c>
      <c r="B131" s="5">
        <f t="shared" si="0"/>
        <v>6.6993592488758429</v>
      </c>
      <c r="C131" s="5">
        <f t="shared" si="1"/>
        <v>2.5534721861657648</v>
      </c>
      <c r="D131" s="5">
        <f>SUM(C$82:C131)</f>
        <v>162.29653944206223</v>
      </c>
      <c r="E131" s="9">
        <f t="shared" si="2"/>
        <v>1.6229653944206222</v>
      </c>
      <c r="F131" s="9">
        <f t="shared" si="3"/>
        <v>0.52353722400665226</v>
      </c>
      <c r="G131" s="9">
        <f t="shared" si="6"/>
        <v>0.52353722400665226</v>
      </c>
      <c r="H131" s="9">
        <f t="shared" si="4"/>
        <v>32.031124742745085</v>
      </c>
      <c r="I131" s="9">
        <f t="shared" si="5"/>
        <v>0.28699887769499594</v>
      </c>
      <c r="J131" s="9">
        <f>SUM(I$82:I131)</f>
        <v>8.0309211128592786</v>
      </c>
    </row>
    <row r="132" spans="1:10" x14ac:dyDescent="0.25">
      <c r="A132">
        <v>50</v>
      </c>
      <c r="B132" s="5">
        <f t="shared" si="0"/>
        <v>6.6710956324401085</v>
      </c>
      <c r="C132" s="5">
        <f t="shared" si="1"/>
        <v>2.5252085697300304</v>
      </c>
      <c r="D132" s="5">
        <f>SUM(C$82:C132)</f>
        <v>164.82174801179227</v>
      </c>
      <c r="E132" s="9">
        <f t="shared" si="2"/>
        <v>1.6482174801179226</v>
      </c>
      <c r="F132" s="9">
        <f t="shared" si="3"/>
        <v>0.53168305810255567</v>
      </c>
      <c r="G132" s="9">
        <f t="shared" si="6"/>
        <v>0.53168305810255567</v>
      </c>
      <c r="H132" s="9">
        <f t="shared" si="4"/>
        <v>32.529504258269789</v>
      </c>
      <c r="I132" s="9">
        <f t="shared" si="5"/>
        <v>0.29146435815409732</v>
      </c>
      <c r="J132" s="9">
        <f>SUM(I$82:I132)</f>
        <v>8.3223854710133764</v>
      </c>
    </row>
    <row r="133" spans="1:10" x14ac:dyDescent="0.25">
      <c r="A133">
        <v>51</v>
      </c>
      <c r="B133" s="5">
        <f t="shared" si="0"/>
        <v>6.6428320160043759</v>
      </c>
      <c r="C133" s="5">
        <f t="shared" si="1"/>
        <v>2.4969449532942978</v>
      </c>
      <c r="D133" s="5">
        <f>SUM(C$82:C133)</f>
        <v>167.31869296508657</v>
      </c>
      <c r="E133" s="9">
        <f t="shared" si="2"/>
        <v>1.6731869296508657</v>
      </c>
      <c r="F133" s="9">
        <f t="shared" si="3"/>
        <v>0.5397377192422147</v>
      </c>
      <c r="G133" s="9">
        <f t="shared" si="6"/>
        <v>0.5397377192422147</v>
      </c>
      <c r="H133" s="9">
        <f t="shared" si="4"/>
        <v>33.022305617742333</v>
      </c>
      <c r="I133" s="9">
        <f t="shared" si="5"/>
        <v>0.29587985833497132</v>
      </c>
      <c r="J133" s="9">
        <f>SUM(I$82:I133)</f>
        <v>8.6182653293483469</v>
      </c>
    </row>
    <row r="134" spans="1:10" x14ac:dyDescent="0.25">
      <c r="A134">
        <v>52</v>
      </c>
      <c r="B134" s="5">
        <f t="shared" si="0"/>
        <v>6.6145683995686424</v>
      </c>
      <c r="C134" s="5">
        <f t="shared" si="1"/>
        <v>2.4686813368585643</v>
      </c>
      <c r="D134" s="5">
        <f>SUM(C$82:C134)</f>
        <v>169.78737430194514</v>
      </c>
      <c r="E134" s="9">
        <f t="shared" si="2"/>
        <v>1.6978737430194513</v>
      </c>
      <c r="F134" s="9">
        <f t="shared" si="3"/>
        <v>0.54770120742562944</v>
      </c>
      <c r="G134" s="9">
        <f t="shared" si="6"/>
        <v>0.54770120742562944</v>
      </c>
      <c r="H134" s="9">
        <f t="shared" si="4"/>
        <v>33.509528821162711</v>
      </c>
      <c r="I134" s="9">
        <f t="shared" si="5"/>
        <v>0.30024537823761793</v>
      </c>
      <c r="J134" s="9">
        <f>SUM(I$82:I134)</f>
        <v>8.9185107075859644</v>
      </c>
    </row>
    <row r="135" spans="1:10" x14ac:dyDescent="0.25">
      <c r="A135">
        <v>53</v>
      </c>
      <c r="B135" s="5">
        <f t="shared" si="0"/>
        <v>6.586304783132908</v>
      </c>
      <c r="C135" s="5">
        <f t="shared" si="1"/>
        <v>2.4404177204228299</v>
      </c>
      <c r="D135" s="5">
        <f>SUM(C$82:C135)</f>
        <v>172.22779202236796</v>
      </c>
      <c r="E135" s="9">
        <f t="shared" si="2"/>
        <v>1.7222779202236795</v>
      </c>
      <c r="F135" s="9">
        <f t="shared" si="3"/>
        <v>0.5555735226527998</v>
      </c>
      <c r="G135" s="9">
        <f t="shared" si="6"/>
        <v>0.5555735226527998</v>
      </c>
      <c r="H135" s="9">
        <f t="shared" si="4"/>
        <v>33.991173868530929</v>
      </c>
      <c r="I135" s="9">
        <f t="shared" si="5"/>
        <v>0.30456091786203715</v>
      </c>
      <c r="J135" s="9">
        <f>SUM(I$82:I135)</f>
        <v>9.2230716254480019</v>
      </c>
    </row>
    <row r="136" spans="1:10" x14ac:dyDescent="0.25">
      <c r="A136">
        <v>54</v>
      </c>
      <c r="B136" s="5">
        <f t="shared" si="0"/>
        <v>6.5580411666971727</v>
      </c>
      <c r="C136" s="5">
        <f t="shared" si="1"/>
        <v>2.4121541039870946</v>
      </c>
      <c r="D136" s="5">
        <f>SUM(C$82:C136)</f>
        <v>174.63994612635506</v>
      </c>
      <c r="E136" s="9">
        <f t="shared" si="2"/>
        <v>1.7463994612635505</v>
      </c>
      <c r="F136" s="9">
        <f t="shared" si="3"/>
        <v>0.56335466492372599</v>
      </c>
      <c r="G136" s="9">
        <f t="shared" si="6"/>
        <v>0.56335466492372599</v>
      </c>
      <c r="H136" s="9">
        <f t="shared" si="4"/>
        <v>34.46724075984698</v>
      </c>
      <c r="I136" s="9">
        <f t="shared" si="5"/>
        <v>0.30882647720822898</v>
      </c>
      <c r="J136" s="9">
        <f>SUM(I$82:I136)</f>
        <v>9.5318981026562302</v>
      </c>
    </row>
    <row r="137" spans="1:10" x14ac:dyDescent="0.25">
      <c r="A137">
        <v>55</v>
      </c>
      <c r="B137" s="5">
        <f t="shared" si="0"/>
        <v>6.5297775502614401</v>
      </c>
      <c r="C137" s="5">
        <f t="shared" si="1"/>
        <v>2.383890487551362</v>
      </c>
      <c r="D137" s="5">
        <f>SUM(C$82:C137)</f>
        <v>177.02383661390641</v>
      </c>
      <c r="E137" s="9">
        <f t="shared" si="2"/>
        <v>1.7702383661390642</v>
      </c>
      <c r="F137" s="9">
        <f t="shared" si="3"/>
        <v>0.57104463423840779</v>
      </c>
      <c r="G137" s="9">
        <f t="shared" si="6"/>
        <v>0.57104463423840779</v>
      </c>
      <c r="H137" s="9">
        <f t="shared" si="4"/>
        <v>34.937729495110865</v>
      </c>
      <c r="I137" s="9">
        <f t="shared" si="5"/>
        <v>0.31304205627619336</v>
      </c>
      <c r="J137" s="9">
        <f>SUM(I$82:I137)</f>
        <v>9.8449401589324239</v>
      </c>
    </row>
    <row r="138" spans="1:10" x14ac:dyDescent="0.25">
      <c r="A138">
        <v>56</v>
      </c>
      <c r="B138" s="5">
        <f t="shared" si="0"/>
        <v>6.5015139338257057</v>
      </c>
      <c r="C138" s="5">
        <f t="shared" si="1"/>
        <v>2.3556268711156276</v>
      </c>
      <c r="D138" s="5">
        <f>SUM(C$82:C138)</f>
        <v>179.37946348502203</v>
      </c>
      <c r="E138" s="9">
        <f t="shared" si="2"/>
        <v>1.7937946348502203</v>
      </c>
      <c r="F138" s="9">
        <f t="shared" si="3"/>
        <v>0.5786434305968452</v>
      </c>
      <c r="G138" s="9">
        <f t="shared" si="6"/>
        <v>0.5786434305968452</v>
      </c>
      <c r="H138" s="9">
        <f t="shared" si="4"/>
        <v>35.402640074322576</v>
      </c>
      <c r="I138" s="9">
        <f t="shared" si="5"/>
        <v>0.31720765506593029</v>
      </c>
      <c r="J138" s="9">
        <f>SUM(I$82:I138)</f>
        <v>10.162147813998354</v>
      </c>
    </row>
    <row r="139" spans="1:10" x14ac:dyDescent="0.25">
      <c r="A139">
        <v>57</v>
      </c>
      <c r="B139" s="5">
        <f t="shared" si="0"/>
        <v>6.4732503173899723</v>
      </c>
      <c r="C139" s="5">
        <f t="shared" si="1"/>
        <v>2.3273632546798941</v>
      </c>
      <c r="D139" s="5">
        <f>SUM(C$82:C139)</f>
        <v>181.70682673970191</v>
      </c>
      <c r="E139" s="9">
        <f t="shared" si="2"/>
        <v>1.8170682673970191</v>
      </c>
      <c r="F139" s="9">
        <f t="shared" si="3"/>
        <v>0.58615105399903844</v>
      </c>
      <c r="G139" s="9">
        <f t="shared" si="6"/>
        <v>0.58615105399903844</v>
      </c>
      <c r="H139" s="9">
        <f t="shared" si="4"/>
        <v>35.861972497482135</v>
      </c>
      <c r="I139" s="9">
        <f t="shared" si="5"/>
        <v>0.32132327357744001</v>
      </c>
      <c r="J139" s="9">
        <f>SUM(I$82:I139)</f>
        <v>10.483471087575793</v>
      </c>
    </row>
    <row r="140" spans="1:10" x14ac:dyDescent="0.25">
      <c r="A140">
        <v>58</v>
      </c>
      <c r="B140" s="5">
        <f t="shared" si="0"/>
        <v>6.4449867009542388</v>
      </c>
      <c r="C140" s="5">
        <f t="shared" si="1"/>
        <v>2.2990996382441606</v>
      </c>
      <c r="D140" s="5">
        <f>SUM(C$82:C140)</f>
        <v>184.00592637794608</v>
      </c>
      <c r="E140" s="9">
        <f t="shared" si="2"/>
        <v>1.8400592637794608</v>
      </c>
      <c r="F140" s="9">
        <f t="shared" si="3"/>
        <v>0.59356750444498729</v>
      </c>
      <c r="G140" s="9">
        <f t="shared" si="6"/>
        <v>0.59356750444498729</v>
      </c>
      <c r="H140" s="9">
        <f t="shared" si="4"/>
        <v>36.31572676458952</v>
      </c>
      <c r="I140" s="9">
        <f t="shared" si="5"/>
        <v>0.32538891181072216</v>
      </c>
      <c r="J140" s="9">
        <f>SUM(I$82:I140)</f>
        <v>10.808859999386515</v>
      </c>
    </row>
    <row r="141" spans="1:10" x14ac:dyDescent="0.25">
      <c r="A141">
        <v>59</v>
      </c>
      <c r="B141" s="5">
        <f t="shared" si="0"/>
        <v>6.4167230845185035</v>
      </c>
      <c r="C141" s="5">
        <f t="shared" si="1"/>
        <v>2.2708360218084254</v>
      </c>
      <c r="D141" s="5">
        <f>SUM(C$82:C141)</f>
        <v>186.27676239975452</v>
      </c>
      <c r="E141" s="9">
        <f t="shared" si="2"/>
        <v>1.8627676239975453</v>
      </c>
      <c r="F141" s="9">
        <f t="shared" si="3"/>
        <v>0.60089278193469198</v>
      </c>
      <c r="G141" s="9">
        <f t="shared" si="6"/>
        <v>0.60089278193469198</v>
      </c>
      <c r="H141" s="9">
        <f t="shared" si="4"/>
        <v>36.763902875644753</v>
      </c>
      <c r="I141" s="9">
        <f t="shared" si="5"/>
        <v>0.32940456976577703</v>
      </c>
      <c r="J141" s="9">
        <f>SUM(I$82:I141)</f>
        <v>11.138264569152291</v>
      </c>
    </row>
    <row r="142" spans="1:10" x14ac:dyDescent="0.25">
      <c r="A142">
        <v>60</v>
      </c>
      <c r="B142" s="5">
        <f t="shared" si="0"/>
        <v>6.3884594680827718</v>
      </c>
      <c r="C142" s="5">
        <f t="shared" si="1"/>
        <v>2.2425724053726936</v>
      </c>
      <c r="D142" s="5">
        <f>SUM(C$82:C142)</f>
        <v>188.51933480512722</v>
      </c>
      <c r="E142" s="9">
        <f t="shared" si="2"/>
        <v>1.8851933480512721</v>
      </c>
      <c r="F142" s="9">
        <f t="shared" si="3"/>
        <v>0.60812688646815227</v>
      </c>
      <c r="G142" s="9">
        <f t="shared" si="6"/>
        <v>0.60812688646815227</v>
      </c>
      <c r="H142" s="9">
        <f t="shared" si="4"/>
        <v>37.206500830647819</v>
      </c>
      <c r="I142" s="9">
        <f t="shared" si="5"/>
        <v>0.33337024744260446</v>
      </c>
      <c r="J142" s="9">
        <f>SUM(I$82:I142)</f>
        <v>11.471634816594895</v>
      </c>
    </row>
    <row r="143" spans="1:10" x14ac:dyDescent="0.25">
      <c r="A143">
        <v>61</v>
      </c>
      <c r="B143" s="5">
        <f t="shared" si="0"/>
        <v>6.3601958516470365</v>
      </c>
      <c r="C143" s="5">
        <f t="shared" si="1"/>
        <v>2.2143087889369584</v>
      </c>
      <c r="D143" s="5">
        <f>SUM(C$82:C143)</f>
        <v>190.73364359406418</v>
      </c>
      <c r="E143" s="9">
        <f t="shared" si="2"/>
        <v>1.9073364359406417</v>
      </c>
      <c r="F143" s="9">
        <f t="shared" si="3"/>
        <v>0.61526981804536829</v>
      </c>
      <c r="G143" s="9">
        <f t="shared" si="6"/>
        <v>0.61526981804536829</v>
      </c>
      <c r="H143" s="9">
        <f t="shared" si="4"/>
        <v>37.643520629598711</v>
      </c>
      <c r="I143" s="9">
        <f t="shared" si="5"/>
        <v>0.3372859448412045</v>
      </c>
      <c r="J143" s="9">
        <f>SUM(I$82:I143)</f>
        <v>11.808920761436099</v>
      </c>
    </row>
    <row r="144" spans="1:10" x14ac:dyDescent="0.25">
      <c r="A144">
        <v>62</v>
      </c>
      <c r="B144" s="5">
        <f t="shared" si="0"/>
        <v>6.331932235211303</v>
      </c>
      <c r="C144" s="5">
        <f t="shared" si="1"/>
        <v>2.1860451725012249</v>
      </c>
      <c r="D144" s="5">
        <f>SUM(C$82:C144)</f>
        <v>192.9196887665654</v>
      </c>
      <c r="E144" s="9">
        <f t="shared" si="2"/>
        <v>1.929196887665654</v>
      </c>
      <c r="F144" s="9">
        <f t="shared" si="3"/>
        <v>0.62232157666634003</v>
      </c>
      <c r="G144" s="9">
        <f t="shared" si="6"/>
        <v>0.62232157666634003</v>
      </c>
      <c r="H144" s="9">
        <f t="shared" si="4"/>
        <v>38.074962272497451</v>
      </c>
      <c r="I144" s="9">
        <f t="shared" si="5"/>
        <v>0.3411516619615772</v>
      </c>
      <c r="J144" s="9">
        <f>SUM(I$82:I144)</f>
        <v>12.150072423397676</v>
      </c>
    </row>
    <row r="145" spans="1:10" x14ac:dyDescent="0.25">
      <c r="A145">
        <v>63</v>
      </c>
      <c r="B145" s="5">
        <f t="shared" si="0"/>
        <v>6.3036686187755695</v>
      </c>
      <c r="C145" s="5">
        <f t="shared" si="1"/>
        <v>2.1577815560654914</v>
      </c>
      <c r="D145" s="5">
        <f>SUM(C$82:C145)</f>
        <v>195.07747032263089</v>
      </c>
      <c r="E145" s="9">
        <f t="shared" si="2"/>
        <v>1.950774703226309</v>
      </c>
      <c r="F145" s="9">
        <f t="shared" si="3"/>
        <v>0.62928216233106737</v>
      </c>
      <c r="G145" s="9">
        <f t="shared" si="6"/>
        <v>0.62928216233106737</v>
      </c>
      <c r="H145" s="9">
        <f t="shared" si="4"/>
        <v>38.500825759344018</v>
      </c>
      <c r="I145" s="9">
        <f t="shared" si="5"/>
        <v>0.34496739880372246</v>
      </c>
      <c r="J145" s="9">
        <f>SUM(I$82:I145)</f>
        <v>12.495039822201399</v>
      </c>
    </row>
    <row r="146" spans="1:10" x14ac:dyDescent="0.25">
      <c r="A146">
        <v>64</v>
      </c>
      <c r="B146" s="5">
        <f t="shared" ref="B146:B209" si="7">2*(Radius-A146*half_lambda)*alphaSector*half_lambda*PV_Efficiency*Irradiance</f>
        <v>6.275405002339836</v>
      </c>
      <c r="C146" s="5">
        <f t="shared" ref="C146:C209" si="8">B146-Element_Power_BOL</f>
        <v>2.1295179396297579</v>
      </c>
      <c r="D146" s="5">
        <f>SUM(C$82:C146)</f>
        <v>197.20698826226064</v>
      </c>
      <c r="E146" s="9">
        <f t="shared" ref="E146:E209" si="9">D146/V_bus</f>
        <v>1.9720698826226064</v>
      </c>
      <c r="F146" s="9">
        <f t="shared" ref="F146:F209" si="10">E146/J_Cu</f>
        <v>0.63615157503955044</v>
      </c>
      <c r="G146" s="9">
        <f t="shared" si="6"/>
        <v>0.63615157503955044</v>
      </c>
      <c r="H146" s="9">
        <f t="shared" ref="H146:H209" si="11">G146*half_lambda*1000</f>
        <v>38.921111090138425</v>
      </c>
      <c r="I146" s="9">
        <f t="shared" ref="I146:I209" si="12">H146/1000*rho_Cu</f>
        <v>0.34873315536764032</v>
      </c>
      <c r="J146" s="9">
        <f>SUM(I$82:I146)</f>
        <v>12.843772977569039</v>
      </c>
    </row>
    <row r="147" spans="1:10" x14ac:dyDescent="0.25">
      <c r="A147">
        <v>65</v>
      </c>
      <c r="B147" s="5">
        <f t="shared" si="7"/>
        <v>6.2471413859041025</v>
      </c>
      <c r="C147" s="5">
        <f t="shared" si="8"/>
        <v>2.1012543231940244</v>
      </c>
      <c r="D147" s="5">
        <f>SUM(C$82:C147)</f>
        <v>199.30824258545465</v>
      </c>
      <c r="E147" s="9">
        <f t="shared" si="9"/>
        <v>1.9930824258545465</v>
      </c>
      <c r="F147" s="9">
        <f t="shared" si="10"/>
        <v>0.64292981479178923</v>
      </c>
      <c r="G147" s="9">
        <f t="shared" ref="G147:G210" si="13">MAX(0.1, F147)</f>
        <v>0.64292981479178923</v>
      </c>
      <c r="H147" s="9">
        <f t="shared" si="11"/>
        <v>39.335818264880658</v>
      </c>
      <c r="I147" s="9">
        <f t="shared" si="12"/>
        <v>0.35244893165333074</v>
      </c>
      <c r="J147" s="9">
        <f>SUM(I$82:I147)</f>
        <v>13.19622190922237</v>
      </c>
    </row>
    <row r="148" spans="1:10" x14ac:dyDescent="0.25">
      <c r="A148">
        <v>66</v>
      </c>
      <c r="B148" s="5">
        <f t="shared" si="7"/>
        <v>6.218877769468369</v>
      </c>
      <c r="C148" s="5">
        <f t="shared" si="8"/>
        <v>2.0729907067582909</v>
      </c>
      <c r="D148" s="5">
        <f>SUM(C$82:C148)</f>
        <v>201.38123329221295</v>
      </c>
      <c r="E148" s="9">
        <f t="shared" si="9"/>
        <v>2.0138123329221296</v>
      </c>
      <c r="F148" s="9">
        <f t="shared" si="10"/>
        <v>0.64961688158778375</v>
      </c>
      <c r="G148" s="9">
        <f t="shared" si="13"/>
        <v>0.64961688158778375</v>
      </c>
      <c r="H148" s="9">
        <f t="shared" si="11"/>
        <v>39.744947283570738</v>
      </c>
      <c r="I148" s="9">
        <f t="shared" si="12"/>
        <v>0.35611472766079383</v>
      </c>
      <c r="J148" s="9">
        <f>SUM(I$82:I148)</f>
        <v>13.552336636883163</v>
      </c>
    </row>
    <row r="149" spans="1:10" x14ac:dyDescent="0.25">
      <c r="A149">
        <v>67</v>
      </c>
      <c r="B149" s="5">
        <f t="shared" si="7"/>
        <v>6.1906141530326337</v>
      </c>
      <c r="C149" s="5">
        <f t="shared" si="8"/>
        <v>2.0447270903225556</v>
      </c>
      <c r="D149" s="5">
        <f>SUM(C$82:C149)</f>
        <v>203.42596038253552</v>
      </c>
      <c r="E149" s="9">
        <f t="shared" si="9"/>
        <v>2.0342596038253551</v>
      </c>
      <c r="F149" s="9">
        <f t="shared" si="10"/>
        <v>0.65621277542753387</v>
      </c>
      <c r="G149" s="9">
        <f t="shared" si="13"/>
        <v>0.65621277542753387</v>
      </c>
      <c r="H149" s="9">
        <f t="shared" si="11"/>
        <v>40.148498146208645</v>
      </c>
      <c r="I149" s="9">
        <f t="shared" si="12"/>
        <v>0.35973054339002952</v>
      </c>
      <c r="J149" s="9">
        <f>SUM(I$82:I149)</f>
        <v>13.912067180273192</v>
      </c>
    </row>
    <row r="150" spans="1:10" x14ac:dyDescent="0.25">
      <c r="A150">
        <v>68</v>
      </c>
      <c r="B150" s="5">
        <f t="shared" si="7"/>
        <v>6.1623505365969002</v>
      </c>
      <c r="C150" s="5">
        <f t="shared" si="8"/>
        <v>2.0164634738868221</v>
      </c>
      <c r="D150" s="5">
        <f>SUM(C$82:C150)</f>
        <v>205.44242385642235</v>
      </c>
      <c r="E150" s="9">
        <f t="shared" si="9"/>
        <v>2.0544242385642235</v>
      </c>
      <c r="F150" s="9">
        <f t="shared" si="10"/>
        <v>0.66271749631103982</v>
      </c>
      <c r="G150" s="9">
        <f t="shared" si="13"/>
        <v>0.66271749631103982</v>
      </c>
      <c r="H150" s="9">
        <f t="shared" si="11"/>
        <v>40.5464708527944</v>
      </c>
      <c r="I150" s="9">
        <f t="shared" si="12"/>
        <v>0.36329637884103783</v>
      </c>
      <c r="J150" s="9">
        <f>SUM(I$82:I150)</f>
        <v>14.275363559114231</v>
      </c>
    </row>
    <row r="151" spans="1:10" x14ac:dyDescent="0.25">
      <c r="A151">
        <v>69</v>
      </c>
      <c r="B151" s="5">
        <f t="shared" si="7"/>
        <v>6.1340869201611667</v>
      </c>
      <c r="C151" s="5">
        <f t="shared" si="8"/>
        <v>1.9881998574510886</v>
      </c>
      <c r="D151" s="5">
        <f>SUM(C$82:C151)</f>
        <v>207.43062371387344</v>
      </c>
      <c r="E151" s="9">
        <f t="shared" si="9"/>
        <v>2.0743062371387344</v>
      </c>
      <c r="F151" s="9">
        <f t="shared" si="10"/>
        <v>0.66913104423830139</v>
      </c>
      <c r="G151" s="9">
        <f t="shared" si="13"/>
        <v>0.66913104423830139</v>
      </c>
      <c r="H151" s="9">
        <f t="shared" si="11"/>
        <v>40.938865403327981</v>
      </c>
      <c r="I151" s="9">
        <f t="shared" si="12"/>
        <v>0.36681223401381874</v>
      </c>
      <c r="J151" s="9">
        <f>SUM(I$82:I151)</f>
        <v>14.64217579312805</v>
      </c>
    </row>
    <row r="152" spans="1:10" x14ac:dyDescent="0.25">
      <c r="A152">
        <v>70</v>
      </c>
      <c r="B152" s="5">
        <f t="shared" si="7"/>
        <v>6.1058233037254315</v>
      </c>
      <c r="C152" s="5">
        <f t="shared" si="8"/>
        <v>1.9599362410153534</v>
      </c>
      <c r="D152" s="5">
        <f>SUM(C$82:C152)</f>
        <v>209.3905599548888</v>
      </c>
      <c r="E152" s="9">
        <f t="shared" si="9"/>
        <v>2.0939055995488882</v>
      </c>
      <c r="F152" s="9">
        <f t="shared" si="10"/>
        <v>0.67545341920931878</v>
      </c>
      <c r="G152" s="9">
        <f t="shared" si="13"/>
        <v>0.67545341920931878</v>
      </c>
      <c r="H152" s="9">
        <f t="shared" si="11"/>
        <v>41.325681797809402</v>
      </c>
      <c r="I152" s="9">
        <f t="shared" si="12"/>
        <v>0.37027810890837232</v>
      </c>
      <c r="J152" s="9">
        <f>SUM(I$82:I152)</f>
        <v>15.012453902036423</v>
      </c>
    </row>
    <row r="153" spans="1:10" x14ac:dyDescent="0.25">
      <c r="A153">
        <v>71</v>
      </c>
      <c r="B153" s="5">
        <f t="shared" si="7"/>
        <v>6.0775596872896998</v>
      </c>
      <c r="C153" s="5">
        <f t="shared" si="8"/>
        <v>1.9316726245796216</v>
      </c>
      <c r="D153" s="5">
        <f>SUM(C$82:C153)</f>
        <v>211.32223257946842</v>
      </c>
      <c r="E153" s="9">
        <f t="shared" si="9"/>
        <v>2.1132223257946841</v>
      </c>
      <c r="F153" s="9">
        <f t="shared" si="10"/>
        <v>0.68168462122409157</v>
      </c>
      <c r="G153" s="9">
        <f t="shared" si="13"/>
        <v>0.68168462122409157</v>
      </c>
      <c r="H153" s="9">
        <f t="shared" si="11"/>
        <v>41.706920036238643</v>
      </c>
      <c r="I153" s="9">
        <f t="shared" si="12"/>
        <v>0.37369400352469828</v>
      </c>
      <c r="J153" s="9">
        <f>SUM(I$82:I153)</f>
        <v>15.386147905561121</v>
      </c>
    </row>
    <row r="154" spans="1:10" x14ac:dyDescent="0.25">
      <c r="A154">
        <v>72</v>
      </c>
      <c r="B154" s="5">
        <f t="shared" si="7"/>
        <v>6.0492960708539663</v>
      </c>
      <c r="C154" s="5">
        <f t="shared" si="8"/>
        <v>1.9034090081438881</v>
      </c>
      <c r="D154" s="5">
        <f>SUM(C$82:C154)</f>
        <v>213.2256415876123</v>
      </c>
      <c r="E154" s="9">
        <f t="shared" si="9"/>
        <v>2.1322564158761228</v>
      </c>
      <c r="F154" s="9">
        <f t="shared" si="10"/>
        <v>0.68782465028262019</v>
      </c>
      <c r="G154" s="9">
        <f t="shared" si="13"/>
        <v>0.68782465028262019</v>
      </c>
      <c r="H154" s="9">
        <f t="shared" si="11"/>
        <v>42.082580118615738</v>
      </c>
      <c r="I154" s="9">
        <f t="shared" si="12"/>
        <v>0.37705991786279702</v>
      </c>
      <c r="J154" s="9">
        <f>SUM(I$82:I154)</f>
        <v>15.763207823423917</v>
      </c>
    </row>
    <row r="155" spans="1:10" x14ac:dyDescent="0.25">
      <c r="A155">
        <v>73</v>
      </c>
      <c r="B155" s="5">
        <f t="shared" si="7"/>
        <v>6.021032454418231</v>
      </c>
      <c r="C155" s="5">
        <f t="shared" si="8"/>
        <v>1.8751453917081529</v>
      </c>
      <c r="D155" s="5">
        <f>SUM(C$82:C155)</f>
        <v>215.10078697932045</v>
      </c>
      <c r="E155" s="9">
        <f t="shared" si="9"/>
        <v>2.1510078697932045</v>
      </c>
      <c r="F155" s="9">
        <f t="shared" si="10"/>
        <v>0.69387350638490464</v>
      </c>
      <c r="G155" s="9">
        <f t="shared" si="13"/>
        <v>0.69387350638490464</v>
      </c>
      <c r="H155" s="9">
        <f t="shared" si="11"/>
        <v>42.452662044940666</v>
      </c>
      <c r="I155" s="9">
        <f t="shared" si="12"/>
        <v>0.38037585192266837</v>
      </c>
      <c r="J155" s="9">
        <f>SUM(I$82:I155)</f>
        <v>16.143583675346587</v>
      </c>
    </row>
    <row r="156" spans="1:10" x14ac:dyDescent="0.25">
      <c r="A156">
        <v>74</v>
      </c>
      <c r="B156" s="5">
        <f t="shared" si="7"/>
        <v>5.9927688379824966</v>
      </c>
      <c r="C156" s="5">
        <f t="shared" si="8"/>
        <v>1.8468817752724185</v>
      </c>
      <c r="D156" s="5">
        <f>SUM(C$82:C156)</f>
        <v>216.94766875459285</v>
      </c>
      <c r="E156" s="9">
        <f t="shared" si="9"/>
        <v>2.1694766875459286</v>
      </c>
      <c r="F156" s="9">
        <f t="shared" si="10"/>
        <v>0.6998311895309447</v>
      </c>
      <c r="G156" s="9">
        <f t="shared" si="13"/>
        <v>0.6998311895309447</v>
      </c>
      <c r="H156" s="9">
        <f t="shared" si="11"/>
        <v>42.817165815213421</v>
      </c>
      <c r="I156" s="9">
        <f t="shared" si="12"/>
        <v>0.38364180570431228</v>
      </c>
      <c r="J156" s="9">
        <f>SUM(I$82:I156)</f>
        <v>16.527225481050898</v>
      </c>
    </row>
    <row r="157" spans="1:10" x14ac:dyDescent="0.25">
      <c r="A157">
        <v>75</v>
      </c>
      <c r="B157" s="5">
        <f t="shared" si="7"/>
        <v>5.964505221546764</v>
      </c>
      <c r="C157" s="5">
        <f t="shared" si="8"/>
        <v>1.8186181588366859</v>
      </c>
      <c r="D157" s="5">
        <f>SUM(C$82:C157)</f>
        <v>218.76628691342955</v>
      </c>
      <c r="E157" s="9">
        <f t="shared" si="9"/>
        <v>2.1876628691342956</v>
      </c>
      <c r="F157" s="9">
        <f t="shared" si="10"/>
        <v>0.70569769972074048</v>
      </c>
      <c r="G157" s="9">
        <f t="shared" si="13"/>
        <v>0.70569769972074048</v>
      </c>
      <c r="H157" s="9">
        <f t="shared" si="11"/>
        <v>43.176091429434024</v>
      </c>
      <c r="I157" s="9">
        <f t="shared" si="12"/>
        <v>0.3868577792077289</v>
      </c>
      <c r="J157" s="9">
        <f>SUM(I$82:I157)</f>
        <v>16.914083260258629</v>
      </c>
    </row>
    <row r="158" spans="1:10" x14ac:dyDescent="0.25">
      <c r="A158">
        <v>76</v>
      </c>
      <c r="B158" s="5">
        <f t="shared" si="7"/>
        <v>5.9362416051110305</v>
      </c>
      <c r="C158" s="5">
        <f t="shared" si="8"/>
        <v>1.7903545424009524</v>
      </c>
      <c r="D158" s="5">
        <f>SUM(C$82:C158)</f>
        <v>220.55664145583052</v>
      </c>
      <c r="E158" s="9">
        <f t="shared" si="9"/>
        <v>2.2055664145583052</v>
      </c>
      <c r="F158" s="9">
        <f t="shared" si="10"/>
        <v>0.71147303695429198</v>
      </c>
      <c r="G158" s="9">
        <f t="shared" si="13"/>
        <v>0.71147303695429198</v>
      </c>
      <c r="H158" s="9">
        <f t="shared" si="11"/>
        <v>43.529438887602453</v>
      </c>
      <c r="I158" s="9">
        <f t="shared" si="12"/>
        <v>0.39002377243291803</v>
      </c>
      <c r="J158" s="9">
        <f>SUM(I$82:I158)</f>
        <v>17.304107032691547</v>
      </c>
    </row>
    <row r="159" spans="1:10" x14ac:dyDescent="0.25">
      <c r="A159">
        <v>77</v>
      </c>
      <c r="B159" s="5">
        <f t="shared" si="7"/>
        <v>5.9079779886752952</v>
      </c>
      <c r="C159" s="5">
        <f t="shared" si="8"/>
        <v>1.7620909259652171</v>
      </c>
      <c r="D159" s="5">
        <f>SUM(C$82:C159)</f>
        <v>222.31873238179574</v>
      </c>
      <c r="E159" s="9">
        <f t="shared" si="9"/>
        <v>2.2231873238179576</v>
      </c>
      <c r="F159" s="9">
        <f t="shared" si="10"/>
        <v>0.71715720123159921</v>
      </c>
      <c r="G159" s="9">
        <f t="shared" si="13"/>
        <v>0.71715720123159921</v>
      </c>
      <c r="H159" s="9">
        <f t="shared" si="11"/>
        <v>43.877208189718729</v>
      </c>
      <c r="I159" s="9">
        <f t="shared" si="12"/>
        <v>0.39313978537987981</v>
      </c>
      <c r="J159" s="9">
        <f>SUM(I$82:I159)</f>
        <v>17.697246818071427</v>
      </c>
    </row>
    <row r="160" spans="1:10" x14ac:dyDescent="0.25">
      <c r="A160">
        <v>78</v>
      </c>
      <c r="B160" s="5">
        <f t="shared" si="7"/>
        <v>5.8797143722395617</v>
      </c>
      <c r="C160" s="5">
        <f t="shared" si="8"/>
        <v>1.7338273095294836</v>
      </c>
      <c r="D160" s="5">
        <f>SUM(C$82:C160)</f>
        <v>224.05255969132523</v>
      </c>
      <c r="E160" s="9">
        <f t="shared" si="9"/>
        <v>2.2405255969132525</v>
      </c>
      <c r="F160" s="9">
        <f t="shared" si="10"/>
        <v>0.72275019255266204</v>
      </c>
      <c r="G160" s="9">
        <f t="shared" si="13"/>
        <v>0.72275019255266204</v>
      </c>
      <c r="H160" s="9">
        <f t="shared" si="11"/>
        <v>44.219399335782825</v>
      </c>
      <c r="I160" s="9">
        <f t="shared" si="12"/>
        <v>0.39620581804861416</v>
      </c>
      <c r="J160" s="9">
        <f>SUM(I$82:I160)</f>
        <v>18.093452636120041</v>
      </c>
    </row>
    <row r="161" spans="1:10" x14ac:dyDescent="0.25">
      <c r="A161">
        <v>79</v>
      </c>
      <c r="B161" s="5">
        <f t="shared" si="7"/>
        <v>5.8514507558038273</v>
      </c>
      <c r="C161" s="5">
        <f t="shared" si="8"/>
        <v>1.7055636930937492</v>
      </c>
      <c r="D161" s="5">
        <f>SUM(C$82:C161)</f>
        <v>225.75812338441898</v>
      </c>
      <c r="E161" s="9">
        <f t="shared" si="9"/>
        <v>2.2575812338441898</v>
      </c>
      <c r="F161" s="9">
        <f t="shared" si="10"/>
        <v>0.7282520109174806</v>
      </c>
      <c r="G161" s="9">
        <f t="shared" si="13"/>
        <v>0.7282520109174806</v>
      </c>
      <c r="H161" s="9">
        <f t="shared" si="11"/>
        <v>44.556012325794768</v>
      </c>
      <c r="I161" s="9">
        <f t="shared" si="12"/>
        <v>0.39922187043912111</v>
      </c>
      <c r="J161" s="9">
        <f>SUM(I$82:I161)</f>
        <v>18.492674506559162</v>
      </c>
    </row>
    <row r="162" spans="1:10" x14ac:dyDescent="0.25">
      <c r="A162">
        <v>80</v>
      </c>
      <c r="B162" s="5">
        <f t="shared" si="7"/>
        <v>5.8231871393680947</v>
      </c>
      <c r="C162" s="5">
        <f t="shared" si="8"/>
        <v>1.6773000766580166</v>
      </c>
      <c r="D162" s="5">
        <f>SUM(C$82:C162)</f>
        <v>227.43542346107699</v>
      </c>
      <c r="E162" s="9">
        <f t="shared" si="9"/>
        <v>2.2743542346107701</v>
      </c>
      <c r="F162" s="9">
        <f t="shared" si="10"/>
        <v>0.73366265632605487</v>
      </c>
      <c r="G162" s="9">
        <f t="shared" si="13"/>
        <v>0.73366265632605487</v>
      </c>
      <c r="H162" s="9">
        <f t="shared" si="11"/>
        <v>44.887047159754538</v>
      </c>
      <c r="I162" s="9">
        <f t="shared" si="12"/>
        <v>0.40218794255140067</v>
      </c>
      <c r="J162" s="9">
        <f>SUM(I$82:I162)</f>
        <v>18.894862449110562</v>
      </c>
    </row>
    <row r="163" spans="1:10" x14ac:dyDescent="0.25">
      <c r="A163">
        <v>81</v>
      </c>
      <c r="B163" s="5">
        <f t="shared" si="7"/>
        <v>5.7949235229323612</v>
      </c>
      <c r="C163" s="5">
        <f t="shared" si="8"/>
        <v>1.6490364602222831</v>
      </c>
      <c r="D163" s="5">
        <f>SUM(C$82:C163)</f>
        <v>229.08445992129927</v>
      </c>
      <c r="E163" s="9">
        <f t="shared" si="9"/>
        <v>2.2908445992129929</v>
      </c>
      <c r="F163" s="9">
        <f t="shared" si="10"/>
        <v>0.73898212877838476</v>
      </c>
      <c r="G163" s="9">
        <f t="shared" si="13"/>
        <v>0.73898212877838476</v>
      </c>
      <c r="H163" s="9">
        <f t="shared" si="11"/>
        <v>45.21250383766214</v>
      </c>
      <c r="I163" s="9">
        <f t="shared" si="12"/>
        <v>0.40510403438545284</v>
      </c>
      <c r="J163" s="9">
        <f>SUM(I$82:I163)</f>
        <v>19.299966483496014</v>
      </c>
    </row>
    <row r="164" spans="1:10" x14ac:dyDescent="0.25">
      <c r="A164">
        <v>82</v>
      </c>
      <c r="B164" s="5">
        <f t="shared" si="7"/>
        <v>5.7666599064966251</v>
      </c>
      <c r="C164" s="5">
        <f t="shared" si="8"/>
        <v>1.620772843786547</v>
      </c>
      <c r="D164" s="5">
        <f>SUM(C$82:C164)</f>
        <v>230.70523276508581</v>
      </c>
      <c r="E164" s="9">
        <f t="shared" si="9"/>
        <v>2.3070523276508581</v>
      </c>
      <c r="F164" s="9">
        <f t="shared" si="10"/>
        <v>0.74421042827447037</v>
      </c>
      <c r="G164" s="9">
        <f t="shared" si="13"/>
        <v>0.74421042827447037</v>
      </c>
      <c r="H164" s="9">
        <f t="shared" si="11"/>
        <v>45.532382359517584</v>
      </c>
      <c r="I164" s="9">
        <f t="shared" si="12"/>
        <v>0.40797014594127762</v>
      </c>
      <c r="J164" s="9">
        <f>SUM(I$82:I164)</f>
        <v>19.707936629437292</v>
      </c>
    </row>
    <row r="165" spans="1:10" x14ac:dyDescent="0.25">
      <c r="A165">
        <v>83</v>
      </c>
      <c r="B165" s="5">
        <f t="shared" si="7"/>
        <v>5.7383962900608916</v>
      </c>
      <c r="C165" s="5">
        <f t="shared" si="8"/>
        <v>1.5925092273508135</v>
      </c>
      <c r="D165" s="5">
        <f>SUM(C$82:C165)</f>
        <v>232.29774199243661</v>
      </c>
      <c r="E165" s="9">
        <f t="shared" si="9"/>
        <v>2.3229774199243662</v>
      </c>
      <c r="F165" s="9">
        <f t="shared" si="10"/>
        <v>0.7493475548143117</v>
      </c>
      <c r="G165" s="9">
        <f t="shared" si="13"/>
        <v>0.7493475548143117</v>
      </c>
      <c r="H165" s="9">
        <f t="shared" si="11"/>
        <v>45.846682725320868</v>
      </c>
      <c r="I165" s="9">
        <f t="shared" si="12"/>
        <v>0.41078627721887501</v>
      </c>
      <c r="J165" s="9">
        <f>SUM(I$82:I165)</f>
        <v>20.118722906656167</v>
      </c>
    </row>
    <row r="166" spans="1:10" x14ac:dyDescent="0.25">
      <c r="A166">
        <v>84</v>
      </c>
      <c r="B166" s="5">
        <f t="shared" si="7"/>
        <v>5.710132673625159</v>
      </c>
      <c r="C166" s="5">
        <f t="shared" si="8"/>
        <v>1.5642456109150809</v>
      </c>
      <c r="D166" s="5">
        <f>SUM(C$82:C166)</f>
        <v>233.86198760335171</v>
      </c>
      <c r="E166" s="9">
        <f t="shared" si="9"/>
        <v>2.3386198760335173</v>
      </c>
      <c r="F166" s="9">
        <f t="shared" si="10"/>
        <v>0.75439350839790875</v>
      </c>
      <c r="G166" s="9">
        <f t="shared" si="13"/>
        <v>0.75439350839790875</v>
      </c>
      <c r="H166" s="9">
        <f t="shared" si="11"/>
        <v>46.155404935071985</v>
      </c>
      <c r="I166" s="9">
        <f t="shared" si="12"/>
        <v>0.41355242821824501</v>
      </c>
      <c r="J166" s="9">
        <f>SUM(I$82:I166)</f>
        <v>20.532275334874413</v>
      </c>
    </row>
    <row r="167" spans="1:10" x14ac:dyDescent="0.25">
      <c r="A167">
        <v>85</v>
      </c>
      <c r="B167" s="5">
        <f t="shared" si="7"/>
        <v>5.6818690571894255</v>
      </c>
      <c r="C167" s="5">
        <f t="shared" si="8"/>
        <v>1.5359819944793474</v>
      </c>
      <c r="D167" s="5">
        <f>SUM(C$82:C167)</f>
        <v>235.39796959783106</v>
      </c>
      <c r="E167" s="9">
        <f t="shared" si="9"/>
        <v>2.3539796959783108</v>
      </c>
      <c r="F167" s="9">
        <f t="shared" si="10"/>
        <v>0.75934828902526152</v>
      </c>
      <c r="G167" s="9">
        <f t="shared" si="13"/>
        <v>0.75934828902526152</v>
      </c>
      <c r="H167" s="9">
        <f t="shared" si="11"/>
        <v>46.458548988770936</v>
      </c>
      <c r="I167" s="9">
        <f t="shared" si="12"/>
        <v>0.41626859893938761</v>
      </c>
      <c r="J167" s="9">
        <f>SUM(I$82:I167)</f>
        <v>20.948543933813802</v>
      </c>
    </row>
    <row r="168" spans="1:10" x14ac:dyDescent="0.25">
      <c r="A168">
        <v>86</v>
      </c>
      <c r="B168" s="5">
        <f t="shared" si="7"/>
        <v>5.6536054407536911</v>
      </c>
      <c r="C168" s="5">
        <f t="shared" si="8"/>
        <v>1.507718378043613</v>
      </c>
      <c r="D168" s="5">
        <f>SUM(C$82:C168)</f>
        <v>236.90568797587468</v>
      </c>
      <c r="E168" s="9">
        <f t="shared" si="9"/>
        <v>2.3690568797587468</v>
      </c>
      <c r="F168" s="9">
        <f t="shared" si="10"/>
        <v>0.76421189669636991</v>
      </c>
      <c r="G168" s="9">
        <f t="shared" si="13"/>
        <v>0.76421189669636991</v>
      </c>
      <c r="H168" s="9">
        <f t="shared" si="11"/>
        <v>46.75611488641772</v>
      </c>
      <c r="I168" s="9">
        <f t="shared" si="12"/>
        <v>0.41893478938230277</v>
      </c>
      <c r="J168" s="9">
        <f>SUM(I$82:I168)</f>
        <v>21.367478723196104</v>
      </c>
    </row>
    <row r="169" spans="1:10" x14ac:dyDescent="0.25">
      <c r="A169">
        <v>87</v>
      </c>
      <c r="B169" s="5">
        <f t="shared" si="7"/>
        <v>5.6253418243179567</v>
      </c>
      <c r="C169" s="5">
        <f t="shared" si="8"/>
        <v>1.4794547616078786</v>
      </c>
      <c r="D169" s="5">
        <f>SUM(C$82:C169)</f>
        <v>238.38514273748257</v>
      </c>
      <c r="E169" s="9">
        <f t="shared" si="9"/>
        <v>2.3838514273748257</v>
      </c>
      <c r="F169" s="9">
        <f t="shared" si="10"/>
        <v>0.76898433141123412</v>
      </c>
      <c r="G169" s="9">
        <f t="shared" si="13"/>
        <v>0.76898433141123412</v>
      </c>
      <c r="H169" s="9">
        <f t="shared" si="11"/>
        <v>47.048102628012344</v>
      </c>
      <c r="I169" s="9">
        <f t="shared" si="12"/>
        <v>0.42155099954699066</v>
      </c>
      <c r="J169" s="9">
        <f>SUM(I$82:I169)</f>
        <v>21.789029722743095</v>
      </c>
    </row>
    <row r="170" spans="1:10" x14ac:dyDescent="0.25">
      <c r="A170">
        <v>88</v>
      </c>
      <c r="B170" s="5">
        <f t="shared" si="7"/>
        <v>5.5970782078822223</v>
      </c>
      <c r="C170" s="5">
        <f t="shared" si="8"/>
        <v>1.4511911451721442</v>
      </c>
      <c r="D170" s="5">
        <f>SUM(C$82:C170)</f>
        <v>239.83633388265471</v>
      </c>
      <c r="E170" s="9">
        <f t="shared" si="9"/>
        <v>2.3983633388265471</v>
      </c>
      <c r="F170" s="9">
        <f t="shared" si="10"/>
        <v>0.77366559316985384</v>
      </c>
      <c r="G170" s="9">
        <f t="shared" si="13"/>
        <v>0.77366559316985384</v>
      </c>
      <c r="H170" s="9">
        <f t="shared" si="11"/>
        <v>47.334512213554795</v>
      </c>
      <c r="I170" s="9">
        <f t="shared" si="12"/>
        <v>0.42411722943345098</v>
      </c>
      <c r="J170" s="9">
        <f>SUM(I$82:I170)</f>
        <v>22.213146952176547</v>
      </c>
    </row>
    <row r="171" spans="1:10" x14ac:dyDescent="0.25">
      <c r="A171">
        <v>89</v>
      </c>
      <c r="B171" s="5">
        <f t="shared" si="7"/>
        <v>5.5688145914464897</v>
      </c>
      <c r="C171" s="5">
        <f t="shared" si="8"/>
        <v>1.4229275287364116</v>
      </c>
      <c r="D171" s="5">
        <f>SUM(C$82:C171)</f>
        <v>241.25926141139112</v>
      </c>
      <c r="E171" s="9">
        <f t="shared" si="9"/>
        <v>2.4125926141139113</v>
      </c>
      <c r="F171" s="9">
        <f t="shared" si="10"/>
        <v>0.7782556819722295</v>
      </c>
      <c r="G171" s="9">
        <f t="shared" si="13"/>
        <v>0.7782556819722295</v>
      </c>
      <c r="H171" s="9">
        <f t="shared" si="11"/>
        <v>47.615343643045094</v>
      </c>
      <c r="I171" s="9">
        <f t="shared" si="12"/>
        <v>0.42663347904168408</v>
      </c>
      <c r="J171" s="9">
        <f>SUM(I$82:I171)</f>
        <v>22.639780431218231</v>
      </c>
    </row>
    <row r="172" spans="1:10" x14ac:dyDescent="0.25">
      <c r="A172">
        <v>90</v>
      </c>
      <c r="B172" s="5">
        <f t="shared" si="7"/>
        <v>5.5405509750107553</v>
      </c>
      <c r="C172" s="5">
        <f t="shared" si="8"/>
        <v>1.3946639123006772</v>
      </c>
      <c r="D172" s="5">
        <f>SUM(C$82:C172)</f>
        <v>242.65392532369179</v>
      </c>
      <c r="E172" s="9">
        <f t="shared" si="9"/>
        <v>2.4265392532369181</v>
      </c>
      <c r="F172" s="9">
        <f t="shared" si="10"/>
        <v>0.78275459781836065</v>
      </c>
      <c r="G172" s="9">
        <f t="shared" si="13"/>
        <v>0.78275459781836065</v>
      </c>
      <c r="H172" s="9">
        <f t="shared" si="11"/>
        <v>47.890596916483219</v>
      </c>
      <c r="I172" s="9">
        <f t="shared" si="12"/>
        <v>0.42909974837168968</v>
      </c>
      <c r="J172" s="9">
        <f>SUM(I$82:I172)</f>
        <v>23.068880179589922</v>
      </c>
    </row>
    <row r="173" spans="1:10" x14ac:dyDescent="0.25">
      <c r="A173">
        <v>91</v>
      </c>
      <c r="B173" s="5">
        <f t="shared" si="7"/>
        <v>5.5122873585750218</v>
      </c>
      <c r="C173" s="5">
        <f t="shared" si="8"/>
        <v>1.3664002958649437</v>
      </c>
      <c r="D173" s="5">
        <f>SUM(C$82:C173)</f>
        <v>244.02032561955673</v>
      </c>
      <c r="E173" s="9">
        <f t="shared" si="9"/>
        <v>2.4402032561955673</v>
      </c>
      <c r="F173" s="9">
        <f t="shared" si="10"/>
        <v>0.78716234070824753</v>
      </c>
      <c r="G173" s="9">
        <f t="shared" si="13"/>
        <v>0.78716234070824753</v>
      </c>
      <c r="H173" s="9">
        <f t="shared" si="11"/>
        <v>48.160272033869184</v>
      </c>
      <c r="I173" s="9">
        <f t="shared" si="12"/>
        <v>0.43151603742346789</v>
      </c>
      <c r="J173" s="9">
        <f>SUM(I$82:I173)</f>
        <v>23.500396217013389</v>
      </c>
    </row>
    <row r="174" spans="1:10" x14ac:dyDescent="0.25">
      <c r="A174">
        <v>92</v>
      </c>
      <c r="B174" s="5">
        <f t="shared" si="7"/>
        <v>5.4840237421392866</v>
      </c>
      <c r="C174" s="5">
        <f t="shared" si="8"/>
        <v>1.3381366794292084</v>
      </c>
      <c r="D174" s="5">
        <f>SUM(C$82:C174)</f>
        <v>245.35846229898593</v>
      </c>
      <c r="E174" s="9">
        <f t="shared" si="9"/>
        <v>2.4535846229898595</v>
      </c>
      <c r="F174" s="9">
        <f t="shared" si="10"/>
        <v>0.79147891064189013</v>
      </c>
      <c r="G174" s="9">
        <f t="shared" si="13"/>
        <v>0.79147891064189013</v>
      </c>
      <c r="H174" s="9">
        <f t="shared" si="11"/>
        <v>48.424368995202975</v>
      </c>
      <c r="I174" s="9">
        <f t="shared" si="12"/>
        <v>0.43388234619701871</v>
      </c>
      <c r="J174" s="9">
        <f>SUM(I$82:I174)</f>
        <v>23.934278563210409</v>
      </c>
    </row>
    <row r="175" spans="1:10" x14ac:dyDescent="0.25">
      <c r="A175">
        <v>93</v>
      </c>
      <c r="B175" s="5">
        <f t="shared" si="7"/>
        <v>5.455760125703554</v>
      </c>
      <c r="C175" s="5">
        <f t="shared" si="8"/>
        <v>1.3098730629934758</v>
      </c>
      <c r="D175" s="5">
        <f>SUM(C$82:C175)</f>
        <v>246.66833536197942</v>
      </c>
      <c r="E175" s="9">
        <f t="shared" si="9"/>
        <v>2.4666833536197941</v>
      </c>
      <c r="F175" s="9">
        <f t="shared" si="10"/>
        <v>0.79570430761928834</v>
      </c>
      <c r="G175" s="9">
        <f t="shared" si="13"/>
        <v>0.79570430761928834</v>
      </c>
      <c r="H175" s="9">
        <f t="shared" si="11"/>
        <v>48.682887800484608</v>
      </c>
      <c r="I175" s="9">
        <f t="shared" si="12"/>
        <v>0.43619867469234214</v>
      </c>
      <c r="J175" s="9">
        <f>SUM(I$82:I175)</f>
        <v>24.370477237902751</v>
      </c>
    </row>
    <row r="176" spans="1:10" x14ac:dyDescent="0.25">
      <c r="A176">
        <v>94</v>
      </c>
      <c r="B176" s="5">
        <f t="shared" si="7"/>
        <v>5.4274965092678205</v>
      </c>
      <c r="C176" s="5">
        <f t="shared" si="8"/>
        <v>1.2816094465577423</v>
      </c>
      <c r="D176" s="5">
        <f>SUM(C$82:C176)</f>
        <v>247.94994480853717</v>
      </c>
      <c r="E176" s="9">
        <f t="shared" si="9"/>
        <v>2.4794994480853716</v>
      </c>
      <c r="F176" s="9">
        <f t="shared" si="10"/>
        <v>0.79983853164044239</v>
      </c>
      <c r="G176" s="9">
        <f t="shared" si="13"/>
        <v>0.79983853164044239</v>
      </c>
      <c r="H176" s="9">
        <f t="shared" si="11"/>
        <v>48.93582844971408</v>
      </c>
      <c r="I176" s="9">
        <f t="shared" si="12"/>
        <v>0.43846502290943817</v>
      </c>
      <c r="J176" s="9">
        <f>SUM(I$82:I176)</f>
        <v>24.808942260812188</v>
      </c>
    </row>
    <row r="177" spans="1:10" x14ac:dyDescent="0.25">
      <c r="A177">
        <v>95</v>
      </c>
      <c r="B177" s="5">
        <f t="shared" si="7"/>
        <v>5.399232892832087</v>
      </c>
      <c r="C177" s="5">
        <f t="shared" si="8"/>
        <v>1.2533458301220088</v>
      </c>
      <c r="D177" s="5">
        <f>SUM(C$82:C177)</f>
        <v>249.20329063865918</v>
      </c>
      <c r="E177" s="9">
        <f t="shared" si="9"/>
        <v>2.492032906386592</v>
      </c>
      <c r="F177" s="9">
        <f t="shared" si="10"/>
        <v>0.80388158270535226</v>
      </c>
      <c r="G177" s="9">
        <f t="shared" si="13"/>
        <v>0.80388158270535226</v>
      </c>
      <c r="H177" s="9">
        <f t="shared" si="11"/>
        <v>49.1831909428914</v>
      </c>
      <c r="I177" s="9">
        <f t="shared" si="12"/>
        <v>0.44068139084830699</v>
      </c>
      <c r="J177" s="9">
        <f>SUM(I$82:I177)</f>
        <v>25.249623651660496</v>
      </c>
    </row>
    <row r="178" spans="1:10" x14ac:dyDescent="0.25">
      <c r="A178">
        <v>96</v>
      </c>
      <c r="B178" s="5">
        <f t="shared" si="7"/>
        <v>5.3709692763963526</v>
      </c>
      <c r="C178" s="5">
        <f t="shared" si="8"/>
        <v>1.2250822136862745</v>
      </c>
      <c r="D178" s="5">
        <f>SUM(C$82:C178)</f>
        <v>250.42837285234546</v>
      </c>
      <c r="E178" s="9">
        <f t="shared" si="9"/>
        <v>2.5042837285234545</v>
      </c>
      <c r="F178" s="9">
        <f t="shared" si="10"/>
        <v>0.80783346081401752</v>
      </c>
      <c r="G178" s="9">
        <f t="shared" si="13"/>
        <v>0.80783346081401752</v>
      </c>
      <c r="H178" s="9">
        <f t="shared" si="11"/>
        <v>49.424975280016525</v>
      </c>
      <c r="I178" s="9">
        <f t="shared" si="12"/>
        <v>0.44284777850894813</v>
      </c>
      <c r="J178" s="9">
        <f>SUM(I$82:I178)</f>
        <v>25.692471430169444</v>
      </c>
    </row>
    <row r="179" spans="1:10" x14ac:dyDescent="0.25">
      <c r="A179">
        <v>97</v>
      </c>
      <c r="B179" s="5">
        <f t="shared" si="7"/>
        <v>5.3427056599606173</v>
      </c>
      <c r="C179" s="5">
        <f t="shared" si="8"/>
        <v>1.1968185972505392</v>
      </c>
      <c r="D179" s="5">
        <f>SUM(C$82:C179)</f>
        <v>251.625191449596</v>
      </c>
      <c r="E179" s="9">
        <f t="shared" si="9"/>
        <v>2.5162519144959599</v>
      </c>
      <c r="F179" s="9">
        <f t="shared" si="10"/>
        <v>0.81169416596643862</v>
      </c>
      <c r="G179" s="9">
        <f t="shared" si="13"/>
        <v>0.81169416596643862</v>
      </c>
      <c r="H179" s="9">
        <f t="shared" si="11"/>
        <v>49.661181461089505</v>
      </c>
      <c r="I179" s="9">
        <f t="shared" si="12"/>
        <v>0.444964185891362</v>
      </c>
      <c r="J179" s="9">
        <f>SUM(I$82:I179)</f>
        <v>26.137435616060806</v>
      </c>
    </row>
    <row r="180" spans="1:10" x14ac:dyDescent="0.25">
      <c r="A180">
        <v>98</v>
      </c>
      <c r="B180" s="5">
        <f t="shared" si="7"/>
        <v>5.3144420435248865</v>
      </c>
      <c r="C180" s="5">
        <f t="shared" si="8"/>
        <v>1.1685549808148084</v>
      </c>
      <c r="D180" s="5">
        <f>SUM(C$82:C180)</f>
        <v>252.79374643041081</v>
      </c>
      <c r="E180" s="9">
        <f t="shared" si="9"/>
        <v>2.5279374643041082</v>
      </c>
      <c r="F180" s="9">
        <f t="shared" si="10"/>
        <v>0.81546369816261555</v>
      </c>
      <c r="G180" s="9">
        <f t="shared" si="13"/>
        <v>0.81546369816261555</v>
      </c>
      <c r="H180" s="9">
        <f t="shared" si="11"/>
        <v>49.891809486110326</v>
      </c>
      <c r="I180" s="9">
        <f t="shared" si="12"/>
        <v>0.44703061299554858</v>
      </c>
      <c r="J180" s="9">
        <f>SUM(I$82:I180)</f>
        <v>26.584466229056353</v>
      </c>
    </row>
    <row r="181" spans="1:10" x14ac:dyDescent="0.25">
      <c r="A181">
        <v>99</v>
      </c>
      <c r="B181" s="5">
        <f t="shared" si="7"/>
        <v>5.2861784270891503</v>
      </c>
      <c r="C181" s="5">
        <f t="shared" si="8"/>
        <v>1.1402913643790722</v>
      </c>
      <c r="D181" s="5">
        <f>SUM(C$82:C181)</f>
        <v>253.93403779478987</v>
      </c>
      <c r="E181" s="9">
        <f t="shared" si="9"/>
        <v>2.5393403779478989</v>
      </c>
      <c r="F181" s="9">
        <f t="shared" si="10"/>
        <v>0.81914205740254797</v>
      </c>
      <c r="G181" s="9">
        <f t="shared" si="13"/>
        <v>0.81914205740254797</v>
      </c>
      <c r="H181" s="9">
        <f t="shared" si="11"/>
        <v>50.116859355078965</v>
      </c>
      <c r="I181" s="9">
        <f t="shared" si="12"/>
        <v>0.44904705982150755</v>
      </c>
      <c r="J181" s="9">
        <f>SUM(I$82:I181)</f>
        <v>27.03351328887786</v>
      </c>
    </row>
    <row r="182" spans="1:10" x14ac:dyDescent="0.25">
      <c r="A182">
        <v>100</v>
      </c>
      <c r="B182" s="5">
        <f t="shared" si="7"/>
        <v>5.2579148106534177</v>
      </c>
      <c r="C182" s="5">
        <f t="shared" si="8"/>
        <v>1.1120277479433396</v>
      </c>
      <c r="D182" s="5">
        <f>SUM(C$82:C182)</f>
        <v>255.0460655427332</v>
      </c>
      <c r="E182" s="9">
        <f t="shared" si="9"/>
        <v>2.5504606554273321</v>
      </c>
      <c r="F182" s="9">
        <f t="shared" si="10"/>
        <v>0.82272924368623612</v>
      </c>
      <c r="G182" s="9">
        <f t="shared" si="13"/>
        <v>0.82272924368623612</v>
      </c>
      <c r="H182" s="9">
        <f t="shared" si="11"/>
        <v>50.336331067995445</v>
      </c>
      <c r="I182" s="9">
        <f t="shared" si="12"/>
        <v>0.45101352636923925</v>
      </c>
      <c r="J182" s="9">
        <f>SUM(I$82:I182)</f>
        <v>27.484526815247097</v>
      </c>
    </row>
    <row r="183" spans="1:10" x14ac:dyDescent="0.25">
      <c r="A183">
        <v>101</v>
      </c>
      <c r="B183" s="5">
        <f t="shared" si="7"/>
        <v>5.2296511942176842</v>
      </c>
      <c r="C183" s="5">
        <f t="shared" si="8"/>
        <v>1.0837641315076061</v>
      </c>
      <c r="D183" s="5">
        <f>SUM(C$82:C183)</f>
        <v>256.1298296742408</v>
      </c>
      <c r="E183" s="9">
        <f t="shared" si="9"/>
        <v>2.5612982967424078</v>
      </c>
      <c r="F183" s="9">
        <f t="shared" si="10"/>
        <v>0.82622525701367988</v>
      </c>
      <c r="G183" s="9">
        <f t="shared" si="13"/>
        <v>0.82622525701367988</v>
      </c>
      <c r="H183" s="9">
        <f t="shared" si="11"/>
        <v>50.550224624859759</v>
      </c>
      <c r="I183" s="9">
        <f t="shared" si="12"/>
        <v>0.4529300126387435</v>
      </c>
      <c r="J183" s="9">
        <f>SUM(I$82:I183)</f>
        <v>27.937456827885839</v>
      </c>
    </row>
    <row r="184" spans="1:10" x14ac:dyDescent="0.25">
      <c r="A184">
        <v>102</v>
      </c>
      <c r="B184" s="5">
        <f t="shared" si="7"/>
        <v>5.2013875777819498</v>
      </c>
      <c r="C184" s="5">
        <f t="shared" si="8"/>
        <v>1.0555005150718717</v>
      </c>
      <c r="D184" s="5">
        <f>SUM(C$82:C184)</f>
        <v>257.18533018931265</v>
      </c>
      <c r="E184" s="9">
        <f t="shared" si="9"/>
        <v>2.5718533018931264</v>
      </c>
      <c r="F184" s="9">
        <f t="shared" si="10"/>
        <v>0.82963009738487947</v>
      </c>
      <c r="G184" s="9">
        <f t="shared" si="13"/>
        <v>0.82963009738487947</v>
      </c>
      <c r="H184" s="9">
        <f t="shared" si="11"/>
        <v>50.758540025671913</v>
      </c>
      <c r="I184" s="9">
        <f t="shared" si="12"/>
        <v>0.45479651863002041</v>
      </c>
      <c r="J184" s="9">
        <f>SUM(I$82:I184)</f>
        <v>28.392253346515858</v>
      </c>
    </row>
    <row r="185" spans="1:10" x14ac:dyDescent="0.25">
      <c r="A185">
        <v>103</v>
      </c>
      <c r="B185" s="5">
        <f t="shared" si="7"/>
        <v>5.1731239613462163</v>
      </c>
      <c r="C185" s="5">
        <f t="shared" si="8"/>
        <v>1.0272368986361382</v>
      </c>
      <c r="D185" s="5">
        <f>SUM(C$82:C185)</f>
        <v>258.2125670879488</v>
      </c>
      <c r="E185" s="9">
        <f t="shared" si="9"/>
        <v>2.582125670879488</v>
      </c>
      <c r="F185" s="9">
        <f t="shared" si="10"/>
        <v>0.83294376479983478</v>
      </c>
      <c r="G185" s="9">
        <f t="shared" si="13"/>
        <v>0.83294376479983478</v>
      </c>
      <c r="H185" s="9">
        <f t="shared" si="11"/>
        <v>50.961277270431907</v>
      </c>
      <c r="I185" s="9">
        <f t="shared" si="12"/>
        <v>0.45661304434306993</v>
      </c>
      <c r="J185" s="9">
        <f>SUM(I$82:I185)</f>
        <v>28.848866390858927</v>
      </c>
    </row>
    <row r="186" spans="1:10" x14ac:dyDescent="0.25">
      <c r="A186">
        <v>104</v>
      </c>
      <c r="B186" s="5">
        <f t="shared" si="7"/>
        <v>5.1448603449104819</v>
      </c>
      <c r="C186" s="5">
        <f t="shared" si="8"/>
        <v>0.99897328220040382</v>
      </c>
      <c r="D186" s="5">
        <f>SUM(C$82:C186)</f>
        <v>259.21154037014918</v>
      </c>
      <c r="E186" s="9">
        <f t="shared" si="9"/>
        <v>2.592115403701492</v>
      </c>
      <c r="F186" s="9">
        <f t="shared" si="10"/>
        <v>0.83616625925854582</v>
      </c>
      <c r="G186" s="9">
        <f t="shared" si="13"/>
        <v>0.83616625925854582</v>
      </c>
      <c r="H186" s="9">
        <f t="shared" si="11"/>
        <v>51.158436359139735</v>
      </c>
      <c r="I186" s="9">
        <f t="shared" si="12"/>
        <v>0.45837958977789206</v>
      </c>
      <c r="J186" s="9">
        <f>SUM(I$82:I186)</f>
        <v>29.307245980636818</v>
      </c>
    </row>
    <row r="187" spans="1:10" x14ac:dyDescent="0.25">
      <c r="A187">
        <v>105</v>
      </c>
      <c r="B187" s="5">
        <f t="shared" si="7"/>
        <v>5.1165967284747484</v>
      </c>
      <c r="C187" s="5">
        <f t="shared" si="8"/>
        <v>0.97070966576467033</v>
      </c>
      <c r="D187" s="5">
        <f>SUM(C$82:C187)</f>
        <v>260.18225003591385</v>
      </c>
      <c r="E187" s="9">
        <f t="shared" si="9"/>
        <v>2.6018225003591384</v>
      </c>
      <c r="F187" s="9">
        <f t="shared" si="10"/>
        <v>0.83929758076101235</v>
      </c>
      <c r="G187" s="9">
        <f t="shared" si="13"/>
        <v>0.83929758076101235</v>
      </c>
      <c r="H187" s="9">
        <f t="shared" si="11"/>
        <v>51.350017291795382</v>
      </c>
      <c r="I187" s="9">
        <f t="shared" si="12"/>
        <v>0.46009615493448669</v>
      </c>
      <c r="J187" s="9">
        <f>SUM(I$82:I187)</f>
        <v>29.767342135571305</v>
      </c>
    </row>
    <row r="188" spans="1:10" x14ac:dyDescent="0.25">
      <c r="A188">
        <v>106</v>
      </c>
      <c r="B188" s="5">
        <f t="shared" si="7"/>
        <v>5.0883331120390141</v>
      </c>
      <c r="C188" s="5">
        <f t="shared" si="8"/>
        <v>0.94244604932893594</v>
      </c>
      <c r="D188" s="5">
        <f>SUM(C$82:C188)</f>
        <v>261.12469608524282</v>
      </c>
      <c r="E188" s="9">
        <f t="shared" si="9"/>
        <v>2.6112469608524282</v>
      </c>
      <c r="F188" s="9">
        <f t="shared" si="10"/>
        <v>0.84233772930723494</v>
      </c>
      <c r="G188" s="9">
        <f t="shared" si="13"/>
        <v>0.84233772930723494</v>
      </c>
      <c r="H188" s="9">
        <f t="shared" si="11"/>
        <v>51.536020068398898</v>
      </c>
      <c r="I188" s="9">
        <f t="shared" si="12"/>
        <v>0.46176273981285421</v>
      </c>
      <c r="J188" s="9">
        <f>SUM(I$82:I188)</f>
        <v>30.229104875384159</v>
      </c>
    </row>
    <row r="189" spans="1:10" x14ac:dyDescent="0.25">
      <c r="A189">
        <v>107</v>
      </c>
      <c r="B189" s="5">
        <f t="shared" si="7"/>
        <v>5.0600694956032806</v>
      </c>
      <c r="C189" s="5">
        <f t="shared" si="8"/>
        <v>0.91418243289320245</v>
      </c>
      <c r="D189" s="5">
        <f>SUM(C$82:C189)</f>
        <v>262.03887851813602</v>
      </c>
      <c r="E189" s="9">
        <f t="shared" si="9"/>
        <v>2.6203887851813601</v>
      </c>
      <c r="F189" s="9">
        <f t="shared" si="10"/>
        <v>0.84528670489721291</v>
      </c>
      <c r="G189" s="9">
        <f t="shared" si="13"/>
        <v>0.84528670489721291</v>
      </c>
      <c r="H189" s="9">
        <f t="shared" si="11"/>
        <v>51.716444688950226</v>
      </c>
      <c r="I189" s="9">
        <f t="shared" si="12"/>
        <v>0.46337934441299405</v>
      </c>
      <c r="J189" s="9">
        <f>SUM(I$82:I189)</f>
        <v>30.692484219797155</v>
      </c>
    </row>
    <row r="190" spans="1:10" x14ac:dyDescent="0.25">
      <c r="A190">
        <v>108</v>
      </c>
      <c r="B190" s="5">
        <f t="shared" si="7"/>
        <v>5.0318058791675453</v>
      </c>
      <c r="C190" s="5">
        <f t="shared" si="8"/>
        <v>0.88591881645746717</v>
      </c>
      <c r="D190" s="5">
        <f>SUM(C$82:C190)</f>
        <v>262.92479733459351</v>
      </c>
      <c r="E190" s="9">
        <f t="shared" si="9"/>
        <v>2.6292479733459349</v>
      </c>
      <c r="F190" s="9">
        <f t="shared" si="10"/>
        <v>0.84814450753094672</v>
      </c>
      <c r="G190" s="9">
        <f t="shared" si="13"/>
        <v>0.84814450753094672</v>
      </c>
      <c r="H190" s="9">
        <f t="shared" si="11"/>
        <v>51.891291153449394</v>
      </c>
      <c r="I190" s="9">
        <f t="shared" si="12"/>
        <v>0.46494596873490657</v>
      </c>
      <c r="J190" s="9">
        <f>SUM(I$82:I190)</f>
        <v>31.157430188532061</v>
      </c>
    </row>
    <row r="191" spans="1:10" x14ac:dyDescent="0.25">
      <c r="A191">
        <v>109</v>
      </c>
      <c r="B191" s="5">
        <f t="shared" si="7"/>
        <v>5.0035422627318127</v>
      </c>
      <c r="C191" s="5">
        <f t="shared" si="8"/>
        <v>0.85765520002173457</v>
      </c>
      <c r="D191" s="5">
        <f>SUM(C$82:C191)</f>
        <v>263.78245253461523</v>
      </c>
      <c r="E191" s="9">
        <f t="shared" si="9"/>
        <v>2.6378245253461525</v>
      </c>
      <c r="F191" s="9">
        <f t="shared" si="10"/>
        <v>0.85091113720843625</v>
      </c>
      <c r="G191" s="9">
        <f t="shared" si="13"/>
        <v>0.85091113720843625</v>
      </c>
      <c r="H191" s="9">
        <f t="shared" si="11"/>
        <v>52.060559461896403</v>
      </c>
      <c r="I191" s="9">
        <f t="shared" si="12"/>
        <v>0.4664626127785918</v>
      </c>
      <c r="J191" s="9">
        <f>SUM(I$82:I191)</f>
        <v>31.623892801310653</v>
      </c>
    </row>
    <row r="192" spans="1:10" x14ac:dyDescent="0.25">
      <c r="A192">
        <v>110</v>
      </c>
      <c r="B192" s="5">
        <f t="shared" si="7"/>
        <v>4.9752786462960792</v>
      </c>
      <c r="C192" s="5">
        <f t="shared" si="8"/>
        <v>0.82939158358600107</v>
      </c>
      <c r="D192" s="5">
        <f>SUM(C$82:C192)</f>
        <v>264.61184411820125</v>
      </c>
      <c r="E192" s="9">
        <f t="shared" si="9"/>
        <v>2.6461184411820127</v>
      </c>
      <c r="F192" s="9">
        <f t="shared" si="10"/>
        <v>0.8535865939296815</v>
      </c>
      <c r="G192" s="9">
        <f t="shared" si="13"/>
        <v>0.8535865939296815</v>
      </c>
      <c r="H192" s="9">
        <f t="shared" si="11"/>
        <v>52.224249614291246</v>
      </c>
      <c r="I192" s="9">
        <f t="shared" si="12"/>
        <v>0.46792927654404959</v>
      </c>
      <c r="J192" s="9">
        <f>SUM(I$82:I192)</f>
        <v>32.091822077854701</v>
      </c>
    </row>
    <row r="193" spans="1:10" x14ac:dyDescent="0.25">
      <c r="A193">
        <v>111</v>
      </c>
      <c r="B193" s="5">
        <f t="shared" si="7"/>
        <v>4.9470150298603439</v>
      </c>
      <c r="C193" s="5">
        <f t="shared" si="8"/>
        <v>0.8011279671502658</v>
      </c>
      <c r="D193" s="5">
        <f>SUM(C$82:C193)</f>
        <v>265.4129720853515</v>
      </c>
      <c r="E193" s="9">
        <f t="shared" si="9"/>
        <v>2.6541297208535148</v>
      </c>
      <c r="F193" s="9">
        <f t="shared" si="10"/>
        <v>0.85617087769468214</v>
      </c>
      <c r="G193" s="9">
        <f t="shared" si="13"/>
        <v>0.85617087769468214</v>
      </c>
      <c r="H193" s="9">
        <f t="shared" si="11"/>
        <v>52.382361610633907</v>
      </c>
      <c r="I193" s="9">
        <f t="shared" si="12"/>
        <v>0.46934596003127987</v>
      </c>
      <c r="J193" s="9">
        <f>SUM(I$82:I193)</f>
        <v>32.561168037885977</v>
      </c>
    </row>
    <row r="194" spans="1:10" x14ac:dyDescent="0.25">
      <c r="A194">
        <v>112</v>
      </c>
      <c r="B194" s="5">
        <f t="shared" si="7"/>
        <v>4.9187514134246113</v>
      </c>
      <c r="C194" s="5">
        <f t="shared" si="8"/>
        <v>0.77286435071453319</v>
      </c>
      <c r="D194" s="5">
        <f>SUM(C$82:C194)</f>
        <v>266.18583643606604</v>
      </c>
      <c r="E194" s="9">
        <f t="shared" si="9"/>
        <v>2.6618583643606604</v>
      </c>
      <c r="F194" s="9">
        <f t="shared" si="10"/>
        <v>0.85866398850343884</v>
      </c>
      <c r="G194" s="9">
        <f t="shared" si="13"/>
        <v>0.85866398850343884</v>
      </c>
      <c r="H194" s="9">
        <f t="shared" si="11"/>
        <v>52.534895450924424</v>
      </c>
      <c r="I194" s="9">
        <f t="shared" si="12"/>
        <v>0.47071266324028288</v>
      </c>
      <c r="J194" s="9">
        <f>SUM(I$82:I194)</f>
        <v>33.031880701126262</v>
      </c>
    </row>
    <row r="195" spans="1:10" x14ac:dyDescent="0.25">
      <c r="A195">
        <v>113</v>
      </c>
      <c r="B195" s="5">
        <f t="shared" si="7"/>
        <v>4.8904877969888769</v>
      </c>
      <c r="C195" s="5">
        <f t="shared" si="8"/>
        <v>0.7446007342787988</v>
      </c>
      <c r="D195" s="5">
        <f>SUM(C$82:C195)</f>
        <v>266.93043717034482</v>
      </c>
      <c r="E195" s="9">
        <f t="shared" si="9"/>
        <v>2.6693043717034484</v>
      </c>
      <c r="F195" s="9">
        <f t="shared" si="10"/>
        <v>0.86106592635595103</v>
      </c>
      <c r="G195" s="9">
        <f t="shared" si="13"/>
        <v>0.86106592635595103</v>
      </c>
      <c r="H195" s="9">
        <f t="shared" si="11"/>
        <v>52.681851135162766</v>
      </c>
      <c r="I195" s="9">
        <f t="shared" si="12"/>
        <v>0.47202938617105844</v>
      </c>
      <c r="J195" s="9">
        <f>SUM(I$82:I195)</f>
        <v>33.503910087297321</v>
      </c>
    </row>
    <row r="196" spans="1:10" x14ac:dyDescent="0.25">
      <c r="A196">
        <v>114</v>
      </c>
      <c r="B196" s="5">
        <f t="shared" si="7"/>
        <v>4.8622241805531434</v>
      </c>
      <c r="C196" s="5">
        <f t="shared" si="8"/>
        <v>0.71633711784306531</v>
      </c>
      <c r="D196" s="5">
        <f>SUM(C$82:C196)</f>
        <v>267.64677428818788</v>
      </c>
      <c r="E196" s="9">
        <f t="shared" si="9"/>
        <v>2.6764677428818788</v>
      </c>
      <c r="F196" s="9">
        <f t="shared" si="10"/>
        <v>0.86337669125221894</v>
      </c>
      <c r="G196" s="9">
        <f t="shared" si="13"/>
        <v>0.86337669125221894</v>
      </c>
      <c r="H196" s="9">
        <f t="shared" si="11"/>
        <v>52.823228663348935</v>
      </c>
      <c r="I196" s="9">
        <f t="shared" si="12"/>
        <v>0.47329612882360655</v>
      </c>
      <c r="J196" s="9">
        <f>SUM(I$82:I196)</f>
        <v>33.977206216120926</v>
      </c>
    </row>
    <row r="197" spans="1:10" x14ac:dyDescent="0.25">
      <c r="A197">
        <v>115</v>
      </c>
      <c r="B197" s="5">
        <f t="shared" si="7"/>
        <v>4.833960564117409</v>
      </c>
      <c r="C197" s="5">
        <f t="shared" si="8"/>
        <v>0.68807350140733092</v>
      </c>
      <c r="D197" s="5">
        <f>SUM(C$82:C197)</f>
        <v>268.33484778959519</v>
      </c>
      <c r="E197" s="9">
        <f t="shared" si="9"/>
        <v>2.6833484778959518</v>
      </c>
      <c r="F197" s="9">
        <f t="shared" si="10"/>
        <v>0.86559628319224247</v>
      </c>
      <c r="G197" s="9">
        <f t="shared" si="13"/>
        <v>0.86559628319224247</v>
      </c>
      <c r="H197" s="9">
        <f t="shared" si="11"/>
        <v>52.959028035482952</v>
      </c>
      <c r="I197" s="9">
        <f t="shared" si="12"/>
        <v>0.47451289119792733</v>
      </c>
      <c r="J197" s="9">
        <f>SUM(I$82:I197)</f>
        <v>34.451719107318851</v>
      </c>
    </row>
    <row r="198" spans="1:10" x14ac:dyDescent="0.25">
      <c r="A198">
        <v>116</v>
      </c>
      <c r="B198" s="5">
        <f t="shared" si="7"/>
        <v>4.8056969476816755</v>
      </c>
      <c r="C198" s="5">
        <f t="shared" si="8"/>
        <v>0.65980988497159743</v>
      </c>
      <c r="D198" s="5">
        <f>SUM(C$82:C198)</f>
        <v>268.99465767456678</v>
      </c>
      <c r="E198" s="9">
        <f t="shared" si="9"/>
        <v>2.6899465767456676</v>
      </c>
      <c r="F198" s="9">
        <f t="shared" si="10"/>
        <v>0.86772470217602182</v>
      </c>
      <c r="G198" s="9">
        <f t="shared" si="13"/>
        <v>0.86772470217602182</v>
      </c>
      <c r="H198" s="9">
        <f t="shared" si="11"/>
        <v>53.089249251564802</v>
      </c>
      <c r="I198" s="9">
        <f t="shared" si="12"/>
        <v>0.47567967329402067</v>
      </c>
      <c r="J198" s="9">
        <f>SUM(I$82:I198)</f>
        <v>34.927398780612869</v>
      </c>
    </row>
    <row r="199" spans="1:10" x14ac:dyDescent="0.25">
      <c r="A199">
        <v>117</v>
      </c>
      <c r="B199" s="5">
        <f t="shared" si="7"/>
        <v>4.7774333312459412</v>
      </c>
      <c r="C199" s="5">
        <f t="shared" si="8"/>
        <v>0.63154626853586304</v>
      </c>
      <c r="D199" s="5">
        <f>SUM(C$82:C199)</f>
        <v>269.62620394310267</v>
      </c>
      <c r="E199" s="9">
        <f t="shared" si="9"/>
        <v>2.6962620394310268</v>
      </c>
      <c r="F199" s="9">
        <f t="shared" si="10"/>
        <v>0.86976194820355701</v>
      </c>
      <c r="G199" s="9">
        <f t="shared" si="13"/>
        <v>0.86976194820355701</v>
      </c>
      <c r="H199" s="9">
        <f t="shared" si="11"/>
        <v>53.213892311594499</v>
      </c>
      <c r="I199" s="9">
        <f t="shared" si="12"/>
        <v>0.47679647511188678</v>
      </c>
      <c r="J199" s="9">
        <f>SUM(I$82:I199)</f>
        <v>35.404195255724758</v>
      </c>
    </row>
    <row r="200" spans="1:10" x14ac:dyDescent="0.25">
      <c r="A200">
        <v>118</v>
      </c>
      <c r="B200" s="5">
        <f t="shared" si="7"/>
        <v>4.7491697148102077</v>
      </c>
      <c r="C200" s="5">
        <f t="shared" si="8"/>
        <v>0.60328265210012955</v>
      </c>
      <c r="D200" s="5">
        <f>SUM(C$82:C200)</f>
        <v>270.22948659520279</v>
      </c>
      <c r="E200" s="9">
        <f t="shared" si="9"/>
        <v>2.7022948659520281</v>
      </c>
      <c r="F200" s="9">
        <f t="shared" si="10"/>
        <v>0.8717080212748477</v>
      </c>
      <c r="G200" s="9">
        <f t="shared" si="13"/>
        <v>0.8717080212748477</v>
      </c>
      <c r="H200" s="9">
        <f t="shared" si="11"/>
        <v>53.332957215572016</v>
      </c>
      <c r="I200" s="9">
        <f t="shared" si="12"/>
        <v>0.47786329665152533</v>
      </c>
      <c r="J200" s="9">
        <f>SUM(I$82:I200)</f>
        <v>35.882058552376286</v>
      </c>
    </row>
    <row r="201" spans="1:10" x14ac:dyDescent="0.25">
      <c r="A201">
        <v>119</v>
      </c>
      <c r="B201" s="5">
        <f t="shared" si="7"/>
        <v>4.7209060983744733</v>
      </c>
      <c r="C201" s="5">
        <f t="shared" si="8"/>
        <v>0.57501903566439516</v>
      </c>
      <c r="D201" s="5">
        <f>SUM(C$82:C201)</f>
        <v>270.8045056308672</v>
      </c>
      <c r="E201" s="9">
        <f t="shared" si="9"/>
        <v>2.7080450563086718</v>
      </c>
      <c r="F201" s="9">
        <f t="shared" si="10"/>
        <v>0.87356292138989411</v>
      </c>
      <c r="G201" s="9">
        <f t="shared" si="13"/>
        <v>0.87356292138989411</v>
      </c>
      <c r="H201" s="9">
        <f t="shared" si="11"/>
        <v>53.446443963497373</v>
      </c>
      <c r="I201" s="9">
        <f t="shared" si="12"/>
        <v>0.47888013791293654</v>
      </c>
      <c r="J201" s="9">
        <f>SUM(I$82:I201)</f>
        <v>36.360938690289224</v>
      </c>
    </row>
    <row r="202" spans="1:10" x14ac:dyDescent="0.25">
      <c r="A202">
        <v>120</v>
      </c>
      <c r="B202" s="5">
        <f t="shared" si="7"/>
        <v>4.6926424819387398</v>
      </c>
      <c r="C202" s="5">
        <f t="shared" si="8"/>
        <v>0.54675541922866167</v>
      </c>
      <c r="D202" s="5">
        <f>SUM(C$82:C202)</f>
        <v>271.35126105009584</v>
      </c>
      <c r="E202" s="9">
        <f t="shared" si="9"/>
        <v>2.7135126105009584</v>
      </c>
      <c r="F202" s="9">
        <f t="shared" si="10"/>
        <v>0.87532664854869624</v>
      </c>
      <c r="G202" s="9">
        <f t="shared" si="13"/>
        <v>0.87532664854869624</v>
      </c>
      <c r="H202" s="9">
        <f t="shared" si="11"/>
        <v>53.554352555370571</v>
      </c>
      <c r="I202" s="9">
        <f t="shared" si="12"/>
        <v>0.47984699889612031</v>
      </c>
      <c r="J202" s="9">
        <f>SUM(I$82:I202)</f>
        <v>36.840785689185346</v>
      </c>
    </row>
    <row r="203" spans="1:10" x14ac:dyDescent="0.25">
      <c r="A203">
        <v>121</v>
      </c>
      <c r="B203" s="5">
        <f t="shared" si="7"/>
        <v>4.6643788655030063</v>
      </c>
      <c r="C203" s="5">
        <f t="shared" si="8"/>
        <v>0.51849180279292817</v>
      </c>
      <c r="D203" s="5">
        <f>SUM(C$82:C203)</f>
        <v>271.86975285288878</v>
      </c>
      <c r="E203" s="9">
        <f t="shared" si="9"/>
        <v>2.7186975285288879</v>
      </c>
      <c r="F203" s="9">
        <f t="shared" si="10"/>
        <v>0.87699920275125409</v>
      </c>
      <c r="G203" s="9">
        <f t="shared" si="13"/>
        <v>0.87699920275125409</v>
      </c>
      <c r="H203" s="9">
        <f t="shared" si="11"/>
        <v>53.656682991191602</v>
      </c>
      <c r="I203" s="9">
        <f t="shared" si="12"/>
        <v>0.48076387960107675</v>
      </c>
      <c r="J203" s="9">
        <f>SUM(I$82:I203)</f>
        <v>37.321549568786423</v>
      </c>
    </row>
    <row r="204" spans="1:10" x14ac:dyDescent="0.25">
      <c r="A204">
        <v>122</v>
      </c>
      <c r="B204" s="5">
        <f t="shared" si="7"/>
        <v>4.6361152490672728</v>
      </c>
      <c r="C204" s="5">
        <f t="shared" si="8"/>
        <v>0.49022818635719467</v>
      </c>
      <c r="D204" s="5">
        <f>SUM(C$82:C204)</f>
        <v>272.35998103924595</v>
      </c>
      <c r="E204" s="9">
        <f t="shared" si="9"/>
        <v>2.7235998103924595</v>
      </c>
      <c r="F204" s="9">
        <f t="shared" si="10"/>
        <v>0.87858058399756755</v>
      </c>
      <c r="G204" s="9">
        <f t="shared" si="13"/>
        <v>0.87858058399756755</v>
      </c>
      <c r="H204" s="9">
        <f t="shared" si="11"/>
        <v>53.753435270960459</v>
      </c>
      <c r="I204" s="9">
        <f t="shared" si="12"/>
        <v>0.48163078002780574</v>
      </c>
      <c r="J204" s="9">
        <f>SUM(I$82:I204)</f>
        <v>37.80318034881423</v>
      </c>
    </row>
    <row r="205" spans="1:10" x14ac:dyDescent="0.25">
      <c r="A205">
        <v>123</v>
      </c>
      <c r="B205" s="5">
        <f t="shared" si="7"/>
        <v>4.6078516326315384</v>
      </c>
      <c r="C205" s="5">
        <f t="shared" si="8"/>
        <v>0.46196456992146029</v>
      </c>
      <c r="D205" s="5">
        <f>SUM(C$82:C205)</f>
        <v>272.82194560916741</v>
      </c>
      <c r="E205" s="9">
        <f t="shared" si="9"/>
        <v>2.7282194560916739</v>
      </c>
      <c r="F205" s="9">
        <f t="shared" si="10"/>
        <v>0.88007079228763674</v>
      </c>
      <c r="G205" s="9">
        <f t="shared" si="13"/>
        <v>0.88007079228763674</v>
      </c>
      <c r="H205" s="9">
        <f t="shared" si="11"/>
        <v>53.844609394677157</v>
      </c>
      <c r="I205" s="9">
        <f t="shared" si="12"/>
        <v>0.48244770017630734</v>
      </c>
      <c r="J205" s="9">
        <f>SUM(I$82:I205)</f>
        <v>38.285628048990539</v>
      </c>
    </row>
    <row r="206" spans="1:10" x14ac:dyDescent="0.25">
      <c r="A206">
        <v>124</v>
      </c>
      <c r="B206" s="5">
        <f t="shared" si="7"/>
        <v>4.5795880161958049</v>
      </c>
      <c r="C206" s="5">
        <f t="shared" si="8"/>
        <v>0.43370095348572679</v>
      </c>
      <c r="D206" s="5">
        <f>SUM(C$82:C206)</f>
        <v>273.25564656265317</v>
      </c>
      <c r="E206" s="9">
        <f t="shared" si="9"/>
        <v>2.7325564656265318</v>
      </c>
      <c r="F206" s="9">
        <f t="shared" si="10"/>
        <v>0.88146982762146187</v>
      </c>
      <c r="G206" s="9">
        <f t="shared" si="13"/>
        <v>0.88146982762146187</v>
      </c>
      <c r="H206" s="9">
        <f t="shared" si="11"/>
        <v>53.930205362341702</v>
      </c>
      <c r="I206" s="9">
        <f t="shared" si="12"/>
        <v>0.48321464004658166</v>
      </c>
      <c r="J206" s="9">
        <f>SUM(I$82:I206)</f>
        <v>38.768842689037122</v>
      </c>
    </row>
    <row r="207" spans="1:10" x14ac:dyDescent="0.25">
      <c r="A207">
        <v>125</v>
      </c>
      <c r="B207" s="5">
        <f t="shared" si="7"/>
        <v>4.5513243997600714</v>
      </c>
      <c r="C207" s="5">
        <f t="shared" si="8"/>
        <v>0.4054373370499933</v>
      </c>
      <c r="D207" s="5">
        <f>SUM(C$82:C207)</f>
        <v>273.66108389970316</v>
      </c>
      <c r="E207" s="9">
        <f t="shared" si="9"/>
        <v>2.7366108389970316</v>
      </c>
      <c r="F207" s="9">
        <f t="shared" si="10"/>
        <v>0.88277768999904238</v>
      </c>
      <c r="G207" s="9">
        <f t="shared" si="13"/>
        <v>0.88277768999904238</v>
      </c>
      <c r="H207" s="9">
        <f t="shared" si="11"/>
        <v>54.010223173954067</v>
      </c>
      <c r="I207" s="9">
        <f t="shared" si="12"/>
        <v>0.48393159963862853</v>
      </c>
      <c r="J207" s="9">
        <f>SUM(I$82:I207)</f>
        <v>39.252774288675752</v>
      </c>
    </row>
    <row r="208" spans="1:10" x14ac:dyDescent="0.25">
      <c r="A208">
        <v>126</v>
      </c>
      <c r="B208" s="5">
        <f t="shared" si="7"/>
        <v>4.523060783324337</v>
      </c>
      <c r="C208" s="5">
        <f t="shared" si="8"/>
        <v>0.37717372061425891</v>
      </c>
      <c r="D208" s="5">
        <f>SUM(C$82:C208)</f>
        <v>274.03825762031744</v>
      </c>
      <c r="E208" s="9">
        <f t="shared" si="9"/>
        <v>2.7403825762031744</v>
      </c>
      <c r="F208" s="9">
        <f t="shared" si="10"/>
        <v>0.88399437942037884</v>
      </c>
      <c r="G208" s="9">
        <f t="shared" si="13"/>
        <v>0.88399437942037884</v>
      </c>
      <c r="H208" s="9">
        <f t="shared" si="11"/>
        <v>54.084662829514279</v>
      </c>
      <c r="I208" s="9">
        <f t="shared" si="12"/>
        <v>0.48459857895244801</v>
      </c>
      <c r="J208" s="9">
        <f>SUM(I$82:I208)</f>
        <v>39.737372867628203</v>
      </c>
    </row>
    <row r="209" spans="1:10" x14ac:dyDescent="0.25">
      <c r="A209">
        <v>127</v>
      </c>
      <c r="B209" s="5">
        <f t="shared" si="7"/>
        <v>4.4947971668886035</v>
      </c>
      <c r="C209" s="5">
        <f t="shared" si="8"/>
        <v>0.34891010417852542</v>
      </c>
      <c r="D209" s="5">
        <f>SUM(C$82:C209)</f>
        <v>274.38716772449595</v>
      </c>
      <c r="E209" s="9">
        <f t="shared" si="9"/>
        <v>2.7438716772449596</v>
      </c>
      <c r="F209" s="9">
        <f t="shared" si="10"/>
        <v>0.8851198958854708</v>
      </c>
      <c r="G209" s="9">
        <f t="shared" si="13"/>
        <v>0.8851198958854708</v>
      </c>
      <c r="H209" s="9">
        <f t="shared" si="11"/>
        <v>54.153524329022318</v>
      </c>
      <c r="I209" s="9">
        <f t="shared" si="12"/>
        <v>0.48521557798803999</v>
      </c>
      <c r="J209" s="9">
        <f>SUM(I$82:I209)</f>
        <v>40.222588445616246</v>
      </c>
    </row>
    <row r="210" spans="1:10" x14ac:dyDescent="0.25">
      <c r="A210">
        <v>128</v>
      </c>
      <c r="B210" s="5">
        <f t="shared" ref="B210:B273" si="14">2*(Radius-A210*half_lambda)*alphaSector*half_lambda*PV_Efficiency*Irradiance</f>
        <v>4.46653355045287</v>
      </c>
      <c r="C210" s="5">
        <f t="shared" ref="C210:C273" si="15">B210-Element_Power_BOL</f>
        <v>0.32064648774279192</v>
      </c>
      <c r="D210" s="5">
        <f>SUM(C$82:C210)</f>
        <v>274.70781421223876</v>
      </c>
      <c r="E210" s="9">
        <f t="shared" ref="E210:E273" si="16">D210/V_bus</f>
        <v>2.7470781421223878</v>
      </c>
      <c r="F210" s="9">
        <f t="shared" ref="F210:F273" si="17">E210/J_Cu</f>
        <v>0.88615423939431859</v>
      </c>
      <c r="G210" s="9">
        <f t="shared" si="13"/>
        <v>0.88615423939431859</v>
      </c>
      <c r="H210" s="9">
        <f t="shared" ref="H210:H273" si="18">G210*half_lambda*1000</f>
        <v>54.216807672478204</v>
      </c>
      <c r="I210" s="9">
        <f t="shared" ref="I210:I273" si="19">H210/1000*rho_Cu</f>
        <v>0.48578259674540475</v>
      </c>
      <c r="J210" s="9">
        <f>SUM(I$82:I210)</f>
        <v>40.708371042361648</v>
      </c>
    </row>
    <row r="211" spans="1:10" x14ac:dyDescent="0.25">
      <c r="A211">
        <v>129</v>
      </c>
      <c r="B211" s="5">
        <f t="shared" si="14"/>
        <v>4.4382699340171348</v>
      </c>
      <c r="C211" s="5">
        <f t="shared" si="15"/>
        <v>0.29238287130705665</v>
      </c>
      <c r="D211" s="5">
        <f>SUM(C$82:C211)</f>
        <v>275.0001970835458</v>
      </c>
      <c r="E211" s="9">
        <f t="shared" si="16"/>
        <v>2.7500019708354579</v>
      </c>
      <c r="F211" s="9">
        <f t="shared" si="17"/>
        <v>0.88709740994692188</v>
      </c>
      <c r="G211" s="9">
        <f t="shared" ref="G211:G274" si="20">MAX(0.1, F211)</f>
        <v>0.88709740994692188</v>
      </c>
      <c r="H211" s="9">
        <f t="shared" si="18"/>
        <v>54.274512859881902</v>
      </c>
      <c r="I211" s="9">
        <f t="shared" si="19"/>
        <v>0.48629963522454184</v>
      </c>
      <c r="J211" s="9">
        <f>SUM(I$82:I211)</f>
        <v>41.194670677586188</v>
      </c>
    </row>
    <row r="212" spans="1:10" x14ac:dyDescent="0.25">
      <c r="A212">
        <v>130</v>
      </c>
      <c r="B212" s="5">
        <f t="shared" si="14"/>
        <v>4.4100063175814022</v>
      </c>
      <c r="C212" s="5">
        <f t="shared" si="15"/>
        <v>0.26411925487132404</v>
      </c>
      <c r="D212" s="5">
        <f>SUM(C$82:C212)</f>
        <v>275.26431633841713</v>
      </c>
      <c r="E212" s="9">
        <f t="shared" si="16"/>
        <v>2.7526431633841715</v>
      </c>
      <c r="F212" s="9">
        <f t="shared" si="17"/>
        <v>0.88794940754328111</v>
      </c>
      <c r="G212" s="9">
        <f t="shared" si="20"/>
        <v>0.88794940754328111</v>
      </c>
      <c r="H212" s="9">
        <f t="shared" si="18"/>
        <v>54.326639891233462</v>
      </c>
      <c r="I212" s="9">
        <f t="shared" si="19"/>
        <v>0.48676669342545187</v>
      </c>
      <c r="J212" s="9">
        <f>SUM(I$82:I212)</f>
        <v>41.68143737101164</v>
      </c>
    </row>
    <row r="213" spans="1:10" x14ac:dyDescent="0.25">
      <c r="A213">
        <v>131</v>
      </c>
      <c r="B213" s="5">
        <f t="shared" si="14"/>
        <v>4.3817427011456678</v>
      </c>
      <c r="C213" s="5">
        <f t="shared" si="15"/>
        <v>0.23585563843558965</v>
      </c>
      <c r="D213" s="5">
        <f>SUM(C$82:C213)</f>
        <v>275.5001719768527</v>
      </c>
      <c r="E213" s="9">
        <f t="shared" si="16"/>
        <v>2.755001719768527</v>
      </c>
      <c r="F213" s="9">
        <f t="shared" si="17"/>
        <v>0.88871023218339584</v>
      </c>
      <c r="G213" s="9">
        <f t="shared" si="20"/>
        <v>0.88871023218339584</v>
      </c>
      <c r="H213" s="9">
        <f t="shared" si="18"/>
        <v>54.373188766532849</v>
      </c>
      <c r="I213" s="9">
        <f t="shared" si="19"/>
        <v>0.48718377134813434</v>
      </c>
      <c r="J213" s="9">
        <f>SUM(I$82:I213)</f>
        <v>42.168621142359775</v>
      </c>
    </row>
    <row r="214" spans="1:10" x14ac:dyDescent="0.25">
      <c r="A214">
        <v>132</v>
      </c>
      <c r="B214" s="5">
        <f t="shared" si="14"/>
        <v>4.3534790847099343</v>
      </c>
      <c r="C214" s="5">
        <f t="shared" si="15"/>
        <v>0.20759202199985616</v>
      </c>
      <c r="D214" s="5">
        <f>SUM(C$82:C214)</f>
        <v>275.70776399885256</v>
      </c>
      <c r="E214" s="9">
        <f t="shared" si="16"/>
        <v>2.7570776399885255</v>
      </c>
      <c r="F214" s="9">
        <f t="shared" si="17"/>
        <v>0.8893798838672663</v>
      </c>
      <c r="G214" s="9">
        <f t="shared" si="20"/>
        <v>0.8893798838672663</v>
      </c>
      <c r="H214" s="9">
        <f t="shared" si="18"/>
        <v>54.414159485780061</v>
      </c>
      <c r="I214" s="9">
        <f t="shared" si="19"/>
        <v>0.48755086899258937</v>
      </c>
      <c r="J214" s="9">
        <f>SUM(I$82:I214)</f>
        <v>42.656172011352368</v>
      </c>
    </row>
    <row r="215" spans="1:10" x14ac:dyDescent="0.25">
      <c r="A215">
        <v>133</v>
      </c>
      <c r="B215" s="5">
        <f t="shared" si="14"/>
        <v>4.3252154682741999</v>
      </c>
      <c r="C215" s="5">
        <f t="shared" si="15"/>
        <v>0.17932840556412177</v>
      </c>
      <c r="D215" s="5">
        <f>SUM(C$82:C215)</f>
        <v>275.88709240441671</v>
      </c>
      <c r="E215" s="9">
        <f t="shared" si="16"/>
        <v>2.7588709240441669</v>
      </c>
      <c r="F215" s="9">
        <f t="shared" si="17"/>
        <v>0.88995836259489247</v>
      </c>
      <c r="G215" s="9">
        <f t="shared" si="20"/>
        <v>0.88995836259489247</v>
      </c>
      <c r="H215" s="9">
        <f t="shared" si="18"/>
        <v>54.449552048975114</v>
      </c>
      <c r="I215" s="9">
        <f t="shared" si="19"/>
        <v>0.48786798635881706</v>
      </c>
      <c r="J215" s="9">
        <f>SUM(I$82:I215)</f>
        <v>43.144039997711182</v>
      </c>
    </row>
    <row r="216" spans="1:10" x14ac:dyDescent="0.25">
      <c r="A216">
        <v>134</v>
      </c>
      <c r="B216" s="5">
        <f t="shared" si="14"/>
        <v>4.2969518518384664</v>
      </c>
      <c r="C216" s="5">
        <f t="shared" si="15"/>
        <v>0.15106478912838828</v>
      </c>
      <c r="D216" s="5">
        <f>SUM(C$82:C216)</f>
        <v>276.03815719354509</v>
      </c>
      <c r="E216" s="9">
        <f t="shared" si="16"/>
        <v>2.7603815719354508</v>
      </c>
      <c r="F216" s="9">
        <f t="shared" si="17"/>
        <v>0.89044566836627437</v>
      </c>
      <c r="G216" s="9">
        <f t="shared" si="20"/>
        <v>0.89044566836627437</v>
      </c>
      <c r="H216" s="9">
        <f t="shared" si="18"/>
        <v>54.479366456118008</v>
      </c>
      <c r="I216" s="9">
        <f t="shared" si="19"/>
        <v>0.48813512344681736</v>
      </c>
      <c r="J216" s="9">
        <f>SUM(I$82:I216)</f>
        <v>43.632175121157999</v>
      </c>
    </row>
    <row r="217" spans="1:10" x14ac:dyDescent="0.25">
      <c r="A217">
        <v>135</v>
      </c>
      <c r="B217" s="5">
        <f t="shared" si="14"/>
        <v>4.2686882354027329</v>
      </c>
      <c r="C217" s="5">
        <f t="shared" si="15"/>
        <v>0.12280117269265478</v>
      </c>
      <c r="D217" s="5">
        <f>SUM(C$82:C217)</f>
        <v>276.16095836623776</v>
      </c>
      <c r="E217" s="9">
        <f t="shared" si="16"/>
        <v>2.7616095836623775</v>
      </c>
      <c r="F217" s="9">
        <f t="shared" si="17"/>
        <v>0.8908418011814121</v>
      </c>
      <c r="G217" s="9">
        <f t="shared" si="20"/>
        <v>0.8908418011814121</v>
      </c>
      <c r="H217" s="9">
        <f t="shared" si="18"/>
        <v>54.503602707208742</v>
      </c>
      <c r="I217" s="9">
        <f t="shared" si="19"/>
        <v>0.48835228025659039</v>
      </c>
      <c r="J217" s="9">
        <f>SUM(I$82:I217)</f>
        <v>44.120527401414591</v>
      </c>
    </row>
    <row r="218" spans="1:10" x14ac:dyDescent="0.25">
      <c r="A218">
        <v>136</v>
      </c>
      <c r="B218" s="5">
        <f t="shared" si="14"/>
        <v>4.2404246189669994</v>
      </c>
      <c r="C218" s="5">
        <f t="shared" si="15"/>
        <v>9.4537556256921285E-2</v>
      </c>
      <c r="D218" s="5">
        <f>SUM(C$82:C218)</f>
        <v>276.25549592249467</v>
      </c>
      <c r="E218" s="9">
        <f t="shared" si="16"/>
        <v>2.7625549592249468</v>
      </c>
      <c r="F218" s="9">
        <f t="shared" si="17"/>
        <v>0.89114676104030544</v>
      </c>
      <c r="G218" s="9">
        <f t="shared" si="20"/>
        <v>0.89114676104030544</v>
      </c>
      <c r="H218" s="9">
        <f t="shared" si="18"/>
        <v>54.52226080224731</v>
      </c>
      <c r="I218" s="9">
        <f t="shared" si="19"/>
        <v>0.48851945678813591</v>
      </c>
      <c r="J218" s="9">
        <f>SUM(I$82:I218)</f>
        <v>44.609046858202724</v>
      </c>
    </row>
    <row r="219" spans="1:10" x14ac:dyDescent="0.25">
      <c r="A219">
        <v>137</v>
      </c>
      <c r="B219" s="5">
        <f t="shared" si="14"/>
        <v>4.2121610025312641</v>
      </c>
      <c r="C219" s="5">
        <f t="shared" si="15"/>
        <v>6.6273939821186012E-2</v>
      </c>
      <c r="D219" s="5">
        <f>SUM(C$82:C219)</f>
        <v>276.32176986231588</v>
      </c>
      <c r="E219" s="9">
        <f t="shared" si="16"/>
        <v>2.7632176986231589</v>
      </c>
      <c r="F219" s="9">
        <f t="shared" si="17"/>
        <v>0.8913605479429545</v>
      </c>
      <c r="G219" s="9">
        <f t="shared" si="20"/>
        <v>0.8913605479429545</v>
      </c>
      <c r="H219" s="9">
        <f t="shared" si="18"/>
        <v>54.535340741233711</v>
      </c>
      <c r="I219" s="9">
        <f t="shared" si="19"/>
        <v>0.48863665304145409</v>
      </c>
      <c r="J219" s="9">
        <f>SUM(I$82:I219)</f>
        <v>45.097683511244178</v>
      </c>
    </row>
    <row r="220" spans="1:10" x14ac:dyDescent="0.25">
      <c r="A220">
        <v>138</v>
      </c>
      <c r="B220" s="5">
        <f t="shared" si="14"/>
        <v>4.1838973860955315</v>
      </c>
      <c r="C220" s="5">
        <f t="shared" si="15"/>
        <v>3.8010323385453404E-2</v>
      </c>
      <c r="D220" s="5">
        <f>SUM(C$82:C220)</f>
        <v>276.35978018570131</v>
      </c>
      <c r="E220" s="9">
        <f t="shared" si="16"/>
        <v>2.7635978018570131</v>
      </c>
      <c r="F220" s="9">
        <f t="shared" si="17"/>
        <v>0.89148316188935905</v>
      </c>
      <c r="G220" s="9">
        <f t="shared" si="20"/>
        <v>0.89148316188935905</v>
      </c>
      <c r="H220" s="9">
        <f t="shared" si="18"/>
        <v>54.542842524167931</v>
      </c>
      <c r="I220" s="9">
        <f t="shared" si="19"/>
        <v>0.48870386901654472</v>
      </c>
      <c r="J220" s="9">
        <f>SUM(I$82:I220)</f>
        <v>45.586387380260724</v>
      </c>
    </row>
    <row r="221" spans="1:10" x14ac:dyDescent="0.25">
      <c r="A221">
        <v>139</v>
      </c>
      <c r="B221" s="5">
        <f t="shared" si="14"/>
        <v>4.1556337696597971</v>
      </c>
      <c r="C221" s="5">
        <f t="shared" si="15"/>
        <v>9.7467069497190195E-3</v>
      </c>
      <c r="D221" s="5">
        <f>SUM(C$82:C221)</f>
        <v>276.36952689265104</v>
      </c>
      <c r="E221" s="9">
        <f t="shared" si="16"/>
        <v>2.7636952689265102</v>
      </c>
      <c r="F221" s="9">
        <f t="shared" si="17"/>
        <v>0.89151460287951934</v>
      </c>
      <c r="G221" s="9">
        <f t="shared" si="20"/>
        <v>0.89151460287951934</v>
      </c>
      <c r="H221" s="9">
        <f t="shared" si="18"/>
        <v>54.544766151049991</v>
      </c>
      <c r="I221" s="9">
        <f t="shared" si="19"/>
        <v>0.48872110471340796</v>
      </c>
      <c r="J221" s="9">
        <f>SUM(I$82:I221)</f>
        <v>46.07510848497413</v>
      </c>
    </row>
    <row r="222" spans="1:10" x14ac:dyDescent="0.25">
      <c r="A222">
        <v>140</v>
      </c>
      <c r="B222" s="5">
        <f t="shared" si="14"/>
        <v>4.1273701532240628</v>
      </c>
      <c r="C222" s="5">
        <f t="shared" si="15"/>
        <v>-1.8516909486015365E-2</v>
      </c>
      <c r="D222" s="5">
        <f>SUM(C$82:C222)</f>
        <v>276.351009983165</v>
      </c>
      <c r="E222" s="9">
        <f t="shared" si="16"/>
        <v>2.7635100998316502</v>
      </c>
      <c r="F222" s="9">
        <f t="shared" si="17"/>
        <v>0.89145487091343556</v>
      </c>
      <c r="G222" s="9">
        <f t="shared" si="20"/>
        <v>0.89145487091343556</v>
      </c>
      <c r="H222" s="9">
        <f t="shared" si="18"/>
        <v>54.541111621879907</v>
      </c>
      <c r="I222" s="9">
        <f t="shared" si="19"/>
        <v>0.48868836013204398</v>
      </c>
      <c r="J222" s="9">
        <f>SUM(I$82:I222)</f>
        <v>46.563796845106175</v>
      </c>
    </row>
    <row r="223" spans="1:10" x14ac:dyDescent="0.25">
      <c r="A223">
        <v>141</v>
      </c>
      <c r="B223" s="5">
        <f t="shared" si="14"/>
        <v>4.0991065367883293</v>
      </c>
      <c r="C223" s="5">
        <f t="shared" si="15"/>
        <v>-4.6780525921748861E-2</v>
      </c>
      <c r="D223" s="5">
        <f>SUM(C$82:C223)</f>
        <v>276.30422945724325</v>
      </c>
      <c r="E223" s="9">
        <f t="shared" si="16"/>
        <v>2.7630422945724327</v>
      </c>
      <c r="F223" s="9">
        <f t="shared" si="17"/>
        <v>0.89130396599110728</v>
      </c>
      <c r="G223" s="9">
        <f t="shared" si="20"/>
        <v>0.89130396599110728</v>
      </c>
      <c r="H223" s="9">
        <f t="shared" si="18"/>
        <v>54.531878936657648</v>
      </c>
      <c r="I223" s="9">
        <f t="shared" si="19"/>
        <v>0.48860563527245254</v>
      </c>
      <c r="J223" s="9">
        <f>SUM(I$82:I223)</f>
        <v>47.052402480378625</v>
      </c>
    </row>
    <row r="224" spans="1:10" x14ac:dyDescent="0.25">
      <c r="A224">
        <v>142</v>
      </c>
      <c r="B224" s="5">
        <f t="shared" si="14"/>
        <v>4.0708429203525958</v>
      </c>
      <c r="C224" s="5">
        <f t="shared" si="15"/>
        <v>-7.5044142357482357E-2</v>
      </c>
      <c r="D224" s="5">
        <f>SUM(C$82:C224)</f>
        <v>276.2291853148858</v>
      </c>
      <c r="E224" s="9">
        <f t="shared" si="16"/>
        <v>2.7622918531488581</v>
      </c>
      <c r="F224" s="9">
        <f t="shared" si="17"/>
        <v>0.89106188811253484</v>
      </c>
      <c r="G224" s="9">
        <f t="shared" si="20"/>
        <v>0.89106188811253484</v>
      </c>
      <c r="H224" s="9">
        <f t="shared" si="18"/>
        <v>54.517068095383223</v>
      </c>
      <c r="I224" s="9">
        <f t="shared" si="19"/>
        <v>0.48847293013463372</v>
      </c>
      <c r="J224" s="9">
        <f>SUM(I$82:I224)</f>
        <v>47.540875410513259</v>
      </c>
    </row>
    <row r="225" spans="1:10" x14ac:dyDescent="0.25">
      <c r="A225">
        <v>143</v>
      </c>
      <c r="B225" s="5">
        <f t="shared" si="14"/>
        <v>4.0425793039168614</v>
      </c>
      <c r="C225" s="5">
        <f t="shared" si="15"/>
        <v>-0.10330775879321674</v>
      </c>
      <c r="D225" s="5">
        <f>SUM(C$82:C225)</f>
        <v>276.12587755609258</v>
      </c>
      <c r="E225" s="9">
        <f t="shared" si="16"/>
        <v>2.7612587755609259</v>
      </c>
      <c r="F225" s="9">
        <f t="shared" si="17"/>
        <v>0.89072863727771801</v>
      </c>
      <c r="G225" s="9">
        <f t="shared" si="20"/>
        <v>0.89072863727771801</v>
      </c>
      <c r="H225" s="9">
        <f t="shared" si="18"/>
        <v>54.496679098056632</v>
      </c>
      <c r="I225" s="9">
        <f t="shared" si="19"/>
        <v>0.48829024471858745</v>
      </c>
      <c r="J225" s="9">
        <f>SUM(I$82:I225)</f>
        <v>48.029165655231843</v>
      </c>
    </row>
    <row r="226" spans="1:10" x14ac:dyDescent="0.25">
      <c r="A226">
        <v>144</v>
      </c>
      <c r="B226" s="5">
        <f t="shared" si="14"/>
        <v>4.0143156874811279</v>
      </c>
      <c r="C226" s="5">
        <f t="shared" si="15"/>
        <v>-0.13157137522895024</v>
      </c>
      <c r="D226" s="5">
        <f>SUM(C$82:C226)</f>
        <v>275.99430618086365</v>
      </c>
      <c r="E226" s="9">
        <f t="shared" si="16"/>
        <v>2.7599430618086362</v>
      </c>
      <c r="F226" s="9">
        <f t="shared" si="17"/>
        <v>0.89030421348665678</v>
      </c>
      <c r="G226" s="9">
        <f t="shared" si="20"/>
        <v>0.89030421348665678</v>
      </c>
      <c r="H226" s="9">
        <f t="shared" si="18"/>
        <v>54.470711944677873</v>
      </c>
      <c r="I226" s="9">
        <f t="shared" si="19"/>
        <v>0.48805757902431379</v>
      </c>
      <c r="J226" s="9">
        <f>SUM(I$82:I226)</f>
        <v>48.517223234256157</v>
      </c>
    </row>
    <row r="227" spans="1:10" x14ac:dyDescent="0.25">
      <c r="A227">
        <v>145</v>
      </c>
      <c r="B227" s="5">
        <f t="shared" si="14"/>
        <v>3.9860520710453944</v>
      </c>
      <c r="C227" s="5">
        <f t="shared" si="15"/>
        <v>-0.15983499166468373</v>
      </c>
      <c r="D227" s="5">
        <f>SUM(C$82:C227)</f>
        <v>275.83447118919895</v>
      </c>
      <c r="E227" s="9">
        <f t="shared" si="16"/>
        <v>2.7583447118919895</v>
      </c>
      <c r="F227" s="9">
        <f t="shared" si="17"/>
        <v>0.88978861673935139</v>
      </c>
      <c r="G227" s="9">
        <f t="shared" si="20"/>
        <v>0.88978861673935139</v>
      </c>
      <c r="H227" s="9">
        <f t="shared" si="18"/>
        <v>54.439166635246956</v>
      </c>
      <c r="I227" s="9">
        <f t="shared" si="19"/>
        <v>0.4877749330518128</v>
      </c>
      <c r="J227" s="9">
        <f>SUM(I$82:I227)</f>
        <v>49.004998167307967</v>
      </c>
    </row>
    <row r="228" spans="1:10" x14ac:dyDescent="0.25">
      <c r="A228">
        <v>146</v>
      </c>
      <c r="B228" s="5">
        <f t="shared" si="14"/>
        <v>3.9577884546096596</v>
      </c>
      <c r="C228" s="5">
        <f t="shared" si="15"/>
        <v>-0.18809860810041856</v>
      </c>
      <c r="D228" s="5">
        <f>SUM(C$82:C228)</f>
        <v>275.64637258109855</v>
      </c>
      <c r="E228" s="9">
        <f t="shared" si="16"/>
        <v>2.7564637258109856</v>
      </c>
      <c r="F228" s="9">
        <f t="shared" si="17"/>
        <v>0.88918184703580183</v>
      </c>
      <c r="G228" s="9">
        <f t="shared" si="20"/>
        <v>0.88918184703580183</v>
      </c>
      <c r="H228" s="9">
        <f t="shared" si="18"/>
        <v>54.402043169763886</v>
      </c>
      <c r="I228" s="9">
        <f t="shared" si="19"/>
        <v>0.48744230680108447</v>
      </c>
      <c r="J228" s="9">
        <f>SUM(I$82:I228)</f>
        <v>49.492440474109053</v>
      </c>
    </row>
    <row r="229" spans="1:10" x14ac:dyDescent="0.25">
      <c r="A229">
        <v>147</v>
      </c>
      <c r="B229" s="5">
        <f t="shared" si="14"/>
        <v>3.9295248381739261</v>
      </c>
      <c r="C229" s="5">
        <f t="shared" si="15"/>
        <v>-0.21636222453615206</v>
      </c>
      <c r="D229" s="5">
        <f>SUM(C$82:C229)</f>
        <v>275.43001035656238</v>
      </c>
      <c r="E229" s="9">
        <f t="shared" si="16"/>
        <v>2.7543001035656238</v>
      </c>
      <c r="F229" s="9">
        <f t="shared" si="17"/>
        <v>0.88848390437600766</v>
      </c>
      <c r="G229" s="9">
        <f t="shared" si="20"/>
        <v>0.88848390437600766</v>
      </c>
      <c r="H229" s="9">
        <f t="shared" si="18"/>
        <v>54.359341548228628</v>
      </c>
      <c r="I229" s="9">
        <f t="shared" si="19"/>
        <v>0.48705970027212853</v>
      </c>
      <c r="J229" s="9">
        <f>SUM(I$82:I229)</f>
        <v>49.97950017438118</v>
      </c>
    </row>
    <row r="230" spans="1:10" x14ac:dyDescent="0.25">
      <c r="A230">
        <v>148</v>
      </c>
      <c r="B230" s="5">
        <f t="shared" si="14"/>
        <v>3.9012612217381926</v>
      </c>
      <c r="C230" s="5">
        <f t="shared" si="15"/>
        <v>-0.24462584097188556</v>
      </c>
      <c r="D230" s="5">
        <f>SUM(C$82:C230)</f>
        <v>275.1853845155905</v>
      </c>
      <c r="E230" s="9">
        <f t="shared" si="16"/>
        <v>2.7518538451559049</v>
      </c>
      <c r="F230" s="9">
        <f t="shared" si="17"/>
        <v>0.88769478875996932</v>
      </c>
      <c r="G230" s="9">
        <f t="shared" si="20"/>
        <v>0.88769478875996932</v>
      </c>
      <c r="H230" s="9">
        <f t="shared" si="18"/>
        <v>54.311061770641217</v>
      </c>
      <c r="I230" s="9">
        <f t="shared" si="19"/>
        <v>0.48662711346494536</v>
      </c>
      <c r="J230" s="9">
        <f>SUM(I$82:I230)</f>
        <v>50.466127287846128</v>
      </c>
    </row>
    <row r="231" spans="1:10" x14ac:dyDescent="0.25">
      <c r="A231">
        <v>149</v>
      </c>
      <c r="B231" s="5">
        <f t="shared" si="14"/>
        <v>3.8729976053024582</v>
      </c>
      <c r="C231" s="5">
        <f t="shared" si="15"/>
        <v>-0.27288945740761994</v>
      </c>
      <c r="D231" s="5">
        <f>SUM(C$82:C231)</f>
        <v>274.91249505818286</v>
      </c>
      <c r="E231" s="9">
        <f t="shared" si="16"/>
        <v>2.7491249505818285</v>
      </c>
      <c r="F231" s="9">
        <f t="shared" si="17"/>
        <v>0.88681450018768659</v>
      </c>
      <c r="G231" s="9">
        <f t="shared" si="20"/>
        <v>0.88681450018768659</v>
      </c>
      <c r="H231" s="9">
        <f t="shared" si="18"/>
        <v>54.25720383700164</v>
      </c>
      <c r="I231" s="9">
        <f t="shared" si="19"/>
        <v>0.48614454637953475</v>
      </c>
      <c r="J231" s="9">
        <f>SUM(I$82:I231)</f>
        <v>50.952271834225662</v>
      </c>
    </row>
    <row r="232" spans="1:10" x14ac:dyDescent="0.25">
      <c r="A232">
        <v>150</v>
      </c>
      <c r="B232" s="5">
        <f t="shared" si="14"/>
        <v>3.8447339888667251</v>
      </c>
      <c r="C232" s="5">
        <f t="shared" si="15"/>
        <v>-0.30115307384335299</v>
      </c>
      <c r="D232" s="5">
        <f>SUM(C$82:C232)</f>
        <v>274.6113419843395</v>
      </c>
      <c r="E232" s="9">
        <f t="shared" si="16"/>
        <v>2.746113419843395</v>
      </c>
      <c r="F232" s="9">
        <f t="shared" si="17"/>
        <v>0.88584303865915959</v>
      </c>
      <c r="G232" s="9">
        <f t="shared" si="20"/>
        <v>0.88584303865915959</v>
      </c>
      <c r="H232" s="9">
        <f t="shared" si="18"/>
        <v>54.197767747309896</v>
      </c>
      <c r="I232" s="9">
        <f t="shared" si="19"/>
        <v>0.48561199901589669</v>
      </c>
      <c r="J232" s="9">
        <f>SUM(I$82:I232)</f>
        <v>51.437883833241557</v>
      </c>
    </row>
    <row r="233" spans="1:10" x14ac:dyDescent="0.25">
      <c r="A233">
        <v>151</v>
      </c>
      <c r="B233" s="5">
        <f t="shared" si="14"/>
        <v>3.8164703724309912</v>
      </c>
      <c r="C233" s="5">
        <f t="shared" si="15"/>
        <v>-0.32941669027908693</v>
      </c>
      <c r="D233" s="5">
        <f>SUM(C$82:C233)</f>
        <v>274.28192529406044</v>
      </c>
      <c r="E233" s="9">
        <f t="shared" si="16"/>
        <v>2.7428192529406044</v>
      </c>
      <c r="F233" s="9">
        <f t="shared" si="17"/>
        <v>0.88478040417438852</v>
      </c>
      <c r="G233" s="9">
        <f t="shared" si="20"/>
        <v>0.88478040417438852</v>
      </c>
      <c r="H233" s="9">
        <f t="shared" si="18"/>
        <v>54.132753501565993</v>
      </c>
      <c r="I233" s="9">
        <f t="shared" si="19"/>
        <v>0.48502947137403135</v>
      </c>
      <c r="J233" s="9">
        <f>SUM(I$82:I233)</f>
        <v>51.922913304615591</v>
      </c>
    </row>
    <row r="234" spans="1:10" x14ac:dyDescent="0.25">
      <c r="A234">
        <v>152</v>
      </c>
      <c r="B234" s="5">
        <f t="shared" si="14"/>
        <v>3.7882067559952568</v>
      </c>
      <c r="C234" s="5">
        <f t="shared" si="15"/>
        <v>-0.35768030671482132</v>
      </c>
      <c r="D234" s="5">
        <f>SUM(C$82:C234)</f>
        <v>273.92424498734562</v>
      </c>
      <c r="E234" s="9">
        <f t="shared" si="16"/>
        <v>2.7392424498734562</v>
      </c>
      <c r="F234" s="9">
        <f t="shared" si="17"/>
        <v>0.88362659673337296</v>
      </c>
      <c r="G234" s="9">
        <f t="shared" si="20"/>
        <v>0.88362659673337296</v>
      </c>
      <c r="H234" s="9">
        <f t="shared" si="18"/>
        <v>54.062161099769924</v>
      </c>
      <c r="I234" s="9">
        <f t="shared" si="19"/>
        <v>0.48439696345393857</v>
      </c>
      <c r="J234" s="9">
        <f>SUM(I$82:I234)</f>
        <v>52.40731026806953</v>
      </c>
    </row>
    <row r="235" spans="1:10" x14ac:dyDescent="0.25">
      <c r="A235">
        <v>153</v>
      </c>
      <c r="B235" s="5">
        <f t="shared" si="14"/>
        <v>3.7599431395595224</v>
      </c>
      <c r="C235" s="5">
        <f t="shared" si="15"/>
        <v>-0.3859439231505557</v>
      </c>
      <c r="D235" s="5">
        <f>SUM(C$82:C235)</f>
        <v>273.53830106419508</v>
      </c>
      <c r="E235" s="9">
        <f t="shared" si="16"/>
        <v>2.735383010641951</v>
      </c>
      <c r="F235" s="9">
        <f t="shared" si="17"/>
        <v>0.88238161633611323</v>
      </c>
      <c r="G235" s="9">
        <f t="shared" si="20"/>
        <v>0.88238161633611323</v>
      </c>
      <c r="H235" s="9">
        <f t="shared" si="18"/>
        <v>53.985990541921701</v>
      </c>
      <c r="I235" s="9">
        <f t="shared" si="19"/>
        <v>0.48371447525561845</v>
      </c>
      <c r="J235" s="9">
        <f>SUM(I$82:I235)</f>
        <v>52.891024743325147</v>
      </c>
    </row>
    <row r="236" spans="1:10" x14ac:dyDescent="0.25">
      <c r="A236">
        <v>154</v>
      </c>
      <c r="B236" s="5">
        <f t="shared" si="14"/>
        <v>3.7316795231237898</v>
      </c>
      <c r="C236" s="5">
        <f t="shared" si="15"/>
        <v>-0.41420753958628831</v>
      </c>
      <c r="D236" s="5">
        <f>SUM(C$82:C236)</f>
        <v>273.12409352460878</v>
      </c>
      <c r="E236" s="9">
        <f t="shared" si="16"/>
        <v>2.7312409352460878</v>
      </c>
      <c r="F236" s="9">
        <f t="shared" si="17"/>
        <v>0.881045462982609</v>
      </c>
      <c r="G236" s="9">
        <f t="shared" si="20"/>
        <v>0.881045462982609</v>
      </c>
      <c r="H236" s="9">
        <f t="shared" si="18"/>
        <v>53.904241828021298</v>
      </c>
      <c r="I236" s="9">
        <f t="shared" si="19"/>
        <v>0.48298200677907088</v>
      </c>
      <c r="J236" s="9">
        <f>SUM(I$82:I236)</f>
        <v>53.374006750104215</v>
      </c>
    </row>
    <row r="237" spans="1:10" x14ac:dyDescent="0.25">
      <c r="A237">
        <v>155</v>
      </c>
      <c r="B237" s="5">
        <f t="shared" si="14"/>
        <v>3.7034159066880554</v>
      </c>
      <c r="C237" s="5">
        <f t="shared" si="15"/>
        <v>-0.44247115602202269</v>
      </c>
      <c r="D237" s="5">
        <f>SUM(C$82:C237)</f>
        <v>272.68162236858677</v>
      </c>
      <c r="E237" s="9">
        <f t="shared" si="16"/>
        <v>2.7268162236858675</v>
      </c>
      <c r="F237" s="9">
        <f t="shared" si="17"/>
        <v>0.87961813667286048</v>
      </c>
      <c r="G237" s="9">
        <f t="shared" si="20"/>
        <v>0.87961813667286048</v>
      </c>
      <c r="H237" s="9">
        <f t="shared" si="18"/>
        <v>53.816914958068729</v>
      </c>
      <c r="I237" s="9">
        <f t="shared" si="19"/>
        <v>0.48219955802429587</v>
      </c>
      <c r="J237" s="9">
        <f>SUM(I$82:I237)</f>
        <v>53.856206308128513</v>
      </c>
    </row>
    <row r="238" spans="1:10" x14ac:dyDescent="0.25">
      <c r="A238">
        <v>156</v>
      </c>
      <c r="B238" s="5">
        <f t="shared" si="14"/>
        <v>3.675152290252321</v>
      </c>
      <c r="C238" s="5">
        <f t="shared" si="15"/>
        <v>-0.47073477245775708</v>
      </c>
      <c r="D238" s="5">
        <f>SUM(C$82:C238)</f>
        <v>272.210887596129</v>
      </c>
      <c r="E238" s="9">
        <f t="shared" si="16"/>
        <v>2.7221088759612901</v>
      </c>
      <c r="F238" s="9">
        <f t="shared" si="17"/>
        <v>0.87809963740686781</v>
      </c>
      <c r="G238" s="9">
        <f t="shared" si="20"/>
        <v>0.87809963740686781</v>
      </c>
      <c r="H238" s="9">
        <f t="shared" si="18"/>
        <v>53.724009932064007</v>
      </c>
      <c r="I238" s="9">
        <f t="shared" si="19"/>
        <v>0.48136712899129352</v>
      </c>
      <c r="J238" s="9">
        <f>SUM(I$82:I238)</f>
        <v>54.337573437119808</v>
      </c>
    </row>
    <row r="239" spans="1:10" x14ac:dyDescent="0.25">
      <c r="A239">
        <v>157</v>
      </c>
      <c r="B239" s="5">
        <f t="shared" si="14"/>
        <v>3.646888673816588</v>
      </c>
      <c r="C239" s="5">
        <f t="shared" si="15"/>
        <v>-0.49899838889349013</v>
      </c>
      <c r="D239" s="5">
        <f>SUM(C$82:C239)</f>
        <v>271.71188920723552</v>
      </c>
      <c r="E239" s="9">
        <f t="shared" si="16"/>
        <v>2.7171188920723552</v>
      </c>
      <c r="F239" s="9">
        <f t="shared" si="17"/>
        <v>0.87648996518463074</v>
      </c>
      <c r="G239" s="9">
        <f t="shared" si="20"/>
        <v>0.87648996518463074</v>
      </c>
      <c r="H239" s="9">
        <f t="shared" si="18"/>
        <v>53.625526750007118</v>
      </c>
      <c r="I239" s="9">
        <f t="shared" si="19"/>
        <v>0.48048471968006384</v>
      </c>
      <c r="J239" s="9">
        <f>SUM(I$82:I239)</f>
        <v>54.818058156799871</v>
      </c>
    </row>
    <row r="240" spans="1:10" x14ac:dyDescent="0.25">
      <c r="A240">
        <v>158</v>
      </c>
      <c r="B240" s="5">
        <f t="shared" si="14"/>
        <v>3.618625057380854</v>
      </c>
      <c r="C240" s="5">
        <f t="shared" si="15"/>
        <v>-0.52726200532922407</v>
      </c>
      <c r="D240" s="5">
        <f>SUM(C$82:C240)</f>
        <v>271.18462720190627</v>
      </c>
      <c r="E240" s="9">
        <f t="shared" si="16"/>
        <v>2.7118462720190628</v>
      </c>
      <c r="F240" s="9">
        <f t="shared" si="17"/>
        <v>0.87478912000614928</v>
      </c>
      <c r="G240" s="9">
        <f t="shared" si="20"/>
        <v>0.87478912000614928</v>
      </c>
      <c r="H240" s="9">
        <f t="shared" si="18"/>
        <v>53.521465411898056</v>
      </c>
      <c r="I240" s="9">
        <f t="shared" si="19"/>
        <v>0.4795523300906066</v>
      </c>
      <c r="J240" s="9">
        <f>SUM(I$82:I240)</f>
        <v>55.297610486890477</v>
      </c>
    </row>
    <row r="241" spans="1:10" x14ac:dyDescent="0.25">
      <c r="A241">
        <v>159</v>
      </c>
      <c r="B241" s="5">
        <f t="shared" si="14"/>
        <v>3.5903614409451206</v>
      </c>
      <c r="C241" s="5">
        <f t="shared" si="15"/>
        <v>-0.55552562176495757</v>
      </c>
      <c r="D241" s="5">
        <f>SUM(C$82:C241)</f>
        <v>270.62910158014131</v>
      </c>
      <c r="E241" s="9">
        <f t="shared" si="16"/>
        <v>2.7062910158014133</v>
      </c>
      <c r="F241" s="9">
        <f t="shared" si="17"/>
        <v>0.87299710187142365</v>
      </c>
      <c r="G241" s="9">
        <f t="shared" si="20"/>
        <v>0.87299710187142365</v>
      </c>
      <c r="H241" s="9">
        <f t="shared" si="18"/>
        <v>53.411825917736834</v>
      </c>
      <c r="I241" s="9">
        <f t="shared" si="19"/>
        <v>0.47856996022292209</v>
      </c>
      <c r="J241" s="9">
        <f>SUM(I$82:I241)</f>
        <v>55.776180447113397</v>
      </c>
    </row>
    <row r="242" spans="1:10" x14ac:dyDescent="0.25">
      <c r="A242">
        <v>160</v>
      </c>
      <c r="B242" s="5">
        <f t="shared" si="14"/>
        <v>3.5620978245093862</v>
      </c>
      <c r="C242" s="5">
        <f t="shared" si="15"/>
        <v>-0.58378923820069195</v>
      </c>
      <c r="D242" s="5">
        <f>SUM(C$82:C242)</f>
        <v>270.04531234194064</v>
      </c>
      <c r="E242" s="9">
        <f t="shared" si="16"/>
        <v>2.7004531234194062</v>
      </c>
      <c r="F242" s="9">
        <f t="shared" si="17"/>
        <v>0.87111391078045364</v>
      </c>
      <c r="G242" s="9">
        <f t="shared" si="20"/>
        <v>0.87111391078045364</v>
      </c>
      <c r="H242" s="9">
        <f t="shared" si="18"/>
        <v>53.296608267523453</v>
      </c>
      <c r="I242" s="9">
        <f t="shared" si="19"/>
        <v>0.47753761007701018</v>
      </c>
      <c r="J242" s="9">
        <f>SUM(I$82:I242)</f>
        <v>56.253718057190405</v>
      </c>
    </row>
    <row r="243" spans="1:10" x14ac:dyDescent="0.25">
      <c r="A243">
        <v>161</v>
      </c>
      <c r="B243" s="5">
        <f t="shared" si="14"/>
        <v>3.5338342080736531</v>
      </c>
      <c r="C243" s="5">
        <f t="shared" si="15"/>
        <v>-0.612052854636425</v>
      </c>
      <c r="D243" s="5">
        <f>SUM(C$82:C243)</f>
        <v>269.43325948730421</v>
      </c>
      <c r="E243" s="9">
        <f t="shared" si="16"/>
        <v>2.6943325948730421</v>
      </c>
      <c r="F243" s="9">
        <f t="shared" si="17"/>
        <v>0.86913954673323934</v>
      </c>
      <c r="G243" s="9">
        <f t="shared" si="20"/>
        <v>0.86913954673323934</v>
      </c>
      <c r="H243" s="9">
        <f t="shared" si="18"/>
        <v>53.175812461257898</v>
      </c>
      <c r="I243" s="9">
        <f t="shared" si="19"/>
        <v>0.47645527965287077</v>
      </c>
      <c r="J243" s="9">
        <f>SUM(I$82:I243)</f>
        <v>56.730173336843272</v>
      </c>
    </row>
    <row r="244" spans="1:10" x14ac:dyDescent="0.25">
      <c r="A244">
        <v>162</v>
      </c>
      <c r="B244" s="5">
        <f t="shared" si="14"/>
        <v>3.5055705916379183</v>
      </c>
      <c r="C244" s="5">
        <f t="shared" si="15"/>
        <v>-0.64031647107215983</v>
      </c>
      <c r="D244" s="5">
        <f>SUM(C$82:C244)</f>
        <v>268.79294301623207</v>
      </c>
      <c r="E244" s="9">
        <f t="shared" si="16"/>
        <v>2.6879294301623209</v>
      </c>
      <c r="F244" s="9">
        <f t="shared" si="17"/>
        <v>0.86707400972978088</v>
      </c>
      <c r="G244" s="9">
        <f t="shared" si="20"/>
        <v>0.86707400972978088</v>
      </c>
      <c r="H244" s="9">
        <f t="shared" si="18"/>
        <v>53.049438498940184</v>
      </c>
      <c r="I244" s="9">
        <f t="shared" si="19"/>
        <v>0.47532296895050408</v>
      </c>
      <c r="J244" s="9">
        <f>SUM(I$82:I244)</f>
        <v>57.205496305793773</v>
      </c>
    </row>
    <row r="245" spans="1:10" x14ac:dyDescent="0.25">
      <c r="A245">
        <v>163</v>
      </c>
      <c r="B245" s="5">
        <f t="shared" si="14"/>
        <v>3.4773069752021848</v>
      </c>
      <c r="C245" s="5">
        <f t="shared" si="15"/>
        <v>-0.66858008750789333</v>
      </c>
      <c r="D245" s="5">
        <f>SUM(C$82:C245)</f>
        <v>268.12436292872417</v>
      </c>
      <c r="E245" s="9">
        <f t="shared" si="16"/>
        <v>2.6812436292872417</v>
      </c>
      <c r="F245" s="9">
        <f t="shared" si="17"/>
        <v>0.86491729977007792</v>
      </c>
      <c r="G245" s="9">
        <f t="shared" si="20"/>
        <v>0.86491729977007792</v>
      </c>
      <c r="H245" s="9">
        <f t="shared" si="18"/>
        <v>52.917486380570303</v>
      </c>
      <c r="I245" s="9">
        <f t="shared" si="19"/>
        <v>0.47414067796991</v>
      </c>
      <c r="J245" s="9">
        <f>SUM(I$82:I245)</f>
        <v>57.679636983763686</v>
      </c>
    </row>
    <row r="246" spans="1:10" x14ac:dyDescent="0.25">
      <c r="A246">
        <v>164</v>
      </c>
      <c r="B246" s="5">
        <f t="shared" si="14"/>
        <v>3.4490433587664513</v>
      </c>
      <c r="C246" s="5">
        <f t="shared" si="15"/>
        <v>-0.69684370394362682</v>
      </c>
      <c r="D246" s="5">
        <f>SUM(C$82:C246)</f>
        <v>267.42751922478055</v>
      </c>
      <c r="E246" s="9">
        <f t="shared" si="16"/>
        <v>2.6742751922478054</v>
      </c>
      <c r="F246" s="9">
        <f t="shared" si="17"/>
        <v>0.86266941685413079</v>
      </c>
      <c r="G246" s="9">
        <f t="shared" si="20"/>
        <v>0.86266941685413079</v>
      </c>
      <c r="H246" s="9">
        <f t="shared" si="18"/>
        <v>52.779956106148269</v>
      </c>
      <c r="I246" s="9">
        <f t="shared" si="19"/>
        <v>0.47290840671108852</v>
      </c>
      <c r="J246" s="9">
        <f>SUM(I$82:I246)</f>
        <v>58.152545390474778</v>
      </c>
    </row>
    <row r="247" spans="1:10" x14ac:dyDescent="0.25">
      <c r="A247">
        <v>165</v>
      </c>
      <c r="B247" s="5">
        <f t="shared" si="14"/>
        <v>3.4207797423307165</v>
      </c>
      <c r="C247" s="5">
        <f t="shared" si="15"/>
        <v>-0.72510732037936165</v>
      </c>
      <c r="D247" s="5">
        <f>SUM(C$82:C247)</f>
        <v>266.70241190440117</v>
      </c>
      <c r="E247" s="9">
        <f t="shared" si="16"/>
        <v>2.6670241190440116</v>
      </c>
      <c r="F247" s="9">
        <f t="shared" si="17"/>
        <v>0.86033036098193916</v>
      </c>
      <c r="G247" s="9">
        <f t="shared" si="20"/>
        <v>0.86033036098193916</v>
      </c>
      <c r="H247" s="9">
        <f t="shared" si="18"/>
        <v>52.636847675674048</v>
      </c>
      <c r="I247" s="9">
        <f t="shared" si="19"/>
        <v>0.4716261551740395</v>
      </c>
      <c r="J247" s="9">
        <f>SUM(I$82:I247)</f>
        <v>58.624171545648821</v>
      </c>
    </row>
    <row r="248" spans="1:10" x14ac:dyDescent="0.25">
      <c r="A248">
        <v>166</v>
      </c>
      <c r="B248" s="5">
        <f t="shared" si="14"/>
        <v>3.392516125894983</v>
      </c>
      <c r="C248" s="5">
        <f t="shared" si="15"/>
        <v>-0.75337093681509515</v>
      </c>
      <c r="D248" s="5">
        <f>SUM(C$82:C248)</f>
        <v>265.94904096758609</v>
      </c>
      <c r="E248" s="9">
        <f t="shared" si="16"/>
        <v>2.6594904096758607</v>
      </c>
      <c r="F248" s="9">
        <f t="shared" si="17"/>
        <v>0.85790013215350347</v>
      </c>
      <c r="G248" s="9">
        <f t="shared" si="20"/>
        <v>0.85790013215350347</v>
      </c>
      <c r="H248" s="9">
        <f t="shared" si="18"/>
        <v>52.488161089147681</v>
      </c>
      <c r="I248" s="9">
        <f t="shared" si="19"/>
        <v>0.47029392335876324</v>
      </c>
      <c r="J248" s="9">
        <f>SUM(I$82:I248)</f>
        <v>59.094465469007581</v>
      </c>
    </row>
    <row r="249" spans="1:10" x14ac:dyDescent="0.25">
      <c r="A249">
        <v>167</v>
      </c>
      <c r="B249" s="5">
        <f t="shared" si="14"/>
        <v>3.3642525094592495</v>
      </c>
      <c r="C249" s="5">
        <f t="shared" si="15"/>
        <v>-0.78163455325082865</v>
      </c>
      <c r="D249" s="5">
        <f>SUM(C$82:C249)</f>
        <v>265.16740641433523</v>
      </c>
      <c r="E249" s="9">
        <f t="shared" si="16"/>
        <v>2.6516740641433523</v>
      </c>
      <c r="F249" s="9">
        <f t="shared" si="17"/>
        <v>0.85537873036882328</v>
      </c>
      <c r="G249" s="9">
        <f t="shared" si="20"/>
        <v>0.85537873036882328</v>
      </c>
      <c r="H249" s="9">
        <f t="shared" si="18"/>
        <v>52.333896346569141</v>
      </c>
      <c r="I249" s="9">
        <f t="shared" si="19"/>
        <v>0.46891171126525955</v>
      </c>
      <c r="J249" s="9">
        <f>SUM(I$82:I249)</f>
        <v>59.563377180272838</v>
      </c>
    </row>
    <row r="250" spans="1:10" x14ac:dyDescent="0.25">
      <c r="A250">
        <v>168</v>
      </c>
      <c r="B250" s="5">
        <f t="shared" si="14"/>
        <v>3.3359888930235155</v>
      </c>
      <c r="C250" s="5">
        <f t="shared" si="15"/>
        <v>-0.80989816968656259</v>
      </c>
      <c r="D250" s="5">
        <f>SUM(C$82:C250)</f>
        <v>264.35750824464867</v>
      </c>
      <c r="E250" s="9">
        <f t="shared" si="16"/>
        <v>2.6435750824464868</v>
      </c>
      <c r="F250" s="9">
        <f t="shared" si="17"/>
        <v>0.85276615562789893</v>
      </c>
      <c r="G250" s="9">
        <f t="shared" si="20"/>
        <v>0.85276615562789893</v>
      </c>
      <c r="H250" s="9">
        <f t="shared" si="18"/>
        <v>52.174053447938441</v>
      </c>
      <c r="I250" s="9">
        <f t="shared" si="19"/>
        <v>0.46747951889352846</v>
      </c>
      <c r="J250" s="9">
        <f>SUM(I$82:I250)</f>
        <v>60.030856699166364</v>
      </c>
    </row>
    <row r="251" spans="1:10" x14ac:dyDescent="0.25">
      <c r="A251">
        <v>169</v>
      </c>
      <c r="B251" s="5">
        <f t="shared" si="14"/>
        <v>3.3077252765877816</v>
      </c>
      <c r="C251" s="5">
        <f t="shared" si="15"/>
        <v>-0.83816178612229653</v>
      </c>
      <c r="D251" s="5">
        <f>SUM(C$82:C251)</f>
        <v>263.5193464585264</v>
      </c>
      <c r="E251" s="9">
        <f t="shared" si="16"/>
        <v>2.6351934645852642</v>
      </c>
      <c r="F251" s="9">
        <f t="shared" si="17"/>
        <v>0.8500624079307304</v>
      </c>
      <c r="G251" s="9">
        <f t="shared" si="20"/>
        <v>0.8500624079307304</v>
      </c>
      <c r="H251" s="9">
        <f t="shared" si="18"/>
        <v>52.008632393255581</v>
      </c>
      <c r="I251" s="9">
        <f t="shared" si="19"/>
        <v>0.46599734624357003</v>
      </c>
      <c r="J251" s="9">
        <f>SUM(I$82:I251)</f>
        <v>60.496854045409933</v>
      </c>
    </row>
    <row r="252" spans="1:10" x14ac:dyDescent="0.25">
      <c r="A252">
        <v>170</v>
      </c>
      <c r="B252" s="5">
        <f t="shared" si="14"/>
        <v>3.2794616601520481</v>
      </c>
      <c r="C252" s="5">
        <f t="shared" si="15"/>
        <v>-0.86642540255803002</v>
      </c>
      <c r="D252" s="5">
        <f>SUM(C$82:C252)</f>
        <v>262.65292105596836</v>
      </c>
      <c r="E252" s="9">
        <f t="shared" si="16"/>
        <v>2.6265292105596836</v>
      </c>
      <c r="F252" s="9">
        <f t="shared" si="17"/>
        <v>0.84726748727731727</v>
      </c>
      <c r="G252" s="9">
        <f t="shared" si="20"/>
        <v>0.84726748727731727</v>
      </c>
      <c r="H252" s="9">
        <f t="shared" si="18"/>
        <v>51.837633182520541</v>
      </c>
      <c r="I252" s="9">
        <f t="shared" si="19"/>
        <v>0.46446519331538411</v>
      </c>
      <c r="J252" s="9">
        <f>SUM(I$82:I252)</f>
        <v>60.961319238725316</v>
      </c>
    </row>
    <row r="253" spans="1:10" x14ac:dyDescent="0.25">
      <c r="A253">
        <v>171</v>
      </c>
      <c r="B253" s="5">
        <f t="shared" si="14"/>
        <v>3.2511980437163142</v>
      </c>
      <c r="C253" s="5">
        <f t="shared" si="15"/>
        <v>-0.89468901899376396</v>
      </c>
      <c r="D253" s="5">
        <f>SUM(C$82:C253)</f>
        <v>261.75823203697462</v>
      </c>
      <c r="E253" s="9">
        <f t="shared" si="16"/>
        <v>2.6175823203697464</v>
      </c>
      <c r="F253" s="9">
        <f t="shared" si="17"/>
        <v>0.84438139366766007</v>
      </c>
      <c r="G253" s="9">
        <f t="shared" si="20"/>
        <v>0.84438139366766007</v>
      </c>
      <c r="H253" s="9">
        <f t="shared" si="18"/>
        <v>51.661055815733356</v>
      </c>
      <c r="I253" s="9">
        <f t="shared" si="19"/>
        <v>0.4628830601089709</v>
      </c>
      <c r="J253" s="9">
        <f>SUM(I$82:I253)</f>
        <v>61.424202298834288</v>
      </c>
    </row>
    <row r="254" spans="1:10" x14ac:dyDescent="0.25">
      <c r="A254">
        <v>172</v>
      </c>
      <c r="B254" s="5">
        <f t="shared" si="14"/>
        <v>3.2229344272805793</v>
      </c>
      <c r="C254" s="5">
        <f t="shared" si="15"/>
        <v>-0.92295263542949879</v>
      </c>
      <c r="D254" s="5">
        <f>SUM(C$82:C254)</f>
        <v>260.83527940154511</v>
      </c>
      <c r="E254" s="9">
        <f t="shared" si="16"/>
        <v>2.6083527940154512</v>
      </c>
      <c r="F254" s="9">
        <f t="shared" si="17"/>
        <v>0.84140412710175838</v>
      </c>
      <c r="G254" s="9">
        <f t="shared" si="20"/>
        <v>0.84140412710175838</v>
      </c>
      <c r="H254" s="9">
        <f t="shared" si="18"/>
        <v>51.478900292893989</v>
      </c>
      <c r="I254" s="9">
        <f t="shared" si="19"/>
        <v>0.46125094662433019</v>
      </c>
      <c r="J254" s="9">
        <f>SUM(I$82:I254)</f>
        <v>61.885453245458621</v>
      </c>
    </row>
    <row r="255" spans="1:10" x14ac:dyDescent="0.25">
      <c r="A255">
        <v>173</v>
      </c>
      <c r="B255" s="5">
        <f t="shared" si="14"/>
        <v>3.1946708108448467</v>
      </c>
      <c r="C255" s="5">
        <f t="shared" si="15"/>
        <v>-0.9512162518652314</v>
      </c>
      <c r="D255" s="5">
        <f>SUM(C$82:C255)</f>
        <v>259.88406314967989</v>
      </c>
      <c r="E255" s="9">
        <f t="shared" si="16"/>
        <v>2.5988406314967989</v>
      </c>
      <c r="F255" s="9">
        <f t="shared" si="17"/>
        <v>0.83833568757961252</v>
      </c>
      <c r="G255" s="9">
        <f t="shared" si="20"/>
        <v>0.83833568757961252</v>
      </c>
      <c r="H255" s="9">
        <f t="shared" si="18"/>
        <v>51.291166614002471</v>
      </c>
      <c r="I255" s="9">
        <f t="shared" si="19"/>
        <v>0.45956885286146221</v>
      </c>
      <c r="J255" s="9">
        <f>SUM(I$82:I255)</f>
        <v>62.345022098320079</v>
      </c>
    </row>
    <row r="256" spans="1:10" x14ac:dyDescent="0.25">
      <c r="A256">
        <v>174</v>
      </c>
      <c r="B256" s="5">
        <f t="shared" si="14"/>
        <v>3.1664071944091123</v>
      </c>
      <c r="C256" s="5">
        <f t="shared" si="15"/>
        <v>-0.97947986830096578</v>
      </c>
      <c r="D256" s="5">
        <f>SUM(C$82:C256)</f>
        <v>258.9045832813789</v>
      </c>
      <c r="E256" s="9">
        <f t="shared" si="16"/>
        <v>2.5890458328137891</v>
      </c>
      <c r="F256" s="9">
        <f t="shared" si="17"/>
        <v>0.83517607510122227</v>
      </c>
      <c r="G256" s="9">
        <f t="shared" si="20"/>
        <v>0.83517607510122227</v>
      </c>
      <c r="H256" s="9">
        <f t="shared" si="18"/>
        <v>51.097854779058778</v>
      </c>
      <c r="I256" s="9">
        <f t="shared" si="19"/>
        <v>0.45783677882036672</v>
      </c>
      <c r="J256" s="9">
        <f>SUM(I$82:I256)</f>
        <v>62.802858877140444</v>
      </c>
    </row>
    <row r="257" spans="1:10" x14ac:dyDescent="0.25">
      <c r="A257">
        <v>175</v>
      </c>
      <c r="B257" s="5">
        <f t="shared" si="14"/>
        <v>3.1381435779733788</v>
      </c>
      <c r="C257" s="5">
        <f t="shared" si="15"/>
        <v>-1.0077434847366993</v>
      </c>
      <c r="D257" s="5">
        <f>SUM(C$82:C257)</f>
        <v>257.89683979664221</v>
      </c>
      <c r="E257" s="9">
        <f t="shared" si="16"/>
        <v>2.5789683979664222</v>
      </c>
      <c r="F257" s="9">
        <f t="shared" si="17"/>
        <v>0.83192528966658774</v>
      </c>
      <c r="G257" s="9">
        <f t="shared" si="20"/>
        <v>0.83192528966658774</v>
      </c>
      <c r="H257" s="9">
        <f t="shared" si="18"/>
        <v>50.898964788062926</v>
      </c>
      <c r="I257" s="9">
        <f t="shared" si="19"/>
        <v>0.45605472450104384</v>
      </c>
      <c r="J257" s="9">
        <f>SUM(I$82:I257)</f>
        <v>63.258913601641488</v>
      </c>
    </row>
    <row r="258" spans="1:10" x14ac:dyDescent="0.25">
      <c r="A258">
        <v>176</v>
      </c>
      <c r="B258" s="5">
        <f t="shared" si="14"/>
        <v>3.1098799615376445</v>
      </c>
      <c r="C258" s="5">
        <f t="shared" si="15"/>
        <v>-1.0360071011724337</v>
      </c>
      <c r="D258" s="5">
        <f>SUM(C$82:C258)</f>
        <v>256.86083269546975</v>
      </c>
      <c r="E258" s="9">
        <f t="shared" si="16"/>
        <v>2.5686083269546973</v>
      </c>
      <c r="F258" s="9">
        <f t="shared" si="17"/>
        <v>0.82858333127570882</v>
      </c>
      <c r="G258" s="9">
        <f t="shared" si="20"/>
        <v>0.82858333127570882</v>
      </c>
      <c r="H258" s="9">
        <f t="shared" si="18"/>
        <v>50.694496641014901</v>
      </c>
      <c r="I258" s="9">
        <f t="shared" si="19"/>
        <v>0.45422268990349352</v>
      </c>
      <c r="J258" s="9">
        <f>SUM(I$82:I258)</f>
        <v>63.713136291544984</v>
      </c>
    </row>
    <row r="259" spans="1:10" x14ac:dyDescent="0.25">
      <c r="A259">
        <v>177</v>
      </c>
      <c r="B259" s="5">
        <f t="shared" si="14"/>
        <v>3.0816163451019114</v>
      </c>
      <c r="C259" s="5">
        <f t="shared" si="15"/>
        <v>-1.0642707176081667</v>
      </c>
      <c r="D259" s="5">
        <f>SUM(C$82:C259)</f>
        <v>255.79656197786159</v>
      </c>
      <c r="E259" s="9">
        <f t="shared" si="16"/>
        <v>2.5579656197786158</v>
      </c>
      <c r="F259" s="9">
        <f t="shared" si="17"/>
        <v>0.82515019992858574</v>
      </c>
      <c r="G259" s="9">
        <f t="shared" si="20"/>
        <v>0.82515019992858574</v>
      </c>
      <c r="H259" s="9">
        <f t="shared" si="18"/>
        <v>50.484450337914723</v>
      </c>
      <c r="I259" s="9">
        <f t="shared" si="19"/>
        <v>0.45234067502771597</v>
      </c>
      <c r="J259" s="9">
        <f>SUM(I$82:I259)</f>
        <v>64.165476966572697</v>
      </c>
    </row>
    <row r="260" spans="1:10" x14ac:dyDescent="0.25">
      <c r="A260">
        <v>178</v>
      </c>
      <c r="B260" s="5">
        <f t="shared" si="14"/>
        <v>3.0533527286661766</v>
      </c>
      <c r="C260" s="5">
        <f t="shared" si="15"/>
        <v>-1.0925343340439015</v>
      </c>
      <c r="D260" s="5">
        <f>SUM(C$82:C260)</f>
        <v>254.70402764381768</v>
      </c>
      <c r="E260" s="9">
        <f t="shared" si="16"/>
        <v>2.5470402764381768</v>
      </c>
      <c r="F260" s="9">
        <f t="shared" si="17"/>
        <v>0.82162589562521826</v>
      </c>
      <c r="G260" s="9">
        <f t="shared" si="20"/>
        <v>0.82162589562521826</v>
      </c>
      <c r="H260" s="9">
        <f t="shared" si="18"/>
        <v>50.268825878762371</v>
      </c>
      <c r="I260" s="9">
        <f t="shared" si="19"/>
        <v>0.45040867987371092</v>
      </c>
      <c r="J260" s="9">
        <f>SUM(I$82:I260)</f>
        <v>64.615885646446415</v>
      </c>
    </row>
    <row r="261" spans="1:10" x14ac:dyDescent="0.25">
      <c r="A261">
        <v>179</v>
      </c>
      <c r="B261" s="5">
        <f t="shared" si="14"/>
        <v>3.0250891122304431</v>
      </c>
      <c r="C261" s="5">
        <f t="shared" si="15"/>
        <v>-1.120797950479635</v>
      </c>
      <c r="D261" s="5">
        <f>SUM(C$82:C261)</f>
        <v>253.58322969333804</v>
      </c>
      <c r="E261" s="9">
        <f t="shared" si="16"/>
        <v>2.5358322969333802</v>
      </c>
      <c r="F261" s="9">
        <f t="shared" si="17"/>
        <v>0.81801041836560651</v>
      </c>
      <c r="G261" s="9">
        <f t="shared" si="20"/>
        <v>0.81801041836560651</v>
      </c>
      <c r="H261" s="9">
        <f t="shared" si="18"/>
        <v>50.04762326355786</v>
      </c>
      <c r="I261" s="9">
        <f t="shared" si="19"/>
        <v>0.44842670444147847</v>
      </c>
      <c r="J261" s="9">
        <f>SUM(I$82:I261)</f>
        <v>65.064312350887889</v>
      </c>
    </row>
    <row r="262" spans="1:10" x14ac:dyDescent="0.25">
      <c r="A262">
        <v>180</v>
      </c>
      <c r="B262" s="5">
        <f t="shared" si="14"/>
        <v>2.9968254957947096</v>
      </c>
      <c r="C262" s="5">
        <f t="shared" si="15"/>
        <v>-1.1490615669153685</v>
      </c>
      <c r="D262" s="5">
        <f>SUM(C$82:C262)</f>
        <v>252.43416812642266</v>
      </c>
      <c r="E262" s="9">
        <f t="shared" si="16"/>
        <v>2.5243416812642265</v>
      </c>
      <c r="F262" s="9">
        <f t="shared" si="17"/>
        <v>0.81430376814975047</v>
      </c>
      <c r="G262" s="9">
        <f t="shared" si="20"/>
        <v>0.81430376814975047</v>
      </c>
      <c r="H262" s="9">
        <f t="shared" si="18"/>
        <v>49.820842492301182</v>
      </c>
      <c r="I262" s="9">
        <f t="shared" si="19"/>
        <v>0.44639474873101864</v>
      </c>
      <c r="J262" s="9">
        <f>SUM(I$82:I262)</f>
        <v>65.510707099618912</v>
      </c>
    </row>
    <row r="263" spans="1:10" x14ac:dyDescent="0.25">
      <c r="A263">
        <v>181</v>
      </c>
      <c r="B263" s="5">
        <f t="shared" si="14"/>
        <v>2.9685618793589748</v>
      </c>
      <c r="C263" s="5">
        <f t="shared" si="15"/>
        <v>-1.1773251833511034</v>
      </c>
      <c r="D263" s="5">
        <f>SUM(C$82:C263)</f>
        <v>251.25684294307155</v>
      </c>
      <c r="E263" s="9">
        <f t="shared" si="16"/>
        <v>2.5125684294307153</v>
      </c>
      <c r="F263" s="9">
        <f t="shared" si="17"/>
        <v>0.81050594497765005</v>
      </c>
      <c r="G263" s="9">
        <f t="shared" si="20"/>
        <v>0.81050594497765005</v>
      </c>
      <c r="H263" s="9">
        <f t="shared" si="18"/>
        <v>49.588483564992337</v>
      </c>
      <c r="I263" s="9">
        <f t="shared" si="19"/>
        <v>0.44431281274233142</v>
      </c>
      <c r="J263" s="9">
        <f>SUM(I$82:I263)</f>
        <v>65.955019912361237</v>
      </c>
    </row>
    <row r="264" spans="1:10" x14ac:dyDescent="0.25">
      <c r="A264">
        <v>182</v>
      </c>
      <c r="B264" s="5">
        <f t="shared" si="14"/>
        <v>2.9402982629232413</v>
      </c>
      <c r="C264" s="5">
        <f t="shared" si="15"/>
        <v>-1.2055887997868369</v>
      </c>
      <c r="D264" s="5">
        <f>SUM(C$82:C264)</f>
        <v>250.05125414328472</v>
      </c>
      <c r="E264" s="9">
        <f t="shared" si="16"/>
        <v>2.5005125414328471</v>
      </c>
      <c r="F264" s="9">
        <f t="shared" si="17"/>
        <v>0.80661694884930546</v>
      </c>
      <c r="G264" s="9">
        <f t="shared" si="20"/>
        <v>0.80661694884930546</v>
      </c>
      <c r="H264" s="9">
        <f t="shared" si="18"/>
        <v>49.350546481631334</v>
      </c>
      <c r="I264" s="9">
        <f t="shared" si="19"/>
        <v>0.44218089647541681</v>
      </c>
      <c r="J264" s="9">
        <f>SUM(I$82:I264)</f>
        <v>66.397200808836658</v>
      </c>
    </row>
    <row r="265" spans="1:10" x14ac:dyDescent="0.25">
      <c r="A265">
        <v>183</v>
      </c>
      <c r="B265" s="5">
        <f t="shared" si="14"/>
        <v>2.9120346464875078</v>
      </c>
      <c r="C265" s="5">
        <f t="shared" si="15"/>
        <v>-1.2338524162225704</v>
      </c>
      <c r="D265" s="5">
        <f>SUM(C$82:C265)</f>
        <v>248.81740172706216</v>
      </c>
      <c r="E265" s="9">
        <f t="shared" si="16"/>
        <v>2.4881740172706217</v>
      </c>
      <c r="F265" s="9">
        <f t="shared" si="17"/>
        <v>0.8026367797647167</v>
      </c>
      <c r="G265" s="9">
        <f t="shared" si="20"/>
        <v>0.8026367797647167</v>
      </c>
      <c r="H265" s="9">
        <f t="shared" si="18"/>
        <v>49.107031242218177</v>
      </c>
      <c r="I265" s="9">
        <f t="shared" si="19"/>
        <v>0.43999899993027491</v>
      </c>
      <c r="J265" s="9">
        <f>SUM(I$82:I265)</f>
        <v>66.83719980876694</v>
      </c>
    </row>
    <row r="266" spans="1:10" x14ac:dyDescent="0.25">
      <c r="A266">
        <v>184</v>
      </c>
      <c r="B266" s="5">
        <f t="shared" si="14"/>
        <v>2.8837710300517734</v>
      </c>
      <c r="C266" s="5">
        <f t="shared" si="15"/>
        <v>-1.2621160326583047</v>
      </c>
      <c r="D266" s="5">
        <f>SUM(C$82:C266)</f>
        <v>247.55528569440386</v>
      </c>
      <c r="E266" s="9">
        <f t="shared" si="16"/>
        <v>2.4755528569440388</v>
      </c>
      <c r="F266" s="9">
        <f t="shared" si="17"/>
        <v>0.79856543772388344</v>
      </c>
      <c r="G266" s="9">
        <f t="shared" si="20"/>
        <v>0.79856543772388344</v>
      </c>
      <c r="H266" s="9">
        <f t="shared" si="18"/>
        <v>48.857937846752847</v>
      </c>
      <c r="I266" s="9">
        <f t="shared" si="19"/>
        <v>0.43776712310690552</v>
      </c>
      <c r="J266" s="9">
        <f>SUM(I$82:I266)</f>
        <v>67.274966931873848</v>
      </c>
    </row>
    <row r="267" spans="1:10" x14ac:dyDescent="0.25">
      <c r="A267">
        <v>185</v>
      </c>
      <c r="B267" s="5">
        <f t="shared" si="14"/>
        <v>2.8555074136160403</v>
      </c>
      <c r="C267" s="5">
        <f t="shared" si="15"/>
        <v>-1.2903796490940378</v>
      </c>
      <c r="D267" s="5">
        <f>SUM(C$82:C267)</f>
        <v>246.26490604530983</v>
      </c>
      <c r="E267" s="9">
        <f t="shared" si="16"/>
        <v>2.4626490604530984</v>
      </c>
      <c r="F267" s="9">
        <f t="shared" si="17"/>
        <v>0.7944029227268059</v>
      </c>
      <c r="G267" s="9">
        <f t="shared" si="20"/>
        <v>0.7944029227268059</v>
      </c>
      <c r="H267" s="9">
        <f t="shared" si="18"/>
        <v>48.60326629523535</v>
      </c>
      <c r="I267" s="9">
        <f t="shared" si="19"/>
        <v>0.43548526600530879</v>
      </c>
      <c r="J267" s="9">
        <f>SUM(I$82:I267)</f>
        <v>67.710452197879164</v>
      </c>
    </row>
    <row r="268" spans="1:10" x14ac:dyDescent="0.25">
      <c r="A268">
        <v>186</v>
      </c>
      <c r="B268" s="5">
        <f t="shared" si="14"/>
        <v>2.8272437971803064</v>
      </c>
      <c r="C268" s="5">
        <f t="shared" si="15"/>
        <v>-1.3186432655297717</v>
      </c>
      <c r="D268" s="5">
        <f>SUM(C$82:C268)</f>
        <v>244.94626277978006</v>
      </c>
      <c r="E268" s="9">
        <f t="shared" si="16"/>
        <v>2.4494626277978004</v>
      </c>
      <c r="F268" s="9">
        <f t="shared" si="17"/>
        <v>0.79014923477348398</v>
      </c>
      <c r="G268" s="9">
        <f t="shared" si="20"/>
        <v>0.79014923477348398</v>
      </c>
      <c r="H268" s="9">
        <f t="shared" si="18"/>
        <v>48.34301658766568</v>
      </c>
      <c r="I268" s="9">
        <f t="shared" si="19"/>
        <v>0.43315342862548456</v>
      </c>
      <c r="J268" s="9">
        <f>SUM(I$82:I268)</f>
        <v>68.143605626504652</v>
      </c>
    </row>
    <row r="269" spans="1:10" x14ac:dyDescent="0.25">
      <c r="A269">
        <v>187</v>
      </c>
      <c r="B269" s="5">
        <f t="shared" si="14"/>
        <v>2.7989801807445733</v>
      </c>
      <c r="C269" s="5">
        <f t="shared" si="15"/>
        <v>-1.3469068819655048</v>
      </c>
      <c r="D269" s="5">
        <f>SUM(C$82:C269)</f>
        <v>243.59935589781455</v>
      </c>
      <c r="E269" s="9">
        <f t="shared" si="16"/>
        <v>2.4359935589781454</v>
      </c>
      <c r="F269" s="9">
        <f t="shared" si="17"/>
        <v>0.78580437386391788</v>
      </c>
      <c r="G269" s="9">
        <f t="shared" si="20"/>
        <v>0.78580437386391788</v>
      </c>
      <c r="H269" s="9">
        <f t="shared" si="18"/>
        <v>48.077188724043857</v>
      </c>
      <c r="I269" s="9">
        <f t="shared" si="19"/>
        <v>0.43077161096743299</v>
      </c>
      <c r="J269" s="9">
        <f>SUM(I$82:I269)</f>
        <v>68.574377237472078</v>
      </c>
    </row>
    <row r="270" spans="1:10" x14ac:dyDescent="0.25">
      <c r="A270">
        <v>188</v>
      </c>
      <c r="B270" s="5">
        <f t="shared" si="14"/>
        <v>2.7707165643088385</v>
      </c>
      <c r="C270" s="5">
        <f t="shared" si="15"/>
        <v>-1.3751704984012396</v>
      </c>
      <c r="D270" s="5">
        <f>SUM(C$82:C270)</f>
        <v>242.2241853994133</v>
      </c>
      <c r="E270" s="9">
        <f t="shared" si="16"/>
        <v>2.4222418539941328</v>
      </c>
      <c r="F270" s="9">
        <f t="shared" si="17"/>
        <v>0.7813683399981074</v>
      </c>
      <c r="G270" s="9">
        <f t="shared" si="20"/>
        <v>0.7813683399981074</v>
      </c>
      <c r="H270" s="9">
        <f t="shared" si="18"/>
        <v>47.805782704369868</v>
      </c>
      <c r="I270" s="9">
        <f t="shared" si="19"/>
        <v>0.42833981303115404</v>
      </c>
      <c r="J270" s="9">
        <f>SUM(I$82:I270)</f>
        <v>69.002717050503236</v>
      </c>
    </row>
    <row r="271" spans="1:10" x14ac:dyDescent="0.25">
      <c r="A271">
        <v>189</v>
      </c>
      <c r="B271" s="5">
        <f t="shared" si="14"/>
        <v>2.742452947873105</v>
      </c>
      <c r="C271" s="5">
        <f t="shared" si="15"/>
        <v>-1.4034341148369731</v>
      </c>
      <c r="D271" s="5">
        <f>SUM(C$82:C271)</f>
        <v>240.82075128457632</v>
      </c>
      <c r="E271" s="9">
        <f t="shared" si="16"/>
        <v>2.4082075128457632</v>
      </c>
      <c r="F271" s="9">
        <f t="shared" si="17"/>
        <v>0.77684113317605263</v>
      </c>
      <c r="G271" s="9">
        <f t="shared" si="20"/>
        <v>0.77684113317605263</v>
      </c>
      <c r="H271" s="9">
        <f t="shared" si="18"/>
        <v>47.528798528643712</v>
      </c>
      <c r="I271" s="9">
        <f t="shared" si="19"/>
        <v>0.42585803481664769</v>
      </c>
      <c r="J271" s="9">
        <f>SUM(I$82:I271)</f>
        <v>69.428575085319878</v>
      </c>
    </row>
    <row r="272" spans="1:10" x14ac:dyDescent="0.25">
      <c r="A272">
        <v>190</v>
      </c>
      <c r="B272" s="5">
        <f t="shared" si="14"/>
        <v>2.7141893314373711</v>
      </c>
      <c r="C272" s="5">
        <f t="shared" si="15"/>
        <v>-1.4316977312727071</v>
      </c>
      <c r="D272" s="5">
        <f>SUM(C$82:C272)</f>
        <v>239.3890535533036</v>
      </c>
      <c r="E272" s="9">
        <f t="shared" si="16"/>
        <v>2.393890535533036</v>
      </c>
      <c r="F272" s="9">
        <f t="shared" si="17"/>
        <v>0.77222275339775348</v>
      </c>
      <c r="G272" s="9">
        <f t="shared" si="20"/>
        <v>0.77222275339775348</v>
      </c>
      <c r="H272" s="9">
        <f t="shared" si="18"/>
        <v>47.246236196865382</v>
      </c>
      <c r="I272" s="9">
        <f t="shared" si="19"/>
        <v>0.42332627632391384</v>
      </c>
      <c r="J272" s="9">
        <f>SUM(I$82:I272)</f>
        <v>69.851901361643797</v>
      </c>
    </row>
    <row r="273" spans="1:10" x14ac:dyDescent="0.25">
      <c r="A273">
        <v>191</v>
      </c>
      <c r="B273" s="5">
        <f t="shared" si="14"/>
        <v>2.6859257150016362</v>
      </c>
      <c r="C273" s="5">
        <f t="shared" si="15"/>
        <v>-1.4599613477084419</v>
      </c>
      <c r="D273" s="5">
        <f>SUM(C$82:C273)</f>
        <v>237.92909220559517</v>
      </c>
      <c r="E273" s="9">
        <f t="shared" si="16"/>
        <v>2.3792909220559517</v>
      </c>
      <c r="F273" s="9">
        <f t="shared" si="17"/>
        <v>0.76751320066321016</v>
      </c>
      <c r="G273" s="9">
        <f t="shared" si="20"/>
        <v>0.76751320066321016</v>
      </c>
      <c r="H273" s="9">
        <f t="shared" si="18"/>
        <v>46.9580957090349</v>
      </c>
      <c r="I273" s="9">
        <f t="shared" si="19"/>
        <v>0.42074453755295271</v>
      </c>
      <c r="J273" s="9">
        <f>SUM(I$82:I273)</f>
        <v>70.272645899196746</v>
      </c>
    </row>
    <row r="274" spans="1:10" x14ac:dyDescent="0.25">
      <c r="A274">
        <v>192</v>
      </c>
      <c r="B274" s="5">
        <f t="shared" ref="B274:B337" si="21">2*(Radius-A274*half_lambda)*alphaSector*half_lambda*PV_Efficiency*Irradiance</f>
        <v>2.6576620985659036</v>
      </c>
      <c r="C274" s="5">
        <f t="shared" ref="C274:C337" si="22">B274-Element_Power_BOL</f>
        <v>-1.4882249641441745</v>
      </c>
      <c r="D274" s="5">
        <f>SUM(C$82:C274)</f>
        <v>236.440867241451</v>
      </c>
      <c r="E274" s="9">
        <f t="shared" ref="E274:E337" si="23">D274/V_bus</f>
        <v>2.3644086724145099</v>
      </c>
      <c r="F274" s="9">
        <f t="shared" ref="F274:F337" si="24">E274/J_Cu</f>
        <v>0.76271247497242256</v>
      </c>
      <c r="G274" s="9">
        <f t="shared" si="20"/>
        <v>0.76271247497242256</v>
      </c>
      <c r="H274" s="9">
        <f t="shared" ref="H274:H337" si="25">G274*half_lambda*1000</f>
        <v>46.664377065152252</v>
      </c>
      <c r="I274" s="9">
        <f t="shared" ref="I274:I337" si="26">H274/1000*rho_Cu</f>
        <v>0.41811281850376419</v>
      </c>
      <c r="J274" s="9">
        <f>SUM(I$82:I274)</f>
        <v>70.690758717700504</v>
      </c>
    </row>
    <row r="275" spans="1:10" x14ac:dyDescent="0.25">
      <c r="A275">
        <v>193</v>
      </c>
      <c r="B275" s="5">
        <f t="shared" si="21"/>
        <v>2.6293984821301692</v>
      </c>
      <c r="C275" s="5">
        <f t="shared" si="22"/>
        <v>-1.5164885805799089</v>
      </c>
      <c r="D275" s="5">
        <f>SUM(C$82:C275)</f>
        <v>234.9243786608711</v>
      </c>
      <c r="E275" s="9">
        <f t="shared" si="23"/>
        <v>2.349243786608711</v>
      </c>
      <c r="F275" s="9">
        <f t="shared" si="24"/>
        <v>0.75782057632539068</v>
      </c>
      <c r="G275" s="9">
        <f t="shared" ref="G275:G338" si="27">MAX(0.1, F275)</f>
        <v>0.75782057632539068</v>
      </c>
      <c r="H275" s="9">
        <f t="shared" si="25"/>
        <v>46.365080265217443</v>
      </c>
      <c r="I275" s="9">
        <f t="shared" si="26"/>
        <v>0.41543111917634834</v>
      </c>
      <c r="J275" s="9">
        <f>SUM(I$82:I275)</f>
        <v>71.106189836876851</v>
      </c>
    </row>
    <row r="276" spans="1:10" x14ac:dyDescent="0.25">
      <c r="A276">
        <v>194</v>
      </c>
      <c r="B276" s="5">
        <f t="shared" si="21"/>
        <v>2.6011348656944357</v>
      </c>
      <c r="C276" s="5">
        <f t="shared" si="22"/>
        <v>-1.5447521970156424</v>
      </c>
      <c r="D276" s="5">
        <f>SUM(C$82:C276)</f>
        <v>233.37962646385546</v>
      </c>
      <c r="E276" s="9">
        <f t="shared" si="23"/>
        <v>2.3337962646385546</v>
      </c>
      <c r="F276" s="9">
        <f t="shared" si="24"/>
        <v>0.75283750472211441</v>
      </c>
      <c r="G276" s="9">
        <f t="shared" si="27"/>
        <v>0.75283750472211441</v>
      </c>
      <c r="H276" s="9">
        <f t="shared" si="25"/>
        <v>46.060205309230469</v>
      </c>
      <c r="I276" s="9">
        <f t="shared" si="26"/>
        <v>0.41269943957070504</v>
      </c>
      <c r="J276" s="9">
        <f>SUM(I$82:I276)</f>
        <v>71.518889276447553</v>
      </c>
    </row>
    <row r="277" spans="1:10" x14ac:dyDescent="0.25">
      <c r="A277">
        <v>195</v>
      </c>
      <c r="B277" s="5">
        <f t="shared" si="21"/>
        <v>2.5728712492587018</v>
      </c>
      <c r="C277" s="5">
        <f t="shared" si="22"/>
        <v>-1.5730158134513763</v>
      </c>
      <c r="D277" s="5">
        <f>SUM(C$82:C277)</f>
        <v>231.80661065040408</v>
      </c>
      <c r="E277" s="9">
        <f t="shared" si="23"/>
        <v>2.3180661065040407</v>
      </c>
      <c r="F277" s="9">
        <f t="shared" si="24"/>
        <v>0.74776326016259376</v>
      </c>
      <c r="G277" s="9">
        <f t="shared" si="27"/>
        <v>0.74776326016259376</v>
      </c>
      <c r="H277" s="9">
        <f t="shared" si="25"/>
        <v>45.749752197191313</v>
      </c>
      <c r="I277" s="9">
        <f t="shared" si="26"/>
        <v>0.40991777968683418</v>
      </c>
      <c r="J277" s="9">
        <f>SUM(I$82:I277)</f>
        <v>71.928807056134389</v>
      </c>
    </row>
    <row r="278" spans="1:10" x14ac:dyDescent="0.25">
      <c r="A278">
        <v>196</v>
      </c>
      <c r="B278" s="5">
        <f t="shared" si="21"/>
        <v>2.5446076328229683</v>
      </c>
      <c r="C278" s="5">
        <f t="shared" si="22"/>
        <v>-1.6012794298871098</v>
      </c>
      <c r="D278" s="5">
        <f>SUM(C$82:C278)</f>
        <v>230.20533122051697</v>
      </c>
      <c r="E278" s="9">
        <f t="shared" si="23"/>
        <v>2.3020533122051696</v>
      </c>
      <c r="F278" s="9">
        <f t="shared" si="24"/>
        <v>0.74259784264682893</v>
      </c>
      <c r="G278" s="9">
        <f t="shared" si="27"/>
        <v>0.74259784264682893</v>
      </c>
      <c r="H278" s="9">
        <f t="shared" si="25"/>
        <v>45.433720929100019</v>
      </c>
      <c r="I278" s="9">
        <f t="shared" si="26"/>
        <v>0.40708613952473616</v>
      </c>
      <c r="J278" s="9">
        <f>SUM(I$82:I278)</f>
        <v>72.335893195659125</v>
      </c>
    </row>
    <row r="279" spans="1:10" x14ac:dyDescent="0.25">
      <c r="A279">
        <v>197</v>
      </c>
      <c r="B279" s="5">
        <f t="shared" si="21"/>
        <v>2.5163440163872335</v>
      </c>
      <c r="C279" s="5">
        <f t="shared" si="22"/>
        <v>-1.6295430463228446</v>
      </c>
      <c r="D279" s="5">
        <f>SUM(C$82:C279)</f>
        <v>228.57578817419412</v>
      </c>
      <c r="E279" s="9">
        <f t="shared" si="23"/>
        <v>2.2857578817419411</v>
      </c>
      <c r="F279" s="9">
        <f t="shared" si="24"/>
        <v>0.73734125217481972</v>
      </c>
      <c r="G279" s="9">
        <f t="shared" si="27"/>
        <v>0.73734125217481972</v>
      </c>
      <c r="H279" s="9">
        <f t="shared" si="25"/>
        <v>45.112111504956538</v>
      </c>
      <c r="I279" s="9">
        <f t="shared" si="26"/>
        <v>0.40420451908441063</v>
      </c>
      <c r="J279" s="9">
        <f>SUM(I$82:I279)</f>
        <v>72.740097714743541</v>
      </c>
    </row>
    <row r="280" spans="1:10" x14ac:dyDescent="0.25">
      <c r="A280">
        <v>198</v>
      </c>
      <c r="B280" s="5">
        <f t="shared" si="21"/>
        <v>2.4880803999515</v>
      </c>
      <c r="C280" s="5">
        <f t="shared" si="22"/>
        <v>-1.6578066627585781</v>
      </c>
      <c r="D280" s="5">
        <f>SUM(C$82:C280)</f>
        <v>226.91798151143553</v>
      </c>
      <c r="E280" s="9">
        <f t="shared" si="23"/>
        <v>2.2691798151143554</v>
      </c>
      <c r="F280" s="9">
        <f t="shared" si="24"/>
        <v>0.73199348874656622</v>
      </c>
      <c r="G280" s="9">
        <f t="shared" si="27"/>
        <v>0.73199348874656622</v>
      </c>
      <c r="H280" s="9">
        <f t="shared" si="25"/>
        <v>44.784923924760903</v>
      </c>
      <c r="I280" s="9">
        <f t="shared" si="26"/>
        <v>0.40127291836585771</v>
      </c>
      <c r="J280" s="9">
        <f>SUM(I$82:I280)</f>
        <v>73.141370633109403</v>
      </c>
    </row>
    <row r="281" spans="1:10" x14ac:dyDescent="0.25">
      <c r="A281">
        <v>199</v>
      </c>
      <c r="B281" s="5">
        <f t="shared" si="21"/>
        <v>2.459816783515766</v>
      </c>
      <c r="C281" s="5">
        <f t="shared" si="22"/>
        <v>-1.6860702791943121</v>
      </c>
      <c r="D281" s="5">
        <f>SUM(C$82:C281)</f>
        <v>225.2319112322412</v>
      </c>
      <c r="E281" s="9">
        <f t="shared" si="23"/>
        <v>2.2523191123224122</v>
      </c>
      <c r="F281" s="9">
        <f t="shared" si="24"/>
        <v>0.72655455236206845</v>
      </c>
      <c r="G281" s="9">
        <f t="shared" si="27"/>
        <v>0.72655455236206845</v>
      </c>
      <c r="H281" s="9">
        <f t="shared" si="25"/>
        <v>44.452158188513103</v>
      </c>
      <c r="I281" s="9">
        <f t="shared" si="26"/>
        <v>0.3982913373690774</v>
      </c>
      <c r="J281" s="9">
        <f>SUM(I$82:I281)</f>
        <v>73.539661970478477</v>
      </c>
    </row>
    <row r="282" spans="1:10" x14ac:dyDescent="0.25">
      <c r="A282">
        <v>200</v>
      </c>
      <c r="B282" s="5">
        <f t="shared" si="21"/>
        <v>2.431553167080033</v>
      </c>
      <c r="C282" s="5">
        <f t="shared" si="22"/>
        <v>-1.7143338956300451</v>
      </c>
      <c r="D282" s="5">
        <f>SUM(C$82:C282)</f>
        <v>223.51757733661117</v>
      </c>
      <c r="E282" s="9">
        <f t="shared" si="23"/>
        <v>2.2351757733661115</v>
      </c>
      <c r="F282" s="9">
        <f t="shared" si="24"/>
        <v>0.72102444302132629</v>
      </c>
      <c r="G282" s="9">
        <f t="shared" si="27"/>
        <v>0.72102444302132629</v>
      </c>
      <c r="H282" s="9">
        <f t="shared" si="25"/>
        <v>44.113814296213128</v>
      </c>
      <c r="I282" s="9">
        <f t="shared" si="26"/>
        <v>0.3952597760940697</v>
      </c>
      <c r="J282" s="9">
        <f>SUM(I$82:I282)</f>
        <v>73.934921746572542</v>
      </c>
    </row>
    <row r="283" spans="1:10" x14ac:dyDescent="0.25">
      <c r="A283">
        <v>201</v>
      </c>
      <c r="B283" s="5">
        <f t="shared" si="21"/>
        <v>2.4032895506442982</v>
      </c>
      <c r="C283" s="5">
        <f t="shared" si="22"/>
        <v>-1.74259751206578</v>
      </c>
      <c r="D283" s="5">
        <f>SUM(C$82:C283)</f>
        <v>221.7749798245454</v>
      </c>
      <c r="E283" s="9">
        <f t="shared" si="23"/>
        <v>2.2177497982454542</v>
      </c>
      <c r="F283" s="9">
        <f t="shared" si="24"/>
        <v>0.71540316072434007</v>
      </c>
      <c r="G283" s="9">
        <f t="shared" si="27"/>
        <v>0.71540316072434007</v>
      </c>
      <c r="H283" s="9">
        <f t="shared" si="25"/>
        <v>43.769892247861016</v>
      </c>
      <c r="I283" s="9">
        <f t="shared" si="26"/>
        <v>0.39217823454083472</v>
      </c>
      <c r="J283" s="9">
        <f>SUM(I$82:I283)</f>
        <v>74.327099981113378</v>
      </c>
    </row>
    <row r="284" spans="1:10" x14ac:dyDescent="0.25">
      <c r="A284">
        <v>202</v>
      </c>
      <c r="B284" s="5">
        <f t="shared" si="21"/>
        <v>2.3750259342085647</v>
      </c>
      <c r="C284" s="5">
        <f t="shared" si="22"/>
        <v>-1.7708611285015134</v>
      </c>
      <c r="D284" s="5">
        <f>SUM(C$82:C284)</f>
        <v>220.00411869604389</v>
      </c>
      <c r="E284" s="9">
        <f t="shared" si="23"/>
        <v>2.2000411869604388</v>
      </c>
      <c r="F284" s="9">
        <f t="shared" si="24"/>
        <v>0.70969070547110924</v>
      </c>
      <c r="G284" s="9">
        <f t="shared" si="27"/>
        <v>0.70969070547110924</v>
      </c>
      <c r="H284" s="9">
        <f t="shared" si="25"/>
        <v>43.420392043456715</v>
      </c>
      <c r="I284" s="9">
        <f t="shared" si="26"/>
        <v>0.38904671270937219</v>
      </c>
      <c r="J284" s="9">
        <f>SUM(I$82:I284)</f>
        <v>74.716146693822751</v>
      </c>
    </row>
    <row r="285" spans="1:10" x14ac:dyDescent="0.25">
      <c r="A285">
        <v>203</v>
      </c>
      <c r="B285" s="5">
        <f t="shared" si="21"/>
        <v>2.3467623177728307</v>
      </c>
      <c r="C285" s="5">
        <f t="shared" si="22"/>
        <v>-1.7991247449372474</v>
      </c>
      <c r="D285" s="5">
        <f>SUM(C$82:C285)</f>
        <v>218.20499395110664</v>
      </c>
      <c r="E285" s="9">
        <f t="shared" si="23"/>
        <v>2.1820499395110664</v>
      </c>
      <c r="F285" s="9">
        <f t="shared" si="24"/>
        <v>0.70388707726163435</v>
      </c>
      <c r="G285" s="9">
        <f t="shared" si="27"/>
        <v>0.70388707726163435</v>
      </c>
      <c r="H285" s="9">
        <f t="shared" si="25"/>
        <v>43.065313683000262</v>
      </c>
      <c r="I285" s="9">
        <f t="shared" si="26"/>
        <v>0.38586521059968237</v>
      </c>
      <c r="J285" s="9">
        <f>SUM(I$82:I285)</f>
        <v>75.102011904422426</v>
      </c>
    </row>
    <row r="286" spans="1:10" x14ac:dyDescent="0.25">
      <c r="A286">
        <v>204</v>
      </c>
      <c r="B286" s="5">
        <f t="shared" si="21"/>
        <v>2.3184987013370972</v>
      </c>
      <c r="C286" s="5">
        <f t="shared" si="22"/>
        <v>-1.8273883613729809</v>
      </c>
      <c r="D286" s="5">
        <f>SUM(C$82:C286)</f>
        <v>216.37760558973366</v>
      </c>
      <c r="E286" s="9">
        <f t="shared" si="23"/>
        <v>2.1637760558973365</v>
      </c>
      <c r="F286" s="9">
        <f t="shared" si="24"/>
        <v>0.69799227609591497</v>
      </c>
      <c r="G286" s="9">
        <f t="shared" si="27"/>
        <v>0.69799227609591497</v>
      </c>
      <c r="H286" s="9">
        <f t="shared" si="25"/>
        <v>42.704657166491636</v>
      </c>
      <c r="I286" s="9">
        <f t="shared" si="26"/>
        <v>0.38263372821176506</v>
      </c>
      <c r="J286" s="9">
        <f>SUM(I$82:I286)</f>
        <v>75.484645632634198</v>
      </c>
    </row>
    <row r="287" spans="1:10" x14ac:dyDescent="0.25">
      <c r="A287">
        <v>205</v>
      </c>
      <c r="B287" s="5">
        <f t="shared" si="21"/>
        <v>2.2902350849013633</v>
      </c>
      <c r="C287" s="5">
        <f t="shared" si="22"/>
        <v>-1.8556519778087148</v>
      </c>
      <c r="D287" s="5">
        <f>SUM(C$82:C287)</f>
        <v>214.52195361192494</v>
      </c>
      <c r="E287" s="9">
        <f t="shared" si="23"/>
        <v>2.1452195361192494</v>
      </c>
      <c r="F287" s="9">
        <f t="shared" si="24"/>
        <v>0.69200630197395141</v>
      </c>
      <c r="G287" s="9">
        <f t="shared" si="27"/>
        <v>0.69200630197395141</v>
      </c>
      <c r="H287" s="9">
        <f t="shared" si="25"/>
        <v>42.33842249393085</v>
      </c>
      <c r="I287" s="9">
        <f t="shared" si="26"/>
        <v>0.37935226554562046</v>
      </c>
      <c r="J287" s="9">
        <f>SUM(I$82:I287)</f>
        <v>75.863997898179818</v>
      </c>
    </row>
    <row r="288" spans="1:10" x14ac:dyDescent="0.25">
      <c r="A288">
        <v>206</v>
      </c>
      <c r="B288" s="5">
        <f t="shared" si="21"/>
        <v>2.2619714684656298</v>
      </c>
      <c r="C288" s="5">
        <f t="shared" si="22"/>
        <v>-1.8839155942444483</v>
      </c>
      <c r="D288" s="5">
        <f>SUM(C$82:C288)</f>
        <v>212.63803801768049</v>
      </c>
      <c r="E288" s="9">
        <f t="shared" si="23"/>
        <v>2.1263803801768049</v>
      </c>
      <c r="F288" s="9">
        <f t="shared" si="24"/>
        <v>0.68592915489574346</v>
      </c>
      <c r="G288" s="9">
        <f t="shared" si="27"/>
        <v>0.68592915489574346</v>
      </c>
      <c r="H288" s="9">
        <f t="shared" si="25"/>
        <v>41.96660966531789</v>
      </c>
      <c r="I288" s="9">
        <f t="shared" si="26"/>
        <v>0.37602082260124836</v>
      </c>
      <c r="J288" s="9">
        <f>SUM(I$82:I288)</f>
        <v>76.240018720781066</v>
      </c>
    </row>
    <row r="289" spans="1:10" x14ac:dyDescent="0.25">
      <c r="A289">
        <v>207</v>
      </c>
      <c r="B289" s="5">
        <f t="shared" si="21"/>
        <v>2.2337078520298954</v>
      </c>
      <c r="C289" s="5">
        <f t="shared" si="22"/>
        <v>-1.9121792106801827</v>
      </c>
      <c r="D289" s="5">
        <f>SUM(C$82:C289)</f>
        <v>210.72585880700029</v>
      </c>
      <c r="E289" s="9">
        <f t="shared" si="23"/>
        <v>2.1072585880700028</v>
      </c>
      <c r="F289" s="9">
        <f t="shared" si="24"/>
        <v>0.67976083486129124</v>
      </c>
      <c r="G289" s="9">
        <f t="shared" si="27"/>
        <v>0.67976083486129124</v>
      </c>
      <c r="H289" s="9">
        <f t="shared" si="25"/>
        <v>41.589218680652777</v>
      </c>
      <c r="I289" s="9">
        <f t="shared" si="26"/>
        <v>0.37263939937864887</v>
      </c>
      <c r="J289" s="9">
        <f>SUM(I$82:I289)</f>
        <v>76.612658120159722</v>
      </c>
    </row>
    <row r="290" spans="1:10" x14ac:dyDescent="0.25">
      <c r="A290">
        <v>208</v>
      </c>
      <c r="B290" s="5">
        <f t="shared" si="21"/>
        <v>2.2054442355941619</v>
      </c>
      <c r="C290" s="5">
        <f t="shared" si="22"/>
        <v>-1.9404428271159162</v>
      </c>
      <c r="D290" s="5">
        <f>SUM(C$82:C290)</f>
        <v>208.78541597988436</v>
      </c>
      <c r="E290" s="9">
        <f t="shared" si="23"/>
        <v>2.0878541597988436</v>
      </c>
      <c r="F290" s="9">
        <f t="shared" si="24"/>
        <v>0.67350134187059474</v>
      </c>
      <c r="G290" s="9">
        <f t="shared" si="27"/>
        <v>0.67350134187059474</v>
      </c>
      <c r="H290" s="9">
        <f t="shared" si="25"/>
        <v>41.206249539935492</v>
      </c>
      <c r="I290" s="9">
        <f t="shared" si="26"/>
        <v>0.36920799587782205</v>
      </c>
      <c r="J290" s="9">
        <f>SUM(I$82:I290)</f>
        <v>76.981866116037537</v>
      </c>
    </row>
    <row r="291" spans="1:10" x14ac:dyDescent="0.25">
      <c r="A291">
        <v>209</v>
      </c>
      <c r="B291" s="5">
        <f t="shared" si="21"/>
        <v>2.177180619158428</v>
      </c>
      <c r="C291" s="5">
        <f t="shared" si="22"/>
        <v>-1.9687064435516501</v>
      </c>
      <c r="D291" s="5">
        <f>SUM(C$82:C291)</f>
        <v>206.81670953633272</v>
      </c>
      <c r="E291" s="9">
        <f t="shared" si="23"/>
        <v>2.0681670953633273</v>
      </c>
      <c r="F291" s="9">
        <f t="shared" si="24"/>
        <v>0.66715067592365396</v>
      </c>
      <c r="G291" s="9">
        <f t="shared" si="27"/>
        <v>0.66715067592365396</v>
      </c>
      <c r="H291" s="9">
        <f t="shared" si="25"/>
        <v>40.817702243166046</v>
      </c>
      <c r="I291" s="9">
        <f t="shared" si="26"/>
        <v>0.36572661209876783</v>
      </c>
      <c r="J291" s="9">
        <f>SUM(I$82:I291)</f>
        <v>77.347592728136306</v>
      </c>
    </row>
    <row r="292" spans="1:10" x14ac:dyDescent="0.25">
      <c r="A292">
        <v>210</v>
      </c>
      <c r="B292" s="5">
        <f t="shared" si="21"/>
        <v>2.1489170027226936</v>
      </c>
      <c r="C292" s="5">
        <f t="shared" si="22"/>
        <v>-1.9969700599873845</v>
      </c>
      <c r="D292" s="5">
        <f>SUM(C$82:C292)</f>
        <v>204.81973947634535</v>
      </c>
      <c r="E292" s="9">
        <f t="shared" si="23"/>
        <v>2.0481973947634535</v>
      </c>
      <c r="F292" s="9">
        <f t="shared" si="24"/>
        <v>0.6607088370204689</v>
      </c>
      <c r="G292" s="9">
        <f t="shared" si="27"/>
        <v>0.6607088370204689</v>
      </c>
      <c r="H292" s="9">
        <f t="shared" si="25"/>
        <v>40.423576790344441</v>
      </c>
      <c r="I292" s="9">
        <f t="shared" si="26"/>
        <v>0.36219524804148623</v>
      </c>
      <c r="J292" s="9">
        <f>SUM(I$82:I292)</f>
        <v>77.709787976177793</v>
      </c>
    </row>
    <row r="293" spans="1:10" x14ac:dyDescent="0.25">
      <c r="A293">
        <v>211</v>
      </c>
      <c r="B293" s="5">
        <f t="shared" si="21"/>
        <v>2.1206533862869601</v>
      </c>
      <c r="C293" s="5">
        <f t="shared" si="22"/>
        <v>-2.025233676423118</v>
      </c>
      <c r="D293" s="5">
        <f>SUM(C$82:C293)</f>
        <v>202.79450579992223</v>
      </c>
      <c r="E293" s="9">
        <f t="shared" si="23"/>
        <v>2.0279450579992222</v>
      </c>
      <c r="F293" s="9">
        <f t="shared" si="24"/>
        <v>0.65417582516103945</v>
      </c>
      <c r="G293" s="9">
        <f t="shared" si="27"/>
        <v>0.65417582516103945</v>
      </c>
      <c r="H293" s="9">
        <f t="shared" si="25"/>
        <v>40.02387318147067</v>
      </c>
      <c r="I293" s="9">
        <f t="shared" si="26"/>
        <v>0.35861390370597718</v>
      </c>
      <c r="J293" s="9">
        <f>SUM(I$82:I293)</f>
        <v>78.068401879883766</v>
      </c>
    </row>
    <row r="294" spans="1:10" x14ac:dyDescent="0.25">
      <c r="A294">
        <v>212</v>
      </c>
      <c r="B294" s="5">
        <f t="shared" si="21"/>
        <v>2.0923897698512266</v>
      </c>
      <c r="C294" s="5">
        <f t="shared" si="22"/>
        <v>-2.0534972928588515</v>
      </c>
      <c r="D294" s="5">
        <f>SUM(C$82:C294)</f>
        <v>200.74100850706338</v>
      </c>
      <c r="E294" s="9">
        <f t="shared" si="23"/>
        <v>2.0074100850706338</v>
      </c>
      <c r="F294" s="9">
        <f t="shared" si="24"/>
        <v>0.64755164034536572</v>
      </c>
      <c r="G294" s="9">
        <f t="shared" si="27"/>
        <v>0.64755164034536572</v>
      </c>
      <c r="H294" s="9">
        <f t="shared" si="25"/>
        <v>39.618591416544724</v>
      </c>
      <c r="I294" s="9">
        <f t="shared" si="26"/>
        <v>0.35498257909224074</v>
      </c>
      <c r="J294" s="9">
        <f>SUM(I$82:I294)</f>
        <v>78.423384458976003</v>
      </c>
    </row>
    <row r="295" spans="1:10" x14ac:dyDescent="0.25">
      <c r="A295">
        <v>213</v>
      </c>
      <c r="B295" s="5">
        <f t="shared" si="21"/>
        <v>2.0641261534154918</v>
      </c>
      <c r="C295" s="5">
        <f t="shared" si="22"/>
        <v>-2.0817609092945863</v>
      </c>
      <c r="D295" s="5">
        <f>SUM(C$82:C295)</f>
        <v>198.6592475977688</v>
      </c>
      <c r="E295" s="9">
        <f t="shared" si="23"/>
        <v>1.9865924759776881</v>
      </c>
      <c r="F295" s="9">
        <f t="shared" si="24"/>
        <v>0.64083628257344771</v>
      </c>
      <c r="G295" s="9">
        <f t="shared" si="27"/>
        <v>0.64083628257344771</v>
      </c>
      <c r="H295" s="9">
        <f t="shared" si="25"/>
        <v>39.207731495566627</v>
      </c>
      <c r="I295" s="9">
        <f t="shared" si="26"/>
        <v>0.35130127420027701</v>
      </c>
      <c r="J295" s="9">
        <f>SUM(I$82:I295)</f>
        <v>78.774685733176284</v>
      </c>
    </row>
    <row r="296" spans="1:10" x14ac:dyDescent="0.25">
      <c r="A296">
        <v>214</v>
      </c>
      <c r="B296" s="5">
        <f t="shared" si="21"/>
        <v>2.0358625369797583</v>
      </c>
      <c r="C296" s="5">
        <f t="shared" si="22"/>
        <v>-2.1100245257303198</v>
      </c>
      <c r="D296" s="5">
        <f>SUM(C$82:C296)</f>
        <v>196.54922307203847</v>
      </c>
      <c r="E296" s="9">
        <f t="shared" si="23"/>
        <v>1.9654922307203848</v>
      </c>
      <c r="F296" s="9">
        <f t="shared" si="24"/>
        <v>0.63402975184528543</v>
      </c>
      <c r="G296" s="9">
        <f t="shared" si="27"/>
        <v>0.63402975184528543</v>
      </c>
      <c r="H296" s="9">
        <f t="shared" si="25"/>
        <v>38.791293418536355</v>
      </c>
      <c r="I296" s="9">
        <f t="shared" si="26"/>
        <v>0.34756998903008579</v>
      </c>
      <c r="J296" s="9">
        <f>SUM(I$82:I296)</f>
        <v>79.122255722206376</v>
      </c>
    </row>
    <row r="297" spans="1:10" x14ac:dyDescent="0.25">
      <c r="A297">
        <v>215</v>
      </c>
      <c r="B297" s="5">
        <f t="shared" si="21"/>
        <v>2.0075989205440248</v>
      </c>
      <c r="C297" s="5">
        <f t="shared" si="22"/>
        <v>-2.1382881421660533</v>
      </c>
      <c r="D297" s="5">
        <f>SUM(C$82:C297)</f>
        <v>194.41093492987241</v>
      </c>
      <c r="E297" s="9">
        <f t="shared" si="23"/>
        <v>1.944109349298724</v>
      </c>
      <c r="F297" s="9">
        <f t="shared" si="24"/>
        <v>0.62713204816087875</v>
      </c>
      <c r="G297" s="9">
        <f t="shared" si="27"/>
        <v>0.62713204816087875</v>
      </c>
      <c r="H297" s="9">
        <f t="shared" si="25"/>
        <v>38.369277185453925</v>
      </c>
      <c r="I297" s="9">
        <f t="shared" si="26"/>
        <v>0.34378872358166718</v>
      </c>
      <c r="J297" s="9">
        <f>SUM(I$82:I297)</f>
        <v>79.466044445788043</v>
      </c>
    </row>
    <row r="298" spans="1:10" x14ac:dyDescent="0.25">
      <c r="A298">
        <v>216</v>
      </c>
      <c r="B298" s="5">
        <f t="shared" si="21"/>
        <v>1.9793353041082906</v>
      </c>
      <c r="C298" s="5">
        <f t="shared" si="22"/>
        <v>-2.1665517586017877</v>
      </c>
      <c r="D298" s="5">
        <f>SUM(C$82:C298)</f>
        <v>192.24438317127061</v>
      </c>
      <c r="E298" s="9">
        <f t="shared" si="23"/>
        <v>1.9224438317127062</v>
      </c>
      <c r="F298" s="9">
        <f t="shared" si="24"/>
        <v>0.6201431715202278</v>
      </c>
      <c r="G298" s="9">
        <f t="shared" si="27"/>
        <v>0.6201431715202278</v>
      </c>
      <c r="H298" s="9">
        <f t="shared" si="25"/>
        <v>37.94168279631932</v>
      </c>
      <c r="I298" s="9">
        <f t="shared" si="26"/>
        <v>0.33995747785502112</v>
      </c>
      <c r="J298" s="9">
        <f>SUM(I$82:I298)</f>
        <v>79.806001923643066</v>
      </c>
    </row>
    <row r="299" spans="1:10" x14ac:dyDescent="0.25">
      <c r="A299">
        <v>217</v>
      </c>
      <c r="B299" s="5">
        <f t="shared" si="21"/>
        <v>1.9510716876725571</v>
      </c>
      <c r="C299" s="5">
        <f t="shared" si="22"/>
        <v>-2.1948153750375212</v>
      </c>
      <c r="D299" s="5">
        <f>SUM(C$82:C299)</f>
        <v>190.04956779623308</v>
      </c>
      <c r="E299" s="9">
        <f t="shared" si="23"/>
        <v>1.9004956779623308</v>
      </c>
      <c r="F299" s="9">
        <f t="shared" si="24"/>
        <v>0.61306312192333245</v>
      </c>
      <c r="G299" s="9">
        <f t="shared" si="27"/>
        <v>0.61306312192333245</v>
      </c>
      <c r="H299" s="9">
        <f t="shared" si="25"/>
        <v>37.508510251132556</v>
      </c>
      <c r="I299" s="9">
        <f t="shared" si="26"/>
        <v>0.33607625185014772</v>
      </c>
      <c r="J299" s="9">
        <f>SUM(I$82:I299)</f>
        <v>80.142078175493211</v>
      </c>
    </row>
    <row r="300" spans="1:10" x14ac:dyDescent="0.25">
      <c r="A300">
        <v>218</v>
      </c>
      <c r="B300" s="5">
        <f t="shared" si="21"/>
        <v>1.9228080712368234</v>
      </c>
      <c r="C300" s="5">
        <f t="shared" si="22"/>
        <v>-2.2230789914732547</v>
      </c>
      <c r="D300" s="5">
        <f>SUM(C$82:C300)</f>
        <v>187.82648880475983</v>
      </c>
      <c r="E300" s="9">
        <f t="shared" si="23"/>
        <v>1.8782648880475983</v>
      </c>
      <c r="F300" s="9">
        <f t="shared" si="24"/>
        <v>0.60589189937019294</v>
      </c>
      <c r="G300" s="9">
        <f t="shared" si="27"/>
        <v>0.60589189937019294</v>
      </c>
      <c r="H300" s="9">
        <f t="shared" si="25"/>
        <v>37.069759549893632</v>
      </c>
      <c r="I300" s="9">
        <f t="shared" si="26"/>
        <v>0.33214504556704699</v>
      </c>
      <c r="J300" s="9">
        <f>SUM(I$82:I300)</f>
        <v>80.474223221060257</v>
      </c>
    </row>
    <row r="301" spans="1:10" x14ac:dyDescent="0.25">
      <c r="A301">
        <v>219</v>
      </c>
      <c r="B301" s="5">
        <f t="shared" si="21"/>
        <v>1.8945444548010899</v>
      </c>
      <c r="C301" s="5">
        <f t="shared" si="22"/>
        <v>-2.2513426079089882</v>
      </c>
      <c r="D301" s="5">
        <f>SUM(C$82:C301)</f>
        <v>185.57514619685085</v>
      </c>
      <c r="E301" s="9">
        <f t="shared" si="23"/>
        <v>1.8557514619685085</v>
      </c>
      <c r="F301" s="9">
        <f t="shared" si="24"/>
        <v>0.59862950386080915</v>
      </c>
      <c r="G301" s="9">
        <f t="shared" si="27"/>
        <v>0.59862950386080915</v>
      </c>
      <c r="H301" s="9">
        <f t="shared" si="25"/>
        <v>36.625430692602542</v>
      </c>
      <c r="I301" s="9">
        <f t="shared" si="26"/>
        <v>0.32816385900571882</v>
      </c>
      <c r="J301" s="9">
        <f>SUM(I$82:I301)</f>
        <v>80.802387080065969</v>
      </c>
    </row>
    <row r="302" spans="1:10" x14ac:dyDescent="0.25">
      <c r="A302">
        <v>220</v>
      </c>
      <c r="B302" s="5">
        <f t="shared" si="21"/>
        <v>1.8662808383653551</v>
      </c>
      <c r="C302" s="5">
        <f t="shared" si="22"/>
        <v>-2.279606224344723</v>
      </c>
      <c r="D302" s="5">
        <f>SUM(C$82:C302)</f>
        <v>183.29553997250613</v>
      </c>
      <c r="E302" s="9">
        <f t="shared" si="23"/>
        <v>1.8329553997250614</v>
      </c>
      <c r="F302" s="9">
        <f t="shared" si="24"/>
        <v>0.59127593539518108</v>
      </c>
      <c r="G302" s="9">
        <f t="shared" si="27"/>
        <v>0.59127593539518108</v>
      </c>
      <c r="H302" s="9">
        <f t="shared" si="25"/>
        <v>36.175523679259292</v>
      </c>
      <c r="I302" s="9">
        <f t="shared" si="26"/>
        <v>0.32413269216616331</v>
      </c>
      <c r="J302" s="9">
        <f>SUM(I$82:I302)</f>
        <v>81.126519772232129</v>
      </c>
    </row>
    <row r="303" spans="1:10" x14ac:dyDescent="0.25">
      <c r="A303">
        <v>221</v>
      </c>
      <c r="B303" s="5">
        <f t="shared" si="21"/>
        <v>1.8380172219296214</v>
      </c>
      <c r="C303" s="5">
        <f t="shared" si="22"/>
        <v>-2.307869840780457</v>
      </c>
      <c r="D303" s="5">
        <f>SUM(C$82:C303)</f>
        <v>180.98767013172568</v>
      </c>
      <c r="E303" s="9">
        <f t="shared" si="23"/>
        <v>1.8098767013172568</v>
      </c>
      <c r="F303" s="9">
        <f t="shared" si="24"/>
        <v>0.58383119397330863</v>
      </c>
      <c r="G303" s="9">
        <f t="shared" si="27"/>
        <v>0.58383119397330863</v>
      </c>
      <c r="H303" s="9">
        <f t="shared" si="25"/>
        <v>35.720038509863876</v>
      </c>
      <c r="I303" s="9">
        <f t="shared" si="26"/>
        <v>0.32005154504838035</v>
      </c>
      <c r="J303" s="9">
        <f>SUM(I$82:I303)</f>
        <v>81.446571317280515</v>
      </c>
    </row>
    <row r="304" spans="1:10" x14ac:dyDescent="0.25">
      <c r="A304">
        <v>222</v>
      </c>
      <c r="B304" s="5">
        <f t="shared" si="21"/>
        <v>1.8097536054938879</v>
      </c>
      <c r="C304" s="5">
        <f t="shared" si="22"/>
        <v>-2.3361334572161905</v>
      </c>
      <c r="D304" s="5">
        <f>SUM(C$82:C304)</f>
        <v>178.65153667450949</v>
      </c>
      <c r="E304" s="9">
        <f t="shared" si="23"/>
        <v>1.7865153667450948</v>
      </c>
      <c r="F304" s="9">
        <f t="shared" si="24"/>
        <v>0.57629527959519189</v>
      </c>
      <c r="G304" s="9">
        <f t="shared" si="27"/>
        <v>0.57629527959519189</v>
      </c>
      <c r="H304" s="9">
        <f t="shared" si="25"/>
        <v>35.258975184416293</v>
      </c>
      <c r="I304" s="9">
        <f t="shared" si="26"/>
        <v>0.31592041765237</v>
      </c>
      <c r="J304" s="9">
        <f>SUM(I$82:I304)</f>
        <v>81.76249173493288</v>
      </c>
    </row>
    <row r="305" spans="1:10" x14ac:dyDescent="0.25">
      <c r="A305">
        <v>223</v>
      </c>
      <c r="B305" s="5">
        <f t="shared" si="21"/>
        <v>1.7814899890581537</v>
      </c>
      <c r="C305" s="5">
        <f t="shared" si="22"/>
        <v>-2.3643970736519244</v>
      </c>
      <c r="D305" s="5">
        <f>SUM(C$82:C305)</f>
        <v>176.28713960085756</v>
      </c>
      <c r="E305" s="9">
        <f t="shared" si="23"/>
        <v>1.7628713960085756</v>
      </c>
      <c r="F305" s="9">
        <f t="shared" si="24"/>
        <v>0.56866819226083076</v>
      </c>
      <c r="G305" s="9">
        <f t="shared" si="27"/>
        <v>0.56866819226083076</v>
      </c>
      <c r="H305" s="9">
        <f t="shared" si="25"/>
        <v>34.792333702916537</v>
      </c>
      <c r="I305" s="9">
        <f t="shared" si="26"/>
        <v>0.31173930997813221</v>
      </c>
      <c r="J305" s="9">
        <f>SUM(I$82:I305)</f>
        <v>82.074231044911016</v>
      </c>
    </row>
    <row r="306" spans="1:10" x14ac:dyDescent="0.25">
      <c r="A306">
        <v>224</v>
      </c>
      <c r="B306" s="5">
        <f t="shared" si="21"/>
        <v>1.75322637262242</v>
      </c>
      <c r="C306" s="5">
        <f t="shared" si="22"/>
        <v>-2.3926606900876584</v>
      </c>
      <c r="D306" s="5">
        <f>SUM(C$82:C306)</f>
        <v>173.89447891076989</v>
      </c>
      <c r="E306" s="9">
        <f t="shared" si="23"/>
        <v>1.738944789107699</v>
      </c>
      <c r="F306" s="9">
        <f t="shared" si="24"/>
        <v>0.56094993197022547</v>
      </c>
      <c r="G306" s="9">
        <f t="shared" si="27"/>
        <v>0.56094993197022547</v>
      </c>
      <c r="H306" s="9">
        <f t="shared" si="25"/>
        <v>34.320114065364628</v>
      </c>
      <c r="I306" s="9">
        <f t="shared" si="26"/>
        <v>0.30750822202566713</v>
      </c>
      <c r="J306" s="9">
        <f>SUM(I$82:I306)</f>
        <v>82.381739266936677</v>
      </c>
    </row>
    <row r="307" spans="1:10" x14ac:dyDescent="0.25">
      <c r="A307">
        <v>225</v>
      </c>
      <c r="B307" s="5">
        <f t="shared" si="21"/>
        <v>1.7249627561866865</v>
      </c>
      <c r="C307" s="5">
        <f t="shared" si="22"/>
        <v>-2.4209243065233919</v>
      </c>
      <c r="D307" s="5">
        <f>SUM(C$82:C307)</f>
        <v>171.47355460424649</v>
      </c>
      <c r="E307" s="9">
        <f t="shared" si="23"/>
        <v>1.7147355460424649</v>
      </c>
      <c r="F307" s="9">
        <f t="shared" si="24"/>
        <v>0.55314049872337578</v>
      </c>
      <c r="G307" s="9">
        <f t="shared" si="27"/>
        <v>0.55314049872337578</v>
      </c>
      <c r="H307" s="9">
        <f t="shared" si="25"/>
        <v>33.842316271760552</v>
      </c>
      <c r="I307" s="9">
        <f t="shared" si="26"/>
        <v>0.30322715379497456</v>
      </c>
      <c r="J307" s="9">
        <f>SUM(I$82:I307)</f>
        <v>82.684966420731655</v>
      </c>
    </row>
    <row r="308" spans="1:10" x14ac:dyDescent="0.25">
      <c r="A308">
        <v>226</v>
      </c>
      <c r="B308" s="5">
        <f t="shared" si="21"/>
        <v>1.6966991397509519</v>
      </c>
      <c r="C308" s="5">
        <f t="shared" si="22"/>
        <v>-2.4491879229591262</v>
      </c>
      <c r="D308" s="5">
        <f>SUM(C$82:C308)</f>
        <v>169.02436668128735</v>
      </c>
      <c r="E308" s="9">
        <f t="shared" si="23"/>
        <v>1.6902436668128735</v>
      </c>
      <c r="F308" s="9">
        <f t="shared" si="24"/>
        <v>0.54523989252028182</v>
      </c>
      <c r="G308" s="9">
        <f t="shared" si="27"/>
        <v>0.54523989252028182</v>
      </c>
      <c r="H308" s="9">
        <f t="shared" si="25"/>
        <v>33.358940322104303</v>
      </c>
      <c r="I308" s="9">
        <f t="shared" si="26"/>
        <v>0.29889610528605459</v>
      </c>
      <c r="J308" s="9">
        <f>SUM(I$82:I308)</f>
        <v>82.983862526017703</v>
      </c>
    </row>
    <row r="309" spans="1:10" x14ac:dyDescent="0.25">
      <c r="A309">
        <v>227</v>
      </c>
      <c r="B309" s="5">
        <f t="shared" si="21"/>
        <v>1.6684355233152184</v>
      </c>
      <c r="C309" s="5">
        <f t="shared" si="22"/>
        <v>-2.4774515393948597</v>
      </c>
      <c r="D309" s="5">
        <f>SUM(C$82:C309)</f>
        <v>166.5469151418925</v>
      </c>
      <c r="E309" s="9">
        <f t="shared" si="23"/>
        <v>1.665469151418925</v>
      </c>
      <c r="F309" s="9">
        <f t="shared" si="24"/>
        <v>0.53724811336094358</v>
      </c>
      <c r="G309" s="9">
        <f t="shared" si="27"/>
        <v>0.53724811336094358</v>
      </c>
      <c r="H309" s="9">
        <f t="shared" si="25"/>
        <v>32.869986216395901</v>
      </c>
      <c r="I309" s="9">
        <f t="shared" si="26"/>
        <v>0.29451507649890729</v>
      </c>
      <c r="J309" s="9">
        <f>SUM(I$82:I309)</f>
        <v>83.278377602516613</v>
      </c>
    </row>
    <row r="310" spans="1:10" x14ac:dyDescent="0.25">
      <c r="A310">
        <v>228</v>
      </c>
      <c r="B310" s="5">
        <f t="shared" si="21"/>
        <v>1.6401719068794849</v>
      </c>
      <c r="C310" s="5">
        <f t="shared" si="22"/>
        <v>-2.5057151558305932</v>
      </c>
      <c r="D310" s="5">
        <f>SUM(C$82:C310)</f>
        <v>164.04119998606191</v>
      </c>
      <c r="E310" s="9">
        <f t="shared" si="23"/>
        <v>1.640411999860619</v>
      </c>
      <c r="F310" s="9">
        <f t="shared" si="24"/>
        <v>0.52916516124536095</v>
      </c>
      <c r="G310" s="9">
        <f t="shared" si="27"/>
        <v>0.52916516124536095</v>
      </c>
      <c r="H310" s="9">
        <f t="shared" si="25"/>
        <v>32.375453954635326</v>
      </c>
      <c r="I310" s="9">
        <f t="shared" si="26"/>
        <v>0.29008406743353254</v>
      </c>
      <c r="J310" s="9">
        <f>SUM(I$82:I310)</f>
        <v>83.568461669950139</v>
      </c>
    </row>
    <row r="311" spans="1:10" x14ac:dyDescent="0.25">
      <c r="A311">
        <v>229</v>
      </c>
      <c r="B311" s="5">
        <f t="shared" si="21"/>
        <v>1.6119082904437505</v>
      </c>
      <c r="C311" s="5">
        <f t="shared" si="22"/>
        <v>-2.5339787722663276</v>
      </c>
      <c r="D311" s="5">
        <f>SUM(C$82:C311)</f>
        <v>161.50722121379559</v>
      </c>
      <c r="E311" s="9">
        <f t="shared" si="23"/>
        <v>1.6150722121379559</v>
      </c>
      <c r="F311" s="9">
        <f t="shared" si="24"/>
        <v>0.52099103617353415</v>
      </c>
      <c r="G311" s="9">
        <f t="shared" si="27"/>
        <v>0.52099103617353415</v>
      </c>
      <c r="H311" s="9">
        <f t="shared" si="25"/>
        <v>31.875343536822594</v>
      </c>
      <c r="I311" s="9">
        <f t="shared" si="26"/>
        <v>0.28560307808993046</v>
      </c>
      <c r="J311" s="9">
        <f>SUM(I$82:I311)</f>
        <v>83.854064748040074</v>
      </c>
    </row>
    <row r="312" spans="1:10" x14ac:dyDescent="0.25">
      <c r="A312">
        <v>230</v>
      </c>
      <c r="B312" s="5">
        <f t="shared" si="21"/>
        <v>1.583644674008017</v>
      </c>
      <c r="C312" s="5">
        <f t="shared" si="22"/>
        <v>-2.5622423887020611</v>
      </c>
      <c r="D312" s="5">
        <f>SUM(C$82:C312)</f>
        <v>158.94497882509353</v>
      </c>
      <c r="E312" s="9">
        <f t="shared" si="23"/>
        <v>1.5894497882509353</v>
      </c>
      <c r="F312" s="9">
        <f t="shared" si="24"/>
        <v>0.51272573814546296</v>
      </c>
      <c r="G312" s="9">
        <f t="shared" si="27"/>
        <v>0.51272573814546296</v>
      </c>
      <c r="H312" s="9">
        <f t="shared" si="25"/>
        <v>31.369654962957696</v>
      </c>
      <c r="I312" s="9">
        <f t="shared" si="26"/>
        <v>0.28107210846810099</v>
      </c>
      <c r="J312" s="9">
        <f>SUM(I$82:I312)</f>
        <v>84.135136856508169</v>
      </c>
    </row>
    <row r="313" spans="1:10" x14ac:dyDescent="0.25">
      <c r="A313">
        <v>231</v>
      </c>
      <c r="B313" s="5">
        <f t="shared" si="21"/>
        <v>1.5553810575722835</v>
      </c>
      <c r="C313" s="5">
        <f t="shared" si="22"/>
        <v>-2.5905060051377946</v>
      </c>
      <c r="D313" s="5">
        <f>SUM(C$82:C313)</f>
        <v>156.35447281995573</v>
      </c>
      <c r="E313" s="9">
        <f t="shared" si="23"/>
        <v>1.5635447281995574</v>
      </c>
      <c r="F313" s="9">
        <f t="shared" si="24"/>
        <v>0.50436926716114749</v>
      </c>
      <c r="G313" s="9">
        <f t="shared" si="27"/>
        <v>0.50436926716114749</v>
      </c>
      <c r="H313" s="9">
        <f t="shared" si="25"/>
        <v>30.858388233040628</v>
      </c>
      <c r="I313" s="9">
        <f t="shared" si="26"/>
        <v>0.27649115856804407</v>
      </c>
      <c r="J313" s="9">
        <f>SUM(I$82:I313)</f>
        <v>84.411628015076218</v>
      </c>
    </row>
    <row r="314" spans="1:10" x14ac:dyDescent="0.25">
      <c r="A314">
        <v>232</v>
      </c>
      <c r="B314" s="5">
        <f t="shared" si="21"/>
        <v>1.5271174411365498</v>
      </c>
      <c r="C314" s="5">
        <f t="shared" si="22"/>
        <v>-2.6187696215735281</v>
      </c>
      <c r="D314" s="5">
        <f>SUM(C$82:C314)</f>
        <v>153.7357031983822</v>
      </c>
      <c r="E314" s="9">
        <f t="shared" si="23"/>
        <v>1.5373570319838219</v>
      </c>
      <c r="F314" s="9">
        <f t="shared" si="24"/>
        <v>0.49592162322058769</v>
      </c>
      <c r="G314" s="9">
        <f t="shared" si="27"/>
        <v>0.49592162322058769</v>
      </c>
      <c r="H314" s="9">
        <f t="shared" si="25"/>
        <v>30.341543347071397</v>
      </c>
      <c r="I314" s="9">
        <f t="shared" si="26"/>
        <v>0.27186022838975976</v>
      </c>
      <c r="J314" s="9">
        <f>SUM(I$82:I314)</f>
        <v>84.683488243465973</v>
      </c>
    </row>
    <row r="315" spans="1:10" x14ac:dyDescent="0.25">
      <c r="A315">
        <v>233</v>
      </c>
      <c r="B315" s="5">
        <f t="shared" si="21"/>
        <v>1.4988538247008154</v>
      </c>
      <c r="C315" s="5">
        <f t="shared" si="22"/>
        <v>-2.6470332380092625</v>
      </c>
      <c r="D315" s="5">
        <f>SUM(C$82:C315)</f>
        <v>151.08866996037293</v>
      </c>
      <c r="E315" s="9">
        <f t="shared" si="23"/>
        <v>1.5108866996037293</v>
      </c>
      <c r="F315" s="9">
        <f t="shared" si="24"/>
        <v>0.48738280632378367</v>
      </c>
      <c r="G315" s="9">
        <f t="shared" si="27"/>
        <v>0.48738280632378367</v>
      </c>
      <c r="H315" s="9">
        <f t="shared" si="25"/>
        <v>29.81912030505001</v>
      </c>
      <c r="I315" s="9">
        <f t="shared" si="26"/>
        <v>0.26717931793324812</v>
      </c>
      <c r="J315" s="9">
        <f>SUM(I$82:I315)</f>
        <v>84.950667561399214</v>
      </c>
    </row>
    <row r="316" spans="1:10" x14ac:dyDescent="0.25">
      <c r="A316">
        <v>234</v>
      </c>
      <c r="B316" s="5">
        <f t="shared" si="21"/>
        <v>1.4705902082650817</v>
      </c>
      <c r="C316" s="5">
        <f t="shared" si="22"/>
        <v>-2.6752968544449964</v>
      </c>
      <c r="D316" s="5">
        <f>SUM(C$82:C316)</f>
        <v>148.41337310592792</v>
      </c>
      <c r="E316" s="9">
        <f t="shared" si="23"/>
        <v>1.4841337310592793</v>
      </c>
      <c r="F316" s="9">
        <f t="shared" si="24"/>
        <v>0.47875281647073525</v>
      </c>
      <c r="G316" s="9">
        <f t="shared" si="27"/>
        <v>0.47875281647073525</v>
      </c>
      <c r="H316" s="9">
        <f t="shared" si="25"/>
        <v>29.291119106976449</v>
      </c>
      <c r="I316" s="9">
        <f t="shared" si="26"/>
        <v>0.26244842719850903</v>
      </c>
      <c r="J316" s="9">
        <f>SUM(I$82:I316)</f>
        <v>85.213115988597721</v>
      </c>
    </row>
    <row r="317" spans="1:10" x14ac:dyDescent="0.25">
      <c r="A317">
        <v>235</v>
      </c>
      <c r="B317" s="5">
        <f t="shared" si="21"/>
        <v>1.4423265918293482</v>
      </c>
      <c r="C317" s="5">
        <f t="shared" si="22"/>
        <v>-2.7035604708807299</v>
      </c>
      <c r="D317" s="5">
        <f>SUM(C$82:C317)</f>
        <v>145.7098126350472</v>
      </c>
      <c r="E317" s="9">
        <f t="shared" si="23"/>
        <v>1.4570981263504721</v>
      </c>
      <c r="F317" s="9">
        <f t="shared" si="24"/>
        <v>0.47003165366144262</v>
      </c>
      <c r="G317" s="9">
        <f t="shared" si="27"/>
        <v>0.47003165366144262</v>
      </c>
      <c r="H317" s="9">
        <f t="shared" si="25"/>
        <v>28.757539752850732</v>
      </c>
      <c r="I317" s="9">
        <f t="shared" si="26"/>
        <v>0.2576675561855426</v>
      </c>
      <c r="J317" s="9">
        <f>SUM(I$82:I317)</f>
        <v>85.470783544783259</v>
      </c>
    </row>
    <row r="318" spans="1:10" x14ac:dyDescent="0.25">
      <c r="A318">
        <v>236</v>
      </c>
      <c r="B318" s="5">
        <f t="shared" si="21"/>
        <v>1.414062975393614</v>
      </c>
      <c r="C318" s="5">
        <f t="shared" si="22"/>
        <v>-2.7318240873164639</v>
      </c>
      <c r="D318" s="5">
        <f>SUM(C$82:C318)</f>
        <v>142.97798854773075</v>
      </c>
      <c r="E318" s="9">
        <f t="shared" si="23"/>
        <v>1.4297798854773074</v>
      </c>
      <c r="F318" s="9">
        <f t="shared" si="24"/>
        <v>0.46121931789590559</v>
      </c>
      <c r="G318" s="9">
        <f t="shared" si="27"/>
        <v>0.46121931789590559</v>
      </c>
      <c r="H318" s="9">
        <f t="shared" si="25"/>
        <v>28.218382242672842</v>
      </c>
      <c r="I318" s="9">
        <f t="shared" si="26"/>
        <v>0.25283670489434867</v>
      </c>
      <c r="J318" s="9">
        <f>SUM(I$82:I318)</f>
        <v>85.723620249677609</v>
      </c>
    </row>
    <row r="319" spans="1:10" x14ac:dyDescent="0.25">
      <c r="A319">
        <v>237</v>
      </c>
      <c r="B319" s="5">
        <f t="shared" si="21"/>
        <v>1.3857993589578803</v>
      </c>
      <c r="C319" s="5">
        <f t="shared" si="22"/>
        <v>-2.7600877037521978</v>
      </c>
      <c r="D319" s="5">
        <f>SUM(C$82:C319)</f>
        <v>140.21790084397855</v>
      </c>
      <c r="E319" s="9">
        <f t="shared" si="23"/>
        <v>1.4021790084397856</v>
      </c>
      <c r="F319" s="9">
        <f t="shared" si="24"/>
        <v>0.45231580917412439</v>
      </c>
      <c r="G319" s="9">
        <f t="shared" si="27"/>
        <v>0.45231580917412439</v>
      </c>
      <c r="H319" s="9">
        <f t="shared" si="25"/>
        <v>27.673646576442795</v>
      </c>
      <c r="I319" s="9">
        <f t="shared" si="26"/>
        <v>0.24795587332492747</v>
      </c>
      <c r="J319" s="9">
        <f>SUM(I$82:I319)</f>
        <v>85.971576123002535</v>
      </c>
    </row>
    <row r="320" spans="1:10" x14ac:dyDescent="0.25">
      <c r="A320">
        <v>238</v>
      </c>
      <c r="B320" s="5">
        <f t="shared" si="21"/>
        <v>1.3575357425221468</v>
      </c>
      <c r="C320" s="5">
        <f t="shared" si="22"/>
        <v>-2.7883513201879313</v>
      </c>
      <c r="D320" s="5">
        <f>SUM(C$82:C320)</f>
        <v>137.42954952379063</v>
      </c>
      <c r="E320" s="9">
        <f t="shared" si="23"/>
        <v>1.3742954952379063</v>
      </c>
      <c r="F320" s="9">
        <f t="shared" si="24"/>
        <v>0.44332112749609881</v>
      </c>
      <c r="G320" s="9">
        <f t="shared" si="27"/>
        <v>0.44332112749609881</v>
      </c>
      <c r="H320" s="9">
        <f t="shared" si="25"/>
        <v>27.123332754160582</v>
      </c>
      <c r="I320" s="9">
        <f t="shared" si="26"/>
        <v>0.24302506147727884</v>
      </c>
      <c r="J320" s="9">
        <f>SUM(I$82:I320)</f>
        <v>86.214601184479818</v>
      </c>
    </row>
    <row r="321" spans="1:10" x14ac:dyDescent="0.25">
      <c r="A321">
        <v>239</v>
      </c>
      <c r="B321" s="5">
        <f t="shared" si="21"/>
        <v>1.3292721260864122</v>
      </c>
      <c r="C321" s="5">
        <f t="shared" si="22"/>
        <v>-2.8166149366236661</v>
      </c>
      <c r="D321" s="5">
        <f>SUM(C$82:C321)</f>
        <v>134.61293458716696</v>
      </c>
      <c r="E321" s="9">
        <f t="shared" si="23"/>
        <v>1.3461293458716697</v>
      </c>
      <c r="F321" s="9">
        <f t="shared" si="24"/>
        <v>0.43423527286182889</v>
      </c>
      <c r="G321" s="9">
        <f t="shared" si="27"/>
        <v>0.43423527286182889</v>
      </c>
      <c r="H321" s="9">
        <f t="shared" si="25"/>
        <v>26.567440775826199</v>
      </c>
      <c r="I321" s="9">
        <f t="shared" si="26"/>
        <v>0.23804426935140277</v>
      </c>
      <c r="J321" s="9">
        <f>SUM(I$82:I321)</f>
        <v>86.452645453831224</v>
      </c>
    </row>
    <row r="322" spans="1:10" x14ac:dyDescent="0.25">
      <c r="A322">
        <v>240</v>
      </c>
      <c r="B322" s="5">
        <f t="shared" si="21"/>
        <v>1.3010085096506787</v>
      </c>
      <c r="C322" s="5">
        <f t="shared" si="22"/>
        <v>-2.8448785530593996</v>
      </c>
      <c r="D322" s="5">
        <f>SUM(C$82:C322)</f>
        <v>131.76805603410756</v>
      </c>
      <c r="E322" s="9">
        <f t="shared" si="23"/>
        <v>1.3176805603410755</v>
      </c>
      <c r="F322" s="9">
        <f t="shared" si="24"/>
        <v>0.42505824527131464</v>
      </c>
      <c r="G322" s="9">
        <f t="shared" si="27"/>
        <v>0.42505824527131464</v>
      </c>
      <c r="H322" s="9">
        <f t="shared" si="25"/>
        <v>26.005970641439649</v>
      </c>
      <c r="I322" s="9">
        <f t="shared" si="26"/>
        <v>0.23301349694729925</v>
      </c>
      <c r="J322" s="9">
        <f>SUM(I$82:I322)</f>
        <v>86.685658950778517</v>
      </c>
    </row>
    <row r="323" spans="1:10" x14ac:dyDescent="0.25">
      <c r="A323">
        <v>241</v>
      </c>
      <c r="B323" s="5">
        <f t="shared" si="21"/>
        <v>1.272744893214945</v>
      </c>
      <c r="C323" s="5">
        <f t="shared" si="22"/>
        <v>-2.8731421694951331</v>
      </c>
      <c r="D323" s="5">
        <f>SUM(C$82:C323)</f>
        <v>128.89491386461242</v>
      </c>
      <c r="E323" s="9">
        <f t="shared" si="23"/>
        <v>1.2889491386461243</v>
      </c>
      <c r="F323" s="9">
        <f t="shared" si="24"/>
        <v>0.41579004472455622</v>
      </c>
      <c r="G323" s="9">
        <f t="shared" si="27"/>
        <v>0.41579004472455622</v>
      </c>
      <c r="H323" s="9">
        <f t="shared" si="25"/>
        <v>25.438922351000947</v>
      </c>
      <c r="I323" s="9">
        <f t="shared" si="26"/>
        <v>0.22793274426496851</v>
      </c>
      <c r="J323" s="9">
        <f>SUM(I$82:I323)</f>
        <v>86.913591695043479</v>
      </c>
    </row>
    <row r="324" spans="1:10" x14ac:dyDescent="0.25">
      <c r="A324">
        <v>242</v>
      </c>
      <c r="B324" s="5">
        <f t="shared" si="21"/>
        <v>1.2444812767792108</v>
      </c>
      <c r="C324" s="5">
        <f t="shared" si="22"/>
        <v>-2.9014057859308675</v>
      </c>
      <c r="D324" s="5">
        <f>SUM(C$82:C324)</f>
        <v>125.99350807868156</v>
      </c>
      <c r="E324" s="9">
        <f t="shared" si="23"/>
        <v>1.2599350807868155</v>
      </c>
      <c r="F324" s="9">
        <f t="shared" si="24"/>
        <v>0.40643067122155335</v>
      </c>
      <c r="G324" s="9">
        <f t="shared" si="27"/>
        <v>0.40643067122155335</v>
      </c>
      <c r="H324" s="9">
        <f t="shared" si="25"/>
        <v>24.866295904510071</v>
      </c>
      <c r="I324" s="9">
        <f t="shared" si="26"/>
        <v>0.22280201130441027</v>
      </c>
      <c r="J324" s="9">
        <f>SUM(I$82:I324)</f>
        <v>87.136393706347889</v>
      </c>
    </row>
    <row r="325" spans="1:10" x14ac:dyDescent="0.25">
      <c r="A325">
        <v>243</v>
      </c>
      <c r="B325" s="5">
        <f t="shared" si="21"/>
        <v>1.2162176603434771</v>
      </c>
      <c r="C325" s="5">
        <f t="shared" si="22"/>
        <v>-2.929669402366601</v>
      </c>
      <c r="D325" s="5">
        <f>SUM(C$82:C325)</f>
        <v>123.06383867631496</v>
      </c>
      <c r="E325" s="9">
        <f t="shared" si="23"/>
        <v>1.2306383867631496</v>
      </c>
      <c r="F325" s="9">
        <f t="shared" si="24"/>
        <v>0.39698012476230632</v>
      </c>
      <c r="G325" s="9">
        <f t="shared" si="27"/>
        <v>0.39698012476230632</v>
      </c>
      <c r="H325" s="9">
        <f t="shared" si="25"/>
        <v>24.288091301967036</v>
      </c>
      <c r="I325" s="9">
        <f t="shared" si="26"/>
        <v>0.21762129806562466</v>
      </c>
      <c r="J325" s="9">
        <f>SUM(I$82:I325)</f>
        <v>87.354015004413512</v>
      </c>
    </row>
    <row r="326" spans="1:10" x14ac:dyDescent="0.25">
      <c r="A326">
        <v>244</v>
      </c>
      <c r="B326" s="5">
        <f t="shared" si="21"/>
        <v>1.1879540439077436</v>
      </c>
      <c r="C326" s="5">
        <f t="shared" si="22"/>
        <v>-2.9579330188023345</v>
      </c>
      <c r="D326" s="5">
        <f>SUM(C$82:C326)</f>
        <v>120.10590565751262</v>
      </c>
      <c r="E326" s="9">
        <f t="shared" si="23"/>
        <v>1.2010590565751262</v>
      </c>
      <c r="F326" s="9">
        <f t="shared" si="24"/>
        <v>0.3874384053468149</v>
      </c>
      <c r="G326" s="9">
        <f t="shared" si="27"/>
        <v>0.3874384053468149</v>
      </c>
      <c r="H326" s="9">
        <f t="shared" si="25"/>
        <v>23.704308543371834</v>
      </c>
      <c r="I326" s="9">
        <f t="shared" si="26"/>
        <v>0.21239060454861164</v>
      </c>
      <c r="J326" s="9">
        <f>SUM(I$82:I326)</f>
        <v>87.566405608962128</v>
      </c>
    </row>
    <row r="327" spans="1:10" x14ac:dyDescent="0.25">
      <c r="A327">
        <v>245</v>
      </c>
      <c r="B327" s="5">
        <f t="shared" si="21"/>
        <v>1.159690427472009</v>
      </c>
      <c r="C327" s="5">
        <f t="shared" si="22"/>
        <v>-2.9861966352380689</v>
      </c>
      <c r="D327" s="5">
        <f>SUM(C$82:C327)</f>
        <v>117.11970902227455</v>
      </c>
      <c r="E327" s="9">
        <f t="shared" si="23"/>
        <v>1.1711970902227455</v>
      </c>
      <c r="F327" s="9">
        <f t="shared" si="24"/>
        <v>0.37780551297507919</v>
      </c>
      <c r="G327" s="9">
        <f t="shared" si="27"/>
        <v>0.37780551297507919</v>
      </c>
      <c r="H327" s="9">
        <f t="shared" si="25"/>
        <v>23.114947628724465</v>
      </c>
      <c r="I327" s="9">
        <f t="shared" si="26"/>
        <v>0.20710993075337122</v>
      </c>
      <c r="J327" s="9">
        <f>SUM(I$82:I327)</f>
        <v>87.773515539715504</v>
      </c>
    </row>
    <row r="328" spans="1:10" x14ac:dyDescent="0.25">
      <c r="A328">
        <v>246</v>
      </c>
      <c r="B328" s="5">
        <f t="shared" si="21"/>
        <v>1.1314268110362755</v>
      </c>
      <c r="C328" s="5">
        <f t="shared" si="22"/>
        <v>-3.0144602516738024</v>
      </c>
      <c r="D328" s="5">
        <f>SUM(C$82:C328)</f>
        <v>114.10524877060075</v>
      </c>
      <c r="E328" s="9">
        <f t="shared" si="23"/>
        <v>1.1410524877060075</v>
      </c>
      <c r="F328" s="9">
        <f t="shared" si="24"/>
        <v>0.36808144764709921</v>
      </c>
      <c r="G328" s="9">
        <f t="shared" si="27"/>
        <v>0.36808144764709921</v>
      </c>
      <c r="H328" s="9">
        <f t="shared" si="25"/>
        <v>22.520008558024937</v>
      </c>
      <c r="I328" s="9">
        <f t="shared" si="26"/>
        <v>0.20177927667990345</v>
      </c>
      <c r="J328" s="9">
        <f>SUM(I$82:I328)</f>
        <v>87.975294816395404</v>
      </c>
    </row>
    <row r="329" spans="1:10" x14ac:dyDescent="0.25">
      <c r="A329">
        <v>247</v>
      </c>
      <c r="B329" s="5">
        <f t="shared" si="21"/>
        <v>1.1031631946005418</v>
      </c>
      <c r="C329" s="5">
        <f t="shared" si="22"/>
        <v>-3.0427238681095363</v>
      </c>
      <c r="D329" s="5">
        <f>SUM(C$82:C329)</f>
        <v>111.06252490249122</v>
      </c>
      <c r="E329" s="9">
        <f t="shared" si="23"/>
        <v>1.1106252490249122</v>
      </c>
      <c r="F329" s="9">
        <f t="shared" si="24"/>
        <v>0.3582662093628749</v>
      </c>
      <c r="G329" s="9">
        <f t="shared" si="27"/>
        <v>0.3582662093628749</v>
      </c>
      <c r="H329" s="9">
        <f t="shared" si="25"/>
        <v>21.919491331273242</v>
      </c>
      <c r="I329" s="9">
        <f t="shared" si="26"/>
        <v>0.19639864232820825</v>
      </c>
      <c r="J329" s="9">
        <f>SUM(I$82:I329)</f>
        <v>88.17169345872361</v>
      </c>
    </row>
    <row r="330" spans="1:10" x14ac:dyDescent="0.25">
      <c r="A330">
        <v>248</v>
      </c>
      <c r="B330" s="5">
        <f t="shared" si="21"/>
        <v>1.0748995781648074</v>
      </c>
      <c r="C330" s="5">
        <f t="shared" si="22"/>
        <v>-3.0709874845452707</v>
      </c>
      <c r="D330" s="5">
        <f>SUM(C$82:C330)</f>
        <v>107.99153741794595</v>
      </c>
      <c r="E330" s="9">
        <f t="shared" si="23"/>
        <v>1.0799153741794596</v>
      </c>
      <c r="F330" s="9">
        <f t="shared" si="24"/>
        <v>0.34835979812240631</v>
      </c>
      <c r="G330" s="9">
        <f t="shared" si="27"/>
        <v>0.34835979812240631</v>
      </c>
      <c r="H330" s="9">
        <f t="shared" si="25"/>
        <v>21.313395948469381</v>
      </c>
      <c r="I330" s="9">
        <f t="shared" si="26"/>
        <v>0.19096802769828569</v>
      </c>
      <c r="J330" s="9">
        <f>SUM(I$82:I330)</f>
        <v>88.362661486421899</v>
      </c>
    </row>
    <row r="331" spans="1:10" x14ac:dyDescent="0.25">
      <c r="A331">
        <v>249</v>
      </c>
      <c r="B331" s="5">
        <f t="shared" si="21"/>
        <v>1.0466359617290737</v>
      </c>
      <c r="C331" s="5">
        <f t="shared" si="22"/>
        <v>-3.0992511009810046</v>
      </c>
      <c r="D331" s="5">
        <f>SUM(C$82:C331)</f>
        <v>104.89228631696494</v>
      </c>
      <c r="E331" s="9">
        <f t="shared" si="23"/>
        <v>1.0489228631696494</v>
      </c>
      <c r="F331" s="9">
        <f t="shared" si="24"/>
        <v>0.33836221392569338</v>
      </c>
      <c r="G331" s="9">
        <f t="shared" si="27"/>
        <v>0.33836221392569338</v>
      </c>
      <c r="H331" s="9">
        <f t="shared" si="25"/>
        <v>20.701722409613357</v>
      </c>
      <c r="I331" s="9">
        <f t="shared" si="26"/>
        <v>0.18548743279013569</v>
      </c>
      <c r="J331" s="9">
        <f>SUM(I$82:I331)</f>
        <v>88.548148919212039</v>
      </c>
    </row>
    <row r="332" spans="1:10" x14ac:dyDescent="0.25">
      <c r="A332">
        <v>250</v>
      </c>
      <c r="B332" s="5">
        <f t="shared" si="21"/>
        <v>1.0183723452933402</v>
      </c>
      <c r="C332" s="5">
        <f t="shared" si="22"/>
        <v>-3.1275147174167381</v>
      </c>
      <c r="D332" s="5">
        <f>SUM(C$82:C332)</f>
        <v>101.7647715995482</v>
      </c>
      <c r="E332" s="9">
        <f t="shared" si="23"/>
        <v>1.017647715995482</v>
      </c>
      <c r="F332" s="9">
        <f t="shared" si="24"/>
        <v>0.32827345677273612</v>
      </c>
      <c r="G332" s="9">
        <f t="shared" si="27"/>
        <v>0.32827345677273612</v>
      </c>
      <c r="H332" s="9">
        <f t="shared" si="25"/>
        <v>20.084470714705162</v>
      </c>
      <c r="I332" s="9">
        <f t="shared" si="26"/>
        <v>0.17995685760375829</v>
      </c>
      <c r="J332" s="9">
        <f>SUM(I$82:I332)</f>
        <v>88.728105776815795</v>
      </c>
    </row>
    <row r="333" spans="1:10" x14ac:dyDescent="0.25">
      <c r="A333">
        <v>251</v>
      </c>
      <c r="B333" s="5">
        <f t="shared" si="21"/>
        <v>0.99010872885760659</v>
      </c>
      <c r="C333" s="5">
        <f t="shared" si="22"/>
        <v>-3.1557783338524716</v>
      </c>
      <c r="D333" s="5">
        <f>SUM(C$82:C333)</f>
        <v>98.60899326569573</v>
      </c>
      <c r="E333" s="9">
        <f t="shared" si="23"/>
        <v>0.98608993265695732</v>
      </c>
      <c r="F333" s="9">
        <f t="shared" si="24"/>
        <v>0.31809352666353463</v>
      </c>
      <c r="G333" s="9">
        <f t="shared" si="27"/>
        <v>0.31809352666353463</v>
      </c>
      <c r="H333" s="9">
        <f t="shared" si="25"/>
        <v>19.461640863744815</v>
      </c>
      <c r="I333" s="9">
        <f t="shared" si="26"/>
        <v>0.17437630213915356</v>
      </c>
      <c r="J333" s="9">
        <f>SUM(I$82:I333)</f>
        <v>88.902482078954947</v>
      </c>
    </row>
    <row r="334" spans="1:10" x14ac:dyDescent="0.25">
      <c r="A334">
        <v>252</v>
      </c>
      <c r="B334" s="5">
        <f t="shared" si="21"/>
        <v>0.96184511242187221</v>
      </c>
      <c r="C334" s="5">
        <f t="shared" si="22"/>
        <v>-3.184041950288206</v>
      </c>
      <c r="D334" s="5">
        <f>SUM(C$82:C334)</f>
        <v>95.424951315407526</v>
      </c>
      <c r="E334" s="9">
        <f t="shared" si="23"/>
        <v>0.95424951315407525</v>
      </c>
      <c r="F334" s="9">
        <f t="shared" si="24"/>
        <v>0.30782242359808876</v>
      </c>
      <c r="G334" s="9">
        <f t="shared" si="27"/>
        <v>0.30782242359808876</v>
      </c>
      <c r="H334" s="9">
        <f t="shared" si="25"/>
        <v>18.833232856732291</v>
      </c>
      <c r="I334" s="9">
        <f t="shared" si="26"/>
        <v>0.16874576639632136</v>
      </c>
      <c r="J334" s="9">
        <f>SUM(I$82:I334)</f>
        <v>89.071227845351274</v>
      </c>
    </row>
    <row r="335" spans="1:10" x14ac:dyDescent="0.25">
      <c r="A335">
        <v>253</v>
      </c>
      <c r="B335" s="5">
        <f t="shared" si="21"/>
        <v>0.9335814959861386</v>
      </c>
      <c r="C335" s="5">
        <f t="shared" si="22"/>
        <v>-3.2123055667239395</v>
      </c>
      <c r="D335" s="5">
        <f>SUM(C$82:C335)</f>
        <v>92.212645748683585</v>
      </c>
      <c r="E335" s="9">
        <f t="shared" si="23"/>
        <v>0.92212645748683586</v>
      </c>
      <c r="F335" s="9">
        <f t="shared" si="24"/>
        <v>0.29746014757639866</v>
      </c>
      <c r="G335" s="9">
        <f t="shared" si="27"/>
        <v>0.29746014757639866</v>
      </c>
      <c r="H335" s="9">
        <f t="shared" si="25"/>
        <v>18.199246693667611</v>
      </c>
      <c r="I335" s="9">
        <f t="shared" si="26"/>
        <v>0.16306525037526182</v>
      </c>
      <c r="J335" s="9">
        <f>SUM(I$82:I335)</f>
        <v>89.234293095726542</v>
      </c>
    </row>
    <row r="336" spans="1:10" x14ac:dyDescent="0.25">
      <c r="A336">
        <v>254</v>
      </c>
      <c r="B336" s="5">
        <f t="shared" si="21"/>
        <v>0.9053178795504051</v>
      </c>
      <c r="C336" s="5">
        <f t="shared" si="22"/>
        <v>-3.240569183159673</v>
      </c>
      <c r="D336" s="5">
        <f>SUM(C$82:C336)</f>
        <v>88.972076565523906</v>
      </c>
      <c r="E336" s="9">
        <f t="shared" si="23"/>
        <v>0.88972076565523905</v>
      </c>
      <c r="F336" s="9">
        <f t="shared" si="24"/>
        <v>0.28700669859846423</v>
      </c>
      <c r="G336" s="9">
        <f t="shared" si="27"/>
        <v>0.28700669859846423</v>
      </c>
      <c r="H336" s="9">
        <f t="shared" si="25"/>
        <v>17.559682374550764</v>
      </c>
      <c r="I336" s="9">
        <f t="shared" si="26"/>
        <v>0.15733475407597489</v>
      </c>
      <c r="J336" s="9">
        <f>SUM(I$82:I336)</f>
        <v>89.391627849802518</v>
      </c>
    </row>
    <row r="337" spans="1:10" x14ac:dyDescent="0.25">
      <c r="A337">
        <v>255</v>
      </c>
      <c r="B337" s="5">
        <f t="shared" si="21"/>
        <v>0.87705426311467072</v>
      </c>
      <c r="C337" s="5">
        <f t="shared" si="22"/>
        <v>-3.2688327995954074</v>
      </c>
      <c r="D337" s="5">
        <f>SUM(C$82:C337)</f>
        <v>85.703243765928505</v>
      </c>
      <c r="E337" s="9">
        <f t="shared" si="23"/>
        <v>0.85703243765928505</v>
      </c>
      <c r="F337" s="9">
        <f t="shared" si="24"/>
        <v>0.27646207666428552</v>
      </c>
      <c r="G337" s="9">
        <f t="shared" si="27"/>
        <v>0.27646207666428552</v>
      </c>
      <c r="H337" s="9">
        <f t="shared" si="25"/>
        <v>16.914539899381751</v>
      </c>
      <c r="I337" s="9">
        <f t="shared" si="26"/>
        <v>0.15155427749846051</v>
      </c>
      <c r="J337" s="9">
        <f>SUM(I$82:I337)</f>
        <v>89.54318212730098</v>
      </c>
    </row>
    <row r="338" spans="1:10" x14ac:dyDescent="0.25">
      <c r="A338">
        <v>256</v>
      </c>
      <c r="B338" s="5">
        <f t="shared" ref="B338:B401" si="28">2*(Radius-A338*half_lambda)*alphaSector*half_lambda*PV_Efficiency*Irradiance</f>
        <v>0.84879064667893711</v>
      </c>
      <c r="C338" s="5">
        <f t="shared" ref="C338:C401" si="29">B338-Element_Power_BOL</f>
        <v>-3.2970964160311409</v>
      </c>
      <c r="D338" s="5">
        <f>SUM(C$82:C338)</f>
        <v>82.406147349897367</v>
      </c>
      <c r="E338" s="9">
        <f t="shared" ref="E338:E401" si="30">D338/V_bus</f>
        <v>0.82406147349897363</v>
      </c>
      <c r="F338" s="9">
        <f t="shared" ref="F338:F401" si="31">E338/J_Cu</f>
        <v>0.26582628177386247</v>
      </c>
      <c r="G338" s="9">
        <f t="shared" si="27"/>
        <v>0.26582628177386247</v>
      </c>
      <c r="H338" s="9">
        <f t="shared" ref="H338:H401" si="32">G338*half_lambda*1000</f>
        <v>16.263819268160574</v>
      </c>
      <c r="I338" s="9">
        <f t="shared" ref="I338:I401" si="33">H338/1000*rho_Cu</f>
        <v>0.14572382064271877</v>
      </c>
      <c r="J338" s="9">
        <f>SUM(I$82:I338)</f>
        <v>89.688905947943695</v>
      </c>
    </row>
    <row r="339" spans="1:10" x14ac:dyDescent="0.25">
      <c r="A339">
        <v>257</v>
      </c>
      <c r="B339" s="5">
        <f t="shared" si="28"/>
        <v>0.8205270302432035</v>
      </c>
      <c r="C339" s="5">
        <f t="shared" si="29"/>
        <v>-3.3253600324668744</v>
      </c>
      <c r="D339" s="5">
        <f>SUM(C$82:C339)</f>
        <v>79.080787317430492</v>
      </c>
      <c r="E339" s="9">
        <f t="shared" si="30"/>
        <v>0.7908078731743049</v>
      </c>
      <c r="F339" s="9">
        <f t="shared" si="31"/>
        <v>0.25509931392719515</v>
      </c>
      <c r="G339" s="9">
        <f t="shared" ref="G339:G385" si="34">MAX(0.1, F339)</f>
        <v>0.25509931392719515</v>
      </c>
      <c r="H339" s="9">
        <f t="shared" si="32"/>
        <v>15.607520480887239</v>
      </c>
      <c r="I339" s="9">
        <f t="shared" si="33"/>
        <v>0.13984338350874967</v>
      </c>
      <c r="J339" s="9">
        <f>SUM(I$82:I339)</f>
        <v>89.828749331452443</v>
      </c>
    </row>
    <row r="340" spans="1:10" x14ac:dyDescent="0.25">
      <c r="A340">
        <v>258</v>
      </c>
      <c r="B340" s="5">
        <f t="shared" si="28"/>
        <v>0.79226341380746901</v>
      </c>
      <c r="C340" s="5">
        <f t="shared" si="29"/>
        <v>-3.3536236489026092</v>
      </c>
      <c r="D340" s="5">
        <f>SUM(C$82:C340)</f>
        <v>75.727163668527879</v>
      </c>
      <c r="E340" s="9">
        <f t="shared" si="30"/>
        <v>0.75727163668527875</v>
      </c>
      <c r="F340" s="9">
        <f t="shared" si="31"/>
        <v>0.24428117312428346</v>
      </c>
      <c r="G340" s="9">
        <f t="shared" si="34"/>
        <v>0.24428117312428346</v>
      </c>
      <c r="H340" s="9">
        <f t="shared" si="32"/>
        <v>14.945643537561729</v>
      </c>
      <c r="I340" s="9">
        <f t="shared" si="33"/>
        <v>0.13391296609655309</v>
      </c>
      <c r="J340" s="9">
        <f>SUM(I$82:I340)</f>
        <v>89.962662297549002</v>
      </c>
    </row>
    <row r="341" spans="1:10" x14ac:dyDescent="0.25">
      <c r="A341">
        <v>259</v>
      </c>
      <c r="B341" s="5">
        <f t="shared" si="28"/>
        <v>0.76399979737173562</v>
      </c>
      <c r="C341" s="5">
        <f t="shared" si="29"/>
        <v>-3.3818872653383423</v>
      </c>
      <c r="D341" s="5">
        <f>SUM(C$82:C341)</f>
        <v>72.34527640318953</v>
      </c>
      <c r="E341" s="9">
        <f t="shared" si="30"/>
        <v>0.72345276403189529</v>
      </c>
      <c r="F341" s="9">
        <f t="shared" si="31"/>
        <v>0.2333718593651275</v>
      </c>
      <c r="G341" s="9">
        <f t="shared" si="34"/>
        <v>0.2333718593651275</v>
      </c>
      <c r="H341" s="9">
        <f t="shared" si="32"/>
        <v>14.27818843818406</v>
      </c>
      <c r="I341" s="9">
        <f t="shared" si="33"/>
        <v>0.12793256840612918</v>
      </c>
      <c r="J341" s="9">
        <f>SUM(I$82:I341)</f>
        <v>90.090594865955126</v>
      </c>
    </row>
    <row r="342" spans="1:10" x14ac:dyDescent="0.25">
      <c r="A342">
        <v>260</v>
      </c>
      <c r="B342" s="5">
        <f t="shared" si="28"/>
        <v>0.73573618093600202</v>
      </c>
      <c r="C342" s="5">
        <f t="shared" si="29"/>
        <v>-3.4101508817740762</v>
      </c>
      <c r="D342" s="5">
        <f>SUM(C$82:C342)</f>
        <v>68.935125521415458</v>
      </c>
      <c r="E342" s="9">
        <f t="shared" si="30"/>
        <v>0.68935125521415452</v>
      </c>
      <c r="F342" s="9">
        <f t="shared" si="31"/>
        <v>0.22237137264972726</v>
      </c>
      <c r="G342" s="9">
        <f t="shared" si="34"/>
        <v>0.22237137264972726</v>
      </c>
      <c r="H342" s="9">
        <f t="shared" si="32"/>
        <v>13.605155182754226</v>
      </c>
      <c r="I342" s="9">
        <f t="shared" si="33"/>
        <v>0.12190219043747787</v>
      </c>
      <c r="J342" s="9">
        <f>SUM(I$82:I342)</f>
        <v>90.212497056392607</v>
      </c>
    </row>
    <row r="343" spans="1:10" x14ac:dyDescent="0.25">
      <c r="A343">
        <v>261</v>
      </c>
      <c r="B343" s="5">
        <f t="shared" si="28"/>
        <v>0.70747256450026741</v>
      </c>
      <c r="C343" s="5">
        <f t="shared" si="29"/>
        <v>-3.4384144982098106</v>
      </c>
      <c r="D343" s="5">
        <f>SUM(C$82:C343)</f>
        <v>65.496711023205648</v>
      </c>
      <c r="E343" s="9">
        <f t="shared" si="30"/>
        <v>0.65496711023205645</v>
      </c>
      <c r="F343" s="9">
        <f t="shared" si="31"/>
        <v>0.21127971297808271</v>
      </c>
      <c r="G343" s="9">
        <f t="shared" si="34"/>
        <v>0.21127971297808271</v>
      </c>
      <c r="H343" s="9">
        <f t="shared" si="32"/>
        <v>12.926543771272227</v>
      </c>
      <c r="I343" s="9">
        <f t="shared" si="33"/>
        <v>0.11582183219059916</v>
      </c>
      <c r="J343" s="9">
        <f>SUM(I$82:I343)</f>
        <v>90.328318888583212</v>
      </c>
    </row>
    <row r="344" spans="1:10" x14ac:dyDescent="0.25">
      <c r="A344">
        <v>262</v>
      </c>
      <c r="B344" s="5">
        <f t="shared" si="28"/>
        <v>0.67920894806453391</v>
      </c>
      <c r="C344" s="5">
        <f t="shared" si="29"/>
        <v>-3.4666781146455441</v>
      </c>
      <c r="D344" s="5">
        <f>SUM(C$82:C344)</f>
        <v>62.030032908560102</v>
      </c>
      <c r="E344" s="9">
        <f t="shared" si="30"/>
        <v>0.62030032908560107</v>
      </c>
      <c r="F344" s="9">
        <f t="shared" si="31"/>
        <v>0.20009688035019388</v>
      </c>
      <c r="G344" s="9">
        <f t="shared" si="34"/>
        <v>0.20009688035019388</v>
      </c>
      <c r="H344" s="9">
        <f t="shared" si="32"/>
        <v>12.242354203738065</v>
      </c>
      <c r="I344" s="9">
        <f t="shared" si="33"/>
        <v>0.10969149366549308</v>
      </c>
      <c r="J344" s="9">
        <f>SUM(I$82:I344)</f>
        <v>90.438010382248706</v>
      </c>
    </row>
    <row r="345" spans="1:10" x14ac:dyDescent="0.25">
      <c r="A345">
        <v>263</v>
      </c>
      <c r="B345" s="5">
        <f t="shared" si="28"/>
        <v>0.65094533162879953</v>
      </c>
      <c r="C345" s="5">
        <f t="shared" si="29"/>
        <v>-3.4949417310812785</v>
      </c>
      <c r="D345" s="5">
        <f>SUM(C$82:C345)</f>
        <v>58.535091177478826</v>
      </c>
      <c r="E345" s="9">
        <f t="shared" si="30"/>
        <v>0.58535091177478826</v>
      </c>
      <c r="F345" s="9">
        <f t="shared" si="31"/>
        <v>0.18882287476606072</v>
      </c>
      <c r="G345" s="9">
        <f t="shared" si="34"/>
        <v>0.18882287476606072</v>
      </c>
      <c r="H345" s="9">
        <f t="shared" si="32"/>
        <v>11.552586480151739</v>
      </c>
      <c r="I345" s="9">
        <f t="shared" si="33"/>
        <v>0.10351117486215958</v>
      </c>
      <c r="J345" s="9">
        <f>SUM(I$82:I345)</f>
        <v>90.541521557110869</v>
      </c>
    </row>
    <row r="346" spans="1:10" x14ac:dyDescent="0.25">
      <c r="A346">
        <v>264</v>
      </c>
      <c r="B346" s="5">
        <f t="shared" si="28"/>
        <v>0.62268171519306659</v>
      </c>
      <c r="C346" s="5">
        <f t="shared" si="29"/>
        <v>-3.5232053475170115</v>
      </c>
      <c r="D346" s="5">
        <f>SUM(C$82:C346)</f>
        <v>55.011885829961813</v>
      </c>
      <c r="E346" s="9">
        <f t="shared" si="30"/>
        <v>0.55011885829961815</v>
      </c>
      <c r="F346" s="9">
        <f t="shared" si="31"/>
        <v>0.17745769622568328</v>
      </c>
      <c r="G346" s="9">
        <f t="shared" si="34"/>
        <v>0.17745769622568328</v>
      </c>
      <c r="H346" s="9">
        <f t="shared" si="32"/>
        <v>10.857240600513247</v>
      </c>
      <c r="I346" s="9">
        <f t="shared" si="33"/>
        <v>9.72808757805987E-2</v>
      </c>
      <c r="J346" s="9">
        <f>SUM(I$82:I346)</f>
        <v>90.638802432891467</v>
      </c>
    </row>
    <row r="347" spans="1:10" x14ac:dyDescent="0.25">
      <c r="A347">
        <v>265</v>
      </c>
      <c r="B347" s="5">
        <f t="shared" si="28"/>
        <v>0.59441809875733231</v>
      </c>
      <c r="C347" s="5">
        <f t="shared" si="29"/>
        <v>-3.5514689639527459</v>
      </c>
      <c r="D347" s="5">
        <f>SUM(C$82:C347)</f>
        <v>51.460416866009069</v>
      </c>
      <c r="E347" s="9">
        <f t="shared" si="30"/>
        <v>0.51460416866009073</v>
      </c>
      <c r="F347" s="9">
        <f t="shared" si="31"/>
        <v>0.16600134472906153</v>
      </c>
      <c r="G347" s="9">
        <f t="shared" si="34"/>
        <v>0.16600134472906153</v>
      </c>
      <c r="H347" s="9">
        <f t="shared" si="32"/>
        <v>10.156316564822593</v>
      </c>
      <c r="I347" s="9">
        <f t="shared" si="33"/>
        <v>9.1000596420810431E-2</v>
      </c>
      <c r="J347" s="9">
        <f>SUM(I$82:I347)</f>
        <v>90.729803029312279</v>
      </c>
    </row>
    <row r="348" spans="1:10" x14ac:dyDescent="0.25">
      <c r="A348">
        <v>266</v>
      </c>
      <c r="B348" s="5">
        <f t="shared" si="28"/>
        <v>0.56615448232159782</v>
      </c>
      <c r="C348" s="5">
        <f t="shared" si="29"/>
        <v>-3.5797325803884803</v>
      </c>
      <c r="D348" s="5">
        <f>SUM(C$82:C348)</f>
        <v>47.880684285620589</v>
      </c>
      <c r="E348" s="9">
        <f t="shared" si="30"/>
        <v>0.47880684285620589</v>
      </c>
      <c r="F348" s="9">
        <f t="shared" si="31"/>
        <v>0.15445382027619545</v>
      </c>
      <c r="G348" s="9">
        <f t="shared" si="34"/>
        <v>0.15445382027619545</v>
      </c>
      <c r="H348" s="9">
        <f t="shared" si="32"/>
        <v>9.4498143730797697</v>
      </c>
      <c r="I348" s="9">
        <f t="shared" si="33"/>
        <v>8.4670336782794745E-2</v>
      </c>
      <c r="J348" s="9">
        <f>SUM(I$82:I348)</f>
        <v>90.814473366095072</v>
      </c>
    </row>
    <row r="349" spans="1:10" x14ac:dyDescent="0.25">
      <c r="A349">
        <v>267</v>
      </c>
      <c r="B349" s="5">
        <f t="shared" si="28"/>
        <v>0.53789086588586499</v>
      </c>
      <c r="C349" s="5">
        <f t="shared" si="29"/>
        <v>-3.6079961968242129</v>
      </c>
      <c r="D349" s="5">
        <f>SUM(C$82:C349)</f>
        <v>44.272688088796379</v>
      </c>
      <c r="E349" s="9">
        <f t="shared" si="30"/>
        <v>0.4427268808879638</v>
      </c>
      <c r="F349" s="9">
        <f t="shared" si="31"/>
        <v>0.14281512286708509</v>
      </c>
      <c r="G349" s="9">
        <f t="shared" si="34"/>
        <v>0.14281512286708509</v>
      </c>
      <c r="H349" s="9">
        <f t="shared" si="32"/>
        <v>8.7377340252847855</v>
      </c>
      <c r="I349" s="9">
        <f t="shared" si="33"/>
        <v>7.8290096866551681E-2</v>
      </c>
      <c r="J349" s="9">
        <f>SUM(I$82:I349)</f>
        <v>90.892763462961625</v>
      </c>
    </row>
    <row r="350" spans="1:10" x14ac:dyDescent="0.25">
      <c r="A350">
        <v>268</v>
      </c>
      <c r="B350" s="5">
        <f t="shared" si="28"/>
        <v>0.50962724945013071</v>
      </c>
      <c r="C350" s="5">
        <f t="shared" si="29"/>
        <v>-3.6362598132599473</v>
      </c>
      <c r="D350" s="5">
        <f>SUM(C$82:C350)</f>
        <v>40.636428275536431</v>
      </c>
      <c r="E350" s="9">
        <f t="shared" si="30"/>
        <v>0.40636428275536429</v>
      </c>
      <c r="F350" s="9">
        <f t="shared" si="31"/>
        <v>0.13108525250173042</v>
      </c>
      <c r="G350" s="9">
        <f t="shared" si="34"/>
        <v>0.13108525250173042</v>
      </c>
      <c r="H350" s="9">
        <f t="shared" si="32"/>
        <v>8.0200755214376347</v>
      </c>
      <c r="I350" s="9">
        <f t="shared" si="33"/>
        <v>7.1859876672081213E-2</v>
      </c>
      <c r="J350" s="9">
        <f>SUM(I$82:I350)</f>
        <v>90.964623339633704</v>
      </c>
    </row>
    <row r="351" spans="1:10" x14ac:dyDescent="0.25">
      <c r="A351">
        <v>269</v>
      </c>
      <c r="B351" s="5">
        <f t="shared" si="28"/>
        <v>0.48136363301439622</v>
      </c>
      <c r="C351" s="5">
        <f t="shared" si="29"/>
        <v>-3.6645234296956817</v>
      </c>
      <c r="D351" s="5">
        <f>SUM(C$82:C351)</f>
        <v>36.971904845840747</v>
      </c>
      <c r="E351" s="9">
        <f t="shared" si="30"/>
        <v>0.36971904845840747</v>
      </c>
      <c r="F351" s="9">
        <f t="shared" si="31"/>
        <v>0.11926420918013143</v>
      </c>
      <c r="G351" s="9">
        <f t="shared" si="34"/>
        <v>0.11926420918013143</v>
      </c>
      <c r="H351" s="9">
        <f t="shared" si="32"/>
        <v>7.29683886153832</v>
      </c>
      <c r="I351" s="9">
        <f t="shared" si="33"/>
        <v>6.5379676199383355E-2</v>
      </c>
      <c r="J351" s="9">
        <f>SUM(I$82:I351)</f>
        <v>91.030003015833088</v>
      </c>
    </row>
    <row r="352" spans="1:10" x14ac:dyDescent="0.25">
      <c r="A352">
        <v>270</v>
      </c>
      <c r="B352" s="5">
        <f t="shared" si="28"/>
        <v>0.4531000165786635</v>
      </c>
      <c r="C352" s="5">
        <f t="shared" si="29"/>
        <v>-3.6927870461314147</v>
      </c>
      <c r="D352" s="5">
        <f>SUM(C$82:C352)</f>
        <v>33.279117799709333</v>
      </c>
      <c r="E352" s="9">
        <f t="shared" si="30"/>
        <v>0.33279117799709335</v>
      </c>
      <c r="F352" s="9">
        <f t="shared" si="31"/>
        <v>0.10735199290228817</v>
      </c>
      <c r="G352" s="9">
        <f t="shared" si="34"/>
        <v>0.10735199290228817</v>
      </c>
      <c r="H352" s="9">
        <f t="shared" si="32"/>
        <v>6.5680240455868413</v>
      </c>
      <c r="I352" s="9">
        <f t="shared" si="33"/>
        <v>5.8849495448458106E-2</v>
      </c>
      <c r="J352" s="9">
        <f>SUM(I$82:I352)</f>
        <v>91.088852511281544</v>
      </c>
    </row>
    <row r="353" spans="1:10" x14ac:dyDescent="0.25">
      <c r="A353">
        <v>271</v>
      </c>
      <c r="B353" s="5">
        <f t="shared" si="28"/>
        <v>0.424836400142929</v>
      </c>
      <c r="C353" s="5">
        <f t="shared" si="29"/>
        <v>-3.7210506625671491</v>
      </c>
      <c r="D353" s="5">
        <f>SUM(C$82:C353)</f>
        <v>29.558067137142185</v>
      </c>
      <c r="E353" s="9">
        <f t="shared" si="30"/>
        <v>0.29558067137142185</v>
      </c>
      <c r="F353" s="9">
        <f t="shared" si="31"/>
        <v>9.5348603668200596E-2</v>
      </c>
      <c r="G353" s="9">
        <f t="shared" si="34"/>
        <v>0.1</v>
      </c>
      <c r="H353" s="9">
        <f t="shared" si="32"/>
        <v>6.1182134285714289</v>
      </c>
      <c r="I353" s="9">
        <f t="shared" si="33"/>
        <v>5.4819192320000008E-2</v>
      </c>
      <c r="J353" s="9">
        <f>SUM(I$82:I353)</f>
        <v>91.143671703601541</v>
      </c>
    </row>
    <row r="354" spans="1:10" x14ac:dyDescent="0.25">
      <c r="A354">
        <v>272</v>
      </c>
      <c r="B354" s="5">
        <f t="shared" si="28"/>
        <v>0.39657278370719629</v>
      </c>
      <c r="C354" s="5">
        <f t="shared" si="29"/>
        <v>-3.7493142790028817</v>
      </c>
      <c r="D354" s="5">
        <f>SUM(C$82:C354)</f>
        <v>25.808752858139304</v>
      </c>
      <c r="E354" s="9">
        <f t="shared" si="30"/>
        <v>0.25808752858139306</v>
      </c>
      <c r="F354" s="9">
        <f t="shared" si="31"/>
        <v>8.3254041477868732E-2</v>
      </c>
      <c r="G354" s="9">
        <f t="shared" si="34"/>
        <v>0.1</v>
      </c>
      <c r="H354" s="9">
        <f t="shared" si="32"/>
        <v>6.1182134285714289</v>
      </c>
      <c r="I354" s="9">
        <f t="shared" si="33"/>
        <v>5.4819192320000008E-2</v>
      </c>
      <c r="J354" s="9">
        <f>SUM(I$82:I354)</f>
        <v>91.198490895921537</v>
      </c>
    </row>
    <row r="355" spans="1:10" x14ac:dyDescent="0.25">
      <c r="A355">
        <v>273</v>
      </c>
      <c r="B355" s="5">
        <f t="shared" si="28"/>
        <v>0.3683091672714619</v>
      </c>
      <c r="C355" s="5">
        <f t="shared" si="29"/>
        <v>-3.7775778954386161</v>
      </c>
      <c r="D355" s="5">
        <f>SUM(C$82:C355)</f>
        <v>22.031174962700689</v>
      </c>
      <c r="E355" s="9">
        <f t="shared" si="30"/>
        <v>0.22031174962700689</v>
      </c>
      <c r="F355" s="9">
        <f t="shared" si="31"/>
        <v>7.1068306331292547E-2</v>
      </c>
      <c r="G355" s="9">
        <f t="shared" si="34"/>
        <v>0.1</v>
      </c>
      <c r="H355" s="9">
        <f t="shared" si="32"/>
        <v>6.1182134285714289</v>
      </c>
      <c r="I355" s="9">
        <f t="shared" si="33"/>
        <v>5.4819192320000008E-2</v>
      </c>
      <c r="J355" s="9">
        <f>SUM(I$82:I355)</f>
        <v>91.253310088241534</v>
      </c>
    </row>
    <row r="356" spans="1:10" x14ac:dyDescent="0.25">
      <c r="A356">
        <v>274</v>
      </c>
      <c r="B356" s="5">
        <f t="shared" si="28"/>
        <v>0.34004555083572752</v>
      </c>
      <c r="C356" s="5">
        <f t="shared" si="29"/>
        <v>-3.8058415118743505</v>
      </c>
      <c r="D356" s="5">
        <f>SUM(C$82:C356)</f>
        <v>18.225333450826337</v>
      </c>
      <c r="E356" s="9">
        <f t="shared" si="30"/>
        <v>0.18225333450826336</v>
      </c>
      <c r="F356" s="9">
        <f t="shared" si="31"/>
        <v>5.8791398228472048E-2</v>
      </c>
      <c r="G356" s="9">
        <f t="shared" si="34"/>
        <v>0.1</v>
      </c>
      <c r="H356" s="9">
        <f t="shared" si="32"/>
        <v>6.1182134285714289</v>
      </c>
      <c r="I356" s="9">
        <f t="shared" si="33"/>
        <v>5.4819192320000008E-2</v>
      </c>
      <c r="J356" s="9">
        <f>SUM(I$82:I356)</f>
        <v>91.308129280561531</v>
      </c>
    </row>
    <row r="357" spans="1:10" x14ac:dyDescent="0.25">
      <c r="A357">
        <v>275</v>
      </c>
      <c r="B357" s="5">
        <f t="shared" si="28"/>
        <v>0.31178193439999469</v>
      </c>
      <c r="C357" s="5">
        <f t="shared" si="29"/>
        <v>-3.8341051283100835</v>
      </c>
      <c r="D357" s="5">
        <f>SUM(C$82:C357)</f>
        <v>14.391228322516254</v>
      </c>
      <c r="E357" s="9">
        <f t="shared" si="30"/>
        <v>0.14391228322516253</v>
      </c>
      <c r="F357" s="9">
        <f t="shared" si="31"/>
        <v>4.6423317169407265E-2</v>
      </c>
      <c r="G357" s="9">
        <f t="shared" si="34"/>
        <v>0.1</v>
      </c>
      <c r="H357" s="9">
        <f t="shared" si="32"/>
        <v>6.1182134285714289</v>
      </c>
      <c r="I357" s="9">
        <f t="shared" si="33"/>
        <v>5.4819192320000008E-2</v>
      </c>
      <c r="J357" s="9">
        <f>SUM(I$82:I357)</f>
        <v>91.362948472881527</v>
      </c>
    </row>
    <row r="358" spans="1:10" x14ac:dyDescent="0.25">
      <c r="A358">
        <v>276</v>
      </c>
      <c r="B358" s="5">
        <f t="shared" si="28"/>
        <v>0.2835183179642603</v>
      </c>
      <c r="C358" s="5">
        <f t="shared" si="29"/>
        <v>-3.8623687447458179</v>
      </c>
      <c r="D358" s="5">
        <f>SUM(C$82:C358)</f>
        <v>10.528859577770437</v>
      </c>
      <c r="E358" s="9">
        <f t="shared" si="30"/>
        <v>0.10528859577770437</v>
      </c>
      <c r="F358" s="9">
        <f t="shared" si="31"/>
        <v>3.3964063154098181E-2</v>
      </c>
      <c r="G358" s="9">
        <f t="shared" si="34"/>
        <v>0.1</v>
      </c>
      <c r="H358" s="9">
        <f t="shared" si="32"/>
        <v>6.1182134285714289</v>
      </c>
      <c r="I358" s="9">
        <f t="shared" si="33"/>
        <v>5.4819192320000008E-2</v>
      </c>
      <c r="J358" s="9">
        <f>SUM(I$82:I358)</f>
        <v>91.417767665201524</v>
      </c>
    </row>
    <row r="359" spans="1:10" x14ac:dyDescent="0.25">
      <c r="A359">
        <v>277</v>
      </c>
      <c r="B359" s="5">
        <f t="shared" si="28"/>
        <v>0.25525470152852592</v>
      </c>
      <c r="C359" s="5">
        <f t="shared" si="29"/>
        <v>-3.8906323611815523</v>
      </c>
      <c r="D359" s="5">
        <f>SUM(C$82:C359)</f>
        <v>6.6382272165888843</v>
      </c>
      <c r="E359" s="9">
        <f t="shared" si="30"/>
        <v>6.6382272165888837E-2</v>
      </c>
      <c r="F359" s="9">
        <f t="shared" si="31"/>
        <v>2.1413636182544785E-2</v>
      </c>
      <c r="G359" s="9">
        <f t="shared" si="34"/>
        <v>0.1</v>
      </c>
      <c r="H359" s="9">
        <f t="shared" si="32"/>
        <v>6.1182134285714289</v>
      </c>
      <c r="I359" s="9">
        <f t="shared" si="33"/>
        <v>5.4819192320000008E-2</v>
      </c>
      <c r="J359" s="9">
        <f>SUM(I$82:I359)</f>
        <v>91.47258685752152</v>
      </c>
    </row>
    <row r="360" spans="1:10" x14ac:dyDescent="0.25">
      <c r="A360">
        <v>278</v>
      </c>
      <c r="B360" s="5">
        <f t="shared" si="28"/>
        <v>0.22699108509279314</v>
      </c>
      <c r="C360" s="5">
        <f t="shared" si="29"/>
        <v>-3.9188959776172849</v>
      </c>
      <c r="D360" s="5">
        <f>SUM(C$82:C360)</f>
        <v>2.7193312389715993</v>
      </c>
      <c r="E360" s="9">
        <f t="shared" si="30"/>
        <v>2.7193312389715993E-2</v>
      </c>
      <c r="F360" s="9">
        <f t="shared" si="31"/>
        <v>8.7720362547470936E-3</v>
      </c>
      <c r="G360" s="9">
        <f t="shared" si="34"/>
        <v>0.1</v>
      </c>
      <c r="H360" s="9">
        <f t="shared" si="32"/>
        <v>6.1182134285714289</v>
      </c>
      <c r="I360" s="9">
        <f t="shared" si="33"/>
        <v>5.4819192320000008E-2</v>
      </c>
      <c r="J360" s="9">
        <f>SUM(I$82:I360)</f>
        <v>91.527406049841517</v>
      </c>
    </row>
    <row r="361" spans="1:10" x14ac:dyDescent="0.25">
      <c r="A361">
        <v>279</v>
      </c>
      <c r="B361" s="5">
        <f t="shared" si="28"/>
        <v>0.1987274686570587</v>
      </c>
      <c r="C361" s="5">
        <f t="shared" si="29"/>
        <v>-3.9471595940530193</v>
      </c>
      <c r="D361" s="5">
        <f>SUM(C$82:C361)</f>
        <v>-1.22782835508142</v>
      </c>
      <c r="E361" s="9">
        <f t="shared" si="30"/>
        <v>-1.2278283550814199E-2</v>
      </c>
      <c r="F361" s="9">
        <f t="shared" si="31"/>
        <v>-3.9607366292949029E-3</v>
      </c>
      <c r="G361" s="9">
        <f t="shared" si="34"/>
        <v>0.1</v>
      </c>
      <c r="H361" s="9">
        <f t="shared" si="32"/>
        <v>6.1182134285714289</v>
      </c>
      <c r="I361" s="9">
        <f t="shared" si="33"/>
        <v>5.4819192320000008E-2</v>
      </c>
      <c r="J361" s="9">
        <f>SUM(I$82:I361)</f>
        <v>91.582225242161513</v>
      </c>
    </row>
    <row r="362" spans="1:10" x14ac:dyDescent="0.25">
      <c r="A362">
        <v>280</v>
      </c>
      <c r="B362" s="5">
        <f t="shared" si="28"/>
        <v>0.17046385222132432</v>
      </c>
      <c r="C362" s="5">
        <f t="shared" si="29"/>
        <v>-3.9754232104887537</v>
      </c>
      <c r="D362" s="5">
        <f>SUM(C$82:C362)</f>
        <v>-5.2032515655701737</v>
      </c>
      <c r="E362" s="9">
        <f t="shared" si="30"/>
        <v>-5.2032515655701737E-2</v>
      </c>
      <c r="F362" s="9">
        <f t="shared" si="31"/>
        <v>-1.6784682469581206E-2</v>
      </c>
      <c r="G362" s="9">
        <f t="shared" si="34"/>
        <v>0.1</v>
      </c>
      <c r="H362" s="9">
        <f t="shared" si="32"/>
        <v>6.1182134285714289</v>
      </c>
      <c r="I362" s="9">
        <f t="shared" si="33"/>
        <v>5.4819192320000008E-2</v>
      </c>
      <c r="J362" s="9">
        <f>SUM(I$82:I362)</f>
        <v>91.63704443448151</v>
      </c>
    </row>
    <row r="363" spans="1:10" x14ac:dyDescent="0.25">
      <c r="A363">
        <v>281</v>
      </c>
      <c r="B363" s="5">
        <f t="shared" si="28"/>
        <v>0.14220023578559154</v>
      </c>
      <c r="C363" s="5">
        <f t="shared" si="29"/>
        <v>-4.0036868269244863</v>
      </c>
      <c r="D363" s="5">
        <f>SUM(C$82:C363)</f>
        <v>-9.20693839249466</v>
      </c>
      <c r="E363" s="9">
        <f t="shared" si="30"/>
        <v>-9.2069383924946596E-2</v>
      </c>
      <c r="F363" s="9">
        <f t="shared" si="31"/>
        <v>-2.9699801266111804E-2</v>
      </c>
      <c r="G363" s="9">
        <f t="shared" si="34"/>
        <v>0.1</v>
      </c>
      <c r="H363" s="9">
        <f t="shared" si="32"/>
        <v>6.1182134285714289</v>
      </c>
      <c r="I363" s="9">
        <f t="shared" si="33"/>
        <v>5.4819192320000008E-2</v>
      </c>
      <c r="J363" s="9">
        <f>SUM(I$82:I363)</f>
        <v>91.691863626801506</v>
      </c>
    </row>
    <row r="364" spans="1:10" x14ac:dyDescent="0.25">
      <c r="A364">
        <v>282</v>
      </c>
      <c r="B364" s="5">
        <f t="shared" si="28"/>
        <v>0.1139366193498571</v>
      </c>
      <c r="C364" s="5">
        <f t="shared" si="29"/>
        <v>-4.0319504433602207</v>
      </c>
      <c r="D364" s="5">
        <f>SUM(C$82:C364)</f>
        <v>-13.23888883585488</v>
      </c>
      <c r="E364" s="9">
        <f t="shared" si="30"/>
        <v>-0.13238888835854878</v>
      </c>
      <c r="F364" s="9">
        <f t="shared" si="31"/>
        <v>-4.2706093018886705E-2</v>
      </c>
      <c r="G364" s="9">
        <f t="shared" si="34"/>
        <v>0.1</v>
      </c>
      <c r="H364" s="9">
        <f t="shared" si="32"/>
        <v>6.1182134285714289</v>
      </c>
      <c r="I364" s="9">
        <f t="shared" si="33"/>
        <v>5.4819192320000008E-2</v>
      </c>
      <c r="J364" s="9">
        <f>SUM(I$82:I364)</f>
        <v>91.746682819121503</v>
      </c>
    </row>
    <row r="365" spans="1:10" x14ac:dyDescent="0.25">
      <c r="A365">
        <v>283</v>
      </c>
      <c r="B365" s="5">
        <f t="shared" si="28"/>
        <v>8.5673002914122706E-2</v>
      </c>
      <c r="C365" s="5">
        <f t="shared" si="29"/>
        <v>-4.0602140597959551</v>
      </c>
      <c r="D365" s="5">
        <f>SUM(C$82:C365)</f>
        <v>-17.299102895650833</v>
      </c>
      <c r="E365" s="9">
        <f t="shared" si="30"/>
        <v>-0.17299102895650834</v>
      </c>
      <c r="F365" s="9">
        <f t="shared" si="31"/>
        <v>-5.5803557727905913E-2</v>
      </c>
      <c r="G365" s="9">
        <f t="shared" si="34"/>
        <v>0.1</v>
      </c>
      <c r="H365" s="9">
        <f t="shared" si="32"/>
        <v>6.1182134285714289</v>
      </c>
      <c r="I365" s="9">
        <f t="shared" si="33"/>
        <v>5.4819192320000008E-2</v>
      </c>
      <c r="J365" s="9">
        <f>SUM(I$82:I365)</f>
        <v>91.801502011441499</v>
      </c>
    </row>
    <row r="366" spans="1:10" x14ac:dyDescent="0.25">
      <c r="A366">
        <v>284</v>
      </c>
      <c r="B366" s="5">
        <f t="shared" si="28"/>
        <v>5.7409386478389932E-2</v>
      </c>
      <c r="C366" s="5">
        <f t="shared" si="29"/>
        <v>-4.0884776762316886</v>
      </c>
      <c r="D366" s="5">
        <f>SUM(C$82:C366)</f>
        <v>-21.387580571882523</v>
      </c>
      <c r="E366" s="9">
        <f t="shared" si="30"/>
        <v>-0.21387580571882522</v>
      </c>
      <c r="F366" s="9">
        <f t="shared" si="31"/>
        <v>-6.899219539316942E-2</v>
      </c>
      <c r="G366" s="9">
        <f t="shared" si="34"/>
        <v>0.1</v>
      </c>
      <c r="H366" s="9">
        <f t="shared" si="32"/>
        <v>6.1182134285714289</v>
      </c>
      <c r="I366" s="9">
        <f t="shared" si="33"/>
        <v>5.4819192320000008E-2</v>
      </c>
      <c r="J366" s="9">
        <f>SUM(I$82:I366)</f>
        <v>91.856321203761496</v>
      </c>
    </row>
    <row r="367" spans="1:10" x14ac:dyDescent="0.25">
      <c r="A367">
        <v>285</v>
      </c>
      <c r="B367" s="5">
        <f t="shared" si="28"/>
        <v>2.9145770042655523E-2</v>
      </c>
      <c r="C367" s="5">
        <f t="shared" si="29"/>
        <v>-4.1167412926674229</v>
      </c>
      <c r="D367" s="5">
        <f>SUM(C$82:C367)</f>
        <v>-25.504321864549947</v>
      </c>
      <c r="E367" s="9">
        <f t="shared" si="30"/>
        <v>-0.25504321864549945</v>
      </c>
      <c r="F367" s="9">
        <f t="shared" si="31"/>
        <v>-8.227200601467724E-2</v>
      </c>
      <c r="G367" s="9">
        <f t="shared" si="34"/>
        <v>0.1</v>
      </c>
      <c r="H367" s="9">
        <f t="shared" si="32"/>
        <v>6.1182134285714289</v>
      </c>
      <c r="I367" s="9">
        <f t="shared" si="33"/>
        <v>5.4819192320000008E-2</v>
      </c>
      <c r="J367" s="9">
        <f>SUM(I$82:I367)</f>
        <v>91.911140396081493</v>
      </c>
    </row>
    <row r="368" spans="1:10" x14ac:dyDescent="0.25">
      <c r="A368">
        <v>286</v>
      </c>
      <c r="B368" s="5">
        <f t="shared" si="28"/>
        <v>8.8215360692111026E-4</v>
      </c>
      <c r="C368" s="5">
        <f t="shared" si="29"/>
        <v>-4.1450049091031573</v>
      </c>
      <c r="D368" s="5">
        <f>SUM(C$82:C368)</f>
        <v>-29.649326773653105</v>
      </c>
      <c r="E368" s="9">
        <f t="shared" si="30"/>
        <v>-0.29649326773653106</v>
      </c>
      <c r="F368" s="9">
        <f t="shared" si="31"/>
        <v>-9.5642989592429367E-2</v>
      </c>
      <c r="G368" s="9">
        <f t="shared" si="34"/>
        <v>0.1</v>
      </c>
      <c r="H368" s="9">
        <f t="shared" si="32"/>
        <v>6.1182134285714289</v>
      </c>
      <c r="I368" s="9">
        <f t="shared" si="33"/>
        <v>5.4819192320000008E-2</v>
      </c>
      <c r="J368" s="9">
        <f>SUM(I$82:I368)</f>
        <v>91.965959588401489</v>
      </c>
    </row>
    <row r="369" spans="1:10" x14ac:dyDescent="0.25">
      <c r="A369">
        <v>287</v>
      </c>
      <c r="B369" s="5">
        <f t="shared" si="28"/>
        <v>-2.7381462828811657E-2</v>
      </c>
      <c r="C369" s="5">
        <f t="shared" si="29"/>
        <v>-4.1732685255388899</v>
      </c>
      <c r="D369" s="5">
        <f>SUM(C$82:C369)</f>
        <v>-33.822595299191995</v>
      </c>
      <c r="E369" s="9">
        <f t="shared" si="30"/>
        <v>-0.33822595299191993</v>
      </c>
      <c r="F369" s="9">
        <f t="shared" si="31"/>
        <v>-0.10910514612642579</v>
      </c>
      <c r="G369" s="9">
        <f t="shared" si="34"/>
        <v>0.1</v>
      </c>
      <c r="H369" s="9">
        <f t="shared" si="32"/>
        <v>6.1182134285714289</v>
      </c>
      <c r="I369" s="9">
        <f t="shared" si="33"/>
        <v>5.4819192320000008E-2</v>
      </c>
      <c r="J369" s="9">
        <f>SUM(I$82:I369)</f>
        <v>92.020778780721486</v>
      </c>
    </row>
    <row r="370" spans="1:10" x14ac:dyDescent="0.25">
      <c r="A370">
        <v>288</v>
      </c>
      <c r="B370" s="5">
        <f t="shared" si="28"/>
        <v>-5.5645079264546066E-2</v>
      </c>
      <c r="C370" s="5">
        <f t="shared" si="29"/>
        <v>-4.2015321419746243</v>
      </c>
      <c r="D370" s="5">
        <f>SUM(C$82:C370)</f>
        <v>-38.02412744116662</v>
      </c>
      <c r="E370" s="9">
        <f t="shared" si="30"/>
        <v>-0.38024127441166622</v>
      </c>
      <c r="F370" s="9">
        <f t="shared" si="31"/>
        <v>-0.12265847561666651</v>
      </c>
      <c r="G370" s="9">
        <f t="shared" si="34"/>
        <v>0.1</v>
      </c>
      <c r="H370" s="9">
        <f t="shared" si="32"/>
        <v>6.1182134285714289</v>
      </c>
      <c r="I370" s="9">
        <f t="shared" si="33"/>
        <v>5.4819192320000008E-2</v>
      </c>
      <c r="J370" s="9">
        <f>SUM(I$82:I370)</f>
        <v>92.075597973041482</v>
      </c>
    </row>
    <row r="371" spans="1:10" x14ac:dyDescent="0.25">
      <c r="A371">
        <v>289</v>
      </c>
      <c r="B371" s="5">
        <f t="shared" si="28"/>
        <v>-8.3908695700280464E-2</v>
      </c>
      <c r="C371" s="5">
        <f t="shared" si="29"/>
        <v>-4.2297957584103587</v>
      </c>
      <c r="D371" s="5">
        <f>SUM(C$82:C371)</f>
        <v>-42.253923199576981</v>
      </c>
      <c r="E371" s="9">
        <f t="shared" si="30"/>
        <v>-0.42253923199576982</v>
      </c>
      <c r="F371" s="9">
        <f t="shared" si="31"/>
        <v>-0.13630297806315156</v>
      </c>
      <c r="G371" s="9">
        <f t="shared" si="34"/>
        <v>0.1</v>
      </c>
      <c r="H371" s="9">
        <f t="shared" si="32"/>
        <v>6.1182134285714289</v>
      </c>
      <c r="I371" s="9">
        <f t="shared" si="33"/>
        <v>5.4819192320000008E-2</v>
      </c>
      <c r="J371" s="9">
        <f>SUM(I$82:I371)</f>
        <v>92.130417165361479</v>
      </c>
    </row>
    <row r="372" spans="1:10" x14ac:dyDescent="0.25">
      <c r="A372">
        <v>290</v>
      </c>
      <c r="B372" s="5">
        <f t="shared" si="28"/>
        <v>-0.11217231213601324</v>
      </c>
      <c r="C372" s="5">
        <f t="shared" si="29"/>
        <v>-4.2580593748460913</v>
      </c>
      <c r="D372" s="5">
        <f>SUM(C$82:C372)</f>
        <v>-46.511982574423072</v>
      </c>
      <c r="E372" s="9">
        <f t="shared" si="30"/>
        <v>-0.46511982574423072</v>
      </c>
      <c r="F372" s="9">
        <f t="shared" si="31"/>
        <v>-0.15003865346588088</v>
      </c>
      <c r="G372" s="9">
        <f t="shared" si="34"/>
        <v>0.1</v>
      </c>
      <c r="H372" s="9">
        <f t="shared" si="32"/>
        <v>6.1182134285714289</v>
      </c>
      <c r="I372" s="9">
        <f t="shared" si="33"/>
        <v>5.4819192320000008E-2</v>
      </c>
      <c r="J372" s="9">
        <f>SUM(I$82:I372)</f>
        <v>92.185236357681475</v>
      </c>
    </row>
    <row r="373" spans="1:10" x14ac:dyDescent="0.25">
      <c r="A373">
        <v>291</v>
      </c>
      <c r="B373" s="5">
        <f t="shared" si="28"/>
        <v>-0.14043592857174764</v>
      </c>
      <c r="C373" s="5">
        <f t="shared" si="29"/>
        <v>-4.2863229912818257</v>
      </c>
      <c r="D373" s="5">
        <f>SUM(C$82:C373)</f>
        <v>-50.798305565704901</v>
      </c>
      <c r="E373" s="9">
        <f t="shared" si="30"/>
        <v>-0.50798305565704904</v>
      </c>
      <c r="F373" s="9">
        <f t="shared" si="31"/>
        <v>-0.16386550182485451</v>
      </c>
      <c r="G373" s="9">
        <f t="shared" si="34"/>
        <v>0.1</v>
      </c>
      <c r="H373" s="9">
        <f t="shared" si="32"/>
        <v>6.1182134285714289</v>
      </c>
      <c r="I373" s="9">
        <f t="shared" si="33"/>
        <v>5.4819192320000008E-2</v>
      </c>
      <c r="J373" s="9">
        <f>SUM(I$82:I373)</f>
        <v>92.240055550001472</v>
      </c>
    </row>
    <row r="374" spans="1:10" x14ac:dyDescent="0.25">
      <c r="A374">
        <v>292</v>
      </c>
      <c r="B374" s="5">
        <f t="shared" si="28"/>
        <v>-0.1686995450074821</v>
      </c>
      <c r="C374" s="5">
        <f t="shared" si="29"/>
        <v>-4.3145866077175601</v>
      </c>
      <c r="D374" s="5">
        <f>SUM(C$82:C374)</f>
        <v>-55.112892173422459</v>
      </c>
      <c r="E374" s="9">
        <f t="shared" si="30"/>
        <v>-0.55112892173422456</v>
      </c>
      <c r="F374" s="9">
        <f t="shared" si="31"/>
        <v>-0.17778352314007242</v>
      </c>
      <c r="G374" s="9">
        <f t="shared" si="34"/>
        <v>0.1</v>
      </c>
      <c r="H374" s="9">
        <f t="shared" si="32"/>
        <v>6.1182134285714289</v>
      </c>
      <c r="I374" s="9">
        <f t="shared" si="33"/>
        <v>5.4819192320000008E-2</v>
      </c>
      <c r="J374" s="9">
        <f>SUM(I$82:I374)</f>
        <v>92.294874742321468</v>
      </c>
    </row>
    <row r="375" spans="1:10" x14ac:dyDescent="0.25">
      <c r="A375">
        <v>293</v>
      </c>
      <c r="B375" s="5">
        <f t="shared" si="28"/>
        <v>-0.19696316144321485</v>
      </c>
      <c r="C375" s="5">
        <f t="shared" si="29"/>
        <v>-4.3428502241532927</v>
      </c>
      <c r="D375" s="5">
        <f>SUM(C$82:C375)</f>
        <v>-59.455742397575754</v>
      </c>
      <c r="E375" s="9">
        <f t="shared" si="30"/>
        <v>-0.5945574239757575</v>
      </c>
      <c r="F375" s="9">
        <f t="shared" si="31"/>
        <v>-0.19179271741153467</v>
      </c>
      <c r="G375" s="9">
        <f t="shared" si="34"/>
        <v>0.1</v>
      </c>
      <c r="H375" s="9">
        <f t="shared" si="32"/>
        <v>6.1182134285714289</v>
      </c>
      <c r="I375" s="9">
        <f t="shared" si="33"/>
        <v>5.4819192320000008E-2</v>
      </c>
      <c r="J375" s="9">
        <f>SUM(I$82:I375)</f>
        <v>92.349693934641465</v>
      </c>
    </row>
    <row r="376" spans="1:10" x14ac:dyDescent="0.25">
      <c r="A376">
        <v>294</v>
      </c>
      <c r="B376" s="5">
        <f t="shared" si="28"/>
        <v>-0.22522677787894929</v>
      </c>
      <c r="C376" s="5">
        <f t="shared" si="29"/>
        <v>-4.3711138405890271</v>
      </c>
      <c r="D376" s="5">
        <f>SUM(C$82:C376)</f>
        <v>-63.82685623816478</v>
      </c>
      <c r="E376" s="9">
        <f t="shared" si="30"/>
        <v>-0.63826856238164775</v>
      </c>
      <c r="F376" s="9">
        <f t="shared" si="31"/>
        <v>-0.20589308463924119</v>
      </c>
      <c r="G376" s="9">
        <f t="shared" si="34"/>
        <v>0.1</v>
      </c>
      <c r="H376" s="9">
        <f t="shared" si="32"/>
        <v>6.1182134285714289</v>
      </c>
      <c r="I376" s="9">
        <f t="shared" si="33"/>
        <v>5.4819192320000008E-2</v>
      </c>
      <c r="J376" s="9">
        <f>SUM(I$82:I376)</f>
        <v>92.404513126961461</v>
      </c>
    </row>
    <row r="377" spans="1:10" x14ac:dyDescent="0.25">
      <c r="A377">
        <v>295</v>
      </c>
      <c r="B377" s="5">
        <f t="shared" si="28"/>
        <v>-0.25349039431468368</v>
      </c>
      <c r="C377" s="5">
        <f t="shared" si="29"/>
        <v>-4.3993774570247615</v>
      </c>
      <c r="D377" s="5">
        <f>SUM(C$82:C377)</f>
        <v>-68.226233695189535</v>
      </c>
      <c r="E377" s="9">
        <f t="shared" si="30"/>
        <v>-0.68226233695189531</v>
      </c>
      <c r="F377" s="9">
        <f t="shared" si="31"/>
        <v>-0.22008462482319202</v>
      </c>
      <c r="G377" s="9">
        <f t="shared" si="34"/>
        <v>0.1</v>
      </c>
      <c r="H377" s="9">
        <f t="shared" si="32"/>
        <v>6.1182134285714289</v>
      </c>
      <c r="I377" s="9">
        <f t="shared" si="33"/>
        <v>5.4819192320000008E-2</v>
      </c>
      <c r="J377" s="9">
        <f>SUM(I$82:I377)</f>
        <v>92.459332319281458</v>
      </c>
    </row>
    <row r="378" spans="1:10" x14ac:dyDescent="0.25">
      <c r="A378">
        <v>296</v>
      </c>
      <c r="B378" s="5">
        <f t="shared" si="28"/>
        <v>-0.28175401075041645</v>
      </c>
      <c r="C378" s="5">
        <f t="shared" si="29"/>
        <v>-4.427641073460495</v>
      </c>
      <c r="D378" s="5">
        <f>SUM(C$82:C378)</f>
        <v>-72.653874768650027</v>
      </c>
      <c r="E378" s="9">
        <f t="shared" si="30"/>
        <v>-0.72653874768650029</v>
      </c>
      <c r="F378" s="9">
        <f t="shared" si="31"/>
        <v>-0.23436733796338718</v>
      </c>
      <c r="G378" s="9">
        <f t="shared" si="34"/>
        <v>0.1</v>
      </c>
      <c r="H378" s="9">
        <f t="shared" si="32"/>
        <v>6.1182134285714289</v>
      </c>
      <c r="I378" s="9">
        <f t="shared" si="33"/>
        <v>5.4819192320000008E-2</v>
      </c>
      <c r="J378" s="9">
        <f>SUM(I$82:I378)</f>
        <v>92.514151511601455</v>
      </c>
    </row>
    <row r="379" spans="1:10" x14ac:dyDescent="0.25">
      <c r="A379">
        <v>297</v>
      </c>
      <c r="B379" s="5">
        <f t="shared" si="28"/>
        <v>-0.31001762718615078</v>
      </c>
      <c r="C379" s="5">
        <f t="shared" si="29"/>
        <v>-4.4559046898962293</v>
      </c>
      <c r="D379" s="5">
        <f>SUM(C$82:C379)</f>
        <v>-77.109779458546257</v>
      </c>
      <c r="E379" s="9">
        <f t="shared" si="30"/>
        <v>-0.77109779458546257</v>
      </c>
      <c r="F379" s="9">
        <f t="shared" si="31"/>
        <v>-0.24874122405982663</v>
      </c>
      <c r="G379" s="9">
        <f t="shared" si="34"/>
        <v>0.1</v>
      </c>
      <c r="H379" s="9">
        <f t="shared" si="32"/>
        <v>6.1182134285714289</v>
      </c>
      <c r="I379" s="9">
        <f t="shared" si="33"/>
        <v>5.4819192320000008E-2</v>
      </c>
      <c r="J379" s="9">
        <f>SUM(I$82:I379)</f>
        <v>92.568970703921451</v>
      </c>
    </row>
    <row r="380" spans="1:10" x14ac:dyDescent="0.25">
      <c r="A380">
        <v>298</v>
      </c>
      <c r="B380" s="5">
        <f t="shared" si="28"/>
        <v>-0.33828124362188516</v>
      </c>
      <c r="C380" s="5">
        <f t="shared" si="29"/>
        <v>-4.4841683063319628</v>
      </c>
      <c r="D380" s="5">
        <f>SUM(C$82:C380)</f>
        <v>-81.593947764878223</v>
      </c>
      <c r="E380" s="9">
        <f t="shared" si="30"/>
        <v>-0.81593947764878227</v>
      </c>
      <c r="F380" s="9">
        <f t="shared" si="31"/>
        <v>-0.26320628311251043</v>
      </c>
      <c r="G380" s="9">
        <f t="shared" si="34"/>
        <v>0.1</v>
      </c>
      <c r="H380" s="9">
        <f t="shared" si="32"/>
        <v>6.1182134285714289</v>
      </c>
      <c r="I380" s="9">
        <f t="shared" si="33"/>
        <v>5.4819192320000008E-2</v>
      </c>
      <c r="J380" s="9">
        <f>SUM(I$82:I380)</f>
        <v>92.623789896241448</v>
      </c>
    </row>
    <row r="381" spans="1:10" x14ac:dyDescent="0.25">
      <c r="A381">
        <v>299</v>
      </c>
      <c r="B381" s="5">
        <f t="shared" si="28"/>
        <v>-0.36654486005761799</v>
      </c>
      <c r="C381" s="5">
        <f t="shared" si="29"/>
        <v>-4.5124319227676963</v>
      </c>
      <c r="D381" s="5">
        <f>SUM(C$82:C381)</f>
        <v>-86.106379687645926</v>
      </c>
      <c r="E381" s="9">
        <f t="shared" si="30"/>
        <v>-0.86106379687645929</v>
      </c>
      <c r="F381" s="9">
        <f t="shared" si="31"/>
        <v>-0.27776251512143846</v>
      </c>
      <c r="G381" s="9">
        <f t="shared" si="34"/>
        <v>0.1</v>
      </c>
      <c r="H381" s="9">
        <f t="shared" si="32"/>
        <v>6.1182134285714289</v>
      </c>
      <c r="I381" s="9">
        <f t="shared" si="33"/>
        <v>5.4819192320000008E-2</v>
      </c>
      <c r="J381" s="9">
        <f>SUM(I$82:I381)</f>
        <v>92.678609088561444</v>
      </c>
    </row>
    <row r="382" spans="1:10" x14ac:dyDescent="0.25">
      <c r="A382">
        <v>300</v>
      </c>
      <c r="B382" s="5">
        <f t="shared" si="28"/>
        <v>-0.39480847649335238</v>
      </c>
      <c r="C382" s="5">
        <f t="shared" si="29"/>
        <v>-4.5406955392034307</v>
      </c>
      <c r="D382" s="5">
        <f>SUM(C$82:C382)</f>
        <v>-90.647075226849353</v>
      </c>
      <c r="E382" s="9">
        <f t="shared" si="30"/>
        <v>-0.9064707522684935</v>
      </c>
      <c r="F382" s="9">
        <f t="shared" si="31"/>
        <v>-0.29240992008661082</v>
      </c>
      <c r="G382" s="9">
        <f t="shared" si="34"/>
        <v>0.1</v>
      </c>
      <c r="H382" s="9">
        <f t="shared" si="32"/>
        <v>6.1182134285714289</v>
      </c>
      <c r="I382" s="9">
        <f t="shared" si="33"/>
        <v>5.4819192320000008E-2</v>
      </c>
      <c r="J382" s="9">
        <f>SUM(I$82:I382)</f>
        <v>92.733428280881441</v>
      </c>
    </row>
    <row r="383" spans="1:10" x14ac:dyDescent="0.25">
      <c r="A383">
        <v>301</v>
      </c>
      <c r="B383" s="5">
        <f t="shared" si="28"/>
        <v>-0.42307209292908687</v>
      </c>
      <c r="C383" s="5">
        <f t="shared" si="29"/>
        <v>-4.5689591556391651</v>
      </c>
      <c r="D383" s="5">
        <f>SUM(C$82:C383)</f>
        <v>-95.216034382488516</v>
      </c>
      <c r="E383" s="9">
        <f t="shared" si="30"/>
        <v>-0.95216034382488512</v>
      </c>
      <c r="F383" s="9">
        <f t="shared" si="31"/>
        <v>-0.30714849800802746</v>
      </c>
      <c r="G383" s="9">
        <f t="shared" si="34"/>
        <v>0.1</v>
      </c>
      <c r="H383" s="9">
        <f t="shared" si="32"/>
        <v>6.1182134285714289</v>
      </c>
      <c r="I383" s="9">
        <f t="shared" si="33"/>
        <v>5.4819192320000008E-2</v>
      </c>
      <c r="J383" s="9">
        <f>SUM(I$82:I383)</f>
        <v>92.788247473201437</v>
      </c>
    </row>
    <row r="384" spans="1:10" x14ac:dyDescent="0.25">
      <c r="A384">
        <v>302</v>
      </c>
      <c r="B384" s="5">
        <f t="shared" si="28"/>
        <v>-0.45133570936481959</v>
      </c>
      <c r="C384" s="5">
        <f t="shared" si="29"/>
        <v>-4.5972227720748977</v>
      </c>
      <c r="D384" s="5">
        <f>SUM(C$82:C384)</f>
        <v>-99.813257154563416</v>
      </c>
      <c r="E384" s="9">
        <f t="shared" si="30"/>
        <v>-0.99813257154563417</v>
      </c>
      <c r="F384" s="9">
        <f t="shared" si="31"/>
        <v>-0.32197824888568843</v>
      </c>
      <c r="G384" s="9">
        <f t="shared" si="34"/>
        <v>0.1</v>
      </c>
      <c r="H384" s="9">
        <f t="shared" si="32"/>
        <v>6.1182134285714289</v>
      </c>
      <c r="I384" s="9">
        <f t="shared" si="33"/>
        <v>5.4819192320000008E-2</v>
      </c>
      <c r="J384" s="9">
        <f>SUM(I$82:I384)</f>
        <v>92.843066665521434</v>
      </c>
    </row>
    <row r="385" spans="1:10" x14ac:dyDescent="0.25">
      <c r="A385">
        <v>303</v>
      </c>
      <c r="B385" s="5">
        <f t="shared" si="28"/>
        <v>-0.47959932580055398</v>
      </c>
      <c r="C385" s="5">
        <f t="shared" si="29"/>
        <v>-4.6254863885106321</v>
      </c>
      <c r="D385" s="5">
        <f>SUM(C$82:C385)</f>
        <v>-104.43874354307405</v>
      </c>
      <c r="E385" s="9">
        <f t="shared" si="30"/>
        <v>-1.0443874354307405</v>
      </c>
      <c r="F385" s="9">
        <f t="shared" si="31"/>
        <v>-0.33689917271959369</v>
      </c>
      <c r="G385" s="9">
        <f t="shared" si="34"/>
        <v>0.1</v>
      </c>
      <c r="H385" s="9">
        <f t="shared" si="32"/>
        <v>6.1182134285714289</v>
      </c>
      <c r="I385" s="9">
        <f t="shared" si="33"/>
        <v>5.4819192320000008E-2</v>
      </c>
      <c r="J385" s="9">
        <f>SUM(I$82:I385)</f>
        <v>92.89788585784143</v>
      </c>
    </row>
  </sheetData>
  <mergeCells count="1">
    <mergeCell ref="A37:A41"/>
  </mergeCells>
  <pageMargins left="0.7" right="0.7" top="0.75" bottom="0.75" header="0.3" footer="0.3"/>
  <pageSetup paperSize="9" orientation="portrait" verticalDpi="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2EAE3-8986-D84D-9E1B-593B97C0A720}">
  <dimension ref="A1"/>
  <sheetViews>
    <sheetView workbookViewId="0">
      <selection activeCell="D5" sqref="D5"/>
    </sheetView>
  </sheetViews>
  <sheetFormatPr defaultColWidth="11" defaultRowHeight="15.7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F0651-65C6-1642-A7F4-FFEEF754F93A}">
  <dimension ref="A2:A5"/>
  <sheetViews>
    <sheetView workbookViewId="0">
      <selection activeCell="F31" sqref="F31"/>
    </sheetView>
  </sheetViews>
  <sheetFormatPr defaultColWidth="11" defaultRowHeight="15.75" x14ac:dyDescent="0.25"/>
  <cols>
    <col min="1" max="1" width="9.75" customWidth="1"/>
    <col min="2" max="2" width="17.125" bestFit="1" customWidth="1"/>
  </cols>
  <sheetData>
    <row r="2" spans="1:1" x14ac:dyDescent="0.25">
      <c r="A2" t="s">
        <v>6</v>
      </c>
    </row>
    <row r="3" spans="1:1" x14ac:dyDescent="0.25">
      <c r="A3" t="s">
        <v>3</v>
      </c>
    </row>
    <row r="4" spans="1:1" x14ac:dyDescent="0.25">
      <c r="A4" t="s">
        <v>4</v>
      </c>
    </row>
    <row r="5" spans="1:1" x14ac:dyDescent="0.25">
      <c r="A5"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4F11B-5741-3D48-A269-2A188C798FA3}">
  <dimension ref="A1"/>
  <sheetViews>
    <sheetView workbookViewId="0">
      <selection activeCell="L16" sqref="L16"/>
    </sheetView>
  </sheetViews>
  <sheetFormatPr defaultColWidth="11" defaultRowHeight="15.7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2F970-2E9E-4991-AC98-0EBC42E2FB37}">
  <sheetPr>
    <outlinePr summaryBelow="0"/>
  </sheetPr>
  <dimension ref="A1:J79"/>
  <sheetViews>
    <sheetView showGridLines="0" workbookViewId="0">
      <pane ySplit="9" topLeftCell="A37" activePane="bottomLeft" state="frozen"/>
      <selection pane="bottomLeft" activeCell="D58" sqref="D58"/>
    </sheetView>
  </sheetViews>
  <sheetFormatPr defaultRowHeight="12.75" customHeight="1" outlineLevelCol="1" x14ac:dyDescent="0.25"/>
  <cols>
    <col min="1" max="1" width="39.5" bestFit="1" customWidth="1"/>
    <col min="2" max="2" width="36.875" bestFit="1" customWidth="1"/>
    <col min="3" max="3" width="50.75" hidden="1" customWidth="1" outlineLevel="1"/>
    <col min="4" max="4" width="11.875" bestFit="1" customWidth="1" collapsed="1"/>
    <col min="5" max="5" width="15" bestFit="1" customWidth="1"/>
    <col min="6" max="6" width="10.625" bestFit="1" customWidth="1"/>
    <col min="7" max="7" width="19.75" bestFit="1" customWidth="1"/>
    <col min="8" max="8" width="4.625" bestFit="1" customWidth="1"/>
    <col min="9" max="9" width="36.125" hidden="1" customWidth="1" outlineLevel="1"/>
    <col min="10" max="10" width="9" collapsed="1"/>
  </cols>
  <sheetData>
    <row r="1" spans="1:9" ht="12.75" customHeight="1" x14ac:dyDescent="0.25">
      <c r="A1" s="11" t="s">
        <v>20</v>
      </c>
      <c r="B1" s="11" t="s">
        <v>21</v>
      </c>
      <c r="C1" s="11"/>
      <c r="D1" s="11"/>
      <c r="E1" s="11"/>
      <c r="F1" s="11"/>
      <c r="G1" s="11"/>
      <c r="H1" s="11"/>
      <c r="I1" s="11"/>
    </row>
    <row r="2" spans="1:9" ht="12.75" customHeight="1" x14ac:dyDescent="0.25">
      <c r="A2" s="11" t="s">
        <v>22</v>
      </c>
      <c r="B2" s="11">
        <v>1</v>
      </c>
      <c r="C2" s="11"/>
      <c r="D2" s="11"/>
      <c r="E2" s="11"/>
      <c r="F2" s="11"/>
      <c r="G2" s="11"/>
      <c r="H2" s="11"/>
      <c r="I2" s="11"/>
    </row>
    <row r="3" spans="1:9" ht="12.75" customHeight="1" x14ac:dyDescent="0.25">
      <c r="A3" s="11" t="s">
        <v>175</v>
      </c>
      <c r="B3" s="11" t="s">
        <v>176</v>
      </c>
      <c r="C3" s="11"/>
      <c r="D3" s="11"/>
      <c r="E3" s="11"/>
      <c r="F3" s="11"/>
      <c r="G3" s="11"/>
      <c r="H3" s="11"/>
      <c r="I3" s="11"/>
    </row>
    <row r="4" spans="1:9" ht="12.75" customHeight="1" x14ac:dyDescent="0.25">
      <c r="A4" s="11" t="s">
        <v>23</v>
      </c>
      <c r="B4" s="11" t="s">
        <v>24</v>
      </c>
      <c r="C4" s="11"/>
      <c r="D4" s="11"/>
      <c r="E4" s="11"/>
      <c r="F4" s="11"/>
      <c r="G4" s="11"/>
      <c r="H4" s="11"/>
      <c r="I4" s="11"/>
    </row>
    <row r="5" spans="1:9" ht="12.75" customHeight="1" x14ac:dyDescent="0.25">
      <c r="A5" s="11" t="s">
        <v>25</v>
      </c>
      <c r="B5" s="11" t="s">
        <v>26</v>
      </c>
      <c r="C5" s="11"/>
      <c r="D5" s="11"/>
      <c r="E5" s="11"/>
      <c r="F5" s="11"/>
      <c r="G5" s="11"/>
      <c r="H5" s="11"/>
      <c r="I5" s="11"/>
    </row>
    <row r="6" spans="1:9" ht="12.75" customHeight="1" x14ac:dyDescent="0.25">
      <c r="A6" s="11" t="s">
        <v>27</v>
      </c>
      <c r="B6" s="11" t="s">
        <v>28</v>
      </c>
      <c r="C6" s="11"/>
      <c r="D6" s="11"/>
      <c r="E6" s="11"/>
      <c r="F6" s="11"/>
      <c r="G6" s="11"/>
      <c r="H6" s="11"/>
      <c r="I6" s="11"/>
    </row>
    <row r="7" spans="1:9" ht="12.75" customHeight="1" x14ac:dyDescent="0.25">
      <c r="A7" s="11" t="s">
        <v>29</v>
      </c>
      <c r="B7" s="12">
        <v>45094.894212962965</v>
      </c>
      <c r="C7" s="11"/>
      <c r="D7" s="11"/>
      <c r="E7" s="11"/>
      <c r="F7" s="11"/>
      <c r="G7" s="11"/>
      <c r="H7" s="11"/>
      <c r="I7" s="11"/>
    </row>
    <row r="8" spans="1:9" ht="12.75" customHeight="1" x14ac:dyDescent="0.25">
      <c r="A8" s="16"/>
      <c r="B8" s="16"/>
      <c r="C8" s="16"/>
      <c r="D8" s="16"/>
      <c r="E8" s="16"/>
      <c r="F8" s="16"/>
      <c r="G8" s="16"/>
      <c r="H8" s="16"/>
      <c r="I8" s="16"/>
    </row>
    <row r="9" spans="1:9" ht="12.75" customHeight="1" x14ac:dyDescent="0.25">
      <c r="A9" s="17" t="s">
        <v>30</v>
      </c>
      <c r="B9" s="17" t="s">
        <v>31</v>
      </c>
      <c r="C9" s="17" t="s">
        <v>37</v>
      </c>
      <c r="D9" s="17" t="s">
        <v>36</v>
      </c>
      <c r="E9" s="17" t="s">
        <v>38</v>
      </c>
      <c r="F9" s="17" t="s">
        <v>39</v>
      </c>
      <c r="G9" s="17" t="s">
        <v>40</v>
      </c>
      <c r="H9" s="17" t="s">
        <v>41</v>
      </c>
      <c r="I9" s="17" t="s">
        <v>42</v>
      </c>
    </row>
    <row r="10" spans="1:9" ht="12.75" customHeight="1" x14ac:dyDescent="0.25">
      <c r="A10" s="14"/>
      <c r="B10" s="14"/>
      <c r="C10" s="14"/>
      <c r="D10" s="14"/>
      <c r="E10" s="14"/>
      <c r="F10" s="14"/>
      <c r="G10" s="14"/>
      <c r="H10" s="14"/>
      <c r="I10" s="14"/>
    </row>
    <row r="11" spans="1:9" ht="12.75" customHeight="1" x14ac:dyDescent="0.25">
      <c r="A11" s="13" t="s">
        <v>75</v>
      </c>
      <c r="B11" s="13" t="s">
        <v>76</v>
      </c>
      <c r="C11" s="13" t="s">
        <v>177</v>
      </c>
      <c r="D11" s="15"/>
      <c r="E11" s="13"/>
      <c r="F11" s="13" t="s">
        <v>77</v>
      </c>
      <c r="G11" s="13" t="s">
        <v>46</v>
      </c>
      <c r="H11" s="13" t="s">
        <v>178</v>
      </c>
      <c r="I11" s="13" t="s">
        <v>624</v>
      </c>
    </row>
    <row r="12" spans="1:9" ht="12.75" customHeight="1" x14ac:dyDescent="0.25">
      <c r="A12" s="13" t="s">
        <v>413</v>
      </c>
      <c r="B12" s="13" t="s">
        <v>414</v>
      </c>
      <c r="C12" s="13" t="s">
        <v>438</v>
      </c>
      <c r="D12" s="15">
        <v>20</v>
      </c>
      <c r="E12" s="13" t="s">
        <v>416</v>
      </c>
      <c r="F12" s="13" t="s">
        <v>237</v>
      </c>
      <c r="G12" s="13"/>
      <c r="H12" s="13" t="s">
        <v>238</v>
      </c>
      <c r="I12" s="13" t="s">
        <v>625</v>
      </c>
    </row>
    <row r="13" spans="1:9" ht="12.75" customHeight="1" x14ac:dyDescent="0.25">
      <c r="A13" s="13" t="s">
        <v>179</v>
      </c>
      <c r="B13" s="13" t="s">
        <v>80</v>
      </c>
      <c r="C13" s="13" t="s">
        <v>180</v>
      </c>
      <c r="D13" s="15"/>
      <c r="E13" s="13"/>
      <c r="F13" s="13" t="s">
        <v>77</v>
      </c>
      <c r="G13" s="13" t="s">
        <v>81</v>
      </c>
      <c r="H13" s="13" t="s">
        <v>178</v>
      </c>
      <c r="I13" s="13" t="s">
        <v>626</v>
      </c>
    </row>
    <row r="14" spans="1:9" ht="12.75" customHeight="1" x14ac:dyDescent="0.25">
      <c r="A14" s="13" t="s">
        <v>235</v>
      </c>
      <c r="B14" s="13" t="s">
        <v>110</v>
      </c>
      <c r="C14" s="13" t="s">
        <v>236</v>
      </c>
      <c r="D14" s="15" t="s">
        <v>67</v>
      </c>
      <c r="E14" s="13" t="s">
        <v>112</v>
      </c>
      <c r="F14" s="13" t="s">
        <v>237</v>
      </c>
      <c r="G14" s="13"/>
      <c r="H14" s="13" t="s">
        <v>238</v>
      </c>
      <c r="I14" s="13" t="s">
        <v>627</v>
      </c>
    </row>
    <row r="15" spans="1:9" ht="12.75" customHeight="1" x14ac:dyDescent="0.25">
      <c r="A15" s="13" t="s">
        <v>181</v>
      </c>
      <c r="B15" s="13" t="s">
        <v>182</v>
      </c>
      <c r="C15" s="13" t="s">
        <v>183</v>
      </c>
      <c r="D15" s="15"/>
      <c r="E15" s="13"/>
      <c r="F15" s="13" t="s">
        <v>45</v>
      </c>
      <c r="G15" s="13" t="s">
        <v>46</v>
      </c>
      <c r="H15" s="13" t="s">
        <v>178</v>
      </c>
      <c r="I15" s="13" t="s">
        <v>628</v>
      </c>
    </row>
    <row r="16" spans="1:9" ht="12.75" customHeight="1" x14ac:dyDescent="0.25">
      <c r="A16" s="13" t="s">
        <v>277</v>
      </c>
      <c r="B16" s="13" t="s">
        <v>262</v>
      </c>
      <c r="C16" s="13" t="s">
        <v>439</v>
      </c>
      <c r="D16" s="15" t="s">
        <v>67</v>
      </c>
      <c r="E16" s="13" t="s">
        <v>263</v>
      </c>
      <c r="F16" s="13" t="s">
        <v>239</v>
      </c>
      <c r="G16" s="13"/>
      <c r="H16" s="13" t="s">
        <v>238</v>
      </c>
      <c r="I16" s="13" t="s">
        <v>629</v>
      </c>
    </row>
    <row r="17" spans="1:9" ht="12.75" customHeight="1" x14ac:dyDescent="0.25">
      <c r="A17" s="13" t="s">
        <v>277</v>
      </c>
      <c r="B17" s="13" t="s">
        <v>262</v>
      </c>
      <c r="C17" s="13" t="s">
        <v>440</v>
      </c>
      <c r="D17" s="15" t="s">
        <v>67</v>
      </c>
      <c r="E17" s="13" t="s">
        <v>263</v>
      </c>
      <c r="F17" s="13" t="s">
        <v>239</v>
      </c>
      <c r="G17" s="13"/>
      <c r="H17" s="13" t="s">
        <v>238</v>
      </c>
      <c r="I17" s="13" t="s">
        <v>630</v>
      </c>
    </row>
    <row r="18" spans="1:9" ht="12.75" customHeight="1" x14ac:dyDescent="0.25">
      <c r="A18" s="13" t="s">
        <v>191</v>
      </c>
      <c r="B18" s="13" t="s">
        <v>110</v>
      </c>
      <c r="C18" s="13" t="s">
        <v>441</v>
      </c>
      <c r="D18" s="15" t="s">
        <v>67</v>
      </c>
      <c r="E18" s="13" t="s">
        <v>112</v>
      </c>
      <c r="F18" s="13" t="s">
        <v>239</v>
      </c>
      <c r="G18" s="13"/>
      <c r="H18" s="13" t="s">
        <v>238</v>
      </c>
      <c r="I18" s="13" t="s">
        <v>631</v>
      </c>
    </row>
    <row r="19" spans="1:9" ht="12.75" customHeight="1" x14ac:dyDescent="0.25">
      <c r="A19" s="13" t="s">
        <v>191</v>
      </c>
      <c r="B19" s="13" t="s">
        <v>110</v>
      </c>
      <c r="C19" s="13" t="s">
        <v>442</v>
      </c>
      <c r="D19" s="15" t="s">
        <v>67</v>
      </c>
      <c r="E19" s="13" t="s">
        <v>112</v>
      </c>
      <c r="F19" s="13" t="s">
        <v>239</v>
      </c>
      <c r="G19" s="13"/>
      <c r="H19" s="13" t="s">
        <v>238</v>
      </c>
      <c r="I19" s="13" t="s">
        <v>632</v>
      </c>
    </row>
    <row r="20" spans="1:9" ht="12.75" customHeight="1" x14ac:dyDescent="0.25">
      <c r="A20" s="13" t="s">
        <v>184</v>
      </c>
      <c r="B20" s="13" t="s">
        <v>185</v>
      </c>
      <c r="C20" s="13" t="s">
        <v>186</v>
      </c>
      <c r="D20" s="15"/>
      <c r="E20" s="13"/>
      <c r="F20" s="13" t="s">
        <v>45</v>
      </c>
      <c r="G20" s="13" t="s">
        <v>46</v>
      </c>
      <c r="H20" s="13" t="s">
        <v>178</v>
      </c>
      <c r="I20" s="13" t="s">
        <v>633</v>
      </c>
    </row>
    <row r="21" spans="1:9" ht="12.75" customHeight="1" x14ac:dyDescent="0.25">
      <c r="A21" s="13" t="s">
        <v>353</v>
      </c>
      <c r="B21" s="13" t="s">
        <v>354</v>
      </c>
      <c r="C21" s="13" t="s">
        <v>355</v>
      </c>
      <c r="D21" s="15"/>
      <c r="E21" s="13"/>
      <c r="F21" s="13" t="s">
        <v>45</v>
      </c>
      <c r="G21" s="13" t="s">
        <v>46</v>
      </c>
      <c r="H21" s="13" t="s">
        <v>178</v>
      </c>
      <c r="I21" s="13" t="s">
        <v>634</v>
      </c>
    </row>
    <row r="22" spans="1:9" ht="12.75" customHeight="1" x14ac:dyDescent="0.25">
      <c r="A22" s="13" t="s">
        <v>356</v>
      </c>
      <c r="B22" s="13" t="s">
        <v>357</v>
      </c>
      <c r="C22" s="13" t="s">
        <v>358</v>
      </c>
      <c r="D22" s="15"/>
      <c r="E22" s="13"/>
      <c r="F22" s="13" t="s">
        <v>307</v>
      </c>
      <c r="G22" s="13" t="s">
        <v>46</v>
      </c>
      <c r="H22" s="13" t="s">
        <v>178</v>
      </c>
      <c r="I22" s="13" t="s">
        <v>635</v>
      </c>
    </row>
    <row r="23" spans="1:9" ht="12.75" customHeight="1" x14ac:dyDescent="0.25">
      <c r="A23" s="13" t="s">
        <v>359</v>
      </c>
      <c r="B23" s="13" t="s">
        <v>360</v>
      </c>
      <c r="C23" s="13" t="s">
        <v>361</v>
      </c>
      <c r="D23" s="15"/>
      <c r="E23" s="13"/>
      <c r="F23" s="13" t="s">
        <v>307</v>
      </c>
      <c r="G23" s="13" t="s">
        <v>46</v>
      </c>
      <c r="H23" s="13" t="s">
        <v>178</v>
      </c>
      <c r="I23" s="13" t="s">
        <v>636</v>
      </c>
    </row>
    <row r="24" spans="1:9" ht="12.75" customHeight="1" x14ac:dyDescent="0.25">
      <c r="A24" s="13" t="s">
        <v>362</v>
      </c>
      <c r="B24" s="13" t="s">
        <v>363</v>
      </c>
      <c r="C24" s="13" t="s">
        <v>364</v>
      </c>
      <c r="D24" s="15"/>
      <c r="E24" s="13"/>
      <c r="F24" s="13" t="s">
        <v>307</v>
      </c>
      <c r="G24" s="13" t="s">
        <v>46</v>
      </c>
      <c r="H24" s="13" t="s">
        <v>178</v>
      </c>
      <c r="I24" s="13" t="s">
        <v>637</v>
      </c>
    </row>
    <row r="25" spans="1:9" ht="12.75" customHeight="1" x14ac:dyDescent="0.25">
      <c r="A25" s="13" t="s">
        <v>365</v>
      </c>
      <c r="B25" s="13" t="s">
        <v>366</v>
      </c>
      <c r="C25" s="13" t="s">
        <v>367</v>
      </c>
      <c r="D25" s="15"/>
      <c r="E25" s="13"/>
      <c r="F25" s="13" t="s">
        <v>307</v>
      </c>
      <c r="G25" s="13" t="s">
        <v>46</v>
      </c>
      <c r="H25" s="13" t="s">
        <v>178</v>
      </c>
      <c r="I25" s="13" t="s">
        <v>638</v>
      </c>
    </row>
    <row r="26" spans="1:9" ht="12.75" customHeight="1" x14ac:dyDescent="0.25">
      <c r="A26" s="13" t="s">
        <v>274</v>
      </c>
      <c r="B26" s="13" t="s">
        <v>275</v>
      </c>
      <c r="C26" s="13" t="s">
        <v>276</v>
      </c>
      <c r="D26" s="15"/>
      <c r="E26" s="13"/>
      <c r="F26" s="13" t="s">
        <v>64</v>
      </c>
      <c r="G26" s="13" t="s">
        <v>65</v>
      </c>
      <c r="H26" s="13" t="s">
        <v>178</v>
      </c>
      <c r="I26" s="13" t="s">
        <v>639</v>
      </c>
    </row>
    <row r="27" spans="1:9" ht="12.75" customHeight="1" x14ac:dyDescent="0.25">
      <c r="A27" s="13" t="s">
        <v>277</v>
      </c>
      <c r="B27" s="13" t="s">
        <v>262</v>
      </c>
      <c r="C27" s="13" t="s">
        <v>443</v>
      </c>
      <c r="D27" s="15" t="s">
        <v>67</v>
      </c>
      <c r="E27" s="13" t="s">
        <v>263</v>
      </c>
      <c r="F27" s="13" t="s">
        <v>278</v>
      </c>
      <c r="G27" s="13"/>
      <c r="H27" s="13" t="s">
        <v>238</v>
      </c>
      <c r="I27" s="13" t="s">
        <v>640</v>
      </c>
    </row>
    <row r="28" spans="1:9" ht="12.75" customHeight="1" x14ac:dyDescent="0.25">
      <c r="A28" s="13" t="s">
        <v>277</v>
      </c>
      <c r="B28" s="13" t="s">
        <v>262</v>
      </c>
      <c r="C28" s="13" t="s">
        <v>444</v>
      </c>
      <c r="D28" s="15" t="s">
        <v>67</v>
      </c>
      <c r="E28" s="13" t="s">
        <v>263</v>
      </c>
      <c r="F28" s="13" t="s">
        <v>278</v>
      </c>
      <c r="G28" s="13"/>
      <c r="H28" s="13" t="s">
        <v>238</v>
      </c>
      <c r="I28" s="13" t="s">
        <v>641</v>
      </c>
    </row>
    <row r="29" spans="1:9" ht="12.75" customHeight="1" x14ac:dyDescent="0.25">
      <c r="A29" s="13" t="s">
        <v>191</v>
      </c>
      <c r="B29" s="13" t="s">
        <v>110</v>
      </c>
      <c r="C29" s="13" t="s">
        <v>445</v>
      </c>
      <c r="D29" s="15" t="s">
        <v>67</v>
      </c>
      <c r="E29" s="13" t="s">
        <v>112</v>
      </c>
      <c r="F29" s="13" t="s">
        <v>278</v>
      </c>
      <c r="G29" s="13"/>
      <c r="H29" s="13" t="s">
        <v>238</v>
      </c>
      <c r="I29" s="13" t="s">
        <v>642</v>
      </c>
    </row>
    <row r="30" spans="1:9" ht="12.75" customHeight="1" x14ac:dyDescent="0.25">
      <c r="A30" s="13" t="s">
        <v>191</v>
      </c>
      <c r="B30" s="13" t="s">
        <v>110</v>
      </c>
      <c r="C30" s="13" t="s">
        <v>446</v>
      </c>
      <c r="D30" s="15" t="s">
        <v>67</v>
      </c>
      <c r="E30" s="13" t="s">
        <v>112</v>
      </c>
      <c r="F30" s="13" t="s">
        <v>278</v>
      </c>
      <c r="G30" s="13"/>
      <c r="H30" s="13" t="s">
        <v>238</v>
      </c>
      <c r="I30" s="13" t="s">
        <v>643</v>
      </c>
    </row>
    <row r="31" spans="1:9" ht="12.75" customHeight="1" x14ac:dyDescent="0.25">
      <c r="A31" s="13" t="s">
        <v>368</v>
      </c>
      <c r="B31" s="13" t="s">
        <v>369</v>
      </c>
      <c r="C31" s="13" t="s">
        <v>370</v>
      </c>
      <c r="D31" s="15"/>
      <c r="E31" s="13"/>
      <c r="F31" s="13" t="s">
        <v>64</v>
      </c>
      <c r="G31" s="13" t="s">
        <v>46</v>
      </c>
      <c r="H31" s="13" t="s">
        <v>178</v>
      </c>
      <c r="I31" s="13" t="s">
        <v>644</v>
      </c>
    </row>
    <row r="32" spans="1:9" ht="12.75" customHeight="1" x14ac:dyDescent="0.25">
      <c r="A32" s="13" t="s">
        <v>279</v>
      </c>
      <c r="B32" s="13" t="s">
        <v>280</v>
      </c>
      <c r="C32" s="13" t="s">
        <v>281</v>
      </c>
      <c r="D32" s="15"/>
      <c r="E32" s="13"/>
      <c r="F32" s="13" t="s">
        <v>64</v>
      </c>
      <c r="G32" s="13" t="s">
        <v>245</v>
      </c>
      <c r="H32" s="13" t="s">
        <v>178</v>
      </c>
      <c r="I32" s="13" t="s">
        <v>645</v>
      </c>
    </row>
    <row r="33" spans="1:9" ht="12.75" customHeight="1" x14ac:dyDescent="0.25">
      <c r="A33" s="13" t="s">
        <v>279</v>
      </c>
      <c r="B33" s="13" t="s">
        <v>280</v>
      </c>
      <c r="C33" s="13" t="s">
        <v>281</v>
      </c>
      <c r="D33" s="15"/>
      <c r="E33" s="13"/>
      <c r="F33" s="13" t="s">
        <v>64</v>
      </c>
      <c r="G33" s="13" t="s">
        <v>245</v>
      </c>
      <c r="H33" s="13" t="s">
        <v>178</v>
      </c>
      <c r="I33" s="13" t="s">
        <v>646</v>
      </c>
    </row>
    <row r="34" spans="1:9" ht="12.75" customHeight="1" x14ac:dyDescent="0.25">
      <c r="A34" s="13" t="s">
        <v>279</v>
      </c>
      <c r="B34" s="13" t="s">
        <v>280</v>
      </c>
      <c r="C34" s="13" t="s">
        <v>281</v>
      </c>
      <c r="D34" s="15"/>
      <c r="E34" s="13"/>
      <c r="F34" s="13" t="s">
        <v>64</v>
      </c>
      <c r="G34" s="13" t="s">
        <v>245</v>
      </c>
      <c r="H34" s="13" t="s">
        <v>178</v>
      </c>
      <c r="I34" s="13" t="s">
        <v>647</v>
      </c>
    </row>
    <row r="35" spans="1:9" ht="12.75" customHeight="1" x14ac:dyDescent="0.25">
      <c r="A35" s="13" t="s">
        <v>279</v>
      </c>
      <c r="B35" s="13" t="s">
        <v>280</v>
      </c>
      <c r="C35" s="13" t="s">
        <v>281</v>
      </c>
      <c r="D35" s="15"/>
      <c r="E35" s="13"/>
      <c r="F35" s="13" t="s">
        <v>64</v>
      </c>
      <c r="G35" s="13" t="s">
        <v>245</v>
      </c>
      <c r="H35" s="13" t="s">
        <v>178</v>
      </c>
      <c r="I35" s="13" t="s">
        <v>648</v>
      </c>
    </row>
    <row r="36" spans="1:9" ht="12.75" customHeight="1" x14ac:dyDescent="0.25">
      <c r="A36" s="13" t="s">
        <v>282</v>
      </c>
      <c r="B36" s="13" t="s">
        <v>283</v>
      </c>
      <c r="C36" s="13" t="s">
        <v>284</v>
      </c>
      <c r="D36" s="15"/>
      <c r="E36" s="13"/>
      <c r="F36" s="13" t="s">
        <v>64</v>
      </c>
      <c r="G36" s="13" t="s">
        <v>266</v>
      </c>
      <c r="H36" s="13" t="s">
        <v>178</v>
      </c>
      <c r="I36" s="13" t="s">
        <v>649</v>
      </c>
    </row>
    <row r="37" spans="1:9" ht="12.75" customHeight="1" x14ac:dyDescent="0.25">
      <c r="A37" s="13" t="s">
        <v>282</v>
      </c>
      <c r="B37" s="13" t="s">
        <v>283</v>
      </c>
      <c r="C37" s="13" t="s">
        <v>284</v>
      </c>
      <c r="D37" s="15"/>
      <c r="E37" s="13"/>
      <c r="F37" s="13" t="s">
        <v>64</v>
      </c>
      <c r="G37" s="13" t="s">
        <v>266</v>
      </c>
      <c r="H37" s="13" t="s">
        <v>178</v>
      </c>
      <c r="I37" s="13" t="s">
        <v>650</v>
      </c>
    </row>
    <row r="38" spans="1:9" ht="12.75" customHeight="1" x14ac:dyDescent="0.25">
      <c r="A38" s="13" t="s">
        <v>371</v>
      </c>
      <c r="B38" s="13" t="s">
        <v>372</v>
      </c>
      <c r="C38" s="13" t="s">
        <v>373</v>
      </c>
      <c r="D38" s="15"/>
      <c r="E38" s="13"/>
      <c r="F38" s="13" t="s">
        <v>64</v>
      </c>
      <c r="G38" s="13" t="s">
        <v>46</v>
      </c>
      <c r="H38" s="13" t="s">
        <v>178</v>
      </c>
      <c r="I38" s="13" t="s">
        <v>651</v>
      </c>
    </row>
    <row r="39" spans="1:9" ht="12.75" customHeight="1" x14ac:dyDescent="0.25">
      <c r="A39" s="13" t="s">
        <v>285</v>
      </c>
      <c r="B39" s="13" t="s">
        <v>286</v>
      </c>
      <c r="C39" s="13" t="s">
        <v>287</v>
      </c>
      <c r="D39" s="15"/>
      <c r="E39" s="13"/>
      <c r="F39" s="13" t="s">
        <v>64</v>
      </c>
      <c r="G39" s="13" t="s">
        <v>245</v>
      </c>
      <c r="H39" s="13" t="s">
        <v>178</v>
      </c>
      <c r="I39" s="13" t="s">
        <v>652</v>
      </c>
    </row>
    <row r="40" spans="1:9" ht="12.75" customHeight="1" x14ac:dyDescent="0.25">
      <c r="A40" s="13" t="s">
        <v>374</v>
      </c>
      <c r="B40" s="13" t="s">
        <v>375</v>
      </c>
      <c r="C40" s="13" t="s">
        <v>376</v>
      </c>
      <c r="D40" s="15"/>
      <c r="E40" s="13"/>
      <c r="F40" s="13" t="s">
        <v>64</v>
      </c>
      <c r="G40" s="13" t="s">
        <v>46</v>
      </c>
      <c r="H40" s="13" t="s">
        <v>178</v>
      </c>
      <c r="I40" s="13" t="s">
        <v>653</v>
      </c>
    </row>
    <row r="41" spans="1:9" ht="12.75" customHeight="1" x14ac:dyDescent="0.25">
      <c r="A41" s="13" t="s">
        <v>374</v>
      </c>
      <c r="B41" s="13" t="s">
        <v>375</v>
      </c>
      <c r="C41" s="13" t="s">
        <v>376</v>
      </c>
      <c r="D41" s="15"/>
      <c r="E41" s="13"/>
      <c r="F41" s="13" t="s">
        <v>64</v>
      </c>
      <c r="G41" s="13" t="s">
        <v>46</v>
      </c>
      <c r="H41" s="13" t="s">
        <v>178</v>
      </c>
      <c r="I41" s="13" t="s">
        <v>654</v>
      </c>
    </row>
    <row r="42" spans="1:9" ht="12.75" customHeight="1" x14ac:dyDescent="0.25">
      <c r="A42" s="13" t="s">
        <v>288</v>
      </c>
      <c r="B42" s="13" t="s">
        <v>289</v>
      </c>
      <c r="C42" s="13" t="s">
        <v>290</v>
      </c>
      <c r="D42" s="15"/>
      <c r="E42" s="13"/>
      <c r="F42" s="13" t="s">
        <v>64</v>
      </c>
      <c r="G42" s="13" t="s">
        <v>245</v>
      </c>
      <c r="H42" s="13" t="s">
        <v>178</v>
      </c>
      <c r="I42" s="13" t="s">
        <v>655</v>
      </c>
    </row>
    <row r="43" spans="1:9" ht="12.75" customHeight="1" x14ac:dyDescent="0.25">
      <c r="A43" s="13" t="s">
        <v>187</v>
      </c>
      <c r="B43" s="13" t="s">
        <v>188</v>
      </c>
      <c r="C43" s="13" t="s">
        <v>189</v>
      </c>
      <c r="D43" s="15"/>
      <c r="E43" s="13"/>
      <c r="F43" s="13" t="s">
        <v>107</v>
      </c>
      <c r="G43" s="13" t="s">
        <v>65</v>
      </c>
      <c r="H43" s="13" t="s">
        <v>178</v>
      </c>
      <c r="I43" s="13" t="s">
        <v>656</v>
      </c>
    </row>
    <row r="44" spans="1:9" ht="12.75" customHeight="1" x14ac:dyDescent="0.25">
      <c r="A44" s="13" t="s">
        <v>617</v>
      </c>
      <c r="B44" s="13" t="s">
        <v>602</v>
      </c>
      <c r="C44" s="13" t="s">
        <v>618</v>
      </c>
      <c r="D44" s="15">
        <v>0</v>
      </c>
      <c r="E44" s="13" t="s">
        <v>604</v>
      </c>
      <c r="F44" s="13" t="s">
        <v>107</v>
      </c>
      <c r="G44" s="13"/>
      <c r="H44" s="13" t="s">
        <v>190</v>
      </c>
      <c r="I44" s="13" t="s">
        <v>657</v>
      </c>
    </row>
    <row r="45" spans="1:9" ht="12.75" customHeight="1" x14ac:dyDescent="0.25">
      <c r="A45" s="13" t="s">
        <v>447</v>
      </c>
      <c r="B45" s="13" t="s">
        <v>296</v>
      </c>
      <c r="C45" s="13" t="s">
        <v>448</v>
      </c>
      <c r="D45" s="15" t="s">
        <v>67</v>
      </c>
      <c r="E45" s="13" t="s">
        <v>420</v>
      </c>
      <c r="F45" s="13" t="s">
        <v>107</v>
      </c>
      <c r="G45" s="13"/>
      <c r="H45" s="13" t="s">
        <v>190</v>
      </c>
      <c r="I45" s="13" t="s">
        <v>658</v>
      </c>
    </row>
    <row r="46" spans="1:9" ht="12.75" customHeight="1" x14ac:dyDescent="0.25">
      <c r="A46" s="13" t="s">
        <v>619</v>
      </c>
      <c r="B46" s="13" t="s">
        <v>607</v>
      </c>
      <c r="C46" s="13" t="s">
        <v>620</v>
      </c>
      <c r="D46" s="15">
        <v>10</v>
      </c>
      <c r="E46" s="13" t="s">
        <v>609</v>
      </c>
      <c r="F46" s="13" t="s">
        <v>107</v>
      </c>
      <c r="G46" s="13"/>
      <c r="H46" s="13" t="s">
        <v>190</v>
      </c>
      <c r="I46" s="13" t="s">
        <v>659</v>
      </c>
    </row>
    <row r="47" spans="1:9" ht="12.75" customHeight="1" x14ac:dyDescent="0.25">
      <c r="A47" s="13" t="s">
        <v>449</v>
      </c>
      <c r="B47" s="13" t="s">
        <v>423</v>
      </c>
      <c r="C47" s="13" t="s">
        <v>450</v>
      </c>
      <c r="D47" s="15" t="s">
        <v>67</v>
      </c>
      <c r="E47" s="13" t="s">
        <v>425</v>
      </c>
      <c r="F47" s="13" t="s">
        <v>107</v>
      </c>
      <c r="G47" s="13"/>
      <c r="H47" s="13" t="s">
        <v>190</v>
      </c>
      <c r="I47" s="13" t="s">
        <v>660</v>
      </c>
    </row>
    <row r="48" spans="1:9" ht="12.75" customHeight="1" x14ac:dyDescent="0.25">
      <c r="A48" s="13" t="s">
        <v>507</v>
      </c>
      <c r="B48" s="13" t="s">
        <v>508</v>
      </c>
      <c r="C48" s="13" t="s">
        <v>509</v>
      </c>
      <c r="D48" s="15"/>
      <c r="E48" s="13"/>
      <c r="F48" s="13" t="s">
        <v>107</v>
      </c>
      <c r="G48" s="13" t="s">
        <v>46</v>
      </c>
      <c r="H48" s="13" t="s">
        <v>178</v>
      </c>
      <c r="I48" s="13" t="s">
        <v>661</v>
      </c>
    </row>
    <row r="49" spans="1:9" ht="12.75" customHeight="1" x14ac:dyDescent="0.25">
      <c r="A49" s="13" t="s">
        <v>510</v>
      </c>
      <c r="B49" s="13" t="s">
        <v>462</v>
      </c>
      <c r="C49" s="13" t="s">
        <v>511</v>
      </c>
      <c r="D49" s="15" t="s">
        <v>67</v>
      </c>
      <c r="E49" s="13" t="s">
        <v>464</v>
      </c>
      <c r="F49" s="13" t="s">
        <v>107</v>
      </c>
      <c r="G49" s="13"/>
      <c r="H49" s="13" t="s">
        <v>190</v>
      </c>
      <c r="I49" s="13" t="s">
        <v>662</v>
      </c>
    </row>
    <row r="50" spans="1:9" ht="12.75" customHeight="1" x14ac:dyDescent="0.25">
      <c r="A50" s="13" t="s">
        <v>512</v>
      </c>
      <c r="B50" s="13" t="s">
        <v>467</v>
      </c>
      <c r="C50" s="13" t="s">
        <v>513</v>
      </c>
      <c r="D50" s="15" t="s">
        <v>67</v>
      </c>
      <c r="E50" s="13" t="s">
        <v>467</v>
      </c>
      <c r="F50" s="13" t="s">
        <v>107</v>
      </c>
      <c r="G50" s="13"/>
      <c r="H50" s="13" t="s">
        <v>190</v>
      </c>
      <c r="I50" s="13" t="s">
        <v>663</v>
      </c>
    </row>
    <row r="51" spans="1:9" ht="12.75" customHeight="1" x14ac:dyDescent="0.25">
      <c r="A51" s="13" t="s">
        <v>514</v>
      </c>
      <c r="B51" s="13" t="s">
        <v>296</v>
      </c>
      <c r="C51" s="13" t="s">
        <v>515</v>
      </c>
      <c r="D51" s="15" t="s">
        <v>67</v>
      </c>
      <c r="E51" s="13" t="s">
        <v>420</v>
      </c>
      <c r="F51" s="13" t="s">
        <v>107</v>
      </c>
      <c r="G51" s="13"/>
      <c r="H51" s="13" t="s">
        <v>190</v>
      </c>
      <c r="I51" s="13" t="s">
        <v>664</v>
      </c>
    </row>
    <row r="52" spans="1:9" ht="12.75" customHeight="1" x14ac:dyDescent="0.25">
      <c r="A52" s="13" t="s">
        <v>516</v>
      </c>
      <c r="B52" s="13" t="s">
        <v>517</v>
      </c>
      <c r="C52" s="13" t="s">
        <v>518</v>
      </c>
      <c r="D52" s="15"/>
      <c r="E52" s="13"/>
      <c r="F52" s="13" t="s">
        <v>107</v>
      </c>
      <c r="G52" s="13" t="s">
        <v>46</v>
      </c>
      <c r="H52" s="13" t="s">
        <v>178</v>
      </c>
      <c r="I52" s="13" t="s">
        <v>665</v>
      </c>
    </row>
    <row r="53" spans="1:9" ht="12.75" customHeight="1" x14ac:dyDescent="0.25">
      <c r="A53" s="13" t="s">
        <v>514</v>
      </c>
      <c r="B53" s="13" t="s">
        <v>296</v>
      </c>
      <c r="C53" s="13" t="s">
        <v>519</v>
      </c>
      <c r="D53" s="15" t="s">
        <v>67</v>
      </c>
      <c r="E53" s="13" t="s">
        <v>420</v>
      </c>
      <c r="F53" s="13" t="s">
        <v>107</v>
      </c>
      <c r="G53" s="13"/>
      <c r="H53" s="13" t="s">
        <v>190</v>
      </c>
      <c r="I53" s="13" t="s">
        <v>666</v>
      </c>
    </row>
    <row r="54" spans="1:9" ht="12.75" customHeight="1" x14ac:dyDescent="0.25">
      <c r="A54" s="13" t="s">
        <v>520</v>
      </c>
      <c r="B54" s="13" t="s">
        <v>521</v>
      </c>
      <c r="C54" s="13" t="s">
        <v>522</v>
      </c>
      <c r="D54" s="15"/>
      <c r="E54" s="13"/>
      <c r="F54" s="13" t="s">
        <v>107</v>
      </c>
      <c r="G54" s="13" t="s">
        <v>46</v>
      </c>
      <c r="H54" s="13" t="s">
        <v>178</v>
      </c>
      <c r="I54" s="13" t="s">
        <v>667</v>
      </c>
    </row>
    <row r="55" spans="1:9" ht="12.75" customHeight="1" x14ac:dyDescent="0.25">
      <c r="A55" s="13" t="s">
        <v>514</v>
      </c>
      <c r="B55" s="13" t="s">
        <v>296</v>
      </c>
      <c r="C55" s="13" t="s">
        <v>621</v>
      </c>
      <c r="D55" s="15" t="s">
        <v>67</v>
      </c>
      <c r="E55" s="13" t="s">
        <v>420</v>
      </c>
      <c r="F55" s="13" t="s">
        <v>107</v>
      </c>
      <c r="G55" s="13"/>
      <c r="H55" s="13" t="s">
        <v>190</v>
      </c>
      <c r="I55" s="13" t="s">
        <v>668</v>
      </c>
    </row>
    <row r="56" spans="1:9" ht="12.75" customHeight="1" x14ac:dyDescent="0.25">
      <c r="A56" s="13" t="s">
        <v>523</v>
      </c>
      <c r="B56" s="13" t="s">
        <v>490</v>
      </c>
      <c r="C56" s="13" t="s">
        <v>524</v>
      </c>
      <c r="D56" s="15" t="s">
        <v>67</v>
      </c>
      <c r="E56" s="13" t="s">
        <v>492</v>
      </c>
      <c r="F56" s="13" t="s">
        <v>107</v>
      </c>
      <c r="G56" s="13"/>
      <c r="H56" s="13" t="s">
        <v>190</v>
      </c>
      <c r="I56" s="13" t="s">
        <v>669</v>
      </c>
    </row>
    <row r="57" spans="1:9" ht="12.75" customHeight="1" x14ac:dyDescent="0.25">
      <c r="A57" s="13" t="s">
        <v>525</v>
      </c>
      <c r="B57" s="13" t="s">
        <v>495</v>
      </c>
      <c r="C57" s="13" t="s">
        <v>526</v>
      </c>
      <c r="D57" s="15" t="s">
        <v>67</v>
      </c>
      <c r="E57" s="13" t="s">
        <v>495</v>
      </c>
      <c r="F57" s="13" t="s">
        <v>107</v>
      </c>
      <c r="G57" s="13"/>
      <c r="H57" s="13" t="s">
        <v>190</v>
      </c>
      <c r="I57" s="13" t="s">
        <v>670</v>
      </c>
    </row>
    <row r="58" spans="1:9" ht="12.75" customHeight="1" x14ac:dyDescent="0.25">
      <c r="A58" s="13" t="s">
        <v>527</v>
      </c>
      <c r="B58" s="13" t="s">
        <v>499</v>
      </c>
      <c r="C58" s="13" t="s">
        <v>528</v>
      </c>
      <c r="D58" s="15" t="s">
        <v>67</v>
      </c>
      <c r="E58" s="13" t="s">
        <v>499</v>
      </c>
      <c r="F58" s="13" t="s">
        <v>107</v>
      </c>
      <c r="G58" s="13"/>
      <c r="H58" s="13" t="s">
        <v>190</v>
      </c>
      <c r="I58" s="13" t="s">
        <v>671</v>
      </c>
    </row>
    <row r="59" spans="1:9" ht="12.75" customHeight="1" x14ac:dyDescent="0.25">
      <c r="A59" s="13" t="s">
        <v>192</v>
      </c>
      <c r="B59" s="13" t="s">
        <v>193</v>
      </c>
      <c r="C59" s="13" t="s">
        <v>194</v>
      </c>
      <c r="D59" s="15"/>
      <c r="E59" s="13"/>
      <c r="F59" s="13" t="s">
        <v>73</v>
      </c>
      <c r="G59" s="13" t="s">
        <v>46</v>
      </c>
      <c r="H59" s="13" t="s">
        <v>178</v>
      </c>
      <c r="I59" s="13" t="s">
        <v>672</v>
      </c>
    </row>
    <row r="60" spans="1:9" ht="12.75" customHeight="1" x14ac:dyDescent="0.25">
      <c r="A60" s="13" t="s">
        <v>277</v>
      </c>
      <c r="B60" s="13" t="s">
        <v>262</v>
      </c>
      <c r="C60" s="13" t="s">
        <v>451</v>
      </c>
      <c r="D60" s="15" t="s">
        <v>67</v>
      </c>
      <c r="E60" s="13" t="s">
        <v>263</v>
      </c>
      <c r="F60" s="13" t="s">
        <v>241</v>
      </c>
      <c r="G60" s="13"/>
      <c r="H60" s="13" t="s">
        <v>238</v>
      </c>
      <c r="I60" s="13" t="s">
        <v>673</v>
      </c>
    </row>
    <row r="61" spans="1:9" ht="12.75" customHeight="1" x14ac:dyDescent="0.25">
      <c r="A61" s="13" t="s">
        <v>277</v>
      </c>
      <c r="B61" s="13" t="s">
        <v>262</v>
      </c>
      <c r="C61" s="13" t="s">
        <v>452</v>
      </c>
      <c r="D61" s="15" t="s">
        <v>67</v>
      </c>
      <c r="E61" s="13" t="s">
        <v>263</v>
      </c>
      <c r="F61" s="13" t="s">
        <v>241</v>
      </c>
      <c r="G61" s="13"/>
      <c r="H61" s="13" t="s">
        <v>238</v>
      </c>
      <c r="I61" s="13" t="s">
        <v>674</v>
      </c>
    </row>
    <row r="62" spans="1:9" ht="12.75" customHeight="1" x14ac:dyDescent="0.25">
      <c r="A62" s="13" t="s">
        <v>191</v>
      </c>
      <c r="B62" s="13" t="s">
        <v>110</v>
      </c>
      <c r="C62" s="13" t="s">
        <v>240</v>
      </c>
      <c r="D62" s="15">
        <v>2600</v>
      </c>
      <c r="E62" s="13" t="s">
        <v>112</v>
      </c>
      <c r="F62" s="13" t="s">
        <v>241</v>
      </c>
      <c r="G62" s="13"/>
      <c r="H62" s="13" t="s">
        <v>238</v>
      </c>
      <c r="I62" s="13" t="s">
        <v>675</v>
      </c>
    </row>
    <row r="63" spans="1:9" ht="12.75" customHeight="1" x14ac:dyDescent="0.25">
      <c r="A63" s="13" t="s">
        <v>195</v>
      </c>
      <c r="B63" s="13" t="s">
        <v>196</v>
      </c>
      <c r="C63" s="13" t="s">
        <v>197</v>
      </c>
      <c r="D63" s="15"/>
      <c r="E63" s="13"/>
      <c r="F63" s="13" t="s">
        <v>73</v>
      </c>
      <c r="G63" s="13" t="s">
        <v>46</v>
      </c>
      <c r="H63" s="13" t="s">
        <v>178</v>
      </c>
      <c r="I63" s="13" t="s">
        <v>676</v>
      </c>
    </row>
    <row r="64" spans="1:9" ht="12.75" customHeight="1" x14ac:dyDescent="0.25">
      <c r="A64" s="13" t="s">
        <v>198</v>
      </c>
      <c r="B64" s="13" t="s">
        <v>199</v>
      </c>
      <c r="C64" s="13" t="s">
        <v>200</v>
      </c>
      <c r="D64" s="15"/>
      <c r="E64" s="13"/>
      <c r="F64" s="13" t="s">
        <v>73</v>
      </c>
      <c r="G64" s="13" t="s">
        <v>46</v>
      </c>
      <c r="H64" s="13" t="s">
        <v>178</v>
      </c>
      <c r="I64" s="13" t="s">
        <v>677</v>
      </c>
    </row>
    <row r="65" spans="1:9" ht="12.75" customHeight="1" x14ac:dyDescent="0.25">
      <c r="A65" s="13" t="s">
        <v>201</v>
      </c>
      <c r="B65" s="13" t="s">
        <v>202</v>
      </c>
      <c r="C65" s="13" t="s">
        <v>203</v>
      </c>
      <c r="D65" s="15"/>
      <c r="E65" s="13"/>
      <c r="F65" s="13" t="s">
        <v>73</v>
      </c>
      <c r="G65" s="13" t="s">
        <v>46</v>
      </c>
      <c r="H65" s="13" t="s">
        <v>178</v>
      </c>
      <c r="I65" s="13" t="s">
        <v>678</v>
      </c>
    </row>
    <row r="66" spans="1:9" ht="12.75" customHeight="1" x14ac:dyDescent="0.25">
      <c r="A66" s="13" t="s">
        <v>204</v>
      </c>
      <c r="B66" s="13" t="s">
        <v>205</v>
      </c>
      <c r="C66" s="13" t="s">
        <v>206</v>
      </c>
      <c r="D66" s="15"/>
      <c r="E66" s="13"/>
      <c r="F66" s="13" t="s">
        <v>56</v>
      </c>
      <c r="G66" s="13" t="s">
        <v>65</v>
      </c>
      <c r="H66" s="13" t="s">
        <v>178</v>
      </c>
      <c r="I66" s="13" t="s">
        <v>679</v>
      </c>
    </row>
    <row r="67" spans="1:9" ht="12.75" customHeight="1" x14ac:dyDescent="0.25">
      <c r="A67" s="13" t="s">
        <v>453</v>
      </c>
      <c r="B67" s="13" t="s">
        <v>401</v>
      </c>
      <c r="C67" s="13" t="s">
        <v>454</v>
      </c>
      <c r="D67" s="15">
        <v>35</v>
      </c>
      <c r="E67" s="13" t="s">
        <v>403</v>
      </c>
      <c r="F67" s="13" t="s">
        <v>242</v>
      </c>
      <c r="G67" s="13"/>
      <c r="H67" s="13" t="s">
        <v>238</v>
      </c>
      <c r="I67" s="13" t="s">
        <v>680</v>
      </c>
    </row>
    <row r="68" spans="1:9" ht="12.75" customHeight="1" x14ac:dyDescent="0.25">
      <c r="A68" s="13" t="s">
        <v>529</v>
      </c>
      <c r="B68" s="13" t="s">
        <v>503</v>
      </c>
      <c r="C68" s="13" t="s">
        <v>530</v>
      </c>
      <c r="D68" s="15">
        <v>35</v>
      </c>
      <c r="E68" s="13" t="s">
        <v>505</v>
      </c>
      <c r="F68" s="13" t="s">
        <v>242</v>
      </c>
      <c r="G68" s="13"/>
      <c r="H68" s="13" t="s">
        <v>238</v>
      </c>
      <c r="I68" s="13" t="s">
        <v>681</v>
      </c>
    </row>
    <row r="69" spans="1:9" ht="12.75" customHeight="1" x14ac:dyDescent="0.25">
      <c r="A69" s="13" t="s">
        <v>455</v>
      </c>
      <c r="B69" s="13" t="s">
        <v>434</v>
      </c>
      <c r="C69" s="13" t="s">
        <v>456</v>
      </c>
      <c r="D69" s="15">
        <v>463.89682539682502</v>
      </c>
      <c r="E69" s="13" t="s">
        <v>436</v>
      </c>
      <c r="F69" s="13" t="s">
        <v>242</v>
      </c>
      <c r="G69" s="13"/>
      <c r="H69" s="13" t="s">
        <v>238</v>
      </c>
      <c r="I69" s="13" t="s">
        <v>682</v>
      </c>
    </row>
    <row r="70" spans="1:9" ht="12.75" customHeight="1" x14ac:dyDescent="0.25">
      <c r="A70" s="13" t="s">
        <v>207</v>
      </c>
      <c r="B70" s="13" t="s">
        <v>208</v>
      </c>
      <c r="C70" s="13" t="s">
        <v>209</v>
      </c>
      <c r="D70" s="15"/>
      <c r="E70" s="13"/>
      <c r="F70" s="13" t="s">
        <v>56</v>
      </c>
      <c r="G70" s="13" t="s">
        <v>57</v>
      </c>
      <c r="H70" s="13" t="s">
        <v>178</v>
      </c>
      <c r="I70" s="13" t="s">
        <v>683</v>
      </c>
    </row>
    <row r="71" spans="1:9" ht="12.75" customHeight="1" x14ac:dyDescent="0.25">
      <c r="A71" s="13" t="s">
        <v>210</v>
      </c>
      <c r="B71" s="13" t="s">
        <v>211</v>
      </c>
      <c r="C71" s="13" t="s">
        <v>212</v>
      </c>
      <c r="D71" s="15"/>
      <c r="E71" s="13"/>
      <c r="F71" s="13" t="s">
        <v>56</v>
      </c>
      <c r="G71" s="13" t="s">
        <v>57</v>
      </c>
      <c r="H71" s="13" t="s">
        <v>178</v>
      </c>
      <c r="I71" s="13" t="s">
        <v>684</v>
      </c>
    </row>
    <row r="72" spans="1:9" ht="12.75" customHeight="1" x14ac:dyDescent="0.25">
      <c r="A72" s="13" t="s">
        <v>457</v>
      </c>
      <c r="B72" s="13" t="s">
        <v>401</v>
      </c>
      <c r="C72" s="13" t="s">
        <v>458</v>
      </c>
      <c r="D72" s="15">
        <v>1</v>
      </c>
      <c r="E72" s="13" t="s">
        <v>403</v>
      </c>
      <c r="F72" s="13" t="s">
        <v>242</v>
      </c>
      <c r="G72" s="13"/>
      <c r="H72" s="13" t="s">
        <v>238</v>
      </c>
      <c r="I72" s="13" t="s">
        <v>685</v>
      </c>
    </row>
    <row r="73" spans="1:9" ht="12.75" customHeight="1" x14ac:dyDescent="0.25">
      <c r="A73" s="13" t="s">
        <v>622</v>
      </c>
      <c r="B73" s="13" t="s">
        <v>503</v>
      </c>
      <c r="C73" s="13" t="s">
        <v>623</v>
      </c>
      <c r="D73" s="15">
        <v>35</v>
      </c>
      <c r="E73" s="13" t="s">
        <v>505</v>
      </c>
      <c r="F73" s="13" t="s">
        <v>242</v>
      </c>
      <c r="G73" s="13"/>
      <c r="H73" s="13" t="s">
        <v>238</v>
      </c>
      <c r="I73" s="13" t="s">
        <v>686</v>
      </c>
    </row>
    <row r="74" spans="1:9" ht="12.75" customHeight="1" x14ac:dyDescent="0.25">
      <c r="A74" s="13" t="s">
        <v>213</v>
      </c>
      <c r="B74" s="13" t="s">
        <v>214</v>
      </c>
      <c r="C74" s="13" t="s">
        <v>215</v>
      </c>
      <c r="D74" s="15"/>
      <c r="E74" s="13"/>
      <c r="F74" s="13" t="s">
        <v>56</v>
      </c>
      <c r="G74" s="13" t="s">
        <v>57</v>
      </c>
      <c r="H74" s="13" t="s">
        <v>178</v>
      </c>
      <c r="I74" s="13" t="s">
        <v>687</v>
      </c>
    </row>
    <row r="75" spans="1:9" ht="12.75" customHeight="1" x14ac:dyDescent="0.25">
      <c r="A75" s="13" t="s">
        <v>216</v>
      </c>
      <c r="B75" s="13" t="s">
        <v>217</v>
      </c>
      <c r="C75" s="13" t="s">
        <v>218</v>
      </c>
      <c r="D75" s="15"/>
      <c r="E75" s="13"/>
      <c r="F75" s="13" t="s">
        <v>56</v>
      </c>
      <c r="G75" s="13" t="s">
        <v>57</v>
      </c>
      <c r="H75" s="13" t="s">
        <v>178</v>
      </c>
      <c r="I75" s="13" t="s">
        <v>688</v>
      </c>
    </row>
    <row r="76" spans="1:9" ht="12.75" customHeight="1" x14ac:dyDescent="0.25">
      <c r="A76" s="13" t="s">
        <v>219</v>
      </c>
      <c r="B76" s="13" t="s">
        <v>220</v>
      </c>
      <c r="C76" s="13" t="s">
        <v>221</v>
      </c>
      <c r="D76" s="15"/>
      <c r="E76" s="13"/>
      <c r="F76" s="13" t="s">
        <v>56</v>
      </c>
      <c r="G76" s="13" t="s">
        <v>46</v>
      </c>
      <c r="H76" s="13" t="s">
        <v>178</v>
      </c>
      <c r="I76" s="13" t="s">
        <v>689</v>
      </c>
    </row>
    <row r="77" spans="1:9" ht="12.75" customHeight="1" x14ac:dyDescent="0.25">
      <c r="A77" s="13" t="s">
        <v>219</v>
      </c>
      <c r="B77" s="13" t="s">
        <v>220</v>
      </c>
      <c r="C77" s="13" t="s">
        <v>221</v>
      </c>
      <c r="D77" s="15"/>
      <c r="E77" s="13"/>
      <c r="F77" s="13" t="s">
        <v>56</v>
      </c>
      <c r="G77" s="13" t="s">
        <v>46</v>
      </c>
      <c r="H77" s="13" t="s">
        <v>178</v>
      </c>
      <c r="I77" s="13" t="s">
        <v>690</v>
      </c>
    </row>
    <row r="78" spans="1:9" ht="12.75" customHeight="1" x14ac:dyDescent="0.25">
      <c r="A78" s="13" t="s">
        <v>222</v>
      </c>
      <c r="B78" s="13" t="s">
        <v>223</v>
      </c>
      <c r="C78" s="13" t="s">
        <v>224</v>
      </c>
      <c r="D78" s="15"/>
      <c r="E78" s="13"/>
      <c r="F78" s="13" t="s">
        <v>56</v>
      </c>
      <c r="G78" s="13" t="s">
        <v>57</v>
      </c>
      <c r="H78" s="13" t="s">
        <v>178</v>
      </c>
      <c r="I78" s="13" t="s">
        <v>691</v>
      </c>
    </row>
    <row r="79" spans="1:9" ht="12.75" customHeight="1" x14ac:dyDescent="0.25">
      <c r="A79" s="13" t="s">
        <v>225</v>
      </c>
      <c r="B79" s="13" t="s">
        <v>84</v>
      </c>
      <c r="C79" s="13" t="s">
        <v>226</v>
      </c>
      <c r="D79" s="15"/>
      <c r="E79" s="13"/>
      <c r="F79" s="13" t="s">
        <v>85</v>
      </c>
      <c r="G79" s="13" t="s">
        <v>46</v>
      </c>
      <c r="H79" s="13" t="s">
        <v>178</v>
      </c>
      <c r="I79" s="13" t="s">
        <v>692</v>
      </c>
    </row>
  </sheetData>
  <sheetProtection sheet="1" objects="1" scenarios="1"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D68A3-7148-490E-A3E7-EE75FF8C7145}">
  <sheetPr>
    <outlinePr summaryBelow="0"/>
  </sheetPr>
  <dimension ref="A1:N115"/>
  <sheetViews>
    <sheetView showGridLines="0" workbookViewId="0">
      <pane ySplit="8" topLeftCell="A9" activePane="bottomLeft" state="frozen"/>
      <selection pane="bottomLeft" activeCell="C23" sqref="C23"/>
    </sheetView>
  </sheetViews>
  <sheetFormatPr defaultRowHeight="12.75" customHeight="1" outlineLevelRow="2" outlineLevelCol="1" x14ac:dyDescent="0.25"/>
  <cols>
    <col min="1" max="1" width="37" bestFit="1" customWidth="1"/>
    <col min="2" max="2" width="13.375" hidden="1" customWidth="1" outlineLevel="1"/>
    <col min="3" max="3" width="21.5" bestFit="1" customWidth="1" collapsed="1"/>
    <col min="4" max="4" width="6.875" bestFit="1" customWidth="1"/>
    <col min="5" max="5" width="8.875" bestFit="1" customWidth="1"/>
    <col min="6" max="6" width="10.875" customWidth="1"/>
    <col min="7" max="7" width="11.875" bestFit="1" customWidth="1"/>
    <col min="8" max="8" width="22.375" bestFit="1" customWidth="1"/>
    <col min="9" max="9" width="15" bestFit="1" customWidth="1"/>
    <col min="10" max="10" width="6.25" bestFit="1" customWidth="1"/>
    <col min="11" max="11" width="19.75" bestFit="1" customWidth="1"/>
    <col min="12" max="12" width="5.25" bestFit="1" customWidth="1"/>
    <col min="13" max="13" width="36.125" hidden="1" customWidth="1" outlineLevel="1"/>
    <col min="14" max="14" width="1.875" bestFit="1" customWidth="1" collapsed="1"/>
  </cols>
  <sheetData>
    <row r="1" spans="1:14" ht="12.75" customHeight="1" x14ac:dyDescent="0.25">
      <c r="A1" s="11" t="s">
        <v>20</v>
      </c>
      <c r="B1" s="11"/>
      <c r="C1" s="11" t="s">
        <v>21</v>
      </c>
      <c r="D1" s="11"/>
      <c r="E1" s="11"/>
      <c r="F1" s="11"/>
      <c r="G1" s="11"/>
      <c r="H1" s="11"/>
      <c r="I1" s="11"/>
      <c r="J1" s="11"/>
      <c r="K1" s="11"/>
      <c r="L1" s="11"/>
      <c r="M1" s="11"/>
    </row>
    <row r="2" spans="1:14" ht="12.75" customHeight="1" x14ac:dyDescent="0.25">
      <c r="A2" s="11" t="s">
        <v>22</v>
      </c>
      <c r="B2" s="11"/>
      <c r="C2" s="11">
        <v>1</v>
      </c>
      <c r="D2" s="11"/>
      <c r="E2" s="11"/>
      <c r="F2" s="11"/>
      <c r="G2" s="11"/>
      <c r="H2" s="11"/>
      <c r="I2" s="11"/>
      <c r="J2" s="11"/>
      <c r="K2" s="11"/>
      <c r="L2" s="11"/>
      <c r="M2" s="11"/>
    </row>
    <row r="3" spans="1:14" ht="12.75" customHeight="1" x14ac:dyDescent="0.25">
      <c r="A3" s="11" t="s">
        <v>23</v>
      </c>
      <c r="B3" s="11"/>
      <c r="C3" s="11" t="s">
        <v>24</v>
      </c>
      <c r="D3" s="11"/>
      <c r="E3" s="11"/>
      <c r="F3" s="11"/>
      <c r="G3" s="11"/>
      <c r="H3" s="11"/>
      <c r="I3" s="11"/>
      <c r="J3" s="11"/>
      <c r="K3" s="11"/>
      <c r="L3" s="11"/>
      <c r="M3" s="11"/>
    </row>
    <row r="4" spans="1:14" ht="12.75" customHeight="1" x14ac:dyDescent="0.25">
      <c r="A4" s="11" t="s">
        <v>25</v>
      </c>
      <c r="B4" s="11"/>
      <c r="C4" s="11" t="s">
        <v>26</v>
      </c>
      <c r="D4" s="11"/>
      <c r="E4" s="11"/>
      <c r="F4" s="11"/>
      <c r="G4" s="11"/>
      <c r="H4" s="11"/>
      <c r="I4" s="11"/>
      <c r="J4" s="11"/>
      <c r="K4" s="11"/>
      <c r="L4" s="11"/>
      <c r="M4" s="11"/>
    </row>
    <row r="5" spans="1:14" ht="12.75" customHeight="1" x14ac:dyDescent="0.25">
      <c r="A5" s="11" t="s">
        <v>27</v>
      </c>
      <c r="B5" s="11"/>
      <c r="C5" s="11" t="s">
        <v>28</v>
      </c>
      <c r="D5" s="11"/>
      <c r="E5" s="11"/>
      <c r="F5" s="11"/>
      <c r="G5" s="11"/>
      <c r="H5" s="11"/>
      <c r="I5" s="11"/>
      <c r="J5" s="11"/>
      <c r="K5" s="11"/>
      <c r="L5" s="11"/>
      <c r="M5" s="11"/>
    </row>
    <row r="6" spans="1:14" ht="12.75" customHeight="1" x14ac:dyDescent="0.25">
      <c r="A6" s="11" t="s">
        <v>29</v>
      </c>
      <c r="B6" s="11"/>
      <c r="C6" s="12">
        <v>45094.894201388888</v>
      </c>
      <c r="D6" s="11"/>
      <c r="E6" s="11"/>
      <c r="F6" s="11"/>
      <c r="G6" s="11"/>
      <c r="H6" s="11"/>
      <c r="I6" s="11"/>
      <c r="J6" s="11"/>
      <c r="K6" s="11"/>
      <c r="L6" s="11"/>
      <c r="M6" s="11"/>
    </row>
    <row r="7" spans="1:14" ht="12.75" customHeight="1" x14ac:dyDescent="0.25">
      <c r="A7" s="16"/>
      <c r="B7" s="16"/>
      <c r="C7" s="16"/>
      <c r="D7" s="16"/>
      <c r="E7" s="16"/>
      <c r="F7" s="16"/>
      <c r="G7" s="16"/>
      <c r="H7" s="16"/>
      <c r="I7" s="16"/>
      <c r="J7" s="16"/>
      <c r="K7" s="16"/>
      <c r="L7" s="16"/>
      <c r="M7" s="16"/>
    </row>
    <row r="8" spans="1:14" ht="12.75" customHeight="1" x14ac:dyDescent="0.25">
      <c r="A8" s="62" t="s">
        <v>30</v>
      </c>
      <c r="B8" s="62" t="s">
        <v>31</v>
      </c>
      <c r="C8" s="62" t="s">
        <v>32</v>
      </c>
      <c r="D8" s="62" t="s">
        <v>33</v>
      </c>
      <c r="E8" s="62" t="s">
        <v>34</v>
      </c>
      <c r="F8" s="62" t="s">
        <v>35</v>
      </c>
      <c r="G8" s="62" t="s">
        <v>36</v>
      </c>
      <c r="H8" s="62" t="s">
        <v>37</v>
      </c>
      <c r="I8" s="62" t="s">
        <v>38</v>
      </c>
      <c r="J8" s="62" t="s">
        <v>39</v>
      </c>
      <c r="K8" s="62" t="s">
        <v>40</v>
      </c>
      <c r="L8" s="62" t="s">
        <v>41</v>
      </c>
      <c r="M8" s="62" t="s">
        <v>42</v>
      </c>
    </row>
    <row r="9" spans="1:14" ht="12.75" customHeight="1" x14ac:dyDescent="0.25">
      <c r="A9" s="57"/>
      <c r="B9" s="57"/>
      <c r="C9" s="57"/>
      <c r="D9" s="57"/>
      <c r="E9" s="57"/>
      <c r="F9" s="57"/>
      <c r="G9" s="57"/>
      <c r="H9" s="57"/>
      <c r="I9" s="57"/>
      <c r="J9" s="57"/>
      <c r="K9" s="57"/>
      <c r="L9" s="57"/>
      <c r="M9" s="57"/>
    </row>
    <row r="10" spans="1:14" ht="12.75" customHeight="1" x14ac:dyDescent="0.25">
      <c r="A10" s="63" t="s">
        <v>243</v>
      </c>
      <c r="B10" s="63" t="s">
        <v>244</v>
      </c>
      <c r="C10" s="58"/>
      <c r="D10" s="58"/>
      <c r="E10" s="58"/>
      <c r="F10" s="58"/>
      <c r="G10" s="58"/>
      <c r="H10" s="63" t="s">
        <v>244</v>
      </c>
      <c r="I10" s="63"/>
      <c r="J10" s="63" t="s">
        <v>64</v>
      </c>
      <c r="K10" s="63" t="s">
        <v>245</v>
      </c>
      <c r="L10" s="63" t="s">
        <v>47</v>
      </c>
      <c r="M10" s="63" t="s">
        <v>246</v>
      </c>
      <c r="N10">
        <v>1</v>
      </c>
    </row>
    <row r="11" spans="1:14" ht="12.75" customHeight="1" x14ac:dyDescent="0.25">
      <c r="A11" s="63" t="s">
        <v>247</v>
      </c>
      <c r="B11" s="63" t="s">
        <v>248</v>
      </c>
      <c r="C11" s="58"/>
      <c r="D11" s="58"/>
      <c r="E11" s="58"/>
      <c r="F11" s="58"/>
      <c r="G11" s="58"/>
      <c r="H11" s="63" t="s">
        <v>248</v>
      </c>
      <c r="I11" s="63"/>
      <c r="J11" s="63" t="s">
        <v>64</v>
      </c>
      <c r="K11" s="63" t="s">
        <v>245</v>
      </c>
      <c r="L11" s="63" t="s">
        <v>47</v>
      </c>
      <c r="M11" s="63" t="s">
        <v>249</v>
      </c>
      <c r="N11">
        <v>1</v>
      </c>
    </row>
    <row r="12" spans="1:14" ht="12.75" customHeight="1" x14ac:dyDescent="0.25">
      <c r="A12" s="63" t="s">
        <v>250</v>
      </c>
      <c r="B12" s="63" t="s">
        <v>251</v>
      </c>
      <c r="C12" s="58"/>
      <c r="D12" s="58"/>
      <c r="E12" s="58"/>
      <c r="F12" s="58"/>
      <c r="G12" s="58"/>
      <c r="H12" s="63" t="s">
        <v>251</v>
      </c>
      <c r="I12" s="63"/>
      <c r="J12" s="63" t="s">
        <v>64</v>
      </c>
      <c r="K12" s="63" t="s">
        <v>245</v>
      </c>
      <c r="L12" s="63" t="s">
        <v>47</v>
      </c>
      <c r="M12" s="63" t="s">
        <v>252</v>
      </c>
      <c r="N12">
        <v>1</v>
      </c>
    </row>
    <row r="13" spans="1:14" ht="12.75" customHeight="1" x14ac:dyDescent="0.25">
      <c r="A13" s="63" t="s">
        <v>305</v>
      </c>
      <c r="B13" s="63" t="s">
        <v>306</v>
      </c>
      <c r="C13" s="58"/>
      <c r="D13" s="58"/>
      <c r="E13" s="58"/>
      <c r="F13" s="58"/>
      <c r="G13" s="58"/>
      <c r="H13" s="63" t="s">
        <v>306</v>
      </c>
      <c r="I13" s="63"/>
      <c r="J13" s="63" t="s">
        <v>307</v>
      </c>
      <c r="K13" s="63" t="s">
        <v>46</v>
      </c>
      <c r="L13" s="63" t="s">
        <v>47</v>
      </c>
      <c r="M13" s="63" t="s">
        <v>308</v>
      </c>
      <c r="N13">
        <v>1</v>
      </c>
    </row>
    <row r="14" spans="1:14" ht="12.75" customHeight="1" x14ac:dyDescent="0.25">
      <c r="A14" s="63" t="s">
        <v>43</v>
      </c>
      <c r="B14" s="63" t="s">
        <v>44</v>
      </c>
      <c r="C14" s="58"/>
      <c r="D14" s="58"/>
      <c r="E14" s="58"/>
      <c r="F14" s="58"/>
      <c r="G14" s="58"/>
      <c r="H14" s="63" t="s">
        <v>44</v>
      </c>
      <c r="I14" s="63"/>
      <c r="J14" s="63" t="s">
        <v>45</v>
      </c>
      <c r="K14" s="63" t="s">
        <v>46</v>
      </c>
      <c r="L14" s="63" t="s">
        <v>47</v>
      </c>
      <c r="M14" s="63" t="s">
        <v>48</v>
      </c>
      <c r="N14">
        <v>1</v>
      </c>
    </row>
    <row r="15" spans="1:14" ht="12.75" customHeight="1" outlineLevel="1" x14ac:dyDescent="0.25">
      <c r="A15" s="63" t="s">
        <v>50</v>
      </c>
      <c r="B15" s="63"/>
      <c r="C15" s="58"/>
      <c r="D15" s="57"/>
      <c r="E15" s="58"/>
      <c r="F15" s="58"/>
      <c r="G15" s="58"/>
      <c r="H15" s="63" t="s">
        <v>51</v>
      </c>
      <c r="I15" s="63"/>
      <c r="J15" s="63" t="s">
        <v>45</v>
      </c>
      <c r="K15" s="63" t="s">
        <v>46</v>
      </c>
      <c r="L15" s="63" t="s">
        <v>52</v>
      </c>
      <c r="M15" s="63" t="s">
        <v>53</v>
      </c>
      <c r="N15">
        <v>2</v>
      </c>
    </row>
    <row r="16" spans="1:14" ht="12.75" customHeight="1" outlineLevel="2" x14ac:dyDescent="0.25">
      <c r="A16" s="63" t="s">
        <v>384</v>
      </c>
      <c r="B16" s="63" t="s">
        <v>385</v>
      </c>
      <c r="C16" s="58" t="s">
        <v>67</v>
      </c>
      <c r="D16" s="57" t="s">
        <v>67</v>
      </c>
      <c r="E16" s="58" t="s">
        <v>67</v>
      </c>
      <c r="F16" s="57" t="s">
        <v>68</v>
      </c>
      <c r="G16" s="58" t="s">
        <v>67</v>
      </c>
      <c r="H16" s="63" t="s">
        <v>386</v>
      </c>
      <c r="I16" s="63" t="s">
        <v>263</v>
      </c>
      <c r="J16" s="63" t="s">
        <v>227</v>
      </c>
      <c r="K16" s="63"/>
      <c r="L16" s="63" t="s">
        <v>70</v>
      </c>
      <c r="M16" s="63" t="s">
        <v>387</v>
      </c>
      <c r="N16">
        <v>3</v>
      </c>
    </row>
    <row r="17" spans="1:14" ht="12.75" customHeight="1" outlineLevel="2" x14ac:dyDescent="0.25">
      <c r="A17" s="63" t="s">
        <v>388</v>
      </c>
      <c r="B17" s="63" t="s">
        <v>389</v>
      </c>
      <c r="C17" s="58" t="s">
        <v>67</v>
      </c>
      <c r="D17" s="57" t="s">
        <v>67</v>
      </c>
      <c r="E17" s="58" t="s">
        <v>67</v>
      </c>
      <c r="F17" s="57" t="s">
        <v>68</v>
      </c>
      <c r="G17" s="58" t="s">
        <v>67</v>
      </c>
      <c r="H17" s="63" t="s">
        <v>390</v>
      </c>
      <c r="I17" s="63" t="s">
        <v>263</v>
      </c>
      <c r="J17" s="63" t="s">
        <v>227</v>
      </c>
      <c r="K17" s="63"/>
      <c r="L17" s="63" t="s">
        <v>70</v>
      </c>
      <c r="M17" s="63" t="s">
        <v>391</v>
      </c>
      <c r="N17">
        <v>3</v>
      </c>
    </row>
    <row r="18" spans="1:14" ht="12.75" customHeight="1" outlineLevel="2" x14ac:dyDescent="0.25">
      <c r="A18" s="63" t="s">
        <v>392</v>
      </c>
      <c r="B18" s="63" t="s">
        <v>393</v>
      </c>
      <c r="C18" s="58" t="s">
        <v>67</v>
      </c>
      <c r="D18" s="57" t="s">
        <v>67</v>
      </c>
      <c r="E18" s="58" t="s">
        <v>67</v>
      </c>
      <c r="F18" s="57" t="s">
        <v>68</v>
      </c>
      <c r="G18" s="58" t="s">
        <v>67</v>
      </c>
      <c r="H18" s="63" t="s">
        <v>394</v>
      </c>
      <c r="I18" s="63" t="s">
        <v>112</v>
      </c>
      <c r="J18" s="63" t="s">
        <v>227</v>
      </c>
      <c r="K18" s="63"/>
      <c r="L18" s="63" t="s">
        <v>70</v>
      </c>
      <c r="M18" s="63" t="s">
        <v>395</v>
      </c>
      <c r="N18">
        <v>3</v>
      </c>
    </row>
    <row r="19" spans="1:14" ht="12.75" customHeight="1" outlineLevel="2" x14ac:dyDescent="0.25">
      <c r="A19" s="63" t="s">
        <v>396</v>
      </c>
      <c r="B19" s="63" t="s">
        <v>397</v>
      </c>
      <c r="C19" s="58" t="s">
        <v>67</v>
      </c>
      <c r="D19" s="57" t="s">
        <v>67</v>
      </c>
      <c r="E19" s="58" t="s">
        <v>67</v>
      </c>
      <c r="F19" s="57" t="s">
        <v>68</v>
      </c>
      <c r="G19" s="58" t="s">
        <v>67</v>
      </c>
      <c r="H19" s="63" t="s">
        <v>398</v>
      </c>
      <c r="I19" s="63" t="s">
        <v>112</v>
      </c>
      <c r="J19" s="63" t="s">
        <v>227</v>
      </c>
      <c r="K19" s="63"/>
      <c r="L19" s="63" t="s">
        <v>70</v>
      </c>
      <c r="M19" s="63" t="s">
        <v>399</v>
      </c>
      <c r="N19">
        <v>3</v>
      </c>
    </row>
    <row r="20" spans="1:14" ht="12.75" customHeight="1" x14ac:dyDescent="0.25">
      <c r="A20" s="63" t="s">
        <v>54</v>
      </c>
      <c r="B20" s="63" t="s">
        <v>55</v>
      </c>
      <c r="C20" s="58"/>
      <c r="D20" s="58"/>
      <c r="E20" s="58"/>
      <c r="F20" s="58"/>
      <c r="G20" s="58"/>
      <c r="H20" s="63" t="s">
        <v>55</v>
      </c>
      <c r="I20" s="63"/>
      <c r="J20" s="63" t="s">
        <v>56</v>
      </c>
      <c r="K20" s="63" t="s">
        <v>57</v>
      </c>
      <c r="L20" s="63" t="s">
        <v>47</v>
      </c>
      <c r="M20" s="63" t="s">
        <v>58</v>
      </c>
      <c r="N20">
        <v>1</v>
      </c>
    </row>
    <row r="21" spans="1:14" ht="12.75" customHeight="1" x14ac:dyDescent="0.25">
      <c r="A21" s="63" t="s">
        <v>459</v>
      </c>
      <c r="B21" s="63" t="s">
        <v>459</v>
      </c>
      <c r="C21" s="58"/>
      <c r="D21" s="58"/>
      <c r="E21" s="58"/>
      <c r="F21" s="58"/>
      <c r="G21" s="58"/>
      <c r="H21" s="63" t="s">
        <v>459</v>
      </c>
      <c r="I21" s="63"/>
      <c r="J21" s="63" t="s">
        <v>107</v>
      </c>
      <c r="K21" s="63" t="s">
        <v>46</v>
      </c>
      <c r="L21" s="63" t="s">
        <v>47</v>
      </c>
      <c r="M21" s="63" t="s">
        <v>460</v>
      </c>
      <c r="N21">
        <v>1</v>
      </c>
    </row>
    <row r="22" spans="1:14" ht="12.75" customHeight="1" outlineLevel="1" x14ac:dyDescent="0.25">
      <c r="A22" s="63" t="s">
        <v>461</v>
      </c>
      <c r="B22" s="63" t="s">
        <v>462</v>
      </c>
      <c r="C22" s="57">
        <f>finalBatteryCapacity</f>
        <v>8</v>
      </c>
      <c r="D22" s="57" t="s">
        <v>67</v>
      </c>
      <c r="E22" s="57" t="s">
        <v>67</v>
      </c>
      <c r="F22" s="57" t="s">
        <v>68</v>
      </c>
      <c r="G22" s="58">
        <f>IF($F$22="MANUAL",$D$22,IF($F$22="COMPUTED",$C$22,$E$22))</f>
        <v>8</v>
      </c>
      <c r="H22" s="63" t="s">
        <v>463</v>
      </c>
      <c r="I22" s="63" t="s">
        <v>464</v>
      </c>
      <c r="J22" s="63" t="s">
        <v>107</v>
      </c>
      <c r="K22" s="63"/>
      <c r="L22" s="63" t="s">
        <v>113</v>
      </c>
      <c r="M22" s="63" t="s">
        <v>465</v>
      </c>
      <c r="N22">
        <v>2</v>
      </c>
    </row>
    <row r="23" spans="1:14" ht="12.75" customHeight="1" outlineLevel="1" x14ac:dyDescent="0.25">
      <c r="A23" s="63" t="s">
        <v>466</v>
      </c>
      <c r="B23" s="63" t="s">
        <v>467</v>
      </c>
      <c r="C23" s="57" t="s">
        <v>67</v>
      </c>
      <c r="D23" s="59" t="s">
        <v>67</v>
      </c>
      <c r="E23" s="59" t="s">
        <v>67</v>
      </c>
      <c r="F23" s="57" t="s">
        <v>111</v>
      </c>
      <c r="G23" s="58" t="str">
        <f>IF($F$23="MANUAL",$D$23,IF($F$23="COMPUTED",$C$23,$E$23))</f>
        <v>-</v>
      </c>
      <c r="H23" s="63" t="s">
        <v>468</v>
      </c>
      <c r="I23" s="63" t="s">
        <v>467</v>
      </c>
      <c r="J23" s="63" t="s">
        <v>107</v>
      </c>
      <c r="K23" s="63"/>
      <c r="L23" s="63" t="s">
        <v>113</v>
      </c>
      <c r="M23" s="63" t="s">
        <v>469</v>
      </c>
      <c r="N23">
        <v>2</v>
      </c>
    </row>
    <row r="24" spans="1:14" ht="12.75" customHeight="1" outlineLevel="1" x14ac:dyDescent="0.25">
      <c r="A24" s="63" t="s">
        <v>418</v>
      </c>
      <c r="B24" s="63" t="s">
        <v>296</v>
      </c>
      <c r="C24" s="57">
        <f>finalBatteryMass</f>
        <v>6.5184000000000006</v>
      </c>
      <c r="D24" s="57" t="s">
        <v>67</v>
      </c>
      <c r="E24" s="57" t="s">
        <v>67</v>
      </c>
      <c r="F24" s="57" t="s">
        <v>68</v>
      </c>
      <c r="G24" s="58">
        <f>IF($F$24="MANUAL",$D$24,IF($F$24="COMPUTED",$C$24,$E$24))</f>
        <v>6.5184000000000006</v>
      </c>
      <c r="H24" s="63" t="s">
        <v>470</v>
      </c>
      <c r="I24" s="63" t="s">
        <v>420</v>
      </c>
      <c r="J24" s="63" t="s">
        <v>107</v>
      </c>
      <c r="K24" s="63"/>
      <c r="L24" s="63" t="s">
        <v>113</v>
      </c>
      <c r="M24" s="63" t="s">
        <v>471</v>
      </c>
      <c r="N24">
        <v>2</v>
      </c>
    </row>
    <row r="25" spans="1:14" ht="12.75" customHeight="1" x14ac:dyDescent="0.25">
      <c r="A25" s="63" t="s">
        <v>309</v>
      </c>
      <c r="B25" s="63" t="s">
        <v>310</v>
      </c>
      <c r="C25" s="58"/>
      <c r="D25" s="58"/>
      <c r="E25" s="58"/>
      <c r="F25" s="58"/>
      <c r="G25" s="58"/>
      <c r="H25" s="63" t="s">
        <v>310</v>
      </c>
      <c r="I25" s="63"/>
      <c r="J25" s="63" t="s">
        <v>307</v>
      </c>
      <c r="K25" s="63" t="s">
        <v>46</v>
      </c>
      <c r="L25" s="63" t="s">
        <v>47</v>
      </c>
      <c r="M25" s="63" t="s">
        <v>311</v>
      </c>
      <c r="N25">
        <v>1</v>
      </c>
    </row>
    <row r="26" spans="1:14" ht="12.75" customHeight="1" outlineLevel="1" x14ac:dyDescent="0.25">
      <c r="A26" s="63" t="s">
        <v>312</v>
      </c>
      <c r="B26" s="63"/>
      <c r="C26" s="58"/>
      <c r="D26" s="57"/>
      <c r="E26" s="58"/>
      <c r="F26" s="58"/>
      <c r="G26" s="58"/>
      <c r="H26" s="63" t="s">
        <v>313</v>
      </c>
      <c r="I26" s="63"/>
      <c r="J26" s="63" t="s">
        <v>307</v>
      </c>
      <c r="K26" s="63" t="s">
        <v>46</v>
      </c>
      <c r="L26" s="63" t="s">
        <v>52</v>
      </c>
      <c r="M26" s="63" t="s">
        <v>314</v>
      </c>
      <c r="N26">
        <v>2</v>
      </c>
    </row>
    <row r="27" spans="1:14" ht="12.75" customHeight="1" outlineLevel="1" x14ac:dyDescent="0.25">
      <c r="A27" s="63" t="s">
        <v>315</v>
      </c>
      <c r="B27" s="63"/>
      <c r="C27" s="58"/>
      <c r="D27" s="57"/>
      <c r="E27" s="58"/>
      <c r="F27" s="58"/>
      <c r="G27" s="58"/>
      <c r="H27" s="63" t="s">
        <v>316</v>
      </c>
      <c r="I27" s="63"/>
      <c r="J27" s="63" t="s">
        <v>307</v>
      </c>
      <c r="K27" s="63" t="s">
        <v>46</v>
      </c>
      <c r="L27" s="63" t="s">
        <v>52</v>
      </c>
      <c r="M27" s="63" t="s">
        <v>317</v>
      </c>
      <c r="N27">
        <v>2</v>
      </c>
    </row>
    <row r="28" spans="1:14" ht="12.75" customHeight="1" outlineLevel="1" x14ac:dyDescent="0.25">
      <c r="A28" s="63" t="s">
        <v>318</v>
      </c>
      <c r="B28" s="63"/>
      <c r="C28" s="58"/>
      <c r="D28" s="57"/>
      <c r="E28" s="58"/>
      <c r="F28" s="58"/>
      <c r="G28" s="58"/>
      <c r="H28" s="63" t="s">
        <v>319</v>
      </c>
      <c r="I28" s="63"/>
      <c r="J28" s="63" t="s">
        <v>307</v>
      </c>
      <c r="K28" s="63" t="s">
        <v>46</v>
      </c>
      <c r="L28" s="63" t="s">
        <v>52</v>
      </c>
      <c r="M28" s="63" t="s">
        <v>320</v>
      </c>
      <c r="N28">
        <v>2</v>
      </c>
    </row>
    <row r="29" spans="1:14" ht="12.75" customHeight="1" x14ac:dyDescent="0.25">
      <c r="A29" s="63" t="s">
        <v>59</v>
      </c>
      <c r="B29" s="63" t="s">
        <v>60</v>
      </c>
      <c r="C29" s="58"/>
      <c r="D29" s="58"/>
      <c r="E29" s="58"/>
      <c r="F29" s="58"/>
      <c r="G29" s="58"/>
      <c r="H29" s="63" t="s">
        <v>60</v>
      </c>
      <c r="I29" s="63"/>
      <c r="J29" s="63" t="s">
        <v>56</v>
      </c>
      <c r="K29" s="63" t="s">
        <v>57</v>
      </c>
      <c r="L29" s="63" t="s">
        <v>47</v>
      </c>
      <c r="M29" s="63" t="s">
        <v>61</v>
      </c>
      <c r="N29">
        <v>1</v>
      </c>
    </row>
    <row r="30" spans="1:14" ht="12.75" customHeight="1" outlineLevel="1" x14ac:dyDescent="0.25">
      <c r="A30" s="63" t="s">
        <v>400</v>
      </c>
      <c r="B30" s="63" t="s">
        <v>401</v>
      </c>
      <c r="C30" s="58">
        <v>1</v>
      </c>
      <c r="D30" s="57" t="s">
        <v>67</v>
      </c>
      <c r="E30" s="58" t="s">
        <v>67</v>
      </c>
      <c r="F30" s="57" t="s">
        <v>68</v>
      </c>
      <c r="G30" s="58">
        <f>IF($F$30="MANUAL",$D$30,IF($F$30="COMPUTED",$C$30,$E$30))</f>
        <v>1</v>
      </c>
      <c r="H30" s="63" t="s">
        <v>402</v>
      </c>
      <c r="I30" s="63" t="s">
        <v>403</v>
      </c>
      <c r="J30" s="63" t="s">
        <v>234</v>
      </c>
      <c r="K30" s="63"/>
      <c r="L30" s="63" t="s">
        <v>70</v>
      </c>
      <c r="M30" s="63" t="s">
        <v>404</v>
      </c>
      <c r="N30">
        <v>2</v>
      </c>
    </row>
    <row r="31" spans="1:14" ht="12.75" customHeight="1" outlineLevel="1" x14ac:dyDescent="0.25">
      <c r="A31" s="63" t="s">
        <v>502</v>
      </c>
      <c r="B31" s="63" t="s">
        <v>503</v>
      </c>
      <c r="C31" s="58">
        <v>35</v>
      </c>
      <c r="D31" s="57" t="s">
        <v>67</v>
      </c>
      <c r="E31" s="58" t="s">
        <v>67</v>
      </c>
      <c r="F31" s="57" t="s">
        <v>68</v>
      </c>
      <c r="G31" s="58">
        <f>IF($F$31="MANUAL",$D$31,IF($F$31="COMPUTED",$C$31,$E$31))</f>
        <v>35</v>
      </c>
      <c r="H31" s="63" t="s">
        <v>599</v>
      </c>
      <c r="I31" s="63" t="s">
        <v>505</v>
      </c>
      <c r="J31" s="63" t="s">
        <v>234</v>
      </c>
      <c r="K31" s="63"/>
      <c r="L31" s="63" t="s">
        <v>70</v>
      </c>
      <c r="M31" s="63" t="s">
        <v>600</v>
      </c>
      <c r="N31">
        <v>2</v>
      </c>
    </row>
    <row r="32" spans="1:14" ht="12.75" customHeight="1" x14ac:dyDescent="0.25">
      <c r="A32" s="63" t="s">
        <v>62</v>
      </c>
      <c r="B32" s="63" t="s">
        <v>63</v>
      </c>
      <c r="C32" s="58"/>
      <c r="D32" s="58"/>
      <c r="E32" s="58"/>
      <c r="F32" s="58"/>
      <c r="G32" s="58"/>
      <c r="H32" s="63" t="s">
        <v>63</v>
      </c>
      <c r="I32" s="63"/>
      <c r="J32" s="63" t="s">
        <v>64</v>
      </c>
      <c r="K32" s="63" t="s">
        <v>65</v>
      </c>
      <c r="L32" s="63" t="s">
        <v>47</v>
      </c>
      <c r="M32" s="63" t="s">
        <v>66</v>
      </c>
      <c r="N32">
        <v>1</v>
      </c>
    </row>
    <row r="33" spans="1:14" ht="12.75" customHeight="1" outlineLevel="1" x14ac:dyDescent="0.25">
      <c r="A33" s="63" t="s">
        <v>321</v>
      </c>
      <c r="B33" s="63"/>
      <c r="C33" s="58"/>
      <c r="D33" s="57"/>
      <c r="E33" s="58"/>
      <c r="F33" s="58"/>
      <c r="G33" s="58"/>
      <c r="H33" s="63" t="s">
        <v>322</v>
      </c>
      <c r="I33" s="63"/>
      <c r="J33" s="63" t="s">
        <v>64</v>
      </c>
      <c r="K33" s="63" t="s">
        <v>46</v>
      </c>
      <c r="L33" s="63" t="s">
        <v>52</v>
      </c>
      <c r="M33" s="63" t="s">
        <v>323</v>
      </c>
      <c r="N33">
        <v>2</v>
      </c>
    </row>
    <row r="34" spans="1:14" ht="12.75" customHeight="1" outlineLevel="1" x14ac:dyDescent="0.25">
      <c r="A34" s="63" t="s">
        <v>253</v>
      </c>
      <c r="B34" s="63"/>
      <c r="C34" s="58"/>
      <c r="D34" s="57"/>
      <c r="E34" s="58"/>
      <c r="F34" s="58"/>
      <c r="G34" s="58"/>
      <c r="H34" s="63" t="s">
        <v>254</v>
      </c>
      <c r="I34" s="63"/>
      <c r="J34" s="63" t="s">
        <v>64</v>
      </c>
      <c r="K34" s="63" t="s">
        <v>245</v>
      </c>
      <c r="L34" s="63" t="s">
        <v>52</v>
      </c>
      <c r="M34" s="63" t="s">
        <v>324</v>
      </c>
      <c r="N34">
        <v>2</v>
      </c>
    </row>
    <row r="35" spans="1:14" ht="12.75" customHeight="1" outlineLevel="1" x14ac:dyDescent="0.25">
      <c r="A35" s="63" t="s">
        <v>253</v>
      </c>
      <c r="B35" s="63"/>
      <c r="C35" s="58"/>
      <c r="D35" s="57"/>
      <c r="E35" s="58"/>
      <c r="F35" s="58"/>
      <c r="G35" s="58"/>
      <c r="H35" s="63" t="s">
        <v>254</v>
      </c>
      <c r="I35" s="63"/>
      <c r="J35" s="63" t="s">
        <v>64</v>
      </c>
      <c r="K35" s="63" t="s">
        <v>245</v>
      </c>
      <c r="L35" s="63" t="s">
        <v>52</v>
      </c>
      <c r="M35" s="63" t="s">
        <v>325</v>
      </c>
      <c r="N35">
        <v>2</v>
      </c>
    </row>
    <row r="36" spans="1:14" ht="12.75" customHeight="1" outlineLevel="1" x14ac:dyDescent="0.25">
      <c r="A36" s="63" t="s">
        <v>253</v>
      </c>
      <c r="B36" s="63"/>
      <c r="C36" s="58"/>
      <c r="D36" s="57"/>
      <c r="E36" s="58"/>
      <c r="F36" s="58"/>
      <c r="G36" s="58"/>
      <c r="H36" s="63" t="s">
        <v>254</v>
      </c>
      <c r="I36" s="63"/>
      <c r="J36" s="63" t="s">
        <v>64</v>
      </c>
      <c r="K36" s="63" t="s">
        <v>245</v>
      </c>
      <c r="L36" s="63" t="s">
        <v>52</v>
      </c>
      <c r="M36" s="63" t="s">
        <v>255</v>
      </c>
      <c r="N36">
        <v>2</v>
      </c>
    </row>
    <row r="37" spans="1:14" ht="12.75" customHeight="1" outlineLevel="1" x14ac:dyDescent="0.25">
      <c r="A37" s="63" t="s">
        <v>253</v>
      </c>
      <c r="B37" s="63"/>
      <c r="C37" s="58"/>
      <c r="D37" s="57"/>
      <c r="E37" s="58"/>
      <c r="F37" s="58"/>
      <c r="G37" s="58"/>
      <c r="H37" s="63" t="s">
        <v>254</v>
      </c>
      <c r="I37" s="63"/>
      <c r="J37" s="63" t="s">
        <v>64</v>
      </c>
      <c r="K37" s="63" t="s">
        <v>245</v>
      </c>
      <c r="L37" s="63" t="s">
        <v>52</v>
      </c>
      <c r="M37" s="63" t="s">
        <v>326</v>
      </c>
      <c r="N37">
        <v>2</v>
      </c>
    </row>
    <row r="38" spans="1:14" ht="12.75" customHeight="1" outlineLevel="1" x14ac:dyDescent="0.25">
      <c r="A38" s="63" t="s">
        <v>268</v>
      </c>
      <c r="B38" s="63"/>
      <c r="C38" s="58"/>
      <c r="D38" s="57"/>
      <c r="E38" s="58"/>
      <c r="F38" s="58"/>
      <c r="G38" s="58"/>
      <c r="H38" s="63" t="s">
        <v>269</v>
      </c>
      <c r="I38" s="63"/>
      <c r="J38" s="63" t="s">
        <v>64</v>
      </c>
      <c r="K38" s="63" t="s">
        <v>266</v>
      </c>
      <c r="L38" s="63" t="s">
        <v>52</v>
      </c>
      <c r="M38" s="63" t="s">
        <v>327</v>
      </c>
      <c r="N38">
        <v>2</v>
      </c>
    </row>
    <row r="39" spans="1:14" ht="12.75" customHeight="1" outlineLevel="1" x14ac:dyDescent="0.25">
      <c r="A39" s="63" t="s">
        <v>268</v>
      </c>
      <c r="B39" s="63"/>
      <c r="C39" s="58"/>
      <c r="D39" s="57"/>
      <c r="E39" s="58"/>
      <c r="F39" s="58"/>
      <c r="G39" s="58"/>
      <c r="H39" s="63" t="s">
        <v>269</v>
      </c>
      <c r="I39" s="63"/>
      <c r="J39" s="63" t="s">
        <v>64</v>
      </c>
      <c r="K39" s="63" t="s">
        <v>266</v>
      </c>
      <c r="L39" s="63" t="s">
        <v>52</v>
      </c>
      <c r="M39" s="63" t="s">
        <v>270</v>
      </c>
      <c r="N39">
        <v>2</v>
      </c>
    </row>
    <row r="40" spans="1:14" ht="12.75" customHeight="1" outlineLevel="1" x14ac:dyDescent="0.25">
      <c r="A40" s="63" t="s">
        <v>328</v>
      </c>
      <c r="B40" s="63"/>
      <c r="C40" s="58"/>
      <c r="D40" s="57"/>
      <c r="E40" s="58"/>
      <c r="F40" s="58"/>
      <c r="G40" s="58"/>
      <c r="H40" s="63" t="s">
        <v>329</v>
      </c>
      <c r="I40" s="63"/>
      <c r="J40" s="63" t="s">
        <v>64</v>
      </c>
      <c r="K40" s="63" t="s">
        <v>46</v>
      </c>
      <c r="L40" s="63" t="s">
        <v>52</v>
      </c>
      <c r="M40" s="63" t="s">
        <v>330</v>
      </c>
      <c r="N40">
        <v>2</v>
      </c>
    </row>
    <row r="41" spans="1:14" ht="12.75" customHeight="1" outlineLevel="1" x14ac:dyDescent="0.25">
      <c r="A41" s="63" t="s">
        <v>256</v>
      </c>
      <c r="B41" s="63"/>
      <c r="C41" s="58"/>
      <c r="D41" s="57"/>
      <c r="E41" s="58"/>
      <c r="F41" s="58"/>
      <c r="G41" s="58"/>
      <c r="H41" s="63" t="s">
        <v>257</v>
      </c>
      <c r="I41" s="63"/>
      <c r="J41" s="63" t="s">
        <v>64</v>
      </c>
      <c r="K41" s="63" t="s">
        <v>245</v>
      </c>
      <c r="L41" s="63" t="s">
        <v>52</v>
      </c>
      <c r="M41" s="63" t="s">
        <v>258</v>
      </c>
      <c r="N41">
        <v>2</v>
      </c>
    </row>
    <row r="42" spans="1:14" ht="12.75" customHeight="1" outlineLevel="1" x14ac:dyDescent="0.25">
      <c r="A42" s="63" t="s">
        <v>331</v>
      </c>
      <c r="B42" s="63"/>
      <c r="C42" s="58"/>
      <c r="D42" s="57"/>
      <c r="E42" s="58"/>
      <c r="F42" s="58"/>
      <c r="G42" s="58"/>
      <c r="H42" s="63" t="s">
        <v>332</v>
      </c>
      <c r="I42" s="63"/>
      <c r="J42" s="63" t="s">
        <v>64</v>
      </c>
      <c r="K42" s="63" t="s">
        <v>46</v>
      </c>
      <c r="L42" s="63" t="s">
        <v>52</v>
      </c>
      <c r="M42" s="63" t="s">
        <v>333</v>
      </c>
      <c r="N42">
        <v>2</v>
      </c>
    </row>
    <row r="43" spans="1:14" ht="12.75" customHeight="1" outlineLevel="1" x14ac:dyDescent="0.25">
      <c r="A43" s="63" t="s">
        <v>331</v>
      </c>
      <c r="B43" s="63"/>
      <c r="C43" s="58"/>
      <c r="D43" s="57"/>
      <c r="E43" s="58"/>
      <c r="F43" s="58"/>
      <c r="G43" s="58"/>
      <c r="H43" s="63" t="s">
        <v>332</v>
      </c>
      <c r="I43" s="63"/>
      <c r="J43" s="63" t="s">
        <v>64</v>
      </c>
      <c r="K43" s="63" t="s">
        <v>46</v>
      </c>
      <c r="L43" s="63" t="s">
        <v>52</v>
      </c>
      <c r="M43" s="63" t="s">
        <v>334</v>
      </c>
      <c r="N43">
        <v>2</v>
      </c>
    </row>
    <row r="44" spans="1:14" ht="12.75" customHeight="1" outlineLevel="1" x14ac:dyDescent="0.25">
      <c r="A44" s="63" t="s">
        <v>259</v>
      </c>
      <c r="B44" s="63"/>
      <c r="C44" s="58"/>
      <c r="D44" s="57"/>
      <c r="E44" s="58"/>
      <c r="F44" s="58"/>
      <c r="G44" s="58"/>
      <c r="H44" s="63" t="s">
        <v>260</v>
      </c>
      <c r="I44" s="63"/>
      <c r="J44" s="63" t="s">
        <v>64</v>
      </c>
      <c r="K44" s="63" t="s">
        <v>245</v>
      </c>
      <c r="L44" s="63" t="s">
        <v>52</v>
      </c>
      <c r="M44" s="63" t="s">
        <v>261</v>
      </c>
      <c r="N44">
        <v>2</v>
      </c>
    </row>
    <row r="45" spans="1:14" ht="12.75" customHeight="1" outlineLevel="2" x14ac:dyDescent="0.25">
      <c r="A45" s="63" t="s">
        <v>384</v>
      </c>
      <c r="B45" s="63" t="s">
        <v>385</v>
      </c>
      <c r="C45" s="58" t="s">
        <v>67</v>
      </c>
      <c r="D45" s="57" t="s">
        <v>67</v>
      </c>
      <c r="E45" s="58">
        <v>50.5</v>
      </c>
      <c r="F45" s="57" t="s">
        <v>68</v>
      </c>
      <c r="G45" s="58" t="s">
        <v>67</v>
      </c>
      <c r="H45" s="63" t="s">
        <v>405</v>
      </c>
      <c r="I45" s="63" t="s">
        <v>263</v>
      </c>
      <c r="J45" s="63" t="s">
        <v>69</v>
      </c>
      <c r="K45" s="63"/>
      <c r="L45" s="63" t="s">
        <v>70</v>
      </c>
      <c r="M45" s="63" t="s">
        <v>406</v>
      </c>
      <c r="N45">
        <v>3</v>
      </c>
    </row>
    <row r="46" spans="1:14" ht="12.75" customHeight="1" outlineLevel="2" x14ac:dyDescent="0.25">
      <c r="A46" s="63" t="s">
        <v>388</v>
      </c>
      <c r="B46" s="63" t="s">
        <v>389</v>
      </c>
      <c r="C46" s="58" t="s">
        <v>67</v>
      </c>
      <c r="D46" s="57" t="s">
        <v>67</v>
      </c>
      <c r="E46" s="58">
        <v>50.5</v>
      </c>
      <c r="F46" s="57" t="s">
        <v>68</v>
      </c>
      <c r="G46" s="58" t="s">
        <v>67</v>
      </c>
      <c r="H46" s="63" t="s">
        <v>407</v>
      </c>
      <c r="I46" s="63" t="s">
        <v>263</v>
      </c>
      <c r="J46" s="63" t="s">
        <v>69</v>
      </c>
      <c r="K46" s="63"/>
      <c r="L46" s="63" t="s">
        <v>70</v>
      </c>
      <c r="M46" s="63" t="s">
        <v>408</v>
      </c>
      <c r="N46">
        <v>3</v>
      </c>
    </row>
    <row r="47" spans="1:14" ht="12.75" customHeight="1" outlineLevel="2" x14ac:dyDescent="0.25">
      <c r="A47" s="63" t="s">
        <v>392</v>
      </c>
      <c r="B47" s="63" t="s">
        <v>393</v>
      </c>
      <c r="C47" s="58" t="s">
        <v>67</v>
      </c>
      <c r="D47" s="57" t="s">
        <v>67</v>
      </c>
      <c r="E47" s="58">
        <v>114</v>
      </c>
      <c r="F47" s="57" t="s">
        <v>68</v>
      </c>
      <c r="G47" s="58" t="s">
        <v>67</v>
      </c>
      <c r="H47" s="63" t="s">
        <v>409</v>
      </c>
      <c r="I47" s="63" t="s">
        <v>112</v>
      </c>
      <c r="J47" s="63" t="s">
        <v>69</v>
      </c>
      <c r="K47" s="63"/>
      <c r="L47" s="63" t="s">
        <v>70</v>
      </c>
      <c r="M47" s="63" t="s">
        <v>410</v>
      </c>
      <c r="N47">
        <v>3</v>
      </c>
    </row>
    <row r="48" spans="1:14" ht="12.75" customHeight="1" outlineLevel="2" x14ac:dyDescent="0.25">
      <c r="A48" s="63" t="s">
        <v>396</v>
      </c>
      <c r="B48" s="63" t="s">
        <v>397</v>
      </c>
      <c r="C48" s="58" t="s">
        <v>67</v>
      </c>
      <c r="D48" s="57" t="s">
        <v>67</v>
      </c>
      <c r="E48" s="58">
        <v>114</v>
      </c>
      <c r="F48" s="57" t="s">
        <v>68</v>
      </c>
      <c r="G48" s="58" t="s">
        <v>67</v>
      </c>
      <c r="H48" s="63" t="s">
        <v>411</v>
      </c>
      <c r="I48" s="63" t="s">
        <v>112</v>
      </c>
      <c r="J48" s="63" t="s">
        <v>69</v>
      </c>
      <c r="K48" s="63"/>
      <c r="L48" s="63" t="s">
        <v>70</v>
      </c>
      <c r="M48" s="63" t="s">
        <v>412</v>
      </c>
      <c r="N48">
        <v>3</v>
      </c>
    </row>
    <row r="49" spans="1:14" ht="12.75" customHeight="1" x14ac:dyDescent="0.25">
      <c r="A49" s="63" t="s">
        <v>335</v>
      </c>
      <c r="B49" s="63" t="s">
        <v>335</v>
      </c>
      <c r="C49" s="58"/>
      <c r="D49" s="58"/>
      <c r="E49" s="58"/>
      <c r="F49" s="58"/>
      <c r="G49" s="58"/>
      <c r="H49" s="63" t="s">
        <v>335</v>
      </c>
      <c r="I49" s="63"/>
      <c r="J49" s="63" t="s">
        <v>64</v>
      </c>
      <c r="K49" s="63" t="s">
        <v>46</v>
      </c>
      <c r="L49" s="63" t="s">
        <v>47</v>
      </c>
      <c r="M49" s="63" t="s">
        <v>336</v>
      </c>
      <c r="N49">
        <v>1</v>
      </c>
    </row>
    <row r="50" spans="1:14" ht="12.75" customHeight="1" x14ac:dyDescent="0.25">
      <c r="A50" s="63" t="s">
        <v>71</v>
      </c>
      <c r="B50" s="63" t="s">
        <v>72</v>
      </c>
      <c r="C50" s="58"/>
      <c r="D50" s="58"/>
      <c r="E50" s="58"/>
      <c r="F50" s="58"/>
      <c r="G50" s="58"/>
      <c r="H50" s="63" t="s">
        <v>72</v>
      </c>
      <c r="I50" s="63"/>
      <c r="J50" s="63" t="s">
        <v>73</v>
      </c>
      <c r="K50" s="63" t="s">
        <v>46</v>
      </c>
      <c r="L50" s="63" t="s">
        <v>47</v>
      </c>
      <c r="M50" s="63" t="s">
        <v>74</v>
      </c>
      <c r="N50">
        <v>1</v>
      </c>
    </row>
    <row r="51" spans="1:14" ht="12.75" customHeight="1" x14ac:dyDescent="0.25">
      <c r="A51" s="63" t="s">
        <v>75</v>
      </c>
      <c r="B51" s="63" t="s">
        <v>76</v>
      </c>
      <c r="C51" s="58"/>
      <c r="D51" s="58"/>
      <c r="E51" s="58"/>
      <c r="F51" s="58"/>
      <c r="G51" s="58"/>
      <c r="H51" s="63" t="s">
        <v>76</v>
      </c>
      <c r="I51" s="63"/>
      <c r="J51" s="63" t="s">
        <v>77</v>
      </c>
      <c r="K51" s="63" t="s">
        <v>46</v>
      </c>
      <c r="L51" s="63" t="s">
        <v>47</v>
      </c>
      <c r="M51" s="63" t="s">
        <v>78</v>
      </c>
      <c r="N51">
        <v>1</v>
      </c>
    </row>
    <row r="52" spans="1:14" ht="12.75" customHeight="1" outlineLevel="1" x14ac:dyDescent="0.25">
      <c r="A52" s="63" t="s">
        <v>413</v>
      </c>
      <c r="B52" s="63" t="s">
        <v>414</v>
      </c>
      <c r="C52" s="58">
        <v>20</v>
      </c>
      <c r="D52" s="57" t="s">
        <v>67</v>
      </c>
      <c r="E52" s="58" t="s">
        <v>67</v>
      </c>
      <c r="F52" s="57" t="s">
        <v>68</v>
      </c>
      <c r="G52" s="58">
        <f>IF($F$52="MANUAL",$D$52,IF($F$52="COMPUTED",$C$52,$E$52))</f>
        <v>20</v>
      </c>
      <c r="H52" s="63" t="s">
        <v>415</v>
      </c>
      <c r="I52" s="63" t="s">
        <v>416</v>
      </c>
      <c r="J52" s="63" t="s">
        <v>232</v>
      </c>
      <c r="K52" s="63"/>
      <c r="L52" s="63" t="s">
        <v>70</v>
      </c>
      <c r="M52" s="63" t="s">
        <v>417</v>
      </c>
      <c r="N52">
        <v>2</v>
      </c>
    </row>
    <row r="53" spans="1:14" ht="12.75" customHeight="1" outlineLevel="1" x14ac:dyDescent="0.25">
      <c r="A53" s="63" t="s">
        <v>79</v>
      </c>
      <c r="B53" s="63"/>
      <c r="C53" s="58"/>
      <c r="D53" s="57"/>
      <c r="E53" s="58"/>
      <c r="F53" s="58"/>
      <c r="G53" s="58"/>
      <c r="H53" s="63" t="s">
        <v>80</v>
      </c>
      <c r="I53" s="63"/>
      <c r="J53" s="63" t="s">
        <v>77</v>
      </c>
      <c r="K53" s="63" t="s">
        <v>81</v>
      </c>
      <c r="L53" s="63" t="s">
        <v>52</v>
      </c>
      <c r="M53" s="63" t="s">
        <v>82</v>
      </c>
      <c r="N53">
        <v>2</v>
      </c>
    </row>
    <row r="54" spans="1:14" ht="12.75" customHeight="1" outlineLevel="1" x14ac:dyDescent="0.25">
      <c r="A54" s="63" t="s">
        <v>83</v>
      </c>
      <c r="B54" s="63"/>
      <c r="C54" s="58"/>
      <c r="D54" s="57"/>
      <c r="E54" s="58"/>
      <c r="F54" s="58"/>
      <c r="G54" s="58"/>
      <c r="H54" s="63" t="s">
        <v>84</v>
      </c>
      <c r="I54" s="63"/>
      <c r="J54" s="63" t="s">
        <v>85</v>
      </c>
      <c r="K54" s="63" t="s">
        <v>46</v>
      </c>
      <c r="L54" s="63" t="s">
        <v>52</v>
      </c>
      <c r="M54" s="63" t="s">
        <v>86</v>
      </c>
      <c r="N54">
        <v>2</v>
      </c>
    </row>
    <row r="55" spans="1:14" ht="12.75" customHeight="1" x14ac:dyDescent="0.25">
      <c r="A55" s="63" t="s">
        <v>87</v>
      </c>
      <c r="B55" s="63" t="s">
        <v>88</v>
      </c>
      <c r="C55" s="58"/>
      <c r="D55" s="58"/>
      <c r="E55" s="58"/>
      <c r="F55" s="58"/>
      <c r="G55" s="58"/>
      <c r="H55" s="63" t="s">
        <v>88</v>
      </c>
      <c r="I55" s="63"/>
      <c r="J55" s="63" t="s">
        <v>56</v>
      </c>
      <c r="K55" s="63" t="s">
        <v>46</v>
      </c>
      <c r="L55" s="63" t="s">
        <v>47</v>
      </c>
      <c r="M55" s="63" t="s">
        <v>89</v>
      </c>
      <c r="N55">
        <v>1</v>
      </c>
    </row>
    <row r="56" spans="1:14" ht="12.75" customHeight="1" x14ac:dyDescent="0.25">
      <c r="A56" s="63" t="s">
        <v>337</v>
      </c>
      <c r="B56" s="63" t="s">
        <v>337</v>
      </c>
      <c r="C56" s="58"/>
      <c r="D56" s="58"/>
      <c r="E56" s="58"/>
      <c r="F56" s="58"/>
      <c r="G56" s="58"/>
      <c r="H56" s="63" t="s">
        <v>337</v>
      </c>
      <c r="I56" s="63"/>
      <c r="J56" s="63" t="s">
        <v>307</v>
      </c>
      <c r="K56" s="63" t="s">
        <v>46</v>
      </c>
      <c r="L56" s="63" t="s">
        <v>47</v>
      </c>
      <c r="M56" s="63" t="s">
        <v>338</v>
      </c>
      <c r="N56">
        <v>1</v>
      </c>
    </row>
    <row r="57" spans="1:14" ht="12.75" customHeight="1" x14ac:dyDescent="0.25">
      <c r="A57" s="63" t="s">
        <v>90</v>
      </c>
      <c r="B57" s="63" t="s">
        <v>91</v>
      </c>
      <c r="C57" s="58"/>
      <c r="D57" s="58"/>
      <c r="E57" s="58"/>
      <c r="F57" s="58"/>
      <c r="G57" s="58"/>
      <c r="H57" s="63" t="s">
        <v>91</v>
      </c>
      <c r="I57" s="63"/>
      <c r="J57" s="63" t="s">
        <v>56</v>
      </c>
      <c r="K57" s="63" t="s">
        <v>57</v>
      </c>
      <c r="L57" s="63" t="s">
        <v>47</v>
      </c>
      <c r="M57" s="63" t="s">
        <v>92</v>
      </c>
      <c r="N57">
        <v>1</v>
      </c>
    </row>
    <row r="58" spans="1:14" ht="12.75" customHeight="1" x14ac:dyDescent="0.25">
      <c r="A58" s="63" t="s">
        <v>93</v>
      </c>
      <c r="B58" s="63" t="s">
        <v>94</v>
      </c>
      <c r="C58" s="58"/>
      <c r="D58" s="58"/>
      <c r="E58" s="58"/>
      <c r="F58" s="58"/>
      <c r="G58" s="58"/>
      <c r="H58" s="63" t="s">
        <v>94</v>
      </c>
      <c r="I58" s="63"/>
      <c r="J58" s="63" t="s">
        <v>56</v>
      </c>
      <c r="K58" s="63" t="s">
        <v>57</v>
      </c>
      <c r="L58" s="63" t="s">
        <v>47</v>
      </c>
      <c r="M58" s="63" t="s">
        <v>95</v>
      </c>
      <c r="N58">
        <v>1</v>
      </c>
    </row>
    <row r="59" spans="1:14" ht="12.75" customHeight="1" x14ac:dyDescent="0.25">
      <c r="A59" s="63" t="s">
        <v>96</v>
      </c>
      <c r="B59" s="63" t="s">
        <v>97</v>
      </c>
      <c r="C59" s="58"/>
      <c r="D59" s="58"/>
      <c r="E59" s="58"/>
      <c r="F59" s="58"/>
      <c r="G59" s="58"/>
      <c r="H59" s="63" t="s">
        <v>97</v>
      </c>
      <c r="I59" s="63"/>
      <c r="J59" s="63" t="s">
        <v>85</v>
      </c>
      <c r="K59" s="63" t="s">
        <v>46</v>
      </c>
      <c r="L59" s="63" t="s">
        <v>47</v>
      </c>
      <c r="M59" s="63" t="s">
        <v>98</v>
      </c>
      <c r="N59">
        <v>1</v>
      </c>
    </row>
    <row r="60" spans="1:14" ht="12.75" customHeight="1" outlineLevel="1" x14ac:dyDescent="0.25">
      <c r="A60" s="63" t="s">
        <v>99</v>
      </c>
      <c r="B60" s="63"/>
      <c r="C60" s="58"/>
      <c r="D60" s="58"/>
      <c r="E60" s="58"/>
      <c r="F60" s="58"/>
      <c r="G60" s="58"/>
      <c r="H60" s="63"/>
      <c r="I60" s="63"/>
      <c r="J60" s="63"/>
      <c r="K60" s="63"/>
      <c r="L60" s="63" t="s">
        <v>49</v>
      </c>
      <c r="M60" s="63" t="s">
        <v>100</v>
      </c>
      <c r="N60">
        <v>2</v>
      </c>
    </row>
    <row r="61" spans="1:14" ht="12.75" customHeight="1" outlineLevel="1" x14ac:dyDescent="0.25">
      <c r="A61" s="63" t="s">
        <v>101</v>
      </c>
      <c r="B61" s="63"/>
      <c r="C61" s="58"/>
      <c r="D61" s="58"/>
      <c r="E61" s="58"/>
      <c r="F61" s="58"/>
      <c r="G61" s="58"/>
      <c r="H61" s="63"/>
      <c r="I61" s="63"/>
      <c r="J61" s="63"/>
      <c r="K61" s="63"/>
      <c r="L61" s="63" t="s">
        <v>49</v>
      </c>
      <c r="M61" s="63" t="s">
        <v>102</v>
      </c>
      <c r="N61">
        <v>2</v>
      </c>
    </row>
    <row r="62" spans="1:14" ht="12.75" customHeight="1" outlineLevel="1" x14ac:dyDescent="0.25">
      <c r="A62" s="63" t="s">
        <v>103</v>
      </c>
      <c r="B62" s="63"/>
      <c r="C62" s="58"/>
      <c r="D62" s="58"/>
      <c r="E62" s="58"/>
      <c r="F62" s="58"/>
      <c r="G62" s="58"/>
      <c r="H62" s="63"/>
      <c r="I62" s="63"/>
      <c r="J62" s="63"/>
      <c r="K62" s="63"/>
      <c r="L62" s="63" t="s">
        <v>49</v>
      </c>
      <c r="M62" s="63" t="s">
        <v>104</v>
      </c>
      <c r="N62">
        <v>2</v>
      </c>
    </row>
    <row r="63" spans="1:14" ht="12.75" customHeight="1" x14ac:dyDescent="0.25">
      <c r="A63" s="63" t="s">
        <v>339</v>
      </c>
      <c r="B63" s="63" t="s">
        <v>340</v>
      </c>
      <c r="C63" s="58"/>
      <c r="D63" s="58"/>
      <c r="E63" s="58"/>
      <c r="F63" s="58"/>
      <c r="G63" s="58"/>
      <c r="H63" s="63" t="s">
        <v>340</v>
      </c>
      <c r="I63" s="63"/>
      <c r="J63" s="63" t="s">
        <v>307</v>
      </c>
      <c r="K63" s="63" t="s">
        <v>46</v>
      </c>
      <c r="L63" s="63" t="s">
        <v>47</v>
      </c>
      <c r="M63" s="63" t="s">
        <v>341</v>
      </c>
      <c r="N63">
        <v>1</v>
      </c>
    </row>
    <row r="64" spans="1:14" ht="12.75" customHeight="1" x14ac:dyDescent="0.25">
      <c r="A64" s="63" t="s">
        <v>105</v>
      </c>
      <c r="B64" s="63" t="s">
        <v>106</v>
      </c>
      <c r="C64" s="58"/>
      <c r="D64" s="58"/>
      <c r="E64" s="58"/>
      <c r="F64" s="58"/>
      <c r="G64" s="58"/>
      <c r="H64" s="63" t="s">
        <v>106</v>
      </c>
      <c r="I64" s="63"/>
      <c r="J64" s="63" t="s">
        <v>107</v>
      </c>
      <c r="K64" s="63" t="s">
        <v>65</v>
      </c>
      <c r="L64" s="63" t="s">
        <v>47</v>
      </c>
      <c r="M64" s="63" t="s">
        <v>108</v>
      </c>
      <c r="N64">
        <v>1</v>
      </c>
    </row>
    <row r="65" spans="1:14" ht="12.75" customHeight="1" outlineLevel="1" x14ac:dyDescent="0.25">
      <c r="A65" s="63" t="s">
        <v>601</v>
      </c>
      <c r="B65" s="63" t="s">
        <v>602</v>
      </c>
      <c r="C65" s="57" t="s">
        <v>67</v>
      </c>
      <c r="D65" s="57">
        <v>0</v>
      </c>
      <c r="E65" s="57" t="s">
        <v>67</v>
      </c>
      <c r="F65" s="57" t="s">
        <v>111</v>
      </c>
      <c r="G65" s="58">
        <f>IF($F$65="MANUAL",$D$65,IF($F$65="COMPUTED",$C$65,$E$65))</f>
        <v>0</v>
      </c>
      <c r="H65" s="63" t="s">
        <v>603</v>
      </c>
      <c r="I65" s="63" t="s">
        <v>604</v>
      </c>
      <c r="J65" s="63" t="s">
        <v>107</v>
      </c>
      <c r="K65" s="63"/>
      <c r="L65" s="63" t="s">
        <v>113</v>
      </c>
      <c r="M65" s="63" t="s">
        <v>605</v>
      </c>
      <c r="N65">
        <v>2</v>
      </c>
    </row>
    <row r="66" spans="1:14" ht="12.75" customHeight="1" outlineLevel="1" x14ac:dyDescent="0.25">
      <c r="A66" s="63" t="s">
        <v>418</v>
      </c>
      <c r="B66" s="63" t="s">
        <v>296</v>
      </c>
      <c r="C66" s="57">
        <f>powerSubsystemMass</f>
        <v>1704.9776213648684</v>
      </c>
      <c r="D66" s="57" t="s">
        <v>67</v>
      </c>
      <c r="E66" s="57" t="s">
        <v>67</v>
      </c>
      <c r="F66" s="57" t="s">
        <v>68</v>
      </c>
      <c r="G66" s="58">
        <f>IF($F$66="MANUAL",$D$66,IF($F$66="COMPUTED",$C$66,$E$66))</f>
        <v>1704.9776213648684</v>
      </c>
      <c r="H66" s="63" t="s">
        <v>419</v>
      </c>
      <c r="I66" s="63" t="s">
        <v>420</v>
      </c>
      <c r="J66" s="63" t="s">
        <v>107</v>
      </c>
      <c r="K66" s="63"/>
      <c r="L66" s="63" t="s">
        <v>113</v>
      </c>
      <c r="M66" s="63" t="s">
        <v>421</v>
      </c>
      <c r="N66">
        <v>2</v>
      </c>
    </row>
    <row r="67" spans="1:14" ht="12.75" customHeight="1" outlineLevel="1" x14ac:dyDescent="0.25">
      <c r="A67" s="63" t="s">
        <v>606</v>
      </c>
      <c r="B67" s="63" t="s">
        <v>607</v>
      </c>
      <c r="C67" s="57" t="s">
        <v>67</v>
      </c>
      <c r="D67" s="57">
        <v>10</v>
      </c>
      <c r="E67" s="57" t="s">
        <v>67</v>
      </c>
      <c r="F67" s="57" t="s">
        <v>111</v>
      </c>
      <c r="G67" s="58">
        <f>IF($F$67="MANUAL",$D$67,IF($F$67="COMPUTED",$C$67,$E$67))</f>
        <v>10</v>
      </c>
      <c r="H67" s="63" t="s">
        <v>608</v>
      </c>
      <c r="I67" s="63" t="s">
        <v>609</v>
      </c>
      <c r="J67" s="63" t="s">
        <v>107</v>
      </c>
      <c r="K67" s="63"/>
      <c r="L67" s="63" t="s">
        <v>113</v>
      </c>
      <c r="M67" s="63" t="s">
        <v>610</v>
      </c>
      <c r="N67">
        <v>2</v>
      </c>
    </row>
    <row r="68" spans="1:14" ht="12.75" customHeight="1" outlineLevel="1" x14ac:dyDescent="0.25">
      <c r="A68" s="63" t="s">
        <v>422</v>
      </c>
      <c r="B68" s="63" t="s">
        <v>423</v>
      </c>
      <c r="C68" s="57">
        <f>reflectanceFactor</f>
        <v>2.3339071778900562E-2</v>
      </c>
      <c r="D68" s="57">
        <v>0.02</v>
      </c>
      <c r="E68" s="57" t="s">
        <v>67</v>
      </c>
      <c r="F68" s="57" t="s">
        <v>68</v>
      </c>
      <c r="G68" s="58">
        <f>IF($F$68="MANUAL",$D$68,IF($F$68="COMPUTED",$C$68,$E$68))</f>
        <v>2.3339071778900562E-2</v>
      </c>
      <c r="H68" s="63" t="s">
        <v>424</v>
      </c>
      <c r="I68" s="63" t="s">
        <v>425</v>
      </c>
      <c r="J68" s="63" t="s">
        <v>107</v>
      </c>
      <c r="K68" s="63"/>
      <c r="L68" s="63" t="s">
        <v>113</v>
      </c>
      <c r="M68" s="63" t="s">
        <v>426</v>
      </c>
      <c r="N68">
        <v>2</v>
      </c>
    </row>
    <row r="69" spans="1:14" ht="12.75" customHeight="1" outlineLevel="1" x14ac:dyDescent="0.25">
      <c r="A69" s="63" t="s">
        <v>472</v>
      </c>
      <c r="B69" s="63"/>
      <c r="C69" s="58"/>
      <c r="D69" s="57"/>
      <c r="E69" s="58"/>
      <c r="F69" s="58"/>
      <c r="G69" s="58"/>
      <c r="H69" s="63" t="s">
        <v>473</v>
      </c>
      <c r="I69" s="63"/>
      <c r="J69" s="63" t="s">
        <v>107</v>
      </c>
      <c r="K69" s="63" t="s">
        <v>46</v>
      </c>
      <c r="L69" s="63" t="s">
        <v>52</v>
      </c>
      <c r="M69" s="63" t="s">
        <v>474</v>
      </c>
      <c r="N69">
        <v>2</v>
      </c>
    </row>
    <row r="70" spans="1:14" ht="12.75" customHeight="1" outlineLevel="1" x14ac:dyDescent="0.25">
      <c r="A70" s="63" t="s">
        <v>475</v>
      </c>
      <c r="B70" s="63"/>
      <c r="C70" s="58"/>
      <c r="D70" s="57"/>
      <c r="E70" s="58"/>
      <c r="F70" s="58"/>
      <c r="G70" s="58"/>
      <c r="H70" s="63" t="s">
        <v>476</v>
      </c>
      <c r="I70" s="63"/>
      <c r="J70" s="63" t="s">
        <v>107</v>
      </c>
      <c r="K70" s="63" t="s">
        <v>46</v>
      </c>
      <c r="L70" s="63" t="s">
        <v>52</v>
      </c>
      <c r="M70" s="63" t="s">
        <v>477</v>
      </c>
      <c r="N70">
        <v>2</v>
      </c>
    </row>
    <row r="71" spans="1:14" ht="12.75" customHeight="1" outlineLevel="1" x14ac:dyDescent="0.25">
      <c r="A71" s="63" t="s">
        <v>478</v>
      </c>
      <c r="B71" s="63"/>
      <c r="C71" s="58"/>
      <c r="D71" s="57"/>
      <c r="E71" s="58"/>
      <c r="F71" s="58"/>
      <c r="G71" s="58"/>
      <c r="H71" s="63" t="s">
        <v>479</v>
      </c>
      <c r="I71" s="63"/>
      <c r="J71" s="63" t="s">
        <v>107</v>
      </c>
      <c r="K71" s="63" t="s">
        <v>46</v>
      </c>
      <c r="L71" s="63" t="s">
        <v>52</v>
      </c>
      <c r="M71" s="63" t="s">
        <v>480</v>
      </c>
      <c r="N71">
        <v>2</v>
      </c>
    </row>
    <row r="72" spans="1:14" ht="12.75" customHeight="1" outlineLevel="2" x14ac:dyDescent="0.25">
      <c r="A72" s="63" t="s">
        <v>611</v>
      </c>
      <c r="B72" s="63" t="s">
        <v>490</v>
      </c>
      <c r="C72" s="57">
        <f>plate_distance</f>
        <v>7.0647043398905957E-2</v>
      </c>
      <c r="D72" s="57">
        <v>7.0599999999999996E-2</v>
      </c>
      <c r="E72" s="57" t="s">
        <v>67</v>
      </c>
      <c r="F72" s="57" t="s">
        <v>68</v>
      </c>
      <c r="G72" s="58">
        <f>IF($F$72="MANUAL",$D$72,IF($F$72="COMPUTED",$C$72,$E$72))</f>
        <v>7.0647043398905957E-2</v>
      </c>
      <c r="H72" s="63" t="s">
        <v>612</v>
      </c>
      <c r="I72" s="63" t="s">
        <v>492</v>
      </c>
      <c r="J72" s="63" t="s">
        <v>107</v>
      </c>
      <c r="K72" s="63"/>
      <c r="L72" s="63" t="s">
        <v>613</v>
      </c>
      <c r="M72" s="63" t="s">
        <v>614</v>
      </c>
      <c r="N72">
        <v>3</v>
      </c>
    </row>
    <row r="73" spans="1:14" ht="12.75" customHeight="1" x14ac:dyDescent="0.25">
      <c r="A73" s="63" t="s">
        <v>264</v>
      </c>
      <c r="B73" s="63" t="s">
        <v>265</v>
      </c>
      <c r="C73" s="58"/>
      <c r="D73" s="58"/>
      <c r="E73" s="58"/>
      <c r="F73" s="58"/>
      <c r="G73" s="58"/>
      <c r="H73" s="63" t="s">
        <v>265</v>
      </c>
      <c r="I73" s="63"/>
      <c r="J73" s="63" t="s">
        <v>64</v>
      </c>
      <c r="K73" s="63" t="s">
        <v>266</v>
      </c>
      <c r="L73" s="63" t="s">
        <v>47</v>
      </c>
      <c r="M73" s="63" t="s">
        <v>267</v>
      </c>
      <c r="N73">
        <v>1</v>
      </c>
    </row>
    <row r="74" spans="1:14" ht="12.75" customHeight="1" x14ac:dyDescent="0.25">
      <c r="A74" s="63" t="s">
        <v>481</v>
      </c>
      <c r="B74" s="63" t="s">
        <v>482</v>
      </c>
      <c r="C74" s="58"/>
      <c r="D74" s="58"/>
      <c r="E74" s="58"/>
      <c r="F74" s="58"/>
      <c r="G74" s="58"/>
      <c r="H74" s="63" t="s">
        <v>482</v>
      </c>
      <c r="I74" s="63"/>
      <c r="J74" s="63" t="s">
        <v>107</v>
      </c>
      <c r="K74" s="63" t="s">
        <v>46</v>
      </c>
      <c r="L74" s="63" t="s">
        <v>47</v>
      </c>
      <c r="M74" s="63" t="s">
        <v>483</v>
      </c>
      <c r="N74">
        <v>1</v>
      </c>
    </row>
    <row r="75" spans="1:14" ht="12.75" customHeight="1" outlineLevel="1" x14ac:dyDescent="0.25">
      <c r="A75" s="63" t="s">
        <v>418</v>
      </c>
      <c r="B75" s="63" t="s">
        <v>296</v>
      </c>
      <c r="C75" s="57">
        <f>powerBusMass</f>
        <v>200.99998520369908</v>
      </c>
      <c r="D75" s="57">
        <v>200</v>
      </c>
      <c r="E75" s="57">
        <v>100</v>
      </c>
      <c r="F75" s="57" t="s">
        <v>68</v>
      </c>
      <c r="G75" s="58">
        <f>IF($F$75="MANUAL",$D$75,IF($F$75="COMPUTED",$C$75,$E$75))</f>
        <v>200.99998520369908</v>
      </c>
      <c r="H75" s="63" t="s">
        <v>484</v>
      </c>
      <c r="I75" s="63" t="s">
        <v>420</v>
      </c>
      <c r="J75" s="63" t="s">
        <v>107</v>
      </c>
      <c r="K75" s="63"/>
      <c r="L75" s="63" t="s">
        <v>113</v>
      </c>
      <c r="M75" s="63" t="s">
        <v>485</v>
      </c>
      <c r="N75">
        <v>2</v>
      </c>
    </row>
    <row r="76" spans="1:14" ht="12.75" customHeight="1" x14ac:dyDescent="0.25">
      <c r="A76" s="63" t="s">
        <v>114</v>
      </c>
      <c r="B76" s="63" t="s">
        <v>291</v>
      </c>
      <c r="C76" s="58"/>
      <c r="D76" s="58"/>
      <c r="E76" s="58"/>
      <c r="F76" s="58"/>
      <c r="G76" s="58"/>
      <c r="H76" s="63" t="s">
        <v>291</v>
      </c>
      <c r="I76" s="63"/>
      <c r="J76" s="63" t="s">
        <v>73</v>
      </c>
      <c r="K76" s="63" t="s">
        <v>46</v>
      </c>
      <c r="L76" s="63" t="s">
        <v>47</v>
      </c>
      <c r="M76" s="63" t="s">
        <v>115</v>
      </c>
      <c r="N76">
        <v>1</v>
      </c>
    </row>
    <row r="77" spans="1:14" ht="12.75" customHeight="1" x14ac:dyDescent="0.25">
      <c r="A77" s="63" t="s">
        <v>114</v>
      </c>
      <c r="B77" s="63" t="s">
        <v>114</v>
      </c>
      <c r="C77" s="58"/>
      <c r="D77" s="58"/>
      <c r="E77" s="58"/>
      <c r="F77" s="58"/>
      <c r="G77" s="58"/>
      <c r="H77" s="63" t="s">
        <v>114</v>
      </c>
      <c r="I77" s="63"/>
      <c r="J77" s="63" t="s">
        <v>45</v>
      </c>
      <c r="K77" s="63" t="s">
        <v>46</v>
      </c>
      <c r="L77" s="63" t="s">
        <v>47</v>
      </c>
      <c r="M77" s="63" t="s">
        <v>342</v>
      </c>
      <c r="N77">
        <v>1</v>
      </c>
    </row>
    <row r="78" spans="1:14" ht="12.75" customHeight="1" x14ac:dyDescent="0.25">
      <c r="A78" s="63" t="s">
        <v>116</v>
      </c>
      <c r="B78" s="63" t="s">
        <v>117</v>
      </c>
      <c r="C78" s="58"/>
      <c r="D78" s="58"/>
      <c r="E78" s="58"/>
      <c r="F78" s="58"/>
      <c r="G78" s="58"/>
      <c r="H78" s="63" t="s">
        <v>117</v>
      </c>
      <c r="I78" s="63"/>
      <c r="J78" s="63" t="s">
        <v>73</v>
      </c>
      <c r="K78" s="63" t="s">
        <v>46</v>
      </c>
      <c r="L78" s="63" t="s">
        <v>47</v>
      </c>
      <c r="M78" s="63" t="s">
        <v>118</v>
      </c>
      <c r="N78">
        <v>1</v>
      </c>
    </row>
    <row r="79" spans="1:14" ht="12.75" customHeight="1" x14ac:dyDescent="0.25">
      <c r="A79" s="63" t="s">
        <v>119</v>
      </c>
      <c r="B79" s="63" t="s">
        <v>120</v>
      </c>
      <c r="C79" s="58"/>
      <c r="D79" s="58"/>
      <c r="E79" s="58"/>
      <c r="F79" s="58"/>
      <c r="G79" s="58"/>
      <c r="H79" s="63" t="s">
        <v>120</v>
      </c>
      <c r="I79" s="63"/>
      <c r="J79" s="63" t="s">
        <v>73</v>
      </c>
      <c r="K79" s="63" t="s">
        <v>46</v>
      </c>
      <c r="L79" s="63" t="s">
        <v>47</v>
      </c>
      <c r="M79" s="63" t="s">
        <v>121</v>
      </c>
      <c r="N79">
        <v>1</v>
      </c>
    </row>
    <row r="80" spans="1:14" ht="12.75" customHeight="1" outlineLevel="1" x14ac:dyDescent="0.25">
      <c r="A80" s="63" t="s">
        <v>109</v>
      </c>
      <c r="B80" s="63" t="s">
        <v>110</v>
      </c>
      <c r="C80" s="58">
        <v>2600</v>
      </c>
      <c r="D80" s="57" t="s">
        <v>67</v>
      </c>
      <c r="E80" s="58" t="s">
        <v>67</v>
      </c>
      <c r="F80" s="57" t="s">
        <v>68</v>
      </c>
      <c r="G80" s="58">
        <f>IF($F$80="MANUAL",$D$80,IF($F$80="COMPUTED",$C$80,$E$80))</f>
        <v>2600</v>
      </c>
      <c r="H80" s="63" t="s">
        <v>228</v>
      </c>
      <c r="I80" s="63" t="s">
        <v>112</v>
      </c>
      <c r="J80" s="63" t="s">
        <v>229</v>
      </c>
      <c r="K80" s="63"/>
      <c r="L80" s="63" t="s">
        <v>70</v>
      </c>
      <c r="M80" s="63" t="s">
        <v>230</v>
      </c>
      <c r="N80">
        <v>2</v>
      </c>
    </row>
    <row r="81" spans="1:14" ht="12.75" customHeight="1" outlineLevel="1" x14ac:dyDescent="0.25">
      <c r="A81" s="63" t="s">
        <v>122</v>
      </c>
      <c r="B81" s="63"/>
      <c r="C81" s="58"/>
      <c r="D81" s="57"/>
      <c r="E81" s="58"/>
      <c r="F81" s="58"/>
      <c r="G81" s="58"/>
      <c r="H81" s="63" t="s">
        <v>123</v>
      </c>
      <c r="I81" s="63"/>
      <c r="J81" s="63" t="s">
        <v>73</v>
      </c>
      <c r="K81" s="63" t="s">
        <v>46</v>
      </c>
      <c r="L81" s="63" t="s">
        <v>52</v>
      </c>
      <c r="M81" s="63" t="s">
        <v>124</v>
      </c>
      <c r="N81">
        <v>2</v>
      </c>
    </row>
    <row r="82" spans="1:14" ht="12.75" customHeight="1" outlineLevel="1" x14ac:dyDescent="0.25">
      <c r="A82" s="63" t="s">
        <v>292</v>
      </c>
      <c r="B82" s="63"/>
      <c r="C82" s="58"/>
      <c r="D82" s="57"/>
      <c r="E82" s="58"/>
      <c r="F82" s="58"/>
      <c r="G82" s="58"/>
      <c r="H82" s="63" t="s">
        <v>126</v>
      </c>
      <c r="I82" s="63"/>
      <c r="J82" s="63" t="s">
        <v>73</v>
      </c>
      <c r="K82" s="63" t="s">
        <v>46</v>
      </c>
      <c r="L82" s="63" t="s">
        <v>52</v>
      </c>
      <c r="M82" s="63" t="s">
        <v>127</v>
      </c>
      <c r="N82">
        <v>2</v>
      </c>
    </row>
    <row r="83" spans="1:14" ht="12.75" customHeight="1" outlineLevel="1" x14ac:dyDescent="0.25">
      <c r="A83" s="63" t="s">
        <v>128</v>
      </c>
      <c r="B83" s="63"/>
      <c r="C83" s="58"/>
      <c r="D83" s="57"/>
      <c r="E83" s="58"/>
      <c r="F83" s="58"/>
      <c r="G83" s="58"/>
      <c r="H83" s="63" t="s">
        <v>129</v>
      </c>
      <c r="I83" s="63"/>
      <c r="J83" s="63" t="s">
        <v>73</v>
      </c>
      <c r="K83" s="63" t="s">
        <v>46</v>
      </c>
      <c r="L83" s="63" t="s">
        <v>52</v>
      </c>
      <c r="M83" s="63" t="s">
        <v>130</v>
      </c>
      <c r="N83">
        <v>2</v>
      </c>
    </row>
    <row r="84" spans="1:14" ht="12.75" customHeight="1" outlineLevel="2" x14ac:dyDescent="0.25">
      <c r="A84" s="63" t="s">
        <v>384</v>
      </c>
      <c r="B84" s="63" t="s">
        <v>385</v>
      </c>
      <c r="C84" s="58" t="s">
        <v>67</v>
      </c>
      <c r="D84" s="57" t="s">
        <v>67</v>
      </c>
      <c r="E84" s="58" t="s">
        <v>67</v>
      </c>
      <c r="F84" s="57" t="s">
        <v>68</v>
      </c>
      <c r="G84" s="58" t="s">
        <v>67</v>
      </c>
      <c r="H84" s="63" t="s">
        <v>427</v>
      </c>
      <c r="I84" s="63" t="s">
        <v>263</v>
      </c>
      <c r="J84" s="63" t="s">
        <v>229</v>
      </c>
      <c r="K84" s="63"/>
      <c r="L84" s="63" t="s">
        <v>70</v>
      </c>
      <c r="M84" s="63" t="s">
        <v>428</v>
      </c>
      <c r="N84">
        <v>3</v>
      </c>
    </row>
    <row r="85" spans="1:14" ht="12.75" customHeight="1" outlineLevel="2" x14ac:dyDescent="0.25">
      <c r="A85" s="63" t="s">
        <v>388</v>
      </c>
      <c r="B85" s="63" t="s">
        <v>389</v>
      </c>
      <c r="C85" s="58" t="s">
        <v>67</v>
      </c>
      <c r="D85" s="57" t="s">
        <v>67</v>
      </c>
      <c r="E85" s="58" t="s">
        <v>67</v>
      </c>
      <c r="F85" s="57" t="s">
        <v>68</v>
      </c>
      <c r="G85" s="58" t="s">
        <v>67</v>
      </c>
      <c r="H85" s="63" t="s">
        <v>429</v>
      </c>
      <c r="I85" s="63" t="s">
        <v>263</v>
      </c>
      <c r="J85" s="63" t="s">
        <v>229</v>
      </c>
      <c r="K85" s="63"/>
      <c r="L85" s="63" t="s">
        <v>70</v>
      </c>
      <c r="M85" s="63" t="s">
        <v>430</v>
      </c>
      <c r="N85">
        <v>3</v>
      </c>
    </row>
    <row r="86" spans="1:14" ht="12.75" customHeight="1" x14ac:dyDescent="0.25">
      <c r="A86" s="63" t="s">
        <v>343</v>
      </c>
      <c r="B86" s="63" t="s">
        <v>344</v>
      </c>
      <c r="C86" s="58"/>
      <c r="D86" s="58"/>
      <c r="E86" s="58"/>
      <c r="F86" s="58"/>
      <c r="G86" s="58"/>
      <c r="H86" s="63" t="s">
        <v>344</v>
      </c>
      <c r="I86" s="63"/>
      <c r="J86" s="63" t="s">
        <v>64</v>
      </c>
      <c r="K86" s="63" t="s">
        <v>46</v>
      </c>
      <c r="L86" s="63" t="s">
        <v>47</v>
      </c>
      <c r="M86" s="63" t="s">
        <v>345</v>
      </c>
      <c r="N86">
        <v>1</v>
      </c>
    </row>
    <row r="87" spans="1:14" ht="12.75" customHeight="1" x14ac:dyDescent="0.25">
      <c r="A87" s="63" t="s">
        <v>486</v>
      </c>
      <c r="B87" s="63" t="s">
        <v>487</v>
      </c>
      <c r="C87" s="58"/>
      <c r="D87" s="58"/>
      <c r="E87" s="58"/>
      <c r="F87" s="58"/>
      <c r="G87" s="58"/>
      <c r="H87" s="63" t="s">
        <v>487</v>
      </c>
      <c r="I87" s="63"/>
      <c r="J87" s="63" t="s">
        <v>107</v>
      </c>
      <c r="K87" s="63" t="s">
        <v>46</v>
      </c>
      <c r="L87" s="63" t="s">
        <v>47</v>
      </c>
      <c r="M87" s="63" t="s">
        <v>488</v>
      </c>
      <c r="N87">
        <v>1</v>
      </c>
    </row>
    <row r="88" spans="1:14" ht="12.75" customHeight="1" outlineLevel="1" x14ac:dyDescent="0.25">
      <c r="A88" s="63" t="s">
        <v>418</v>
      </c>
      <c r="B88" s="63" t="s">
        <v>296</v>
      </c>
      <c r="C88" s="57">
        <f>pvMass</f>
        <v>1153.5928223981721</v>
      </c>
      <c r="D88" s="57" t="s">
        <v>67</v>
      </c>
      <c r="E88" s="57" t="s">
        <v>67</v>
      </c>
      <c r="F88" s="57" t="s">
        <v>68</v>
      </c>
      <c r="G88" s="58">
        <f>IF($F$88="MANUAL",$D$88,IF($F$88="COMPUTED",$C$88,$E$88))</f>
        <v>1153.5928223981721</v>
      </c>
      <c r="H88" s="63" t="s">
        <v>615</v>
      </c>
      <c r="I88" s="63" t="s">
        <v>420</v>
      </c>
      <c r="J88" s="63" t="s">
        <v>107</v>
      </c>
      <c r="K88" s="63"/>
      <c r="L88" s="63" t="s">
        <v>113</v>
      </c>
      <c r="M88" s="63" t="s">
        <v>616</v>
      </c>
      <c r="N88">
        <v>2</v>
      </c>
    </row>
    <row r="89" spans="1:14" ht="12.75" customHeight="1" outlineLevel="1" x14ac:dyDescent="0.25">
      <c r="A89" s="63" t="s">
        <v>489</v>
      </c>
      <c r="B89" s="63" t="s">
        <v>490</v>
      </c>
      <c r="C89" s="57">
        <f>plate_distance</f>
        <v>7.0647043398905957E-2</v>
      </c>
      <c r="D89" s="57">
        <v>7.0599999999999996E-2</v>
      </c>
      <c r="E89" s="57" t="s">
        <v>67</v>
      </c>
      <c r="F89" s="57" t="s">
        <v>68</v>
      </c>
      <c r="G89" s="58">
        <f>IF($F$89="MANUAL",$D$89,IF($F$89="COMPUTED",$C$89,$E$89))</f>
        <v>7.0647043398905957E-2</v>
      </c>
      <c r="H89" s="63" t="s">
        <v>491</v>
      </c>
      <c r="I89" s="63" t="s">
        <v>492</v>
      </c>
      <c r="J89" s="63" t="s">
        <v>107</v>
      </c>
      <c r="K89" s="63"/>
      <c r="L89" s="63" t="s">
        <v>113</v>
      </c>
      <c r="M89" s="63" t="s">
        <v>493</v>
      </c>
      <c r="N89">
        <v>2</v>
      </c>
    </row>
    <row r="90" spans="1:14" ht="12.75" customHeight="1" outlineLevel="1" x14ac:dyDescent="0.25">
      <c r="A90" s="63" t="s">
        <v>494</v>
      </c>
      <c r="B90" s="63" t="s">
        <v>495</v>
      </c>
      <c r="C90" s="57" t="s">
        <v>67</v>
      </c>
      <c r="D90" s="59" t="s">
        <v>67</v>
      </c>
      <c r="E90" s="59" t="s">
        <v>67</v>
      </c>
      <c r="F90" s="57" t="s">
        <v>111</v>
      </c>
      <c r="G90" s="58" t="str">
        <f>IF($F$90="MANUAL",$D$90,IF($F$90="COMPUTED",$C$90,$E$90))</f>
        <v>-</v>
      </c>
      <c r="H90" s="63" t="s">
        <v>496</v>
      </c>
      <c r="I90" s="63" t="s">
        <v>495</v>
      </c>
      <c r="J90" s="63" t="s">
        <v>107</v>
      </c>
      <c r="K90" s="63"/>
      <c r="L90" s="63" t="s">
        <v>113</v>
      </c>
      <c r="M90" s="63" t="s">
        <v>497</v>
      </c>
      <c r="N90">
        <v>2</v>
      </c>
    </row>
    <row r="91" spans="1:14" ht="12.75" customHeight="1" outlineLevel="1" x14ac:dyDescent="0.25">
      <c r="A91" s="63" t="s">
        <v>498</v>
      </c>
      <c r="B91" s="63" t="s">
        <v>499</v>
      </c>
      <c r="C91" s="57" t="s">
        <v>67</v>
      </c>
      <c r="D91" s="59" t="s">
        <v>67</v>
      </c>
      <c r="E91" s="59" t="s">
        <v>67</v>
      </c>
      <c r="F91" s="57" t="s">
        <v>111</v>
      </c>
      <c r="G91" s="58" t="str">
        <f>IF($F$91="MANUAL",$D$91,IF($F$91="COMPUTED",$C$91,$E$91))</f>
        <v>-</v>
      </c>
      <c r="H91" s="63" t="s">
        <v>500</v>
      </c>
      <c r="I91" s="63" t="s">
        <v>499</v>
      </c>
      <c r="J91" s="63" t="s">
        <v>107</v>
      </c>
      <c r="K91" s="63"/>
      <c r="L91" s="63" t="s">
        <v>113</v>
      </c>
      <c r="M91" s="63" t="s">
        <v>501</v>
      </c>
      <c r="N91">
        <v>2</v>
      </c>
    </row>
    <row r="92" spans="1:14" ht="12.75" customHeight="1" x14ac:dyDescent="0.25">
      <c r="A92" s="63" t="s">
        <v>131</v>
      </c>
      <c r="B92" s="63" t="s">
        <v>132</v>
      </c>
      <c r="C92" s="58"/>
      <c r="D92" s="58"/>
      <c r="E92" s="58"/>
      <c r="F92" s="58"/>
      <c r="G92" s="58"/>
      <c r="H92" s="63" t="s">
        <v>132</v>
      </c>
      <c r="I92" s="63"/>
      <c r="J92" s="63" t="s">
        <v>77</v>
      </c>
      <c r="K92" s="63" t="s">
        <v>81</v>
      </c>
      <c r="L92" s="63" t="s">
        <v>47</v>
      </c>
      <c r="M92" s="63" t="s">
        <v>133</v>
      </c>
      <c r="N92">
        <v>1</v>
      </c>
    </row>
    <row r="93" spans="1:14" ht="12.75" customHeight="1" outlineLevel="1" x14ac:dyDescent="0.25">
      <c r="A93" s="63" t="s">
        <v>109</v>
      </c>
      <c r="B93" s="63" t="s">
        <v>110</v>
      </c>
      <c r="C93" s="58" t="s">
        <v>67</v>
      </c>
      <c r="D93" s="57" t="s">
        <v>67</v>
      </c>
      <c r="E93" s="58" t="s">
        <v>67</v>
      </c>
      <c r="F93" s="57" t="s">
        <v>68</v>
      </c>
      <c r="G93" s="58" t="str">
        <f>IF($F$93="MANUAL",$D$93,IF($F$93="COMPUTED",$C$93,$E$93))</f>
        <v>-</v>
      </c>
      <c r="H93" s="63" t="s">
        <v>231</v>
      </c>
      <c r="I93" s="63" t="s">
        <v>112</v>
      </c>
      <c r="J93" s="63" t="s">
        <v>232</v>
      </c>
      <c r="K93" s="63"/>
      <c r="L93" s="63" t="s">
        <v>70</v>
      </c>
      <c r="M93" s="63" t="s">
        <v>233</v>
      </c>
      <c r="N93">
        <v>2</v>
      </c>
    </row>
    <row r="94" spans="1:14" ht="12.75" customHeight="1" outlineLevel="1" x14ac:dyDescent="0.25">
      <c r="A94" s="63" t="s">
        <v>134</v>
      </c>
      <c r="B94" s="63"/>
      <c r="C94" s="58"/>
      <c r="D94" s="57"/>
      <c r="E94" s="58"/>
      <c r="F94" s="58"/>
      <c r="G94" s="58"/>
      <c r="H94" s="63" t="s">
        <v>135</v>
      </c>
      <c r="I94" s="63"/>
      <c r="J94" s="63" t="s">
        <v>45</v>
      </c>
      <c r="K94" s="63" t="s">
        <v>46</v>
      </c>
      <c r="L94" s="63" t="s">
        <v>52</v>
      </c>
      <c r="M94" s="63" t="s">
        <v>136</v>
      </c>
      <c r="N94">
        <v>2</v>
      </c>
    </row>
    <row r="95" spans="1:14" ht="12.75" customHeight="1" outlineLevel="1" x14ac:dyDescent="0.25">
      <c r="A95" s="63" t="s">
        <v>346</v>
      </c>
      <c r="B95" s="63"/>
      <c r="C95" s="58"/>
      <c r="D95" s="57"/>
      <c r="E95" s="58"/>
      <c r="F95" s="58"/>
      <c r="G95" s="58"/>
      <c r="H95" s="63" t="s">
        <v>347</v>
      </c>
      <c r="I95" s="63"/>
      <c r="J95" s="63" t="s">
        <v>307</v>
      </c>
      <c r="K95" s="63" t="s">
        <v>46</v>
      </c>
      <c r="L95" s="63" t="s">
        <v>52</v>
      </c>
      <c r="M95" s="63" t="s">
        <v>348</v>
      </c>
      <c r="N95">
        <v>2</v>
      </c>
    </row>
    <row r="96" spans="1:14" ht="12.75" customHeight="1" outlineLevel="1" x14ac:dyDescent="0.25">
      <c r="A96" s="63" t="s">
        <v>271</v>
      </c>
      <c r="B96" s="63"/>
      <c r="C96" s="58"/>
      <c r="D96" s="57"/>
      <c r="E96" s="58"/>
      <c r="F96" s="58"/>
      <c r="G96" s="58"/>
      <c r="H96" s="63" t="s">
        <v>272</v>
      </c>
      <c r="I96" s="63"/>
      <c r="J96" s="63" t="s">
        <v>64</v>
      </c>
      <c r="K96" s="63" t="s">
        <v>65</v>
      </c>
      <c r="L96" s="63" t="s">
        <v>52</v>
      </c>
      <c r="M96" s="63" t="s">
        <v>273</v>
      </c>
      <c r="N96">
        <v>2</v>
      </c>
    </row>
    <row r="97" spans="1:14" ht="12.75" customHeight="1" outlineLevel="1" x14ac:dyDescent="0.25">
      <c r="A97" s="63" t="s">
        <v>137</v>
      </c>
      <c r="B97" s="63"/>
      <c r="C97" s="58"/>
      <c r="D97" s="57"/>
      <c r="E97" s="58"/>
      <c r="F97" s="58"/>
      <c r="G97" s="58"/>
      <c r="H97" s="63" t="s">
        <v>138</v>
      </c>
      <c r="I97" s="63"/>
      <c r="J97" s="63" t="s">
        <v>107</v>
      </c>
      <c r="K97" s="63" t="s">
        <v>65</v>
      </c>
      <c r="L97" s="63" t="s">
        <v>52</v>
      </c>
      <c r="M97" s="63" t="s">
        <v>139</v>
      </c>
      <c r="N97">
        <v>2</v>
      </c>
    </row>
    <row r="98" spans="1:14" ht="12.75" customHeight="1" outlineLevel="1" x14ac:dyDescent="0.25">
      <c r="A98" s="63" t="s">
        <v>140</v>
      </c>
      <c r="B98" s="63"/>
      <c r="C98" s="58"/>
      <c r="D98" s="57"/>
      <c r="E98" s="58"/>
      <c r="F98" s="58"/>
      <c r="G98" s="58"/>
      <c r="H98" s="63" t="s">
        <v>141</v>
      </c>
      <c r="I98" s="63"/>
      <c r="J98" s="63" t="s">
        <v>73</v>
      </c>
      <c r="K98" s="63" t="s">
        <v>46</v>
      </c>
      <c r="L98" s="63" t="s">
        <v>52</v>
      </c>
      <c r="M98" s="63" t="s">
        <v>142</v>
      </c>
      <c r="N98">
        <v>2</v>
      </c>
    </row>
    <row r="99" spans="1:14" ht="12.75" customHeight="1" outlineLevel="1" x14ac:dyDescent="0.25">
      <c r="A99" s="63" t="s">
        <v>143</v>
      </c>
      <c r="B99" s="63"/>
      <c r="C99" s="58"/>
      <c r="D99" s="57"/>
      <c r="E99" s="58"/>
      <c r="F99" s="58"/>
      <c r="G99" s="58"/>
      <c r="H99" s="63" t="s">
        <v>144</v>
      </c>
      <c r="I99" s="63"/>
      <c r="J99" s="63" t="s">
        <v>56</v>
      </c>
      <c r="K99" s="63" t="s">
        <v>65</v>
      </c>
      <c r="L99" s="63" t="s">
        <v>52</v>
      </c>
      <c r="M99" s="63" t="s">
        <v>145</v>
      </c>
      <c r="N99">
        <v>2</v>
      </c>
    </row>
    <row r="100" spans="1:14" ht="12.75" customHeight="1" x14ac:dyDescent="0.25">
      <c r="A100" s="63" t="s">
        <v>146</v>
      </c>
      <c r="B100" s="63" t="s">
        <v>56</v>
      </c>
      <c r="C100" s="58"/>
      <c r="D100" s="58"/>
      <c r="E100" s="58"/>
      <c r="F100" s="58"/>
      <c r="G100" s="58"/>
      <c r="H100" s="63" t="s">
        <v>56</v>
      </c>
      <c r="I100" s="63"/>
      <c r="J100" s="63" t="s">
        <v>56</v>
      </c>
      <c r="K100" s="63" t="s">
        <v>65</v>
      </c>
      <c r="L100" s="63" t="s">
        <v>47</v>
      </c>
      <c r="M100" s="63" t="s">
        <v>147</v>
      </c>
      <c r="N100">
        <v>1</v>
      </c>
    </row>
    <row r="101" spans="1:14" ht="12.75" customHeight="1" outlineLevel="1" x14ac:dyDescent="0.25">
      <c r="A101" s="63" t="s">
        <v>400</v>
      </c>
      <c r="B101" s="63" t="s">
        <v>401</v>
      </c>
      <c r="C101" s="58">
        <v>35</v>
      </c>
      <c r="D101" s="57" t="s">
        <v>67</v>
      </c>
      <c r="E101" s="58" t="s">
        <v>67</v>
      </c>
      <c r="F101" s="57" t="s">
        <v>68</v>
      </c>
      <c r="G101" s="58">
        <f>IF($F$101="MANUAL",$D$101,IF($F$101="COMPUTED",$C$101,$E$101))</f>
        <v>35</v>
      </c>
      <c r="H101" s="63" t="s">
        <v>431</v>
      </c>
      <c r="I101" s="63" t="s">
        <v>403</v>
      </c>
      <c r="J101" s="63" t="s">
        <v>234</v>
      </c>
      <c r="K101" s="63"/>
      <c r="L101" s="63" t="s">
        <v>70</v>
      </c>
      <c r="M101" s="63" t="s">
        <v>432</v>
      </c>
      <c r="N101">
        <v>2</v>
      </c>
    </row>
    <row r="102" spans="1:14" ht="12.75" customHeight="1" outlineLevel="1" x14ac:dyDescent="0.25">
      <c r="A102" s="63" t="s">
        <v>502</v>
      </c>
      <c r="B102" s="63" t="s">
        <v>503</v>
      </c>
      <c r="C102" s="58">
        <v>35</v>
      </c>
      <c r="D102" s="57" t="s">
        <v>67</v>
      </c>
      <c r="E102" s="58" t="s">
        <v>67</v>
      </c>
      <c r="F102" s="57" t="s">
        <v>68</v>
      </c>
      <c r="G102" s="58">
        <f>IF($F$102="MANUAL",$D$102,IF($F$102="COMPUTED",$C$102,$E$102))</f>
        <v>35</v>
      </c>
      <c r="H102" s="63" t="s">
        <v>504</v>
      </c>
      <c r="I102" s="63" t="s">
        <v>505</v>
      </c>
      <c r="J102" s="63" t="s">
        <v>234</v>
      </c>
      <c r="K102" s="63"/>
      <c r="L102" s="63" t="s">
        <v>70</v>
      </c>
      <c r="M102" s="63" t="s">
        <v>506</v>
      </c>
      <c r="N102">
        <v>2</v>
      </c>
    </row>
    <row r="103" spans="1:14" ht="12.75" customHeight="1" outlineLevel="1" x14ac:dyDescent="0.25">
      <c r="A103" s="63" t="s">
        <v>433</v>
      </c>
      <c r="B103" s="63" t="s">
        <v>434</v>
      </c>
      <c r="C103" s="58">
        <v>463.89682539682502</v>
      </c>
      <c r="D103" s="57" t="s">
        <v>67</v>
      </c>
      <c r="E103" s="58" t="s">
        <v>67</v>
      </c>
      <c r="F103" s="57" t="s">
        <v>68</v>
      </c>
      <c r="G103" s="58">
        <f>IF($F$103="MANUAL",$D$103,IF($F$103="COMPUTED",$C$103,$E$103))</f>
        <v>463.89682539682502</v>
      </c>
      <c r="H103" s="63" t="s">
        <v>435</v>
      </c>
      <c r="I103" s="63" t="s">
        <v>436</v>
      </c>
      <c r="J103" s="63" t="s">
        <v>234</v>
      </c>
      <c r="K103" s="63"/>
      <c r="L103" s="63" t="s">
        <v>70</v>
      </c>
      <c r="M103" s="63" t="s">
        <v>437</v>
      </c>
      <c r="N103">
        <v>2</v>
      </c>
    </row>
    <row r="104" spans="1:14" ht="12.75" customHeight="1" outlineLevel="1" x14ac:dyDescent="0.25">
      <c r="A104" s="63" t="s">
        <v>148</v>
      </c>
      <c r="B104" s="63"/>
      <c r="C104" s="58"/>
      <c r="D104" s="57"/>
      <c r="E104" s="58"/>
      <c r="F104" s="58"/>
      <c r="G104" s="58"/>
      <c r="H104" s="63" t="s">
        <v>149</v>
      </c>
      <c r="I104" s="63"/>
      <c r="J104" s="63" t="s">
        <v>56</v>
      </c>
      <c r="K104" s="63" t="s">
        <v>57</v>
      </c>
      <c r="L104" s="63" t="s">
        <v>52</v>
      </c>
      <c r="M104" s="63" t="s">
        <v>150</v>
      </c>
      <c r="N104">
        <v>2</v>
      </c>
    </row>
    <row r="105" spans="1:14" ht="12.75" customHeight="1" outlineLevel="1" x14ac:dyDescent="0.25">
      <c r="A105" s="63" t="s">
        <v>151</v>
      </c>
      <c r="B105" s="63"/>
      <c r="C105" s="58"/>
      <c r="D105" s="57"/>
      <c r="E105" s="58"/>
      <c r="F105" s="58"/>
      <c r="G105" s="58"/>
      <c r="H105" s="63" t="s">
        <v>152</v>
      </c>
      <c r="I105" s="63"/>
      <c r="J105" s="63" t="s">
        <v>56</v>
      </c>
      <c r="K105" s="63" t="s">
        <v>57</v>
      </c>
      <c r="L105" s="63" t="s">
        <v>52</v>
      </c>
      <c r="M105" s="63" t="s">
        <v>153</v>
      </c>
      <c r="N105">
        <v>2</v>
      </c>
    </row>
    <row r="106" spans="1:14" ht="12.75" customHeight="1" outlineLevel="1" x14ac:dyDescent="0.25">
      <c r="A106" s="63" t="s">
        <v>154</v>
      </c>
      <c r="B106" s="63"/>
      <c r="C106" s="58"/>
      <c r="D106" s="57"/>
      <c r="E106" s="58"/>
      <c r="F106" s="58"/>
      <c r="G106" s="58"/>
      <c r="H106" s="63" t="s">
        <v>155</v>
      </c>
      <c r="I106" s="63"/>
      <c r="J106" s="63" t="s">
        <v>56</v>
      </c>
      <c r="K106" s="63" t="s">
        <v>57</v>
      </c>
      <c r="L106" s="63" t="s">
        <v>52</v>
      </c>
      <c r="M106" s="63" t="s">
        <v>156</v>
      </c>
      <c r="N106">
        <v>2</v>
      </c>
    </row>
    <row r="107" spans="1:14" ht="12.75" customHeight="1" outlineLevel="1" x14ac:dyDescent="0.25">
      <c r="A107" s="63" t="s">
        <v>157</v>
      </c>
      <c r="B107" s="63"/>
      <c r="C107" s="58"/>
      <c r="D107" s="57"/>
      <c r="E107" s="58"/>
      <c r="F107" s="58"/>
      <c r="G107" s="58"/>
      <c r="H107" s="63" t="s">
        <v>158</v>
      </c>
      <c r="I107" s="63"/>
      <c r="J107" s="63" t="s">
        <v>56</v>
      </c>
      <c r="K107" s="63" t="s">
        <v>57</v>
      </c>
      <c r="L107" s="63" t="s">
        <v>52</v>
      </c>
      <c r="M107" s="63" t="s">
        <v>159</v>
      </c>
      <c r="N107">
        <v>2</v>
      </c>
    </row>
    <row r="108" spans="1:14" ht="12.75" customHeight="1" outlineLevel="1" x14ac:dyDescent="0.25">
      <c r="A108" s="63" t="s">
        <v>160</v>
      </c>
      <c r="B108" s="63"/>
      <c r="C108" s="58"/>
      <c r="D108" s="57"/>
      <c r="E108" s="58"/>
      <c r="F108" s="58"/>
      <c r="G108" s="58"/>
      <c r="H108" s="63" t="s">
        <v>161</v>
      </c>
      <c r="I108" s="63"/>
      <c r="J108" s="63" t="s">
        <v>56</v>
      </c>
      <c r="K108" s="63" t="s">
        <v>46</v>
      </c>
      <c r="L108" s="63" t="s">
        <v>52</v>
      </c>
      <c r="M108" s="63" t="s">
        <v>162</v>
      </c>
      <c r="N108">
        <v>2</v>
      </c>
    </row>
    <row r="109" spans="1:14" ht="12.75" customHeight="1" outlineLevel="1" x14ac:dyDescent="0.25">
      <c r="A109" s="63" t="s">
        <v>160</v>
      </c>
      <c r="B109" s="63"/>
      <c r="C109" s="58"/>
      <c r="D109" s="57"/>
      <c r="E109" s="58"/>
      <c r="F109" s="58"/>
      <c r="G109" s="58"/>
      <c r="H109" s="63" t="s">
        <v>161</v>
      </c>
      <c r="I109" s="63"/>
      <c r="J109" s="63" t="s">
        <v>56</v>
      </c>
      <c r="K109" s="63" t="s">
        <v>46</v>
      </c>
      <c r="L109" s="63" t="s">
        <v>52</v>
      </c>
      <c r="M109" s="63" t="s">
        <v>163</v>
      </c>
      <c r="N109">
        <v>2</v>
      </c>
    </row>
    <row r="110" spans="1:14" ht="12.75" customHeight="1" outlineLevel="1" x14ac:dyDescent="0.25">
      <c r="A110" s="63" t="s">
        <v>164</v>
      </c>
      <c r="B110" s="63"/>
      <c r="C110" s="58"/>
      <c r="D110" s="57"/>
      <c r="E110" s="58"/>
      <c r="F110" s="58"/>
      <c r="G110" s="58"/>
      <c r="H110" s="63" t="s">
        <v>165</v>
      </c>
      <c r="I110" s="63"/>
      <c r="J110" s="63" t="s">
        <v>56</v>
      </c>
      <c r="K110" s="63" t="s">
        <v>57</v>
      </c>
      <c r="L110" s="63" t="s">
        <v>52</v>
      </c>
      <c r="M110" s="63" t="s">
        <v>166</v>
      </c>
      <c r="N110">
        <v>2</v>
      </c>
    </row>
    <row r="111" spans="1:14" ht="12.75" customHeight="1" x14ac:dyDescent="0.25">
      <c r="A111" s="63" t="s">
        <v>167</v>
      </c>
      <c r="B111" s="63" t="s">
        <v>168</v>
      </c>
      <c r="C111" s="58"/>
      <c r="D111" s="58"/>
      <c r="E111" s="58"/>
      <c r="F111" s="58"/>
      <c r="G111" s="58"/>
      <c r="H111" s="63" t="s">
        <v>168</v>
      </c>
      <c r="I111" s="63"/>
      <c r="J111" s="63" t="s">
        <v>45</v>
      </c>
      <c r="K111" s="63" t="s">
        <v>46</v>
      </c>
      <c r="L111" s="63" t="s">
        <v>47</v>
      </c>
      <c r="M111" s="63" t="s">
        <v>169</v>
      </c>
      <c r="N111">
        <v>1</v>
      </c>
    </row>
    <row r="112" spans="1:14" ht="12.75" customHeight="1" x14ac:dyDescent="0.25">
      <c r="A112" s="63" t="s">
        <v>170</v>
      </c>
      <c r="B112" s="63" t="s">
        <v>171</v>
      </c>
      <c r="C112" s="58"/>
      <c r="D112" s="58"/>
      <c r="E112" s="58"/>
      <c r="F112" s="58"/>
      <c r="G112" s="58"/>
      <c r="H112" s="63" t="s">
        <v>171</v>
      </c>
      <c r="I112" s="63"/>
      <c r="J112" s="63" t="s">
        <v>56</v>
      </c>
      <c r="K112" s="63" t="s">
        <v>57</v>
      </c>
      <c r="L112" s="63" t="s">
        <v>47</v>
      </c>
      <c r="M112" s="63" t="s">
        <v>172</v>
      </c>
      <c r="N112">
        <v>1</v>
      </c>
    </row>
    <row r="113" spans="1:14" ht="12.75" customHeight="1" x14ac:dyDescent="0.25">
      <c r="A113" s="63" t="s">
        <v>173</v>
      </c>
      <c r="B113" s="63" t="s">
        <v>173</v>
      </c>
      <c r="C113" s="58"/>
      <c r="D113" s="58"/>
      <c r="E113" s="58"/>
      <c r="F113" s="58"/>
      <c r="G113" s="58"/>
      <c r="H113" s="63" t="s">
        <v>173</v>
      </c>
      <c r="I113" s="63"/>
      <c r="J113" s="63" t="s">
        <v>45</v>
      </c>
      <c r="K113" s="63" t="s">
        <v>46</v>
      </c>
      <c r="L113" s="63" t="s">
        <v>47</v>
      </c>
      <c r="M113" s="63" t="s">
        <v>174</v>
      </c>
      <c r="N113">
        <v>1</v>
      </c>
    </row>
    <row r="114" spans="1:14" ht="12.75" customHeight="1" outlineLevel="1" x14ac:dyDescent="0.25">
      <c r="A114" s="63" t="s">
        <v>125</v>
      </c>
      <c r="B114" s="63"/>
      <c r="C114" s="58"/>
      <c r="D114" s="57"/>
      <c r="E114" s="58"/>
      <c r="F114" s="58"/>
      <c r="G114" s="58"/>
      <c r="H114" s="63" t="s">
        <v>349</v>
      </c>
      <c r="I114" s="63"/>
      <c r="J114" s="63" t="s">
        <v>45</v>
      </c>
      <c r="K114" s="63" t="s">
        <v>46</v>
      </c>
      <c r="L114" s="63" t="s">
        <v>52</v>
      </c>
      <c r="M114" s="63" t="s">
        <v>350</v>
      </c>
      <c r="N114">
        <v>2</v>
      </c>
    </row>
    <row r="115" spans="1:14" ht="12.75" customHeight="1" x14ac:dyDescent="0.25">
      <c r="A115" s="63" t="s">
        <v>351</v>
      </c>
      <c r="B115" s="63" t="s">
        <v>351</v>
      </c>
      <c r="C115" s="58"/>
      <c r="D115" s="58"/>
      <c r="E115" s="58"/>
      <c r="F115" s="58"/>
      <c r="G115" s="58"/>
      <c r="H115" s="63" t="s">
        <v>351</v>
      </c>
      <c r="I115" s="63"/>
      <c r="J115" s="63" t="s">
        <v>64</v>
      </c>
      <c r="K115" s="63" t="s">
        <v>46</v>
      </c>
      <c r="L115" s="63" t="s">
        <v>47</v>
      </c>
      <c r="M115" s="63" t="s">
        <v>352</v>
      </c>
      <c r="N115">
        <v>1</v>
      </c>
    </row>
  </sheetData>
  <sheetProtection sheet="1" objects="1" scenarios="1" pivotTables="0"/>
  <dataValidations count="3">
    <dataValidation type="list" allowBlank="1" showInputMessage="1" showErrorMessage="1" sqref="F15 F16 F17 F18 F19 F22 F23 F24 F26 F27 F28 F30 F31 F33 F34 F35 F36 F37 F38 F39 F40 F41 F42 F43 F44 F45 F46 F47 F48 F52 F53 F54 F65 F66 F67 F68 F69 F70 F71 F72 F75 F80 F81 F82 F83 F84 F85 F88 F89 F90 F91 F93 F94 F95 F96 F97 F98 F99 F101 F102 F103 F104 F105 F106 F107 F108 F109 F110 F114" xr:uid="{F5CBC836-CC76-45A2-AD63-86A79368E86D}">
      <formula1>"COMPUTED,MANUAL,REFERENCE"</formula1>
    </dataValidation>
    <dataValidation type="list" allowBlank="1" showInputMessage="1" showErrorMessage="1" sqref="D90 E90" xr:uid="{0D1E4AE7-5B61-45AA-97D7-452BA26AFF29}">
      <formula1>"-,wing,body_mounted"</formula1>
    </dataValidation>
    <dataValidation type="list" allowBlank="1" showInputMessage="1" showErrorMessage="1" sqref="D91 E91" xr:uid="{D454F2E9-7B9B-4698-98A9-DCA18EF602EA}">
      <formula1>"-,SA_3G30,SA_3G28_8x4,SA_3G28_4x4,SA_3G28_12x6,SA_Custom"</formula1>
    </dataValidation>
  </dataValidation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CF86C-FA01-4CB7-B2F5-FA75AA5D6B1B}">
  <dimension ref="A1"/>
  <sheetViews>
    <sheetView workbookViewId="0"/>
  </sheetViews>
  <sheetFormatPr defaultRowHeight="15.7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 ��� = "m/"�_n/���+"F "��,,� �/d������""T)e���������[c[c[c = [/[� [[� � = �_r/��������� �  of     �����/(���� �� �� ������� �� �� � � � �"v/"� � � ����"� (���} (}} (}��(��_�(��_�(��/������������ �� �� � � ���(����, ��������+" r� � "� ���_�(���_�(�������p/�� ������ / �����} (}} (}����������� �����������"�� ��������/���� � ��� = �/���[� [� �������+"+"+"���"p/"���/2�� � � �������������������_s/���"p/"[� [� [� �� c� �� � ��� = �����""�����,,���, ���� � � � ������ �������[[[����bbbbbbb�� �� ��������� = �_t/��������x[x[x[�_s/������""�����(���(�)x(�) d���(�)y(�) d���(�)z(�) d���������"�� � �(����{ �T{ xx"r/"� � "�/"��t(���� � � �t(E� � ����������� = ��/����� � � { � = �_a/�����"N/"[� [� ��xxx = xd - xbxdxb,,��,�EEE" pb q'bbb����������� = �l/l� �� ������ ���� Tt ��� = �V/V� �� �� = "�/"�,""x"�������"�/"���T/���d"�������"m/"������ ��������������+"}}}� � ���������������������������c�c�c = �/�� ��� ��� = ��" Tcc�� �� �� ��������������(�� (��(��������"� (���� � � � ����_�(��) d��_�(�������������������� (�� (�� (�� (�� (���_v/��������}}}}}}}, }}}+" r� � "� ������/(��� ���""T)e�� ����"m/"�(����{ �T{ �vl/����-""x"y"  �,y�,z��,y�,z������e�e�e����� = �/�� ��� ������� = "(1/�)("�/"� ���������     M ST   E ST         { { � � � { { �{ &!{ � { { { { t { �{ { ��m{ { { { { �{ { { { "{ { ��m{ { { { ��K{ t { t { { ��m{ { &!H"��{ H"H"u { { � { { { �&!&!{ { { { { t { { { { �w { H"H"u { �y { ��m{ { { { { { ""H"{ { { { &!{ { { ��{ ��m{ { { { ��K{ t { t �{ { ��m{ { { &!p )v p p )x p )t p )w p p p )u �
</file>

<file path=customXml/item2.xml>��
</file>

<file path=customXml/itemProps1.xml><?xml version="1.0" encoding="utf-8"?>
<ds:datastoreItem xmlns:ds="http://schemas.openxmlformats.org/officeDocument/2006/customXml" ds:itemID="{39C8D3BB-BC21-47FE-A9F6-28E5D1253F9B}">
  <ds:schemaRefs>
    <ds:schemaRef ds:uri="http://www.w3.org/2001/XMLSchema"/>
    <ds:schemaRef ds:uri="http://cdp4data.rheagroup.com"/>
  </ds:schemaRefs>
</ds:datastoreItem>
</file>

<file path=customXml/itemProps2.xml><?xml version="1.0" encoding="utf-8"?>
<ds:datastoreItem xmlns:ds="http://schemas.openxmlformats.org/officeDocument/2006/customXml" ds:itemID="{3E1C82D6-22DD-4250-BD16-C8B231DAC16A}">
  <ds:schemaRefs>
    <ds:schemaRef ds:uri="http://www.w3.org/2001/XMLSchema"/>
    <ds:schemaRef ds:uri="http://cdp4session.rheagroup.com"/>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248</vt:i4>
      </vt:variant>
    </vt:vector>
  </HeadingPairs>
  <TitlesOfParts>
    <vt:vector size="258" baseType="lpstr">
      <vt:lpstr>Cover-Sheet</vt:lpstr>
      <vt:lpstr>Presentation Sheet</vt:lpstr>
      <vt:lpstr>COMET Interface</vt:lpstr>
      <vt:lpstr>Calculation</vt:lpstr>
      <vt:lpstr>Database</vt:lpstr>
      <vt:lpstr>Reference</vt:lpstr>
      <vt:lpstr>Constants</vt:lpstr>
      <vt:lpstr>option_1</vt:lpstr>
      <vt:lpstr>Parameters</vt:lpstr>
      <vt:lpstr>Sheet1</vt:lpstr>
      <vt:lpstr>ADCS</vt:lpstr>
      <vt:lpstr>ADCS.P_mean\Day</vt:lpstr>
      <vt:lpstr>ADCS.P_mean\Ecl</vt:lpstr>
      <vt:lpstr>ADCS.P_peak\Day</vt:lpstr>
      <vt:lpstr>ADCS.P_peak\Ecl</vt:lpstr>
      <vt:lpstr>ADCS.Thrusters</vt:lpstr>
      <vt:lpstr>ADCS_Pwr_mean_daytime</vt:lpstr>
      <vt:lpstr>ADCS_Pwr_mean_eclipse</vt:lpstr>
      <vt:lpstr>ADCS_Pwr_peak_daytime</vt:lpstr>
      <vt:lpstr>alphaSector</vt:lpstr>
      <vt:lpstr>ant_elem_mass</vt:lpstr>
      <vt:lpstr>ant_elem_vol</vt:lpstr>
      <vt:lpstr>ant_length</vt:lpstr>
      <vt:lpstr>antenna_mass</vt:lpstr>
      <vt:lpstr>assemblyOverhead</vt:lpstr>
      <vt:lpstr>Atom_Clock</vt:lpstr>
      <vt:lpstr>Battery</vt:lpstr>
      <vt:lpstr>Battery.bat_cap</vt:lpstr>
      <vt:lpstr>Battery.bat_cell_type</vt:lpstr>
      <vt:lpstr>Battery.m</vt:lpstr>
      <vt:lpstr>batteryCapacity</vt:lpstr>
      <vt:lpstr>batteryMass</vt:lpstr>
      <vt:lpstr>beam_bus_Mass</vt:lpstr>
      <vt:lpstr>beamBusArea</vt:lpstr>
      <vt:lpstr>beamBusLength</vt:lpstr>
      <vt:lpstr>beamBusVolume</vt:lpstr>
      <vt:lpstr>beamDiameter</vt:lpstr>
      <vt:lpstr>beamLength</vt:lpstr>
      <vt:lpstr>beamRadius</vt:lpstr>
      <vt:lpstr>BS_ST</vt:lpstr>
      <vt:lpstr>CDH</vt:lpstr>
      <vt:lpstr>CDH.Atom_Clock</vt:lpstr>
      <vt:lpstr>CDH.memory</vt:lpstr>
      <vt:lpstr>CDH.OBC</vt:lpstr>
      <vt:lpstr>CDH_Pwr_mean_daytime</vt:lpstr>
      <vt:lpstr>CDH_Pwr_mean_eclipse</vt:lpstr>
      <vt:lpstr>CDH_Pwr_peak_daytime</vt:lpstr>
      <vt:lpstr>cellMass</vt:lpstr>
      <vt:lpstr>cellNominalCapacity</vt:lpstr>
      <vt:lpstr>cellVoltage</vt:lpstr>
      <vt:lpstr>COM_Pwr_mean_daytime</vt:lpstr>
      <vt:lpstr>COM_Pwr_mean_eclipse</vt:lpstr>
      <vt:lpstr>COM_Pwr_peak_daytime</vt:lpstr>
      <vt:lpstr>COMMS</vt:lpstr>
      <vt:lpstr>COMMS.Diplexer</vt:lpstr>
      <vt:lpstr>COMMS.ISL_Antenna</vt:lpstr>
      <vt:lpstr>COMMS.P_Amp</vt:lpstr>
      <vt:lpstr>COMMS.P_mean\Day</vt:lpstr>
      <vt:lpstr>COMMS.P_mean\Ecl</vt:lpstr>
      <vt:lpstr>COMMS.P_peak\Day</vt:lpstr>
      <vt:lpstr>COMMS.P_peak\Ecl</vt:lpstr>
      <vt:lpstr>COMMS.RFDU</vt:lpstr>
      <vt:lpstr>COMMS.Rx_Antenna</vt:lpstr>
      <vt:lpstr>COMMS.Transponder</vt:lpstr>
      <vt:lpstr>COMMS.Tx_Antenna</vt:lpstr>
      <vt:lpstr>Consumed_Power</vt:lpstr>
      <vt:lpstr>Cr</vt:lpstr>
      <vt:lpstr>CTR_BEAM</vt:lpstr>
      <vt:lpstr>CTR_BEAM.d</vt:lpstr>
      <vt:lpstr>CTR_BEAM.l</vt:lpstr>
      <vt:lpstr>cylinderCrossSection</vt:lpstr>
      <vt:lpstr>cylinderCrossSectionReflectance</vt:lpstr>
      <vt:lpstr>cylinderFillFactor</vt:lpstr>
      <vt:lpstr>d_ant</vt:lpstr>
      <vt:lpstr>d_gap</vt:lpstr>
      <vt:lpstr>Diameter</vt:lpstr>
      <vt:lpstr>Diplexer</vt:lpstr>
      <vt:lpstr>DoD</vt:lpstr>
      <vt:lpstr>EarthGridPower</vt:lpstr>
      <vt:lpstr>Element_Power_BOL</vt:lpstr>
      <vt:lpstr>Element_Power_EOL</vt:lpstr>
      <vt:lpstr>Engine</vt:lpstr>
      <vt:lpstr>eta</vt:lpstr>
      <vt:lpstr>finalBatteryCapacity</vt:lpstr>
      <vt:lpstr>finalBatteryMass</vt:lpstr>
      <vt:lpstr>Fquant</vt:lpstr>
      <vt:lpstr>half_lambda</vt:lpstr>
      <vt:lpstr>Header</vt:lpstr>
      <vt:lpstr>ICARUS</vt:lpstr>
      <vt:lpstr>ICARUS.dur</vt:lpstr>
      <vt:lpstr>ICARUS.ICARUS1</vt:lpstr>
      <vt:lpstr>ICARUS.ICARUS1.ADCS.Thrusters.Propellant\option_1</vt:lpstr>
      <vt:lpstr>ICARUS.ICARUS1.ADCS.Thrusters\option_1</vt:lpstr>
      <vt:lpstr>ICARUS.ICARUS1.ADCS\option_1</vt:lpstr>
      <vt:lpstr>ICARUS.ICARUS1.ADCS\P_mean\Day\option_1</vt:lpstr>
      <vt:lpstr>ICARUS.ICARUS1.ADCS\P_mean\Ecl\option_1</vt:lpstr>
      <vt:lpstr>ICARUS.ICARUS1.ADCS\P_peak\Day\option_1</vt:lpstr>
      <vt:lpstr>ICARUS.ICARUS1.ADCS\P_peak\Ecl\option_1</vt:lpstr>
      <vt:lpstr>ICARUS.ICARUS1.CDH.Atom_Clock\option_1</vt:lpstr>
      <vt:lpstr>ICARUS.ICARUS1.CDH.memory\option_1</vt:lpstr>
      <vt:lpstr>ICARUS.ICARUS1.CDH.OBC\option_1</vt:lpstr>
      <vt:lpstr>ICARUS.ICARUS1.CDH\option_1</vt:lpstr>
      <vt:lpstr>ICARUS.ICARUS1.COMMS.Diplexer\option_1</vt:lpstr>
      <vt:lpstr>ICARUS.ICARUS1.COMMS.ISL_Antenna\option_1</vt:lpstr>
      <vt:lpstr>ICARUS.ICARUS1.COMMS.P_Amp\option_1</vt:lpstr>
      <vt:lpstr>ICARUS.ICARUS1.COMMS.RFDU\option_1</vt:lpstr>
      <vt:lpstr>ICARUS.ICARUS1.COMMS.Rx_Antenna\option_1</vt:lpstr>
      <vt:lpstr>ICARUS.ICARUS1.COMMS.Transponder\option_1</vt:lpstr>
      <vt:lpstr>ICARUS.ICARUS1.COMMS.Tx_Antenna\option_1</vt:lpstr>
      <vt:lpstr>ICARUS.ICARUS1.COMMS\option_1</vt:lpstr>
      <vt:lpstr>ICARUS.ICARUS1.COMMS\P_mean\Day\option_1</vt:lpstr>
      <vt:lpstr>ICARUS.ICARUS1.COMMS\P_mean\Ecl\option_1</vt:lpstr>
      <vt:lpstr>ICARUS.ICARUS1.COMMS\P_peak\Day\option_1</vt:lpstr>
      <vt:lpstr>ICARUS.ICARUS1.COMMS\P_peak\Ecl\option_1</vt:lpstr>
      <vt:lpstr>ICARUS.ICARUS1.POW.Battery\bat_cap\\option_1</vt:lpstr>
      <vt:lpstr>ICARUS.ICARUS1.POW.Battery\bat_cell_type\\option_1</vt:lpstr>
      <vt:lpstr>ICARUS.ICARUS1.POW.Battery\m\\option_1</vt:lpstr>
      <vt:lpstr>ICARUS.ICARUS1.POW.Battery\option_1</vt:lpstr>
      <vt:lpstr>ICARUS.ICARUS1.POW.powerBus\m\\option_1</vt:lpstr>
      <vt:lpstr>ICARUS.ICARUS1.POW.powerBus\option_1</vt:lpstr>
      <vt:lpstr>ICARUS.ICARUS1.POW.solarArray\m\\option_1</vt:lpstr>
      <vt:lpstr>ICARUS.ICARUS1.POW.solarArray\obj_dist\\option_1</vt:lpstr>
      <vt:lpstr>ICARUS.ICARUS1.POW.solarArray\option_1</vt:lpstr>
      <vt:lpstr>ICARUS.ICARUS1.POW.solarArray\SA_type\\option_1</vt:lpstr>
      <vt:lpstr>ICARUS.ICARUS1.POW.solarArray\solar_cell_type\\option_1</vt:lpstr>
      <vt:lpstr>ICARUS.ICARUS1.POW\incidence\\option_1</vt:lpstr>
      <vt:lpstr>ICARUS.ICARUS1.POW\m\\option_1</vt:lpstr>
      <vt:lpstr>ICARUS.ICARUS1.POW\mass_margin\\option_1</vt:lpstr>
      <vt:lpstr>ICARUS.ICARUS1.POW\option_1</vt:lpstr>
      <vt:lpstr>ICARUS.ICARUS1.POW\reffac\\option_1</vt:lpstr>
      <vt:lpstr>ICARUS.ICARUS1.Pro.Engine\option_1</vt:lpstr>
      <vt:lpstr>ICARUS.ICARUS1.Pro.Propellant\option_1</vt:lpstr>
      <vt:lpstr>ICARUS.ICARUS1.Pro.PropellantTank\option_1</vt:lpstr>
      <vt:lpstr>ICARUS.ICARUS1.Pro\option_1</vt:lpstr>
      <vt:lpstr>ICARUS.ICARUS1.Pro\P_mean\Day\option_1</vt:lpstr>
      <vt:lpstr>ICARUS.ICARUS1.Pro\P_mean\Ecl\option_1</vt:lpstr>
      <vt:lpstr>ICARUS.ICARUS1.Pro\P_peak\\option_1</vt:lpstr>
      <vt:lpstr>ICARUS.ICARUS1.STR.BS_ST\option_1</vt:lpstr>
      <vt:lpstr>ICARUS.ICARUS1.STR.CTR_BEAM\d\\option_1</vt:lpstr>
      <vt:lpstr>ICARUS.ICARUS1.STR.CTR_BEAM\l\\option_1</vt:lpstr>
      <vt:lpstr>ICARUS.ICARUS1.STR.CTR_BEAM\option_1</vt:lpstr>
      <vt:lpstr>ICARUS.ICARUS1.STR.m_beam\option_1</vt:lpstr>
      <vt:lpstr>ICARUS.ICARUS1.STR.m_frame\option_1</vt:lpstr>
      <vt:lpstr>ICARUS.ICARUS1.STR.MECH\option_1</vt:lpstr>
      <vt:lpstr>ICARUS.ICARUS1.STR.Mirror\option_1</vt:lpstr>
      <vt:lpstr>ICARUS.ICARUS1.STR\d\\option_1</vt:lpstr>
      <vt:lpstr>ICARUS.ICARUS1.STR\l\\option_1</vt:lpstr>
      <vt:lpstr>ICARUS.ICARUS1.STR\n_items\\option_1</vt:lpstr>
      <vt:lpstr>ICARUS.ICARUS1.STR\option_1</vt:lpstr>
      <vt:lpstr>ICARUS.ICARUS1\option_1</vt:lpstr>
      <vt:lpstr>ICARUS.ICARUS1\P_peak\\option_1</vt:lpstr>
      <vt:lpstr>ICARUS.MA</vt:lpstr>
      <vt:lpstr>ICARUS.MA\option_1</vt:lpstr>
      <vt:lpstr>ICARUS\dur\\option_1</vt:lpstr>
      <vt:lpstr>ICARUS\option_1</vt:lpstr>
      <vt:lpstr>ICARUS1</vt:lpstr>
      <vt:lpstr>ICARUS1.ADCS</vt:lpstr>
      <vt:lpstr>ICARUS1.CDH</vt:lpstr>
      <vt:lpstr>ICARUS1.COMMS</vt:lpstr>
      <vt:lpstr>ICARUS1.P_peak</vt:lpstr>
      <vt:lpstr>ICARUS1.POW</vt:lpstr>
      <vt:lpstr>ICARUS1.Pro</vt:lpstr>
      <vt:lpstr>ICARUS1.STR</vt:lpstr>
      <vt:lpstr>Irradiance</vt:lpstr>
      <vt:lpstr>ISL_Antenna</vt:lpstr>
      <vt:lpstr>J_Cu</vt:lpstr>
      <vt:lpstr>m_beam</vt:lpstr>
      <vt:lpstr>m_frame</vt:lpstr>
      <vt:lpstr>MA</vt:lpstr>
      <vt:lpstr>MECH</vt:lpstr>
      <vt:lpstr>memory</vt:lpstr>
      <vt:lpstr>microWave_EarthGrid_Efficiency</vt:lpstr>
      <vt:lpstr>microWavePower_BOL</vt:lpstr>
      <vt:lpstr>microWavePower_EOL</vt:lpstr>
      <vt:lpstr>middleElement</vt:lpstr>
      <vt:lpstr>Mirror</vt:lpstr>
      <vt:lpstr>mirrorArea</vt:lpstr>
      <vt:lpstr>Mission_Life</vt:lpstr>
      <vt:lpstr>N</vt:lpstr>
      <vt:lpstr>nrBatteryCells</vt:lpstr>
      <vt:lpstr>nrCellSerial</vt:lpstr>
      <vt:lpstr>nrElement_per_Sector</vt:lpstr>
      <vt:lpstr>nrElements</vt:lpstr>
      <vt:lpstr>NrPlates</vt:lpstr>
      <vt:lpstr>NrSatellites</vt:lpstr>
      <vt:lpstr>OBC</vt:lpstr>
      <vt:lpstr>P_Amp</vt:lpstr>
      <vt:lpstr>Parameters</vt:lpstr>
      <vt:lpstr>Pe</vt:lpstr>
      <vt:lpstr>Peak_Current</vt:lpstr>
      <vt:lpstr>Peak_Power</vt:lpstr>
      <vt:lpstr>plate_distance</vt:lpstr>
      <vt:lpstr>POW</vt:lpstr>
      <vt:lpstr>POW.Battery</vt:lpstr>
      <vt:lpstr>POW.incidence</vt:lpstr>
      <vt:lpstr>POW.m</vt:lpstr>
      <vt:lpstr>POW.mass_margin</vt:lpstr>
      <vt:lpstr>POW.powerBus</vt:lpstr>
      <vt:lpstr>POW.reffac</vt:lpstr>
      <vt:lpstr>POW.solarArray</vt:lpstr>
      <vt:lpstr>POW.solarArray.obj_dist</vt:lpstr>
      <vt:lpstr>powerBus</vt:lpstr>
      <vt:lpstr>powerBus.m</vt:lpstr>
      <vt:lpstr>powerBusMass</vt:lpstr>
      <vt:lpstr>powerSubsystemMass</vt:lpstr>
      <vt:lpstr>Pro</vt:lpstr>
      <vt:lpstr>Pro.Engine</vt:lpstr>
      <vt:lpstr>Pro.P_mean\Day</vt:lpstr>
      <vt:lpstr>Pro.P_mean\Ecl</vt:lpstr>
      <vt:lpstr>Pro.P_peak</vt:lpstr>
      <vt:lpstr>Pro.Propellant</vt:lpstr>
      <vt:lpstr>Pro.PropellantTank</vt:lpstr>
      <vt:lpstr>PRO_Pwr_mean_daytime</vt:lpstr>
      <vt:lpstr>PRO_Pwr_mean_eclipse</vt:lpstr>
      <vt:lpstr>PRO_Pwr_Peak_daytime</vt:lpstr>
      <vt:lpstr>Prop</vt:lpstr>
      <vt:lpstr>Propellant</vt:lpstr>
      <vt:lpstr>PropellantTank</vt:lpstr>
      <vt:lpstr>PV_Area</vt:lpstr>
      <vt:lpstr>PV_Components_Reflectance</vt:lpstr>
      <vt:lpstr>PV_Efficiency</vt:lpstr>
      <vt:lpstr>PV_Power_BOL</vt:lpstr>
      <vt:lpstr>PV_Power_EOL</vt:lpstr>
      <vt:lpstr>pvArea_Mass_Density</vt:lpstr>
      <vt:lpstr>pvAreal_Mass_Density</vt:lpstr>
      <vt:lpstr>pvMass</vt:lpstr>
      <vt:lpstr>radial_Bus_Mass</vt:lpstr>
      <vt:lpstr>Radius</vt:lpstr>
      <vt:lpstr>reflectanceFactor</vt:lpstr>
      <vt:lpstr>RFDU</vt:lpstr>
      <vt:lpstr>rho_Cu</vt:lpstr>
      <vt:lpstr>Rx_Antenna</vt:lpstr>
      <vt:lpstr>solarArray</vt:lpstr>
      <vt:lpstr>solarArray.m</vt:lpstr>
      <vt:lpstr>solarArray.obj_dist</vt:lpstr>
      <vt:lpstr>solarArray.SA_type</vt:lpstr>
      <vt:lpstr>solarArray.solar_cell_type</vt:lpstr>
      <vt:lpstr>solarCellType</vt:lpstr>
      <vt:lpstr>STR</vt:lpstr>
      <vt:lpstr>STR.BS_ST</vt:lpstr>
      <vt:lpstr>STR.CTR_BEAM</vt:lpstr>
      <vt:lpstr>STR.d</vt:lpstr>
      <vt:lpstr>STR.l</vt:lpstr>
      <vt:lpstr>STR.m_beam</vt:lpstr>
      <vt:lpstr>STR.m_frame</vt:lpstr>
      <vt:lpstr>STR.MECH</vt:lpstr>
      <vt:lpstr>STR.Mirror</vt:lpstr>
      <vt:lpstr>STR.n_items</vt:lpstr>
      <vt:lpstr>sun_sensor</vt:lpstr>
      <vt:lpstr>Te</vt:lpstr>
      <vt:lpstr>Thrusters</vt:lpstr>
      <vt:lpstr>Thrusters.Propellant</vt:lpstr>
      <vt:lpstr>Transponder</vt:lpstr>
      <vt:lpstr>Tx_Antenna</vt:lpstr>
      <vt:lpstr>U</vt:lpstr>
      <vt:lpstr>V_bus</vt:lpstr>
      <vt:lpstr>wireMass_per_Radius</vt:lpstr>
      <vt:lpstr>Yearly_Degradation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NEMET Attila Istvan</cp:lastModifiedBy>
  <dcterms:created xsi:type="dcterms:W3CDTF">2022-11-07T13:50:54Z</dcterms:created>
  <dcterms:modified xsi:type="dcterms:W3CDTF">2023-06-26T04:41:30Z</dcterms:modified>
</cp:coreProperties>
</file>